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Z:\Documents\Securus\Design Docs\"/>
    </mc:Choice>
  </mc:AlternateContent>
  <xr:revisionPtr revIDLastSave="0" documentId="8_{EF2D995F-D6BC-48F5-9119-499CFE99CFF2}" xr6:coauthVersionLast="47" xr6:coauthVersionMax="47" xr10:uidLastSave="{00000000-0000-0000-0000-000000000000}"/>
  <workbookProtection workbookAlgorithmName="SHA-512" workbookHashValue="fTF3zYOmxqZC5AN8ZyDV7TC8kBvObFuiFYft3zWrJzumLbp9DpMuPpicyonCkCsoxbctYfYMQIddbKd5amO6Zw==" workbookSaltValue="AMl+vMTqgFZ5Vm1J6SQIXA==" workbookSpinCount="100000" lockStructure="1"/>
  <bookViews>
    <workbookView xWindow="3278" yWindow="1823" windowWidth="26954" windowHeight="17505" tabRatio="896" xr2:uid="{00000000-000D-0000-FFFF-FFFF00000000}"/>
  </bookViews>
  <sheets>
    <sheet name="Design Converter" sheetId="1" r:id="rId1"/>
    <sheet name="Variable_Management" sheetId="2" state="hidden" r:id="rId2"/>
    <sheet name="Constants" sheetId="3" state="hidden" r:id="rId3"/>
    <sheet name="CCM_Loop_Modeling" sheetId="13" state="hidden" r:id="rId4"/>
    <sheet name="CCM_Loop_Modeling_non_isolated" sheetId="5" state="hidden" r:id="rId5"/>
    <sheet name="Eff_vs_IOUT" sheetId="4" state="hidden" r:id="rId6"/>
    <sheet name="Plot_Management_Eff" sheetId="6" state="hidden" r:id="rId7"/>
    <sheet name="Lists" sheetId="8" state="hidden" r:id="rId8"/>
    <sheet name="Plot Management_Sch" sheetId="11" state="hidden" r:id="rId9"/>
    <sheet name="Licenses" sheetId="12" r:id="rId10"/>
  </sheets>
  <externalReferences>
    <externalReference r:id="rId11"/>
    <externalReference r:id="rId12"/>
  </externalReferences>
  <definedNames>
    <definedName name="Acs" localSheetId="9">[1]Constants!$B$30</definedName>
    <definedName name="Acs">Constants!$B$32</definedName>
    <definedName name="Adc" localSheetId="3">CCM_Loop_Modeling!$B$41</definedName>
    <definedName name="Adc" localSheetId="9">[1]Loop_Modeling!$B$34</definedName>
    <definedName name="Adc">CCM_Loop_Modeling!$B$41</definedName>
    <definedName name="Adc_ea" localSheetId="9">[1]Loop_Modeling!$B$60</definedName>
    <definedName name="Adc_ea">CCM_Loop_Modeling!$B$69</definedName>
    <definedName name="Adc_ea_iso" localSheetId="3">CCM_Loop_Modeling!$B$69</definedName>
    <definedName name="ADC_VINmin" localSheetId="9">[1]Variable_Management!$B$165</definedName>
    <definedName name="ADC_VINmin">Variable_Management!$B$217</definedName>
    <definedName name="CCOMP" localSheetId="9">[1]Variable_Management!$B$206</definedName>
    <definedName name="CCOMP">Variable_Management!$B$309</definedName>
    <definedName name="CComp_calc" localSheetId="9">[1]Variable_Management!$B$205</definedName>
    <definedName name="CComp_calc">Variable_Management!$B$308</definedName>
    <definedName name="Ccomp_iso">Variable_Management!$B$270</definedName>
    <definedName name="Ccomp_iso_calc">Variable_Management!$B$269</definedName>
    <definedName name="CHF" localSheetId="9">[1]Variable_Management!$B$208</definedName>
    <definedName name="CHF">Variable_Management!$B$311</definedName>
    <definedName name="Comp_calc">Variable_Management!$B$308</definedName>
    <definedName name="Copto">Variable_Management!$B$252</definedName>
    <definedName name="Cout">[1]Variable_Management!$B$131</definedName>
    <definedName name="Cout_min">[1]Variable_Management!$B$129</definedName>
    <definedName name="Cout_total">Variable_Management!$B$189</definedName>
    <definedName name="Cout1">Variable_Management!$B$155</definedName>
    <definedName name="Cout1_min">Variable_Management!$B$153</definedName>
    <definedName name="Cout2">Variable_Management!$B$165</definedName>
    <definedName name="Cout2_min">Variable_Management!$B$163</definedName>
    <definedName name="Cout3">Variable_Management!$B$175</definedName>
    <definedName name="Cout3_min">Variable_Management!$B$173</definedName>
    <definedName name="Cout4">Variable_Management!$B$185</definedName>
    <definedName name="Cout4_min">Variable_Management!$B$183</definedName>
    <definedName name="D_limit_max">Constants!$B$20</definedName>
    <definedName name="D_limit_min">Constants!$B$18</definedName>
    <definedName name="D_limit_nom" localSheetId="9">[1]Constants!$B$17</definedName>
    <definedName name="D_limit_nom">Constants!$B$19</definedName>
    <definedName name="Dc_max_IC">[1]Variable_Management!$B$21</definedName>
    <definedName name="Dc_rip_max">[1]Variable_Management!$B$79</definedName>
    <definedName name="Dc_var_ccm" localSheetId="3">CCM_Loop_Modeling!$B$40</definedName>
    <definedName name="Dc_var_ccm">CCM_Loop_Modeling!$B$40</definedName>
    <definedName name="Dc_VIN_max" localSheetId="9">[1]Variable_Management!$B$31</definedName>
    <definedName name="Dc_VIN_max">Variable_Management!$B$69</definedName>
    <definedName name="Dc_VIN_min" localSheetId="9">[1]Variable_Management!$B$23</definedName>
    <definedName name="Dc_VIN_min">Variable_Management!$B$67</definedName>
    <definedName name="Dc_VIN_nom" localSheetId="9">[1]Variable_Management!$B$27</definedName>
    <definedName name="Dc_VIN_nom">Variable_Management!$B$68</definedName>
    <definedName name="device_s">'Design Converter'!$H$30</definedName>
    <definedName name="display_eff">INDIRECT(Plot_Management_Eff!$B$2)</definedName>
    <definedName name="display_Sch">INDIRECT('Plot Management_Sch'!$A$1)</definedName>
    <definedName name="Dmax_limit">Variable_Management!$B$62</definedName>
    <definedName name="EFF_est" localSheetId="9">[1]Variable_Management!$B$17</definedName>
    <definedName name="EFF_est">Variable_Management!$B$51</definedName>
    <definedName name="Eff_OUT_1">Plot_Management_Eff!$C$3</definedName>
    <definedName name="Eff_OUT_2">Plot_Management_Eff!$C$6</definedName>
    <definedName name="Eff_OUT_3">Plot_Management_Eff!$C$9</definedName>
    <definedName name="Eff_OUT_4">Plot_Management_Eff!$C$12</definedName>
    <definedName name="Eff_vs_IOUT">Plot_Management_Eff!$C$3</definedName>
    <definedName name="EN_OUT_2">Variable_Management!$B$24</definedName>
    <definedName name="EN_OUT_3">Variable_Management!$B$33</definedName>
    <definedName name="EN_OUT_4">Variable_Management!$B$42</definedName>
    <definedName name="FB_type">Variable_Management!$B$214</definedName>
    <definedName name="fcross" localSheetId="9">[1]Variable_Management!$B$189</definedName>
    <definedName name="fcross">Variable_Management!$B$292</definedName>
    <definedName name="fcross_est" localSheetId="9">[1]Variable_Management!$B$188</definedName>
    <definedName name="fcross_est">Variable_Management!$B$291</definedName>
    <definedName name="fcross_iso">Variable_Management!$B$265</definedName>
    <definedName name="fcross_iso_est">Variable_Management!$B$264</definedName>
    <definedName name="FIR_BYPASSED">'[2]Digital Filter'!$T$84</definedName>
    <definedName name="fopto">Variable_Management!$B$257</definedName>
    <definedName name="fp_ea_est" localSheetId="9">[1]Variable_Management!$B$199</definedName>
    <definedName name="fp_ea_est">Variable_Management!$B$302</definedName>
    <definedName name="Fsw" localSheetId="9">[1]Variable_Management!$B$10</definedName>
    <definedName name="Fsw">Variable_Management!$B$10</definedName>
    <definedName name="fz_ea_est" localSheetId="9">[1]Variable_Management!$B$197</definedName>
    <definedName name="fz_ea_est">Variable_Management!$B$300</definedName>
    <definedName name="fz_rhp" localSheetId="9">[1]Variable_Management!$B$174</definedName>
    <definedName name="fz_rhp">Variable_Management!$B$226</definedName>
    <definedName name="Gcomp" localSheetId="9">[1]Constants!$B$29</definedName>
    <definedName name="Gcomp">Constants!$B$31</definedName>
    <definedName name="Gea_mid_calc" localSheetId="9">[1]Variable_Management!$B$193</definedName>
    <definedName name="Gea_mid_calc">Variable_Management!$B$296</definedName>
    <definedName name="gfs" localSheetId="9">[1]Variable_Management!$B$225</definedName>
    <definedName name="gfs">Variable_Management!$B$324</definedName>
    <definedName name="gm_ea" localSheetId="9">[1]Constants!$B$34</definedName>
    <definedName name="gm_ea">Constants!$B$37</definedName>
    <definedName name="Gplant_fc_dB" localSheetId="3">CCM_Loop_Modeling!$AD$7</definedName>
    <definedName name="Gplant_fc_dB" localSheetId="9">[1]Loop_Modeling!$AD$7</definedName>
    <definedName name="Gplant_fc_dB">CCM_Loop_Modeling!$AD$7</definedName>
    <definedName name="I_lim_r">Variable_Management!$B$136</definedName>
    <definedName name="I_lim_s">Variable_Management!$B$137</definedName>
    <definedName name="Icomp_sink_max">Constants!$B$39</definedName>
    <definedName name="IIN_33">[1]Variable_Management!$B$81</definedName>
    <definedName name="IL_avg_VIN_max" localSheetId="9">[1]Variable_Management!$B$33</definedName>
    <definedName name="IL_avg_VIN_max">Variable_Management!$B$103</definedName>
    <definedName name="IL_avg_VIN_min" localSheetId="9">[1]Variable_Management!$B$25</definedName>
    <definedName name="IL_avg_VIN_min">Variable_Management!$B$95</definedName>
    <definedName name="IL_avg_VIN_nom" localSheetId="9">[1]Variable_Management!$B$29</definedName>
    <definedName name="IL_avg_VIN_nom">Variable_Management!$B$99</definedName>
    <definedName name="IL_pk" localSheetId="9">[1]Variable_Management!$B$118</definedName>
    <definedName name="IL_pk">Variable_Management!$B$128</definedName>
    <definedName name="IL_pk_max" localSheetId="9">[1]Variable_Management!$B$119</definedName>
    <definedName name="IL_pk_max">Variable_Management!$B$129</definedName>
    <definedName name="ILp_VINmax">Variable_Management!$B$105</definedName>
    <definedName name="ILp_VINmin" localSheetId="9">[1]Variable_Management!$B$89</definedName>
    <definedName name="ILp_VINmin">Variable_Management!$B$97</definedName>
    <definedName name="ILp_VINnom">Variable_Management!$B$101</definedName>
    <definedName name="ILpk">'Design Converter'!$H$26</definedName>
    <definedName name="ILrip" localSheetId="9">[1]Variable_Management!$B$71</definedName>
    <definedName name="ILrip">Variable_Management!$B$89</definedName>
    <definedName name="ILrip_VINmax" localSheetId="9">[1]Variable_Management!$B$94</definedName>
    <definedName name="ILrip_VINmax">Variable_Management!$B$104</definedName>
    <definedName name="ILrip_VINmin" localSheetId="9">[1]Variable_Management!$B$88</definedName>
    <definedName name="ILrip_VINmin">Variable_Management!$B$96</definedName>
    <definedName name="ILrip_VINnom" localSheetId="9">[1]Variable_Management!$B$91</definedName>
    <definedName name="ILrip_VINnom">Variable_Management!$B$100</definedName>
    <definedName name="IOUT">[1]Variable_Management!$B$14</definedName>
    <definedName name="IOUT1">Variable_Management!$B$17</definedName>
    <definedName name="IOUT2">Variable_Management!$B$26</definedName>
    <definedName name="IOUT3">Variable_Management!$B$35</definedName>
    <definedName name="IOUT4">Variable_Management!$B$44</definedName>
    <definedName name="Ipk_lim_margin">Constants!$B$70</definedName>
    <definedName name="Ipk_margin" localSheetId="9">[1]Variable_Management!$B$98</definedName>
    <definedName name="Ipk_margin">Variable_Management!$B$108</definedName>
    <definedName name="Ipk_selected" localSheetId="9">[1]Variable_Management!$B$99</definedName>
    <definedName name="Ipk_selected">Variable_Management!$B$109</definedName>
    <definedName name="IQ" localSheetId="9">[1]Constants!$B$48</definedName>
    <definedName name="IQ">Constants!$B$57</definedName>
    <definedName name="IRMS_COUT" localSheetId="9">[1]Variable_Management!$B$130</definedName>
    <definedName name="IRMS_COUT">Variable_Management!$B$154</definedName>
    <definedName name="Isl" localSheetId="9">[1]Constants!$B$25</definedName>
    <definedName name="Isl">Constants!$B$27</definedName>
    <definedName name="Iss" localSheetId="9">[1]Constants!$B$37</definedName>
    <definedName name="Iss">Constants!$B$46</definedName>
    <definedName name="Isw_lim_57">Constants!$B$65</definedName>
    <definedName name="Isw_lim_571">Constants!$B$66</definedName>
    <definedName name="Isw_lim_58">Constants!$B$67</definedName>
    <definedName name="Isw_lim_581">Constants!$B$68</definedName>
    <definedName name="kopto_max">Variable_Management!$B$250</definedName>
    <definedName name="kopto_min">Variable_Management!$B$249</definedName>
    <definedName name="Kslope" localSheetId="9">[1]Variable_Management!$B$106</definedName>
    <definedName name="Kslope">Variable_Management!$B$116</definedName>
    <definedName name="Lm" localSheetId="9">[1]Variable_Management!$B$84</definedName>
    <definedName name="Lm">Variable_Management!$B$91</definedName>
    <definedName name="Loop_f_esr_gain" localSheetId="3">CCM_Loop_Modeling!$AW$10</definedName>
    <definedName name="Loop_f_esr_gain">CCM_Loop_Modeling!$AW$10</definedName>
    <definedName name="Loop_f_LP_gain" localSheetId="3">CCM_Loop_Modeling!$AW$11</definedName>
    <definedName name="Loop_f_LP_gain">CCM_Loop_Modeling!$AW$11</definedName>
    <definedName name="Loop_fz_ea_gain" localSheetId="3">CCM_Loop_Modeling!$AW$12</definedName>
    <definedName name="Loop_fz_ea_gain">CCM_Loop_Modeling!$AW$12</definedName>
    <definedName name="Loop_fz_rhp_gain" localSheetId="3">CCM_Loop_Modeling!$AW$9</definedName>
    <definedName name="Loop_fz_rhp_gain">CCM_Loop_Modeling!$AW$9</definedName>
    <definedName name="Loop_gain">CCM_Loop_Modeling!$AW$19:$AW$560</definedName>
    <definedName name="Loop_phase">CCM_Loop_Modeling!$AX$19:$AX$560</definedName>
    <definedName name="Loop_phaseMargin">CCM_Loop_Modeling!$AX$19:$AX$560</definedName>
    <definedName name="Lopt_2">[1]Variable_Management!$B$82</definedName>
    <definedName name="mc" localSheetId="3">CCM_Loop_Modeling!$B$53</definedName>
    <definedName name="mc">CCM_Loop_Modeling!$B$53</definedName>
    <definedName name="Np">Variable_Management!$B$61</definedName>
    <definedName name="NS1_">Variable_Management!$B$64</definedName>
    <definedName name="NS2_">Variable_Management!$B$74</definedName>
    <definedName name="NS3_">Variable_Management!$B$79</definedName>
    <definedName name="NS4_">Variable_Management!$B$84</definedName>
    <definedName name="num_VOUT">Variable_Management!$B$14</definedName>
    <definedName name="POUT">[1]Variable_Management!$B$16</definedName>
    <definedName name="POUT_Total">Variable_Management!$B$50</definedName>
    <definedName name="Pout_var" localSheetId="3">CCM_Loop_Modeling!$B$17</definedName>
    <definedName name="Pout_var">CCM_Loop_Modeling!$B$17</definedName>
    <definedName name="POUT1">Variable_Management!$B$19</definedName>
    <definedName name="POUT2">Variable_Management!$B$28</definedName>
    <definedName name="POUT3">Variable_Management!$B$37</definedName>
    <definedName name="POUT4">Variable_Management!$B$46</definedName>
    <definedName name="_xlnm.Print_Area" localSheetId="0">'Design Converter'!$A$1:$AE$119</definedName>
    <definedName name="Q" localSheetId="3">CCM_Loop_Modeling!$B$55</definedName>
    <definedName name="Q" localSheetId="9">[1]Loop_Modeling!$B$48</definedName>
    <definedName name="Q">CCM_Loop_Modeling!$B$55</definedName>
    <definedName name="Q_VINmin" localSheetId="9">[1]Variable_Management!$B$182</definedName>
    <definedName name="Q_VINmin">Variable_Management!$B$234</definedName>
    <definedName name="Qg_tot" localSheetId="9">[1]Variable_Management!$B$220</definedName>
    <definedName name="Qg_tot">Variable_Management!$B$319</definedName>
    <definedName name="Qgd" localSheetId="9">[1]Variable_Management!$B$221</definedName>
    <definedName name="Qgd">Variable_Management!$B$320</definedName>
    <definedName name="Qgs" localSheetId="9">[1]Variable_Management!$B$222</definedName>
    <definedName name="Qgs">Variable_Management!$B$321</definedName>
    <definedName name="Qrr">[1]Variable_Management!$B$215</definedName>
    <definedName name="QRR1_">Variable_Management!$B$21</definedName>
    <definedName name="QRR2_">Variable_Management!$B$30</definedName>
    <definedName name="QRR3_">Variable_Management!$B$39</definedName>
    <definedName name="QRR4_">Variable_Management!$B$48</definedName>
    <definedName name="R_cs" localSheetId="9">[1]Variable_Management!$B$114</definedName>
    <definedName name="R_cs">Constants!$B$33</definedName>
    <definedName name="R_sl" localSheetId="9">[1]Variable_Management!$B$115</definedName>
    <definedName name="R_sl">Variable_Management!$B$125</definedName>
    <definedName name="RCOMP" localSheetId="9">[1]Variable_Management!$B$204</definedName>
    <definedName name="RCOMP">Variable_Management!$B$307</definedName>
    <definedName name="Rcomp_calc" localSheetId="9">[1]Variable_Management!$B$203</definedName>
    <definedName name="Rcomp_calc">Variable_Management!$B$306</definedName>
    <definedName name="Rcomp_iso">Variable_Management!$B$268</definedName>
    <definedName name="Rcs_max" localSheetId="9">[1]Variable_Management!$B$103</definedName>
    <definedName name="Rcs_max">Variable_Management!$B$113</definedName>
    <definedName name="Rcs_w_sl" localSheetId="9">[1]Variable_Management!$B$107</definedName>
    <definedName name="Rcs_w_sl">Variable_Management!$B$117</definedName>
    <definedName name="Rcs_wo_sl" localSheetId="9">[1]Variable_Management!$B$104</definedName>
    <definedName name="Rcs_wo_sl">Variable_Management!$B$114</definedName>
    <definedName name="Rdcr" localSheetId="9">[1]Variable_Management!$B$85</definedName>
    <definedName name="Rdcr">Variable_Management!$B$92</definedName>
    <definedName name="Rdcr1">Variable_Management!$B$65</definedName>
    <definedName name="Rdcr2">Variable_Management!$B$76</definedName>
    <definedName name="Rdcr3">Variable_Management!$B$81</definedName>
    <definedName name="Rdcr4">Variable_Management!$B$86</definedName>
    <definedName name="RDS_on" localSheetId="9">[1]Variable_Management!$B$219</definedName>
    <definedName name="RDS_on">Variable_Management!$B$318</definedName>
    <definedName name="Resr">[1]Variable_Management!$B$132</definedName>
    <definedName name="Resr_total">Variable_Management!$B$190</definedName>
    <definedName name="Resr1">Variable_Management!$B$156</definedName>
    <definedName name="Resr2">Variable_Management!$B$166</definedName>
    <definedName name="Resr2_Trans">Variable_Management!$B$167</definedName>
    <definedName name="Resr3">Variable_Management!$B$176</definedName>
    <definedName name="Resr3_Trans">Variable_Management!$B$177</definedName>
    <definedName name="Resr4">Variable_Management!$B$186</definedName>
    <definedName name="Resr4_Trans">Variable_Management!$B$187</definedName>
    <definedName name="RFBB" localSheetId="9">[1]Variable_Management!$B$160</definedName>
    <definedName name="RFBB">Variable_Management!$B$279</definedName>
    <definedName name="RFBB_calc" localSheetId="9">[1]Variable_Management!$B$159</definedName>
    <definedName name="RFBB_calc">Variable_Management!$B$278</definedName>
    <definedName name="RFBB_iso">Variable_Management!$B$246</definedName>
    <definedName name="RFBB_iso_calc">Variable_Management!$B$245</definedName>
    <definedName name="RFBT" localSheetId="9">[1]Variable_Management!$B$158</definedName>
    <definedName name="RFBT">Variable_Management!$B$277</definedName>
    <definedName name="RFBT_iso">Variable_Management!$B$244</definedName>
    <definedName name="Rgate" localSheetId="9">[1]Variable_Management!$B$223</definedName>
    <definedName name="Rgate">Variable_Management!$B$322</definedName>
    <definedName name="RLED">Variable_Management!$B$259</definedName>
    <definedName name="ROUT1">Variable_Management!$B$18</definedName>
    <definedName name="ROUT2">Variable_Management!$B$27</definedName>
    <definedName name="ROUT3">Variable_Management!$B$36</definedName>
    <definedName name="ROUT4">Variable_Management!$B$45</definedName>
    <definedName name="Rpullup">Variable_Management!$B$256</definedName>
    <definedName name="Rpullup_min">Variable_Management!$B$255</definedName>
    <definedName name="Rsl_int" localSheetId="9">[1]Constants!$B$26</definedName>
    <definedName name="Rsl_int">Constants!$B$28</definedName>
    <definedName name="Rsl_max">[1]Constants!$B$28</definedName>
    <definedName name="RT" localSheetId="9">[1]Variable_Management!$B$11</definedName>
    <definedName name="RT">Variable_Management!$B$11</definedName>
    <definedName name="Ruvlo_bottom_calc" localSheetId="9">[1]Variable_Management!$B$149</definedName>
    <definedName name="Ruvlo_bottom_calc">Variable_Management!$B$207</definedName>
    <definedName name="Ruvlo_top" localSheetId="9">[1]Variable_Management!$B$148</definedName>
    <definedName name="Ruvlo_top">Variable_Management!$B$206</definedName>
    <definedName name="Ruvlo_top_calc" localSheetId="9">[1]Variable_Management!$B$147</definedName>
    <definedName name="Ruvlo_top_calc">Variable_Management!$B$205</definedName>
    <definedName name="sch_ISO_1">'Plot Management_Sch'!$F$6</definedName>
    <definedName name="sch_ISO_2">'Plot Management_Sch'!$D$6</definedName>
    <definedName name="sch_ISO_2n1">'Plot Management_Sch'!$H$6</definedName>
    <definedName name="sch_ISO_3">'Plot Management_Sch'!$B$6</definedName>
    <definedName name="sch_ISO_3n1">'Plot Management_Sch'!$J$6</definedName>
    <definedName name="sch_ISO_3n2">'Plot Management_Sch'!$L$6</definedName>
    <definedName name="sch_ISO_3n3">'Plot Management_Sch'!$N$6</definedName>
    <definedName name="sch_nISO_1">'Plot Management_Sch'!$F$4</definedName>
    <definedName name="sch_nISO_2">'Plot Management_Sch'!$D$4</definedName>
    <definedName name="sch_nISO_2n1">'Plot Management_Sch'!$H$4</definedName>
    <definedName name="sch_nISO_3">'Plot Management_Sch'!$B$4</definedName>
    <definedName name="sch_nISO_3n1">'Plot Management_Sch'!$J$4</definedName>
    <definedName name="sch_nISO_3n2">'Plot Management_Sch'!$L$4</definedName>
    <definedName name="sch_nISO_3n3">'Plot Management_Sch'!$N$4</definedName>
    <definedName name="sch_PSR_1">'Plot Management_Sch'!$F$8</definedName>
    <definedName name="sch_PSR_1n">'Plot Management_Sch'!$N$8</definedName>
    <definedName name="sch_PSR_2">'Plot Management_Sch'!$D$8</definedName>
    <definedName name="sch_PSR_2n1">'Plot Management_Sch'!$H$8</definedName>
    <definedName name="sch_PSR_2n2">'Plot Management_Sch'!$J$8</definedName>
    <definedName name="sch_PSR_2n3">'Plot Management_Sch'!$L$8</definedName>
    <definedName name="sch_PSR_3">'Plot Management_Sch'!$B$8</definedName>
    <definedName name="sch_PSR_3n1">'Plot Management_Sch'!$P$8</definedName>
    <definedName name="sch_PSR_3n2">'Plot Management_Sch'!$R$8</definedName>
    <definedName name="sch_PSR_3n3">'Plot Management_Sch'!$T$8</definedName>
    <definedName name="sch_PSR_3n4">'Plot Management_Sch'!$V$8</definedName>
    <definedName name="sch_PSR_3n5">'Plot Management_Sch'!$X$8</definedName>
    <definedName name="sch_PSR_3n6">'Plot Management_Sch'!$Z$8</definedName>
    <definedName name="sch_PSR_3n7">'Plot Management_Sch'!$AB$8</definedName>
    <definedName name="Se">Variable_Management!$B$134</definedName>
    <definedName name="Se_VINmin">Variable_Management!$B$230</definedName>
    <definedName name="Sn">Variable_Management!$B$132</definedName>
    <definedName name="Sn_half">Variable_Management!$B$133</definedName>
    <definedName name="Sn_VINmin">Variable_Management!$B$231</definedName>
    <definedName name="tf_sw" localSheetId="9">[1]Variable_Management!$B$232</definedName>
    <definedName name="tf_sw">Variable_Management!$B$331</definedName>
    <definedName name="tr_sw" localSheetId="9">[1]Variable_Management!$B$231</definedName>
    <definedName name="tr_sw">Variable_Management!$B$330</definedName>
    <definedName name="tss" localSheetId="9">[1]Variable_Management!$B$138</definedName>
    <definedName name="tss">Variable_Management!$B$196</definedName>
    <definedName name="UV_fall" localSheetId="9">[1]Constants!$B$41</definedName>
    <definedName name="UV_fall">Constants!$B$50</definedName>
    <definedName name="UV_I_hyst" localSheetId="9">[1]Constants!$B$42</definedName>
    <definedName name="UV_I_hyst">Constants!$B$51</definedName>
    <definedName name="UV_rise" localSheetId="9">[1]Constants!$B$40</definedName>
    <definedName name="UV_rise">Constants!$B$49</definedName>
    <definedName name="Vcc" localSheetId="9">[1]Constants!$B$45</definedName>
    <definedName name="Vcc">Constants!$B$54</definedName>
    <definedName name="Vcc_real">Variable_Management!$B$326</definedName>
    <definedName name="VCE_sat">Variable_Management!$B$253</definedName>
    <definedName name="Vcl" localSheetId="9">[1]Constants!$B$27</definedName>
    <definedName name="Vcl">Constants!$B$29</definedName>
    <definedName name="Vcomp_max">Constants!$B$38</definedName>
    <definedName name="VD">Constants!$B$8</definedName>
    <definedName name="Vd_opto">Variable_Management!$B$251</definedName>
    <definedName name="Vd_rect">[1]Variable_Management!$B$214</definedName>
    <definedName name="VD1_">Variable_Management!$B$20</definedName>
    <definedName name="VD2_">Variable_Management!$B$29</definedName>
    <definedName name="VD3_">Variable_Management!$B$38</definedName>
    <definedName name="VD4_">Variable_Management!$B$47</definedName>
    <definedName name="VIN_33">[1]Variable_Management!$B$80</definedName>
    <definedName name="VIN_max" localSheetId="9">[1]Variable_Management!$B$9</definedName>
    <definedName name="VIN_max">Variable_Management!$B$9</definedName>
    <definedName name="VIN_min" localSheetId="9">[1]Variable_Management!$B$7</definedName>
    <definedName name="VIN_min">Variable_Management!$B$7</definedName>
    <definedName name="VIN_nom" localSheetId="9">[1]Variable_Management!$B$8</definedName>
    <definedName name="VIN_nom">Variable_Management!$B$8</definedName>
    <definedName name="VIN_op_max" localSheetId="9">[1]Constants!$B$52</definedName>
    <definedName name="VIN_op_max">Constants!$B$61</definedName>
    <definedName name="Vin_op_max_57">Constants!$B$61</definedName>
    <definedName name="Vin_op_max_58">Constants!$B$63</definedName>
    <definedName name="Vin_op_max_s">Lists!$B$15</definedName>
    <definedName name="VIN_op_min" localSheetId="9">[1]Constants!$B$51</definedName>
    <definedName name="VIN_op_min">Constants!$B$60</definedName>
    <definedName name="VIN_var" localSheetId="9">[1]Variable_Management!$B$8</definedName>
    <definedName name="VIN_var">Variable_Management!$B$8</definedName>
    <definedName name="Vo_op_max_s">Lists!$B$16</definedName>
    <definedName name="VOUT" localSheetId="9">[1]Variable_Management!$B$13</definedName>
    <definedName name="VOUT">Variable_Management!$B$13</definedName>
    <definedName name="Vout_op_max_57">Constants!$B$62</definedName>
    <definedName name="Vout_op_max_58">Constants!$B$64</definedName>
    <definedName name="Vout_rip_sel">[1]Variable_Management!$B$128</definedName>
    <definedName name="VOUT1">Variable_Management!$B$16</definedName>
    <definedName name="Vout1_rip_sel">Variable_Management!$B$149</definedName>
    <definedName name="VOUT2">Variable_Management!$B$25</definedName>
    <definedName name="Vout2_rip_sel">Variable_Management!$B$159</definedName>
    <definedName name="VOUT3">Variable_Management!$B$34</definedName>
    <definedName name="Vout3_rip_sel">Variable_Management!$B$169</definedName>
    <definedName name="VOUT4">Variable_Management!$B$43</definedName>
    <definedName name="Vout4_rip_sel">Variable_Management!$B$179</definedName>
    <definedName name="Vpullup">Variable_Management!$B$254</definedName>
    <definedName name="Vref" localSheetId="9">[1]Constants!$B$33</definedName>
    <definedName name="Vref">Constants!$B$36</definedName>
    <definedName name="Vref_iso">Variable_Management!$B$243</definedName>
    <definedName name="Vth" localSheetId="9">[1]Variable_Management!$B$226</definedName>
    <definedName name="Vth">Variable_Management!$B$325</definedName>
    <definedName name="Vuvlo_off" localSheetId="9">[1]Variable_Management!$B$143</definedName>
    <definedName name="Vuvlo_off">Variable_Management!$B$201</definedName>
    <definedName name="Vuvlo_on" localSheetId="9">[1]Variable_Management!$B$142</definedName>
    <definedName name="Vuvlo_on">Variable_Management!$B$200</definedName>
    <definedName name="wp_lf" localSheetId="3">CCM_Loop_Modeling!$B$42</definedName>
    <definedName name="wp_lf" localSheetId="9">[1]Loop_Modeling!$B$35</definedName>
    <definedName name="wp_lf">CCM_Loop_Modeling!$B$42</definedName>
    <definedName name="wp_lf_VINmin" localSheetId="9">[1]Variable_Management!$B$167</definedName>
    <definedName name="wp_lf_VINmin">Variable_Management!$B$219</definedName>
    <definedName name="wp0_ea" localSheetId="9">[1]Loop_Modeling!$B$62</definedName>
    <definedName name="wp0_ea">CCM_Loop_Modeling!$B$72</definedName>
    <definedName name="wp1_ea" localSheetId="9">[1]Loop_Modeling!$B$63</definedName>
    <definedName name="wp1_ea">CCM_Loop_Modeling!$B$73</definedName>
    <definedName name="wpA_ea_iso" localSheetId="3">CCM_Loop_Modeling!$B$72</definedName>
    <definedName name="wpB_ea_iso" localSheetId="3">CCM_Loop_Modeling!$B$73</definedName>
    <definedName name="wpC_ea_iso" localSheetId="3">CCM_Loop_Modeling!$B$74</definedName>
    <definedName name="wpC_ea_iso">CCM_Loop_Modeling!$B$74</definedName>
    <definedName name="wsl" localSheetId="3">CCM_Loop_Modeling!$B$54</definedName>
    <definedName name="wsl" localSheetId="9">[1]Loop_Modeling!$B$47</definedName>
    <definedName name="wsl">CCM_Loop_Modeling!$B$54</definedName>
    <definedName name="wsl_VINmin" localSheetId="9">[1]Variable_Management!$B$181</definedName>
    <definedName name="wsl_VINmin">Variable_Management!$B$233</definedName>
    <definedName name="wz_ea" localSheetId="9">[1]Loop_Modeling!$B$61</definedName>
    <definedName name="wz_ea">CCM_Loop_Modeling!$B$70</definedName>
    <definedName name="wz_esr" localSheetId="3">CCM_Loop_Modeling!$B$48</definedName>
    <definedName name="wz_esr" localSheetId="9">[1]Loop_Modeling!$B$41</definedName>
    <definedName name="wz_esr">CCM_Loop_Modeling!$B$48</definedName>
    <definedName name="wz_esr_VINmin" localSheetId="9">[1]Variable_Management!$B$170</definedName>
    <definedName name="wz_esr_VINmin">Variable_Management!$B$222</definedName>
    <definedName name="wz_rhp" localSheetId="3">CCM_Loop_Modeling!$B$45</definedName>
    <definedName name="wz_rhp" localSheetId="9">[1]Loop_Modeling!$B$38</definedName>
    <definedName name="wz_rhp">CCM_Loop_Modeling!$B$45</definedName>
    <definedName name="wz_RHP_VINmin" localSheetId="9">[1]Variable_Management!$B$173</definedName>
    <definedName name="wz_RHP_VINmin">Variable_Management!$B$225</definedName>
    <definedName name="wz1_ea_iso" localSheetId="3">CCM_Loop_Modeling!$B$70</definedName>
    <definedName name="wz1_ea_iso">CCM_Loop_Modeling!$B$70</definedName>
    <definedName name="wz2_ea_iso" localSheetId="3">CCM_Loop_Modeling!$B$71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4" i="13" l="1"/>
  <c r="O560" i="13" l="1"/>
  <c r="O559" i="13"/>
  <c r="O558" i="13"/>
  <c r="O557" i="13"/>
  <c r="O556" i="13"/>
  <c r="O555" i="13"/>
  <c r="O554" i="13"/>
  <c r="O553" i="13"/>
  <c r="O552" i="13"/>
  <c r="O551" i="13"/>
  <c r="O550" i="13"/>
  <c r="O549" i="13"/>
  <c r="O548" i="13"/>
  <c r="O547" i="13"/>
  <c r="O546" i="13"/>
  <c r="O545" i="13"/>
  <c r="O544" i="13"/>
  <c r="O543" i="13"/>
  <c r="O542" i="13"/>
  <c r="O541" i="13"/>
  <c r="O540" i="13"/>
  <c r="O539" i="13"/>
  <c r="O538" i="13"/>
  <c r="O537" i="13"/>
  <c r="O536" i="13"/>
  <c r="O535" i="13"/>
  <c r="O534" i="13"/>
  <c r="O533" i="13"/>
  <c r="O532" i="13"/>
  <c r="O531" i="13"/>
  <c r="O530" i="13"/>
  <c r="O529" i="13"/>
  <c r="O528" i="13"/>
  <c r="O527" i="13"/>
  <c r="O526" i="13"/>
  <c r="O525" i="13"/>
  <c r="O524" i="13"/>
  <c r="O523" i="13"/>
  <c r="O522" i="13"/>
  <c r="O521" i="13"/>
  <c r="O520" i="13"/>
  <c r="O519" i="13"/>
  <c r="O518" i="13"/>
  <c r="O517" i="13"/>
  <c r="O516" i="13"/>
  <c r="O515" i="13"/>
  <c r="O514" i="13"/>
  <c r="O513" i="13"/>
  <c r="O512" i="13"/>
  <c r="O511" i="13"/>
  <c r="O510" i="13"/>
  <c r="O509" i="13"/>
  <c r="O508" i="13"/>
  <c r="O507" i="13"/>
  <c r="O506" i="13"/>
  <c r="O505" i="13"/>
  <c r="O504" i="13"/>
  <c r="O503" i="13"/>
  <c r="O502" i="13"/>
  <c r="O501" i="13"/>
  <c r="O500" i="13"/>
  <c r="O499" i="13"/>
  <c r="O498" i="13"/>
  <c r="O497" i="13"/>
  <c r="O496" i="13"/>
  <c r="O495" i="13"/>
  <c r="O494" i="13"/>
  <c r="O493" i="13"/>
  <c r="O492" i="13"/>
  <c r="O491" i="13"/>
  <c r="O490" i="13"/>
  <c r="O489" i="13"/>
  <c r="O488" i="13"/>
  <c r="O487" i="13"/>
  <c r="O486" i="13"/>
  <c r="O485" i="13"/>
  <c r="O484" i="13"/>
  <c r="O483" i="13"/>
  <c r="O482" i="13"/>
  <c r="O481" i="13"/>
  <c r="O480" i="13"/>
  <c r="O479" i="13"/>
  <c r="O478" i="13"/>
  <c r="O477" i="13"/>
  <c r="O476" i="13"/>
  <c r="O475" i="13"/>
  <c r="O474" i="13"/>
  <c r="O473" i="13"/>
  <c r="O472" i="13"/>
  <c r="O471" i="13"/>
  <c r="O470" i="13"/>
  <c r="O469" i="13"/>
  <c r="O468" i="13"/>
  <c r="O467" i="13"/>
  <c r="O466" i="13"/>
  <c r="O465" i="13"/>
  <c r="O464" i="13"/>
  <c r="O463" i="13"/>
  <c r="O462" i="13"/>
  <c r="O461" i="13"/>
  <c r="O460" i="13"/>
  <c r="O459" i="13"/>
  <c r="O458" i="13"/>
  <c r="O457" i="13"/>
  <c r="O456" i="13"/>
  <c r="O455" i="13"/>
  <c r="O454" i="13"/>
  <c r="O453" i="13"/>
  <c r="O452" i="13"/>
  <c r="O451" i="13"/>
  <c r="O450" i="13"/>
  <c r="O449" i="13"/>
  <c r="O448" i="13"/>
  <c r="O447" i="13"/>
  <c r="O446" i="13"/>
  <c r="O445" i="13"/>
  <c r="O444" i="13"/>
  <c r="O443" i="13"/>
  <c r="O442" i="13"/>
  <c r="O441" i="13"/>
  <c r="O440" i="13"/>
  <c r="O439" i="13"/>
  <c r="O438" i="13"/>
  <c r="O437" i="13"/>
  <c r="O436" i="13"/>
  <c r="O435" i="13"/>
  <c r="O434" i="13"/>
  <c r="O433" i="13"/>
  <c r="O432" i="13"/>
  <c r="O431" i="13"/>
  <c r="O430" i="13"/>
  <c r="O429" i="13"/>
  <c r="O428" i="13"/>
  <c r="O427" i="13"/>
  <c r="O426" i="13"/>
  <c r="O425" i="13"/>
  <c r="O424" i="13"/>
  <c r="O423" i="13"/>
  <c r="O422" i="13"/>
  <c r="O421" i="13"/>
  <c r="O420" i="13"/>
  <c r="O419" i="13"/>
  <c r="O418" i="13"/>
  <c r="O417" i="13"/>
  <c r="O416" i="13"/>
  <c r="O415" i="13"/>
  <c r="O414" i="13"/>
  <c r="O413" i="13"/>
  <c r="O412" i="13"/>
  <c r="O411" i="13"/>
  <c r="O410" i="13"/>
  <c r="O409" i="13"/>
  <c r="O408" i="13"/>
  <c r="O407" i="13"/>
  <c r="O406" i="13"/>
  <c r="O405" i="13"/>
  <c r="O404" i="13"/>
  <c r="O403" i="13"/>
  <c r="O402" i="13"/>
  <c r="O401" i="13"/>
  <c r="O400" i="13"/>
  <c r="O399" i="13"/>
  <c r="O398" i="13"/>
  <c r="O397" i="13"/>
  <c r="O396" i="13"/>
  <c r="O395" i="13"/>
  <c r="O394" i="13"/>
  <c r="O393" i="13"/>
  <c r="O392" i="13"/>
  <c r="O391" i="13"/>
  <c r="O390" i="13"/>
  <c r="O389" i="13"/>
  <c r="O388" i="13"/>
  <c r="O387" i="13"/>
  <c r="O386" i="13"/>
  <c r="O385" i="13"/>
  <c r="O384" i="13"/>
  <c r="O383" i="13"/>
  <c r="O382" i="13"/>
  <c r="O381" i="13"/>
  <c r="O380" i="13"/>
  <c r="O379" i="13"/>
  <c r="O378" i="13"/>
  <c r="O377" i="13"/>
  <c r="O376" i="13"/>
  <c r="O375" i="13"/>
  <c r="O374" i="13"/>
  <c r="O373" i="13"/>
  <c r="O372" i="13"/>
  <c r="O371" i="13"/>
  <c r="O370" i="13"/>
  <c r="O369" i="13"/>
  <c r="O368" i="13"/>
  <c r="O367" i="13"/>
  <c r="O366" i="13"/>
  <c r="O365" i="13"/>
  <c r="O364" i="13"/>
  <c r="O363" i="13"/>
  <c r="O362" i="13"/>
  <c r="O361" i="13"/>
  <c r="O360" i="13"/>
  <c r="O359" i="13"/>
  <c r="O358" i="13"/>
  <c r="O357" i="13"/>
  <c r="O356" i="13"/>
  <c r="O355" i="13"/>
  <c r="O354" i="13"/>
  <c r="O353" i="13"/>
  <c r="O352" i="13"/>
  <c r="O351" i="13"/>
  <c r="O350" i="13"/>
  <c r="O349" i="13"/>
  <c r="O348" i="13"/>
  <c r="O347" i="13"/>
  <c r="O346" i="13"/>
  <c r="O345" i="13"/>
  <c r="O344" i="13"/>
  <c r="O343" i="13"/>
  <c r="O342" i="13"/>
  <c r="O341" i="13"/>
  <c r="O340" i="13"/>
  <c r="O339" i="13"/>
  <c r="O338" i="13"/>
  <c r="O337" i="13"/>
  <c r="O336" i="13"/>
  <c r="O335" i="13"/>
  <c r="O334" i="13"/>
  <c r="O333" i="13"/>
  <c r="O332" i="13"/>
  <c r="O331" i="13"/>
  <c r="O330" i="13"/>
  <c r="O329" i="13"/>
  <c r="O328" i="13"/>
  <c r="O327" i="13"/>
  <c r="O326" i="13"/>
  <c r="O325" i="13"/>
  <c r="O324" i="13"/>
  <c r="O323" i="13"/>
  <c r="O322" i="13"/>
  <c r="O321" i="13"/>
  <c r="O320" i="13"/>
  <c r="O319" i="13"/>
  <c r="O318" i="13"/>
  <c r="O317" i="13"/>
  <c r="O316" i="13"/>
  <c r="O315" i="13"/>
  <c r="O314" i="13"/>
  <c r="O313" i="13"/>
  <c r="O312" i="13"/>
  <c r="O311" i="13"/>
  <c r="O310" i="13"/>
  <c r="O309" i="13"/>
  <c r="O308" i="13"/>
  <c r="O307" i="13"/>
  <c r="O306" i="13"/>
  <c r="O305" i="13"/>
  <c r="O304" i="13"/>
  <c r="O303" i="13"/>
  <c r="O302" i="13"/>
  <c r="O301" i="13"/>
  <c r="O300" i="13"/>
  <c r="O299" i="13"/>
  <c r="O298" i="13"/>
  <c r="O297" i="13"/>
  <c r="O296" i="13"/>
  <c r="O295" i="13"/>
  <c r="O294" i="13"/>
  <c r="O293" i="13"/>
  <c r="O292" i="13"/>
  <c r="O291" i="13"/>
  <c r="O290" i="13"/>
  <c r="O289" i="13"/>
  <c r="O288" i="13"/>
  <c r="O287" i="13"/>
  <c r="O286" i="13"/>
  <c r="O285" i="13"/>
  <c r="O284" i="13"/>
  <c r="O283" i="13"/>
  <c r="O282" i="13"/>
  <c r="O281" i="13"/>
  <c r="O280" i="13"/>
  <c r="O279" i="13"/>
  <c r="O278" i="13"/>
  <c r="O277" i="13"/>
  <c r="O276" i="13"/>
  <c r="O275" i="13"/>
  <c r="O274" i="13"/>
  <c r="O273" i="13"/>
  <c r="O272" i="13"/>
  <c r="O271" i="13"/>
  <c r="O270" i="13"/>
  <c r="O269" i="13"/>
  <c r="O268" i="13"/>
  <c r="O267" i="13"/>
  <c r="O266" i="13"/>
  <c r="O265" i="13"/>
  <c r="O264" i="13"/>
  <c r="O263" i="13"/>
  <c r="O262" i="13"/>
  <c r="O261" i="13"/>
  <c r="O260" i="13"/>
  <c r="O259" i="13"/>
  <c r="O258" i="13"/>
  <c r="O257" i="13"/>
  <c r="O256" i="13"/>
  <c r="O255" i="13"/>
  <c r="O254" i="13"/>
  <c r="O253" i="13"/>
  <c r="O252" i="13"/>
  <c r="O251" i="13"/>
  <c r="O250" i="13"/>
  <c r="O249" i="13"/>
  <c r="O248" i="13"/>
  <c r="O247" i="13"/>
  <c r="O246" i="13"/>
  <c r="O245" i="13"/>
  <c r="O244" i="13"/>
  <c r="O243" i="13"/>
  <c r="O242" i="13"/>
  <c r="O241" i="13"/>
  <c r="O240" i="13"/>
  <c r="O239" i="13"/>
  <c r="O238" i="13"/>
  <c r="O237" i="13"/>
  <c r="O236" i="13"/>
  <c r="O235" i="13"/>
  <c r="O234" i="13"/>
  <c r="O233" i="13"/>
  <c r="O232" i="13"/>
  <c r="O231" i="13"/>
  <c r="O230" i="13"/>
  <c r="O229" i="13"/>
  <c r="O228" i="13"/>
  <c r="O227" i="13"/>
  <c r="O226" i="13"/>
  <c r="O225" i="13"/>
  <c r="O224" i="13"/>
  <c r="O223" i="13"/>
  <c r="O222" i="13"/>
  <c r="O221" i="13"/>
  <c r="O220" i="13"/>
  <c r="O219" i="13"/>
  <c r="O218" i="13"/>
  <c r="O217" i="13"/>
  <c r="O216" i="13"/>
  <c r="O215" i="13"/>
  <c r="O214" i="13"/>
  <c r="O213" i="13"/>
  <c r="O212" i="13"/>
  <c r="O211" i="13"/>
  <c r="O210" i="13"/>
  <c r="O209" i="13"/>
  <c r="O208" i="13"/>
  <c r="O207" i="13"/>
  <c r="O206" i="13"/>
  <c r="O205" i="13"/>
  <c r="O204" i="13"/>
  <c r="O203" i="13"/>
  <c r="O202" i="13"/>
  <c r="O201" i="13"/>
  <c r="O200" i="13"/>
  <c r="O199" i="13"/>
  <c r="O198" i="13"/>
  <c r="O197" i="13"/>
  <c r="O196" i="13"/>
  <c r="O195" i="13"/>
  <c r="O194" i="13"/>
  <c r="O193" i="13"/>
  <c r="O192" i="13"/>
  <c r="O191" i="13"/>
  <c r="O190" i="13"/>
  <c r="O189" i="13"/>
  <c r="O188" i="13"/>
  <c r="O187" i="13"/>
  <c r="O186" i="13"/>
  <c r="O185" i="13"/>
  <c r="O184" i="13"/>
  <c r="O183" i="13"/>
  <c r="O182" i="13"/>
  <c r="O181" i="13"/>
  <c r="O180" i="13"/>
  <c r="O179" i="13"/>
  <c r="O178" i="13"/>
  <c r="O177" i="13"/>
  <c r="O176" i="13"/>
  <c r="O175" i="13"/>
  <c r="O174" i="13"/>
  <c r="O173" i="13"/>
  <c r="O172" i="13"/>
  <c r="O171" i="13"/>
  <c r="O170" i="13"/>
  <c r="O169" i="13"/>
  <c r="O168" i="13"/>
  <c r="O167" i="13"/>
  <c r="O166" i="13"/>
  <c r="O165" i="13"/>
  <c r="O164" i="13"/>
  <c r="O163" i="13"/>
  <c r="O162" i="13"/>
  <c r="O161" i="13"/>
  <c r="O160" i="13"/>
  <c r="O159" i="13"/>
  <c r="O158" i="13"/>
  <c r="O157" i="13"/>
  <c r="O156" i="13"/>
  <c r="O155" i="13"/>
  <c r="O154" i="13"/>
  <c r="O153" i="13"/>
  <c r="O152" i="13"/>
  <c r="O151" i="13"/>
  <c r="O150" i="13"/>
  <c r="O149" i="13"/>
  <c r="O148" i="13"/>
  <c r="O147" i="13"/>
  <c r="O146" i="13"/>
  <c r="O145" i="13"/>
  <c r="O144" i="13"/>
  <c r="O143" i="13"/>
  <c r="O142" i="13"/>
  <c r="O141" i="13"/>
  <c r="O140" i="13"/>
  <c r="O139" i="13"/>
  <c r="O138" i="13"/>
  <c r="O137" i="13"/>
  <c r="O136" i="13"/>
  <c r="O135" i="13"/>
  <c r="O134" i="13"/>
  <c r="O133" i="13"/>
  <c r="O132" i="13"/>
  <c r="O131" i="13"/>
  <c r="O130" i="13"/>
  <c r="O129" i="13"/>
  <c r="O128" i="13"/>
  <c r="O127" i="13"/>
  <c r="O126" i="13"/>
  <c r="O125" i="13"/>
  <c r="O124" i="13"/>
  <c r="O123" i="13"/>
  <c r="O122" i="13"/>
  <c r="O121" i="13"/>
  <c r="O120" i="13"/>
  <c r="O119" i="13"/>
  <c r="O118" i="13"/>
  <c r="O117" i="13"/>
  <c r="O116" i="13"/>
  <c r="O115" i="13"/>
  <c r="O114" i="13"/>
  <c r="O113" i="13"/>
  <c r="O112" i="13"/>
  <c r="O111" i="13"/>
  <c r="O110" i="13"/>
  <c r="O109" i="13"/>
  <c r="O108" i="13"/>
  <c r="O107" i="13"/>
  <c r="O106" i="13"/>
  <c r="O105" i="13"/>
  <c r="O104" i="13"/>
  <c r="O103" i="13"/>
  <c r="O102" i="13"/>
  <c r="O101" i="13"/>
  <c r="O100" i="13"/>
  <c r="O99" i="13"/>
  <c r="O98" i="13"/>
  <c r="O97" i="13"/>
  <c r="O96" i="13"/>
  <c r="O95" i="13"/>
  <c r="O94" i="13"/>
  <c r="O93" i="13"/>
  <c r="O92" i="13"/>
  <c r="O91" i="13"/>
  <c r="O90" i="13"/>
  <c r="O89" i="13"/>
  <c r="O88" i="13"/>
  <c r="O87" i="13"/>
  <c r="O86" i="13"/>
  <c r="O85" i="13"/>
  <c r="O84" i="13"/>
  <c r="O83" i="13"/>
  <c r="O82" i="13"/>
  <c r="O81" i="13"/>
  <c r="O80" i="13"/>
  <c r="O79" i="13"/>
  <c r="O78" i="13"/>
  <c r="O77" i="13"/>
  <c r="O76" i="13"/>
  <c r="O75" i="13"/>
  <c r="O74" i="13"/>
  <c r="O73" i="13"/>
  <c r="O72" i="13"/>
  <c r="O71" i="13"/>
  <c r="O70" i="13"/>
  <c r="O69" i="13"/>
  <c r="O68" i="13"/>
  <c r="O67" i="13"/>
  <c r="O66" i="13"/>
  <c r="O65" i="13"/>
  <c r="O64" i="13"/>
  <c r="O63" i="13"/>
  <c r="O62" i="13"/>
  <c r="O61" i="13"/>
  <c r="O60" i="13"/>
  <c r="O59" i="13"/>
  <c r="O58" i="13"/>
  <c r="O57" i="13"/>
  <c r="O56" i="13"/>
  <c r="O55" i="13"/>
  <c r="O54" i="13"/>
  <c r="O53" i="13"/>
  <c r="O52" i="13"/>
  <c r="O51" i="13"/>
  <c r="O50" i="13"/>
  <c r="O49" i="13"/>
  <c r="O48" i="13"/>
  <c r="O47" i="13"/>
  <c r="O46" i="13"/>
  <c r="O45" i="13"/>
  <c r="O44" i="13"/>
  <c r="O43" i="13"/>
  <c r="O42" i="13"/>
  <c r="O41" i="13"/>
  <c r="O40" i="13"/>
  <c r="O39" i="13"/>
  <c r="O38" i="13"/>
  <c r="O37" i="13"/>
  <c r="O36" i="13"/>
  <c r="B36" i="13"/>
  <c r="O35" i="13"/>
  <c r="O34" i="13"/>
  <c r="O33" i="13"/>
  <c r="B33" i="13"/>
  <c r="O32" i="13"/>
  <c r="B32" i="13"/>
  <c r="O31" i="13"/>
  <c r="O30" i="13"/>
  <c r="O29" i="13"/>
  <c r="O28" i="13"/>
  <c r="O27" i="13"/>
  <c r="O26" i="13"/>
  <c r="O25" i="13"/>
  <c r="O24" i="13"/>
  <c r="O23" i="13"/>
  <c r="O22" i="13"/>
  <c r="O21" i="13"/>
  <c r="O20" i="13"/>
  <c r="O19" i="13"/>
  <c r="B13" i="2" l="1"/>
  <c r="B214" i="2"/>
  <c r="B71" i="13" l="1"/>
  <c r="AP180" i="13" s="1"/>
  <c r="B215" i="2"/>
  <c r="AP454" i="13" l="1"/>
  <c r="AP225" i="13"/>
  <c r="I71" i="13"/>
  <c r="AP271" i="13"/>
  <c r="AP23" i="13"/>
  <c r="AP406" i="13"/>
  <c r="AP25" i="13"/>
  <c r="AP46" i="13"/>
  <c r="AP143" i="13"/>
  <c r="AP53" i="13"/>
  <c r="AP231" i="13"/>
  <c r="AP45" i="13"/>
  <c r="AP117" i="13"/>
  <c r="AP63" i="13"/>
  <c r="AP276" i="13"/>
  <c r="AP357" i="13"/>
  <c r="AP494" i="13"/>
  <c r="AP300" i="13"/>
  <c r="AP435" i="13"/>
  <c r="AP437" i="13"/>
  <c r="AP73" i="13"/>
  <c r="AP151" i="13"/>
  <c r="AP66" i="13"/>
  <c r="AP558" i="13"/>
  <c r="AP319" i="13"/>
  <c r="AP279" i="13"/>
  <c r="AP284" i="13"/>
  <c r="AP22" i="13"/>
  <c r="AP263" i="13"/>
  <c r="AP189" i="13"/>
  <c r="AP107" i="13"/>
  <c r="AP518" i="13"/>
  <c r="AP21" i="13"/>
  <c r="AP65" i="13"/>
  <c r="AP493" i="13"/>
  <c r="AP79" i="13"/>
  <c r="AP181" i="13"/>
  <c r="AP340" i="13"/>
  <c r="AP81" i="13"/>
  <c r="AP183" i="13"/>
  <c r="AP341" i="13"/>
  <c r="AP146" i="13"/>
  <c r="AP301" i="13"/>
  <c r="AP510" i="13"/>
  <c r="AP60" i="13"/>
  <c r="AP161" i="13"/>
  <c r="AP303" i="13"/>
  <c r="AP525" i="13"/>
  <c r="AP103" i="13"/>
  <c r="AP44" i="13"/>
  <c r="AP26" i="13"/>
  <c r="AP98" i="13"/>
  <c r="AP327" i="13"/>
  <c r="AP30" i="13"/>
  <c r="AP205" i="13"/>
  <c r="AP89" i="13"/>
  <c r="AP298" i="13"/>
  <c r="AP171" i="13"/>
  <c r="AP134" i="13"/>
  <c r="AP548" i="13"/>
  <c r="AP420" i="13"/>
  <c r="AP55" i="13"/>
  <c r="AP57" i="13"/>
  <c r="AP82" i="13"/>
  <c r="AP38" i="13"/>
  <c r="AP140" i="13"/>
  <c r="AP221" i="13"/>
  <c r="AP425" i="13"/>
  <c r="AP33" i="13"/>
  <c r="AP169" i="13"/>
  <c r="AP68" i="13"/>
  <c r="AP133" i="13"/>
  <c r="AP465" i="13"/>
  <c r="AP148" i="13"/>
  <c r="AP54" i="13"/>
  <c r="AP85" i="13"/>
  <c r="AP20" i="13"/>
  <c r="AP194" i="13"/>
  <c r="AP70" i="13"/>
  <c r="AP352" i="13"/>
  <c r="AP31" i="13"/>
  <c r="AP116" i="13"/>
  <c r="AP92" i="13"/>
  <c r="AP196" i="13"/>
  <c r="AP359" i="13"/>
  <c r="AP93" i="13"/>
  <c r="AP197" i="13"/>
  <c r="AP364" i="13"/>
  <c r="AP172" i="13"/>
  <c r="AP324" i="13"/>
  <c r="AP71" i="13"/>
  <c r="AP173" i="13"/>
  <c r="AP325" i="13"/>
  <c r="AP154" i="13"/>
  <c r="AP129" i="13"/>
  <c r="AP69" i="13"/>
  <c r="AP111" i="13"/>
  <c r="AP349" i="13"/>
  <c r="AP52" i="13"/>
  <c r="AP223" i="13"/>
  <c r="AP153" i="13"/>
  <c r="AP370" i="13"/>
  <c r="AP235" i="13"/>
  <c r="AP198" i="13"/>
  <c r="AP517" i="13"/>
  <c r="AP473" i="13"/>
  <c r="AP114" i="13"/>
  <c r="AP295" i="13"/>
  <c r="AP157" i="13"/>
  <c r="AP260" i="13"/>
  <c r="AP261" i="13"/>
  <c r="AP101" i="13"/>
  <c r="AP426" i="13"/>
  <c r="AP317" i="13"/>
  <c r="AP170" i="13"/>
  <c r="AP49" i="13"/>
  <c r="AP466" i="13"/>
  <c r="AP42" i="13"/>
  <c r="AP141" i="13"/>
  <c r="AP105" i="13"/>
  <c r="AP212" i="13"/>
  <c r="AP381" i="13"/>
  <c r="AP106" i="13"/>
  <c r="AP213" i="13"/>
  <c r="AP383" i="13"/>
  <c r="AP90" i="13"/>
  <c r="AP185" i="13"/>
  <c r="AP343" i="13"/>
  <c r="AP84" i="13"/>
  <c r="AP186" i="13"/>
  <c r="AP348" i="13"/>
  <c r="AP209" i="13"/>
  <c r="AP167" i="13"/>
  <c r="AP95" i="13"/>
  <c r="AP137" i="13"/>
  <c r="AP372" i="13"/>
  <c r="AP87" i="13"/>
  <c r="AP245" i="13"/>
  <c r="AP228" i="13"/>
  <c r="AP441" i="13"/>
  <c r="AP299" i="13"/>
  <c r="AP262" i="13"/>
  <c r="AP32" i="13"/>
  <c r="AP531" i="13"/>
  <c r="AP119" i="13"/>
  <c r="AP236" i="13"/>
  <c r="AP407" i="13"/>
  <c r="AP316" i="13"/>
  <c r="AP199" i="13"/>
  <c r="AP365" i="13"/>
  <c r="AP97" i="13"/>
  <c r="AP201" i="13"/>
  <c r="AP367" i="13"/>
  <c r="AP335" i="13"/>
  <c r="AP252" i="13"/>
  <c r="AP108" i="13"/>
  <c r="AP175" i="13"/>
  <c r="AP391" i="13"/>
  <c r="AP100" i="13"/>
  <c r="AP287" i="13"/>
  <c r="AP247" i="13"/>
  <c r="AP554" i="13"/>
  <c r="AP363" i="13"/>
  <c r="AP326" i="13"/>
  <c r="AP96" i="13"/>
  <c r="AP521" i="13"/>
  <c r="AP520" i="13"/>
  <c r="AP456" i="13"/>
  <c r="AP392" i="13"/>
  <c r="AP535" i="13"/>
  <c r="AP513" i="13"/>
  <c r="AP512" i="13"/>
  <c r="AP448" i="13"/>
  <c r="AP527" i="13"/>
  <c r="AP463" i="13"/>
  <c r="AP505" i="13"/>
  <c r="AP504" i="13"/>
  <c r="AP440" i="13"/>
  <c r="AP519" i="13"/>
  <c r="AP455" i="13"/>
  <c r="AP497" i="13"/>
  <c r="AP560" i="13"/>
  <c r="AP496" i="13"/>
  <c r="AP432" i="13"/>
  <c r="AP511" i="13"/>
  <c r="AP447" i="13"/>
  <c r="AP553" i="13"/>
  <c r="AP489" i="13"/>
  <c r="AP552" i="13"/>
  <c r="AP488" i="13"/>
  <c r="AP424" i="13"/>
  <c r="AP503" i="13"/>
  <c r="AP545" i="13"/>
  <c r="AP481" i="13"/>
  <c r="AP544" i="13"/>
  <c r="AP480" i="13"/>
  <c r="AP416" i="13"/>
  <c r="AP559" i="13"/>
  <c r="AP543" i="13"/>
  <c r="AP523" i="13"/>
  <c r="AP502" i="13"/>
  <c r="AP412" i="13"/>
  <c r="AP345" i="13"/>
  <c r="AP281" i="13"/>
  <c r="AP217" i="13"/>
  <c r="AP501" i="13"/>
  <c r="AP411" i="13"/>
  <c r="AP344" i="13"/>
  <c r="AP280" i="13"/>
  <c r="AP216" i="13"/>
  <c r="AP152" i="13"/>
  <c r="AP88" i="13"/>
  <c r="AP24" i="13"/>
  <c r="AP532" i="13"/>
  <c r="AP457" i="13"/>
  <c r="AP382" i="13"/>
  <c r="AP318" i="13"/>
  <c r="AP254" i="13"/>
  <c r="AP190" i="13"/>
  <c r="AP126" i="13"/>
  <c r="AP524" i="13"/>
  <c r="AP423" i="13"/>
  <c r="AP355" i="13"/>
  <c r="AP291" i="13"/>
  <c r="AP227" i="13"/>
  <c r="AP163" i="13"/>
  <c r="AP99" i="13"/>
  <c r="AP35" i="13"/>
  <c r="AP202" i="13"/>
  <c r="AP538" i="13"/>
  <c r="AP431" i="13"/>
  <c r="AP362" i="13"/>
  <c r="AP290" i="13"/>
  <c r="AP536" i="13"/>
  <c r="AP495" i="13"/>
  <c r="AP515" i="13"/>
  <c r="AP486" i="13"/>
  <c r="AP403" i="13"/>
  <c r="AP337" i="13"/>
  <c r="AP273" i="13"/>
  <c r="AP485" i="13"/>
  <c r="AP402" i="13"/>
  <c r="AP336" i="13"/>
  <c r="AP272" i="13"/>
  <c r="AP208" i="13"/>
  <c r="AP144" i="13"/>
  <c r="AP80" i="13"/>
  <c r="AP516" i="13"/>
  <c r="AP445" i="13"/>
  <c r="AP374" i="13"/>
  <c r="AP310" i="13"/>
  <c r="AP246" i="13"/>
  <c r="AP182" i="13"/>
  <c r="AP118" i="13"/>
  <c r="AP508" i="13"/>
  <c r="AP414" i="13"/>
  <c r="AP347" i="13"/>
  <c r="AP283" i="13"/>
  <c r="AP219" i="13"/>
  <c r="AP155" i="13"/>
  <c r="AP91" i="13"/>
  <c r="AP27" i="13"/>
  <c r="AP522" i="13"/>
  <c r="AP422" i="13"/>
  <c r="AP354" i="13"/>
  <c r="AP282" i="13"/>
  <c r="AP375" i="13"/>
  <c r="AP207" i="13"/>
  <c r="AP373" i="13"/>
  <c r="AP528" i="13"/>
  <c r="AP487" i="13"/>
  <c r="AP507" i="13"/>
  <c r="AP470" i="13"/>
  <c r="AP394" i="13"/>
  <c r="AP329" i="13"/>
  <c r="AP265" i="13"/>
  <c r="AP469" i="13"/>
  <c r="AP393" i="13"/>
  <c r="AP328" i="13"/>
  <c r="AP264" i="13"/>
  <c r="AP200" i="13"/>
  <c r="AP136" i="13"/>
  <c r="AP72" i="13"/>
  <c r="AP500" i="13"/>
  <c r="AP546" i="13"/>
  <c r="AP436" i="13"/>
  <c r="AP366" i="13"/>
  <c r="AP302" i="13"/>
  <c r="AP238" i="13"/>
  <c r="AP174" i="13"/>
  <c r="AP110" i="13"/>
  <c r="AP492" i="13"/>
  <c r="AP405" i="13"/>
  <c r="AP339" i="13"/>
  <c r="AP275" i="13"/>
  <c r="AP211" i="13"/>
  <c r="AP147" i="13"/>
  <c r="AP83" i="13"/>
  <c r="AP19" i="13"/>
  <c r="AP506" i="13"/>
  <c r="AP413" i="13"/>
  <c r="AP346" i="13"/>
  <c r="AP274" i="13"/>
  <c r="AP356" i="13"/>
  <c r="AP191" i="13"/>
  <c r="AP351" i="13"/>
  <c r="AP472" i="13"/>
  <c r="AP479" i="13"/>
  <c r="AP499" i="13"/>
  <c r="AP460" i="13"/>
  <c r="AP385" i="13"/>
  <c r="AP321" i="13"/>
  <c r="AP257" i="13"/>
  <c r="AP459" i="13"/>
  <c r="AP384" i="13"/>
  <c r="AP320" i="13"/>
  <c r="AP256" i="13"/>
  <c r="AP192" i="13"/>
  <c r="AP128" i="13"/>
  <c r="AP64" i="13"/>
  <c r="AP484" i="13"/>
  <c r="AP530" i="13"/>
  <c r="AP427" i="13"/>
  <c r="AP358" i="13"/>
  <c r="AP294" i="13"/>
  <c r="AP230" i="13"/>
  <c r="AP166" i="13"/>
  <c r="AP102" i="13"/>
  <c r="AP476" i="13"/>
  <c r="AP396" i="13"/>
  <c r="AP331" i="13"/>
  <c r="AP267" i="13"/>
  <c r="AP203" i="13"/>
  <c r="AP139" i="13"/>
  <c r="AP75" i="13"/>
  <c r="AP330" i="13"/>
  <c r="AP490" i="13"/>
  <c r="AP404" i="13"/>
  <c r="AP338" i="13"/>
  <c r="AP258" i="13"/>
  <c r="AP333" i="13"/>
  <c r="AP178" i="13"/>
  <c r="AP332" i="13"/>
  <c r="AP177" i="13"/>
  <c r="AP74" i="13"/>
  <c r="AP526" i="13"/>
  <c r="AP308" i="13"/>
  <c r="AP162" i="13"/>
  <c r="AP61" i="13"/>
  <c r="AP47" i="13"/>
  <c r="AP193" i="13"/>
  <c r="AP464" i="13"/>
  <c r="AP471" i="13"/>
  <c r="AP555" i="13"/>
  <c r="AP491" i="13"/>
  <c r="AP450" i="13"/>
  <c r="AP377" i="13"/>
  <c r="AP313" i="13"/>
  <c r="AP249" i="13"/>
  <c r="AP449" i="13"/>
  <c r="AP376" i="13"/>
  <c r="AP312" i="13"/>
  <c r="AP248" i="13"/>
  <c r="AP184" i="13"/>
  <c r="AP120" i="13"/>
  <c r="AP56" i="13"/>
  <c r="AP514" i="13"/>
  <c r="AP418" i="13"/>
  <c r="AP350" i="13"/>
  <c r="AP286" i="13"/>
  <c r="AP222" i="13"/>
  <c r="AP158" i="13"/>
  <c r="AP94" i="13"/>
  <c r="AP462" i="13"/>
  <c r="AP387" i="13"/>
  <c r="AP323" i="13"/>
  <c r="AP259" i="13"/>
  <c r="AP195" i="13"/>
  <c r="AP131" i="13"/>
  <c r="AP67" i="13"/>
  <c r="AP266" i="13"/>
  <c r="AP474" i="13"/>
  <c r="AP395" i="13"/>
  <c r="AP322" i="13"/>
  <c r="AP242" i="13"/>
  <c r="AP542" i="13"/>
  <c r="AP311" i="13"/>
  <c r="AP165" i="13"/>
  <c r="AP541" i="13"/>
  <c r="AP309" i="13"/>
  <c r="AP164" i="13"/>
  <c r="AP62" i="13"/>
  <c r="AP468" i="13"/>
  <c r="AP285" i="13"/>
  <c r="AP149" i="13"/>
  <c r="AP50" i="13"/>
  <c r="AP537" i="13"/>
  <c r="AP408" i="13"/>
  <c r="AP547" i="13"/>
  <c r="AP483" i="13"/>
  <c r="AP550" i="13"/>
  <c r="AP439" i="13"/>
  <c r="AP369" i="13"/>
  <c r="AP305" i="13"/>
  <c r="AP241" i="13"/>
  <c r="AP549" i="13"/>
  <c r="AP438" i="13"/>
  <c r="AP368" i="13"/>
  <c r="AP304" i="13"/>
  <c r="AP240" i="13"/>
  <c r="AP176" i="13"/>
  <c r="AP112" i="13"/>
  <c r="AP48" i="13"/>
  <c r="AP498" i="13"/>
  <c r="AP409" i="13"/>
  <c r="AP342" i="13"/>
  <c r="AP278" i="13"/>
  <c r="AP214" i="13"/>
  <c r="AP150" i="13"/>
  <c r="AP86" i="13"/>
  <c r="AP452" i="13"/>
  <c r="AP379" i="13"/>
  <c r="AP315" i="13"/>
  <c r="AP251" i="13"/>
  <c r="AP187" i="13"/>
  <c r="AP123" i="13"/>
  <c r="AP59" i="13"/>
  <c r="AP250" i="13"/>
  <c r="AP461" i="13"/>
  <c r="AP386" i="13"/>
  <c r="AP314" i="13"/>
  <c r="AP226" i="13"/>
  <c r="AP478" i="13"/>
  <c r="AP529" i="13"/>
  <c r="AP400" i="13"/>
  <c r="AP539" i="13"/>
  <c r="AP475" i="13"/>
  <c r="AP534" i="13"/>
  <c r="AP430" i="13"/>
  <c r="AP361" i="13"/>
  <c r="AP297" i="13"/>
  <c r="AP233" i="13"/>
  <c r="AP533" i="13"/>
  <c r="AP429" i="13"/>
  <c r="AP360" i="13"/>
  <c r="AP296" i="13"/>
  <c r="AP232" i="13"/>
  <c r="AP168" i="13"/>
  <c r="AP104" i="13"/>
  <c r="AP40" i="13"/>
  <c r="AP482" i="13"/>
  <c r="AP399" i="13"/>
  <c r="AP334" i="13"/>
  <c r="AP270" i="13"/>
  <c r="AP206" i="13"/>
  <c r="AP142" i="13"/>
  <c r="AP78" i="13"/>
  <c r="AP556" i="13"/>
  <c r="AP442" i="13"/>
  <c r="AP371" i="13"/>
  <c r="AP307" i="13"/>
  <c r="AP243" i="13"/>
  <c r="AP179" i="13"/>
  <c r="AP115" i="13"/>
  <c r="AP51" i="13"/>
  <c r="AP234" i="13"/>
  <c r="AP451" i="13"/>
  <c r="AP378" i="13"/>
  <c r="AP306" i="13"/>
  <c r="AP210" i="13"/>
  <c r="AP446" i="13"/>
  <c r="AP269" i="13"/>
  <c r="AP127" i="13"/>
  <c r="AP444" i="13"/>
  <c r="AP268" i="13"/>
  <c r="AP138" i="13"/>
  <c r="AP41" i="13"/>
  <c r="AP417" i="13"/>
  <c r="AP244" i="13"/>
  <c r="AP124" i="13"/>
  <c r="AP159" i="13"/>
  <c r="AP557" i="13"/>
  <c r="AP77" i="13"/>
  <c r="AP401" i="13"/>
  <c r="AP229" i="13"/>
  <c r="AP34" i="13"/>
  <c r="AP130" i="13"/>
  <c r="AP253" i="13"/>
  <c r="AP428" i="13"/>
  <c r="AP36" i="13"/>
  <c r="AP132" i="13"/>
  <c r="AP255" i="13"/>
  <c r="AP434" i="13"/>
  <c r="AP37" i="13"/>
  <c r="AP215" i="13"/>
  <c r="AP388" i="13"/>
  <c r="AP109" i="13"/>
  <c r="AP220" i="13"/>
  <c r="AP389" i="13"/>
  <c r="AP293" i="13"/>
  <c r="AP121" i="13"/>
  <c r="AP188" i="13"/>
  <c r="AP443" i="13"/>
  <c r="AP113" i="13"/>
  <c r="AP397" i="13"/>
  <c r="AP292" i="13"/>
  <c r="AP433" i="13"/>
  <c r="AP390" i="13"/>
  <c r="AP160" i="13"/>
  <c r="AP289" i="13"/>
  <c r="AP145" i="13"/>
  <c r="AP277" i="13"/>
  <c r="AP458" i="13"/>
  <c r="AP58" i="13"/>
  <c r="AP237" i="13"/>
  <c r="AP410" i="13"/>
  <c r="AP28" i="13"/>
  <c r="AP122" i="13"/>
  <c r="AP239" i="13"/>
  <c r="AP415" i="13"/>
  <c r="AP76" i="13"/>
  <c r="AP29" i="13"/>
  <c r="AP380" i="13"/>
  <c r="AP39" i="13"/>
  <c r="AP204" i="13"/>
  <c r="AP125" i="13"/>
  <c r="AP419" i="13"/>
  <c r="AP398" i="13"/>
  <c r="AP218" i="13"/>
  <c r="AP540" i="13"/>
  <c r="AP467" i="13"/>
  <c r="AP224" i="13"/>
  <c r="AP353" i="13"/>
  <c r="AP156" i="13"/>
  <c r="AP509" i="13"/>
  <c r="AP135" i="13"/>
  <c r="AP453" i="13"/>
  <c r="AP477" i="13"/>
  <c r="AP43" i="13"/>
  <c r="AP288" i="13"/>
  <c r="AP421" i="13"/>
  <c r="AP551" i="13"/>
  <c r="M6" i="1"/>
  <c r="B33" i="3" l="1"/>
  <c r="B31" i="13" l="1"/>
  <c r="B15" i="8"/>
  <c r="B13" i="8"/>
  <c r="B12" i="8"/>
  <c r="B11" i="8"/>
  <c r="B10" i="8"/>
  <c r="B39" i="3"/>
  <c r="B24" i="3"/>
  <c r="B14" i="2" l="1"/>
  <c r="CO6" i="4" s="1"/>
  <c r="CP7" i="4"/>
  <c r="CO7" i="4"/>
  <c r="CN7" i="4"/>
  <c r="A15" i="11"/>
  <c r="A14" i="11"/>
  <c r="A13" i="11"/>
  <c r="A9" i="11"/>
  <c r="A10" i="11"/>
  <c r="B317" i="2"/>
  <c r="B179" i="2"/>
  <c r="B84" i="2"/>
  <c r="G95" i="1"/>
  <c r="G99" i="1"/>
  <c r="G103" i="1"/>
  <c r="H38" i="1"/>
  <c r="N38" i="1"/>
  <c r="V38" i="1"/>
  <c r="M21" i="1"/>
  <c r="M13" i="1"/>
  <c r="N58" i="3"/>
  <c r="B338" i="2"/>
  <c r="B27" i="3"/>
  <c r="B34" i="13" s="1"/>
  <c r="B57" i="3"/>
  <c r="B137" i="2"/>
  <c r="H131" i="2"/>
  <c r="I130" i="2"/>
  <c r="I131" i="2"/>
  <c r="B196" i="2"/>
  <c r="K246" i="2"/>
  <c r="H247" i="2"/>
  <c r="B159" i="2"/>
  <c r="B21" i="2"/>
  <c r="B20" i="2"/>
  <c r="B65" i="2"/>
  <c r="B270" i="2"/>
  <c r="B268" i="2"/>
  <c r="F247" i="2"/>
  <c r="B259" i="2"/>
  <c r="B253" i="2"/>
  <c r="B265" i="2"/>
  <c r="E271" i="2" s="1"/>
  <c r="B256" i="2"/>
  <c r="B254" i="2"/>
  <c r="B252" i="2"/>
  <c r="B251" i="2"/>
  <c r="B250" i="2"/>
  <c r="B249" i="2"/>
  <c r="B246" i="2"/>
  <c r="B64" i="13" s="1"/>
  <c r="B244" i="2"/>
  <c r="B63" i="13" s="1"/>
  <c r="B243" i="2"/>
  <c r="B92" i="2"/>
  <c r="B169" i="2"/>
  <c r="B79" i="2"/>
  <c r="B64" i="2"/>
  <c r="H248" i="2" s="1"/>
  <c r="B17" i="2"/>
  <c r="B26" i="13" s="1"/>
  <c r="B16" i="2"/>
  <c r="AL44" i="4" s="1"/>
  <c r="B62" i="2"/>
  <c r="B206" i="2"/>
  <c r="B51" i="3"/>
  <c r="B204" i="2" s="1"/>
  <c r="B203" i="2"/>
  <c r="B202" i="2"/>
  <c r="B201" i="2"/>
  <c r="B200" i="2"/>
  <c r="B46" i="3"/>
  <c r="B292" i="2"/>
  <c r="B298" i="2" s="1"/>
  <c r="B37" i="3"/>
  <c r="O548" i="5"/>
  <c r="O549" i="5"/>
  <c r="O550" i="5"/>
  <c r="O551" i="5"/>
  <c r="O552" i="5"/>
  <c r="O553" i="5"/>
  <c r="O554" i="5"/>
  <c r="O555" i="5"/>
  <c r="O556" i="5"/>
  <c r="O557" i="5"/>
  <c r="O558" i="5"/>
  <c r="O559" i="5"/>
  <c r="O560" i="5"/>
  <c r="O537" i="5"/>
  <c r="O538" i="5"/>
  <c r="O539" i="5"/>
  <c r="O540" i="5"/>
  <c r="O541" i="5"/>
  <c r="O542" i="5"/>
  <c r="O543" i="5"/>
  <c r="O544" i="5"/>
  <c r="O545" i="5"/>
  <c r="O546" i="5"/>
  <c r="O547" i="5"/>
  <c r="O520" i="5"/>
  <c r="O521" i="5"/>
  <c r="O522" i="5"/>
  <c r="O523" i="5"/>
  <c r="O524" i="5"/>
  <c r="O525" i="5"/>
  <c r="O526" i="5"/>
  <c r="O527" i="5"/>
  <c r="O528" i="5"/>
  <c r="O529" i="5"/>
  <c r="O530" i="5"/>
  <c r="O531" i="5"/>
  <c r="O532" i="5"/>
  <c r="O533" i="5"/>
  <c r="O534" i="5"/>
  <c r="O535" i="5"/>
  <c r="O536" i="5"/>
  <c r="O5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4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3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2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1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9" i="5"/>
  <c r="B36" i="5"/>
  <c r="B277" i="2"/>
  <c r="B63" i="5" s="1"/>
  <c r="B279" i="2"/>
  <c r="B309" i="2"/>
  <c r="B311" i="2"/>
  <c r="B67" i="13" s="1"/>
  <c r="B307" i="2"/>
  <c r="B33" i="5"/>
  <c r="B156" i="2"/>
  <c r="B155" i="2"/>
  <c r="B149" i="2"/>
  <c r="B130" i="2"/>
  <c r="I248" i="2"/>
  <c r="B29" i="3"/>
  <c r="B34" i="5"/>
  <c r="B32" i="5"/>
  <c r="B31" i="5"/>
  <c r="B91" i="2"/>
  <c r="B29" i="13" s="1"/>
  <c r="B89" i="2"/>
  <c r="B10" i="2"/>
  <c r="CF86" i="4" s="1"/>
  <c r="B16" i="3"/>
  <c r="B14" i="3"/>
  <c r="B12" i="3"/>
  <c r="B9" i="2"/>
  <c r="B12" i="13" s="1"/>
  <c r="B8" i="2"/>
  <c r="B7" i="2"/>
  <c r="B10" i="13" s="1"/>
  <c r="B52" i="13" l="1"/>
  <c r="B51" i="5"/>
  <c r="O8" i="5"/>
  <c r="B10" i="5"/>
  <c r="AL141" i="4"/>
  <c r="AL148" i="4"/>
  <c r="AL143" i="4"/>
  <c r="AL20" i="4"/>
  <c r="AL134" i="4"/>
  <c r="AL126" i="4"/>
  <c r="AL133" i="4"/>
  <c r="AL135" i="4"/>
  <c r="AL140" i="4"/>
  <c r="AL39" i="4"/>
  <c r="B205" i="2"/>
  <c r="H52" i="1" s="1"/>
  <c r="AL102" i="4"/>
  <c r="AL109" i="4"/>
  <c r="AL111" i="4"/>
  <c r="AL116" i="4"/>
  <c r="AL27" i="4"/>
  <c r="AL94" i="4"/>
  <c r="AL101" i="4"/>
  <c r="AL103" i="4"/>
  <c r="AL108" i="4"/>
  <c r="AL23" i="4"/>
  <c r="AL70" i="4"/>
  <c r="AL77" i="4"/>
  <c r="AL79" i="4"/>
  <c r="AL84" i="4"/>
  <c r="AL62" i="4"/>
  <c r="AL69" i="4"/>
  <c r="AL71" i="4"/>
  <c r="AL76" i="4"/>
  <c r="AL7" i="4"/>
  <c r="AL40" i="4"/>
  <c r="AL45" i="4"/>
  <c r="AL47" i="4"/>
  <c r="AL52" i="4"/>
  <c r="AL8" i="4"/>
  <c r="AL22" i="4"/>
  <c r="AL18" i="4"/>
  <c r="AL38" i="4"/>
  <c r="B5" i="8"/>
  <c r="B72" i="5"/>
  <c r="B72" i="13"/>
  <c r="B73" i="13"/>
  <c r="B12" i="5"/>
  <c r="CF35" i="4"/>
  <c r="B13" i="13"/>
  <c r="B54" i="13"/>
  <c r="B51" i="13"/>
  <c r="B64" i="5"/>
  <c r="B69" i="5"/>
  <c r="B69" i="13"/>
  <c r="O8" i="13"/>
  <c r="AP8" i="13" s="1"/>
  <c r="O7" i="13"/>
  <c r="AP7" i="13" s="1"/>
  <c r="B65" i="5"/>
  <c r="K73" i="13"/>
  <c r="B70" i="5"/>
  <c r="B70" i="13"/>
  <c r="AM98" i="5" s="1"/>
  <c r="AL29" i="4"/>
  <c r="B25" i="13"/>
  <c r="B11" i="13"/>
  <c r="B16" i="13"/>
  <c r="P15" i="13" s="1"/>
  <c r="B40" i="13"/>
  <c r="B65" i="13"/>
  <c r="B66" i="13"/>
  <c r="S60" i="4"/>
  <c r="AW60" i="4" s="1"/>
  <c r="S137" i="4"/>
  <c r="CG137" i="4" s="1"/>
  <c r="B197" i="2"/>
  <c r="H47" i="1" s="1"/>
  <c r="A16" i="11"/>
  <c r="A7" i="11" s="1"/>
  <c r="A11" i="11"/>
  <c r="A5" i="11" s="1"/>
  <c r="B24" i="2"/>
  <c r="B42" i="2"/>
  <c r="S70" i="4"/>
  <c r="CG70" i="4" s="1"/>
  <c r="AL13" i="4"/>
  <c r="AL131" i="4"/>
  <c r="AL99" i="4"/>
  <c r="AL67" i="4"/>
  <c r="AL26" i="4"/>
  <c r="AL136" i="4"/>
  <c r="AL104" i="4"/>
  <c r="AL72" i="4"/>
  <c r="AL32" i="4"/>
  <c r="AL138" i="4"/>
  <c r="AL106" i="4"/>
  <c r="AL74" i="4"/>
  <c r="AL42" i="4"/>
  <c r="AL145" i="4"/>
  <c r="AL113" i="4"/>
  <c r="AL81" i="4"/>
  <c r="AL49" i="4"/>
  <c r="AL41" i="4"/>
  <c r="AL25" i="4"/>
  <c r="B69" i="2"/>
  <c r="B104" i="2" s="1"/>
  <c r="S91" i="4"/>
  <c r="AW91" i="4" s="1"/>
  <c r="AL155" i="4"/>
  <c r="AL123" i="4"/>
  <c r="AL91" i="4"/>
  <c r="AL59" i="4"/>
  <c r="AL10" i="4"/>
  <c r="AL128" i="4"/>
  <c r="AL96" i="4"/>
  <c r="AL64" i="4"/>
  <c r="AL12" i="4"/>
  <c r="AL130" i="4"/>
  <c r="AL98" i="4"/>
  <c r="AL66" i="4"/>
  <c r="AL24" i="4"/>
  <c r="AL137" i="4"/>
  <c r="AL105" i="4"/>
  <c r="AL73" i="4"/>
  <c r="AL34" i="4"/>
  <c r="AL37" i="4"/>
  <c r="AL21" i="4"/>
  <c r="S33" i="4"/>
  <c r="CG33" i="4" s="1"/>
  <c r="AL150" i="4"/>
  <c r="AL118" i="4"/>
  <c r="AL86" i="4"/>
  <c r="AL54" i="4"/>
  <c r="AL157" i="4"/>
  <c r="AL125" i="4"/>
  <c r="AL93" i="4"/>
  <c r="AL61" i="4"/>
  <c r="AL9" i="4"/>
  <c r="AL127" i="4"/>
  <c r="AL95" i="4"/>
  <c r="AL63" i="4"/>
  <c r="AL14" i="4"/>
  <c r="AL132" i="4"/>
  <c r="AL100" i="4"/>
  <c r="AL68" i="4"/>
  <c r="AL30" i="4"/>
  <c r="AL35" i="4"/>
  <c r="AL19" i="4"/>
  <c r="B25" i="5"/>
  <c r="AL147" i="4"/>
  <c r="AL115" i="4"/>
  <c r="AL83" i="4"/>
  <c r="AL51" i="4"/>
  <c r="AL152" i="4"/>
  <c r="AL120" i="4"/>
  <c r="AL88" i="4"/>
  <c r="AL56" i="4"/>
  <c r="AL154" i="4"/>
  <c r="AL122" i="4"/>
  <c r="AL90" i="4"/>
  <c r="AL58" i="4"/>
  <c r="AL11" i="4"/>
  <c r="AL129" i="4"/>
  <c r="AL97" i="4"/>
  <c r="AL65" i="4"/>
  <c r="AL16" i="4"/>
  <c r="AL33" i="4"/>
  <c r="AL17" i="4"/>
  <c r="AL142" i="4"/>
  <c r="AL110" i="4"/>
  <c r="AL78" i="4"/>
  <c r="AL46" i="4"/>
  <c r="AL149" i="4"/>
  <c r="AL117" i="4"/>
  <c r="AL85" i="4"/>
  <c r="AL53" i="4"/>
  <c r="AL151" i="4"/>
  <c r="AL119" i="4"/>
  <c r="AL87" i="4"/>
  <c r="AL55" i="4"/>
  <c r="AL156" i="4"/>
  <c r="AL124" i="4"/>
  <c r="AL92" i="4"/>
  <c r="AL60" i="4"/>
  <c r="AL36" i="4"/>
  <c r="AL31" i="4"/>
  <c r="AL15" i="4"/>
  <c r="S88" i="4"/>
  <c r="CG88" i="4" s="1"/>
  <c r="S74" i="4"/>
  <c r="CG74" i="4" s="1"/>
  <c r="AL139" i="4"/>
  <c r="AL107" i="4"/>
  <c r="AL75" i="4"/>
  <c r="AL43" i="4"/>
  <c r="AL144" i="4"/>
  <c r="AL112" i="4"/>
  <c r="AL80" i="4"/>
  <c r="AL48" i="4"/>
  <c r="AL146" i="4"/>
  <c r="AL114" i="4"/>
  <c r="AL82" i="4"/>
  <c r="AL50" i="4"/>
  <c r="AL153" i="4"/>
  <c r="AL121" i="4"/>
  <c r="AL89" i="4"/>
  <c r="AL57" i="4"/>
  <c r="AL28" i="4"/>
  <c r="B16" i="5"/>
  <c r="P15" i="5" s="1"/>
  <c r="S14" i="4"/>
  <c r="AW14" i="4" s="1"/>
  <c r="S69" i="4"/>
  <c r="AW69" i="4" s="1"/>
  <c r="S152" i="4"/>
  <c r="S138" i="4"/>
  <c r="AW138" i="4" s="1"/>
  <c r="S124" i="4"/>
  <c r="AW124" i="4" s="1"/>
  <c r="S134" i="4"/>
  <c r="AW134" i="4" s="1"/>
  <c r="S153" i="4"/>
  <c r="CG153" i="4" s="1"/>
  <c r="S107" i="4"/>
  <c r="S59" i="4"/>
  <c r="AW59" i="4" s="1"/>
  <c r="S155" i="4"/>
  <c r="AW155" i="4" s="1"/>
  <c r="S112" i="4"/>
  <c r="S122" i="4"/>
  <c r="AW122" i="4" s="1"/>
  <c r="S116" i="4"/>
  <c r="CG116" i="4" s="1"/>
  <c r="S94" i="4"/>
  <c r="S149" i="4"/>
  <c r="CG149" i="4" s="1"/>
  <c r="S105" i="4"/>
  <c r="AW105" i="4" s="1"/>
  <c r="S53" i="4"/>
  <c r="CG53" i="4" s="1"/>
  <c r="CF135" i="4"/>
  <c r="S146" i="4"/>
  <c r="AW146" i="4" s="1"/>
  <c r="S150" i="4"/>
  <c r="CG150" i="4" s="1"/>
  <c r="S104" i="4"/>
  <c r="S82" i="4"/>
  <c r="AW82" i="4" s="1"/>
  <c r="S100" i="4"/>
  <c r="AW100" i="4" s="1"/>
  <c r="S86" i="4"/>
  <c r="AW86" i="4" s="1"/>
  <c r="S139" i="4"/>
  <c r="AW139" i="4" s="1"/>
  <c r="S101" i="4"/>
  <c r="AW101" i="4" s="1"/>
  <c r="S43" i="4"/>
  <c r="B113" i="2"/>
  <c r="S48" i="4"/>
  <c r="S133" i="4"/>
  <c r="CG133" i="4" s="1"/>
  <c r="S58" i="4"/>
  <c r="CG58" i="4" s="1"/>
  <c r="S37" i="4"/>
  <c r="CG37" i="4" s="1"/>
  <c r="S36" i="4"/>
  <c r="AW36" i="4" s="1"/>
  <c r="S28" i="4"/>
  <c r="CG28" i="4" s="1"/>
  <c r="S34" i="4"/>
  <c r="S26" i="4"/>
  <c r="CG26" i="4" s="1"/>
  <c r="S123" i="4"/>
  <c r="S85" i="4"/>
  <c r="AW85" i="4" s="1"/>
  <c r="S52" i="4"/>
  <c r="AW52" i="4" s="1"/>
  <c r="S89" i="4"/>
  <c r="AW89" i="4" s="1"/>
  <c r="S7" i="4"/>
  <c r="CG7" i="4" s="1"/>
  <c r="S29" i="4"/>
  <c r="AW29" i="4" s="1"/>
  <c r="S24" i="4"/>
  <c r="S8" i="4"/>
  <c r="AW8" i="4" s="1"/>
  <c r="S19" i="4"/>
  <c r="S121" i="4"/>
  <c r="AW121" i="4" s="1"/>
  <c r="S75" i="4"/>
  <c r="AW75" i="4" s="1"/>
  <c r="B4" i="8"/>
  <c r="S117" i="4"/>
  <c r="AW117" i="4" s="1"/>
  <c r="B11" i="5"/>
  <c r="CF50" i="4"/>
  <c r="CF91" i="4"/>
  <c r="S73" i="4"/>
  <c r="S57" i="4"/>
  <c r="AW57" i="4" s="1"/>
  <c r="S41" i="4"/>
  <c r="B18" i="2"/>
  <c r="B40" i="5"/>
  <c r="S10" i="4"/>
  <c r="AW10" i="4" s="1"/>
  <c r="S96" i="4"/>
  <c r="S32" i="4"/>
  <c r="AW32" i="4" s="1"/>
  <c r="S130" i="4"/>
  <c r="AW130" i="4" s="1"/>
  <c r="S66" i="4"/>
  <c r="S21" i="4"/>
  <c r="S108" i="4"/>
  <c r="AW108" i="4" s="1"/>
  <c r="S44" i="4"/>
  <c r="S142" i="4"/>
  <c r="S78" i="4"/>
  <c r="S23" i="4"/>
  <c r="S151" i="4"/>
  <c r="S135" i="4"/>
  <c r="S119" i="4"/>
  <c r="S103" i="4"/>
  <c r="S87" i="4"/>
  <c r="S71" i="4"/>
  <c r="S55" i="4"/>
  <c r="S38" i="4"/>
  <c r="B19" i="2"/>
  <c r="B227" i="2"/>
  <c r="CF85" i="4"/>
  <c r="B329" i="2"/>
  <c r="B11" i="2"/>
  <c r="H15" i="1" s="1"/>
  <c r="CF37" i="4"/>
  <c r="S144" i="4"/>
  <c r="CG144" i="4" s="1"/>
  <c r="S80" i="4"/>
  <c r="S18" i="4"/>
  <c r="CG18" i="4" s="1"/>
  <c r="S114" i="4"/>
  <c r="S50" i="4"/>
  <c r="AW50" i="4" s="1"/>
  <c r="S156" i="4"/>
  <c r="AW156" i="4" s="1"/>
  <c r="S92" i="4"/>
  <c r="S31" i="4"/>
  <c r="CG31" i="4" s="1"/>
  <c r="S126" i="4"/>
  <c r="CG126" i="4" s="1"/>
  <c r="S62" i="4"/>
  <c r="AW62" i="4" s="1"/>
  <c r="S13" i="4"/>
  <c r="AW13" i="4" s="1"/>
  <c r="S147" i="4"/>
  <c r="AW147" i="4" s="1"/>
  <c r="S131" i="4"/>
  <c r="CG131" i="4" s="1"/>
  <c r="S115" i="4"/>
  <c r="AW115" i="4" s="1"/>
  <c r="S99" i="4"/>
  <c r="AW99" i="4" s="1"/>
  <c r="S83" i="4"/>
  <c r="AW83" i="4" s="1"/>
  <c r="S67" i="4"/>
  <c r="AW67" i="4" s="1"/>
  <c r="S51" i="4"/>
  <c r="S30" i="4"/>
  <c r="AW30" i="4" s="1"/>
  <c r="B21" i="3"/>
  <c r="B22" i="3" s="1"/>
  <c r="O12" i="4"/>
  <c r="B230" i="2"/>
  <c r="CF25" i="4"/>
  <c r="S136" i="4"/>
  <c r="CG136" i="4" s="1"/>
  <c r="S72" i="4"/>
  <c r="AW72" i="4" s="1"/>
  <c r="S15" i="4"/>
  <c r="AW15" i="4" s="1"/>
  <c r="S106" i="4"/>
  <c r="CG106" i="4" s="1"/>
  <c r="S42" i="4"/>
  <c r="CG42" i="4" s="1"/>
  <c r="S148" i="4"/>
  <c r="AW148" i="4" s="1"/>
  <c r="S84" i="4"/>
  <c r="AW84" i="4" s="1"/>
  <c r="S27" i="4"/>
  <c r="CG27" i="4" s="1"/>
  <c r="S118" i="4"/>
  <c r="CG118" i="4" s="1"/>
  <c r="S54" i="4"/>
  <c r="AW54" i="4" s="1"/>
  <c r="S11" i="4"/>
  <c r="AW11" i="4" s="1"/>
  <c r="S145" i="4"/>
  <c r="CG145" i="4" s="1"/>
  <c r="S129" i="4"/>
  <c r="CG129" i="4" s="1"/>
  <c r="S113" i="4"/>
  <c r="S97" i="4"/>
  <c r="AW97" i="4" s="1"/>
  <c r="S81" i="4"/>
  <c r="CG81" i="4" s="1"/>
  <c r="S65" i="4"/>
  <c r="CG65" i="4" s="1"/>
  <c r="S49" i="4"/>
  <c r="AW49" i="4" s="1"/>
  <c r="S25" i="4"/>
  <c r="AW25" i="4" s="1"/>
  <c r="B13" i="5"/>
  <c r="B233" i="2"/>
  <c r="CF133" i="4"/>
  <c r="B54" i="5"/>
  <c r="S128" i="4"/>
  <c r="AW128" i="4" s="1"/>
  <c r="S64" i="4"/>
  <c r="S12" i="4"/>
  <c r="AW12" i="4" s="1"/>
  <c r="S98" i="4"/>
  <c r="S39" i="4"/>
  <c r="AW39" i="4" s="1"/>
  <c r="S140" i="4"/>
  <c r="S76" i="4"/>
  <c r="S20" i="4"/>
  <c r="S110" i="4"/>
  <c r="S46" i="4"/>
  <c r="S9" i="4"/>
  <c r="S143" i="4"/>
  <c r="S127" i="4"/>
  <c r="S111" i="4"/>
  <c r="S95" i="4"/>
  <c r="S79" i="4"/>
  <c r="S63" i="4"/>
  <c r="S47" i="4"/>
  <c r="S22" i="4"/>
  <c r="B26" i="5"/>
  <c r="O15" i="4"/>
  <c r="CF7" i="4"/>
  <c r="B68" i="2"/>
  <c r="B100" i="2" s="1"/>
  <c r="CF155" i="4"/>
  <c r="CF36" i="4"/>
  <c r="B63" i="2"/>
  <c r="N9" i="1" s="1"/>
  <c r="O9" i="4"/>
  <c r="S120" i="4"/>
  <c r="S56" i="4"/>
  <c r="S154" i="4"/>
  <c r="S90" i="4"/>
  <c r="S35" i="4"/>
  <c r="S132" i="4"/>
  <c r="S68" i="4"/>
  <c r="S16" i="4"/>
  <c r="S102" i="4"/>
  <c r="S40" i="4"/>
  <c r="S157" i="4"/>
  <c r="S141" i="4"/>
  <c r="S125" i="4"/>
  <c r="S109" i="4"/>
  <c r="S93" i="4"/>
  <c r="S77" i="4"/>
  <c r="S61" i="4"/>
  <c r="S45" i="4"/>
  <c r="S17" i="4"/>
  <c r="B29" i="5"/>
  <c r="M8" i="4"/>
  <c r="CF102" i="4"/>
  <c r="CF132" i="4"/>
  <c r="B280" i="2"/>
  <c r="B231" i="2"/>
  <c r="B278" i="2"/>
  <c r="H62" i="1" s="1"/>
  <c r="K8" i="2"/>
  <c r="B67" i="2"/>
  <c r="B96" i="2" s="1"/>
  <c r="B3" i="8"/>
  <c r="E261" i="2"/>
  <c r="B150" i="2"/>
  <c r="B207" i="2"/>
  <c r="H54" i="1" s="1"/>
  <c r="B10" i="4"/>
  <c r="B11" i="4" s="1"/>
  <c r="AK137" i="4" s="1"/>
  <c r="B258" i="2"/>
  <c r="H76" i="1" s="1"/>
  <c r="B70" i="2"/>
  <c r="B245" i="2"/>
  <c r="H57" i="1"/>
  <c r="B213" i="2" s="1"/>
  <c r="AF235" i="5"/>
  <c r="CF38" i="4"/>
  <c r="CF120" i="4"/>
  <c r="CF83" i="4"/>
  <c r="CF153" i="4"/>
  <c r="CF84" i="4"/>
  <c r="CF47" i="4"/>
  <c r="CF129" i="4"/>
  <c r="CF68" i="4"/>
  <c r="CF19" i="4"/>
  <c r="CF59" i="4"/>
  <c r="CF103" i="4"/>
  <c r="CF136" i="4"/>
  <c r="CF28" i="4"/>
  <c r="CF72" i="4"/>
  <c r="CF116" i="4"/>
  <c r="CF13" i="4"/>
  <c r="CF57" i="4"/>
  <c r="CF101" i="4"/>
  <c r="CF10" i="4"/>
  <c r="CF54" i="4"/>
  <c r="CF98" i="4"/>
  <c r="CF127" i="4"/>
  <c r="CF51" i="4"/>
  <c r="CF99" i="4"/>
  <c r="CF144" i="4"/>
  <c r="CF40" i="4"/>
  <c r="CF88" i="4"/>
  <c r="CF141" i="4"/>
  <c r="CF41" i="4"/>
  <c r="CF89" i="4"/>
  <c r="CF134" i="4"/>
  <c r="CF62" i="4"/>
  <c r="CF106" i="4"/>
  <c r="CF140" i="4"/>
  <c r="B134" i="2"/>
  <c r="CF55" i="4"/>
  <c r="CF111" i="4"/>
  <c r="CF152" i="4"/>
  <c r="CF48" i="4"/>
  <c r="CF92" i="4"/>
  <c r="CF157" i="4"/>
  <c r="CF45" i="4"/>
  <c r="CF97" i="4"/>
  <c r="CF18" i="4"/>
  <c r="CF66" i="4"/>
  <c r="CF114" i="4"/>
  <c r="CF148" i="4"/>
  <c r="CF15" i="4"/>
  <c r="CF67" i="4"/>
  <c r="CF115" i="4"/>
  <c r="CF150" i="4"/>
  <c r="CF52" i="4"/>
  <c r="CF100" i="4"/>
  <c r="CF138" i="4"/>
  <c r="CF53" i="4"/>
  <c r="CF105" i="4"/>
  <c r="CF22" i="4"/>
  <c r="CF70" i="4"/>
  <c r="CF118" i="4"/>
  <c r="CF156" i="4"/>
  <c r="CF23" i="4"/>
  <c r="CF71" i="4"/>
  <c r="CF119" i="4"/>
  <c r="CF124" i="4"/>
  <c r="CF56" i="4"/>
  <c r="CF104" i="4"/>
  <c r="CF9" i="4"/>
  <c r="CF65" i="4"/>
  <c r="CF109" i="4"/>
  <c r="CF30" i="4"/>
  <c r="CF74" i="4"/>
  <c r="CF126" i="4"/>
  <c r="CF146" i="4"/>
  <c r="CF27" i="4"/>
  <c r="CF79" i="4"/>
  <c r="CF123" i="4"/>
  <c r="CF16" i="4"/>
  <c r="CF60" i="4"/>
  <c r="CF112" i="4"/>
  <c r="CF21" i="4"/>
  <c r="CF69" i="4"/>
  <c r="CF121" i="4"/>
  <c r="CF34" i="4"/>
  <c r="CF82" i="4"/>
  <c r="CF130" i="4"/>
  <c r="CF8" i="4"/>
  <c r="CF39" i="4"/>
  <c r="CF87" i="4"/>
  <c r="CF143" i="4"/>
  <c r="CF24" i="4"/>
  <c r="CF80" i="4"/>
  <c r="CF117" i="4"/>
  <c r="CF33" i="4"/>
  <c r="CF77" i="4"/>
  <c r="CF145" i="4"/>
  <c r="CF42" i="4"/>
  <c r="CF94" i="4"/>
  <c r="CF147" i="4"/>
  <c r="CF154" i="4"/>
  <c r="CF73" i="4"/>
  <c r="CF20" i="4"/>
  <c r="B255" i="2"/>
  <c r="H74" i="1" s="1"/>
  <c r="B194" i="2"/>
  <c r="CQ6" i="4"/>
  <c r="B33" i="2"/>
  <c r="B326" i="2"/>
  <c r="B318" i="2" s="1"/>
  <c r="B132" i="2"/>
  <c r="B133" i="2" s="1"/>
  <c r="AO2" i="4"/>
  <c r="CF31" i="4"/>
  <c r="CF63" i="4"/>
  <c r="CF95" i="4"/>
  <c r="CF131" i="4"/>
  <c r="CF142" i="4"/>
  <c r="CF32" i="4"/>
  <c r="CF64" i="4"/>
  <c r="CF96" i="4"/>
  <c r="CF125" i="4"/>
  <c r="CF17" i="4"/>
  <c r="CF49" i="4"/>
  <c r="CF81" i="4"/>
  <c r="CF113" i="4"/>
  <c r="CF14" i="4"/>
  <c r="CF46" i="4"/>
  <c r="CF78" i="4"/>
  <c r="CF110" i="4"/>
  <c r="CF139" i="4"/>
  <c r="CF11" i="4"/>
  <c r="CF43" i="4"/>
  <c r="CF75" i="4"/>
  <c r="CF107" i="4"/>
  <c r="CF151" i="4"/>
  <c r="CF12" i="4"/>
  <c r="CF44" i="4"/>
  <c r="CF76" i="4"/>
  <c r="CF108" i="4"/>
  <c r="CF149" i="4"/>
  <c r="CF29" i="4"/>
  <c r="CF61" i="4"/>
  <c r="CF93" i="4"/>
  <c r="CF137" i="4"/>
  <c r="CF26" i="4"/>
  <c r="CF58" i="4"/>
  <c r="CF90" i="4"/>
  <c r="CF122" i="4"/>
  <c r="CF128" i="4"/>
  <c r="B127" i="2"/>
  <c r="K113" i="2" s="1"/>
  <c r="B66" i="5"/>
  <c r="B73" i="5"/>
  <c r="AJ58" i="5" s="1"/>
  <c r="B208" i="2"/>
  <c r="AF471" i="5"/>
  <c r="AF437" i="5"/>
  <c r="AF146" i="5"/>
  <c r="AF285" i="5"/>
  <c r="AF332" i="5"/>
  <c r="AF545" i="5"/>
  <c r="AF372" i="5"/>
  <c r="AF549" i="5"/>
  <c r="AF435" i="5"/>
  <c r="AF136" i="5"/>
  <c r="AF179" i="5"/>
  <c r="AF537" i="5"/>
  <c r="AF501" i="5"/>
  <c r="AF24" i="5"/>
  <c r="AF319" i="5"/>
  <c r="AF428" i="5"/>
  <c r="AF528" i="5"/>
  <c r="AF340" i="5"/>
  <c r="AF538" i="5"/>
  <c r="AF400" i="5"/>
  <c r="AF150" i="5"/>
  <c r="AF209" i="5"/>
  <c r="O7" i="5"/>
  <c r="B67" i="5"/>
  <c r="B195" i="2"/>
  <c r="H45" i="1" s="1"/>
  <c r="B257" i="2"/>
  <c r="B263" i="2" s="1"/>
  <c r="B2" i="6"/>
  <c r="CQ7" i="4"/>
  <c r="CP6" i="4"/>
  <c r="CG138" i="4" l="1"/>
  <c r="AW150" i="4"/>
  <c r="AW31" i="4"/>
  <c r="AM137" i="4"/>
  <c r="A2" i="11"/>
  <c r="CG122" i="4"/>
  <c r="AK70" i="4"/>
  <c r="B234" i="2"/>
  <c r="CG101" i="4"/>
  <c r="B209" i="2"/>
  <c r="AK11" i="4"/>
  <c r="AM11" i="4" s="1"/>
  <c r="AU11" i="4" s="1"/>
  <c r="AV11" i="4" s="1"/>
  <c r="CG32" i="4"/>
  <c r="CG100" i="4"/>
  <c r="AK97" i="4"/>
  <c r="AM97" i="4" s="1"/>
  <c r="AK121" i="4"/>
  <c r="AM121" i="4" s="1"/>
  <c r="AK133" i="4"/>
  <c r="H32" i="1"/>
  <c r="AK28" i="4"/>
  <c r="AM28" i="4" s="1"/>
  <c r="AX28" i="4" s="1"/>
  <c r="CG30" i="4"/>
  <c r="CG15" i="4"/>
  <c r="AK60" i="4"/>
  <c r="AM60" i="4" s="1"/>
  <c r="AU60" i="4" s="1"/>
  <c r="AV60" i="4" s="1"/>
  <c r="CG13" i="4"/>
  <c r="CG11" i="4"/>
  <c r="CG130" i="4"/>
  <c r="B52" i="5"/>
  <c r="B53" i="5" s="1"/>
  <c r="AK135" i="4"/>
  <c r="AM135" i="4" s="1"/>
  <c r="AK140" i="4"/>
  <c r="AM140" i="4" s="1"/>
  <c r="AK107" i="4"/>
  <c r="AK69" i="4"/>
  <c r="AM69" i="4" s="1"/>
  <c r="CG25" i="4"/>
  <c r="AK106" i="4"/>
  <c r="AW58" i="4"/>
  <c r="AW149" i="4"/>
  <c r="AK92" i="4"/>
  <c r="AK157" i="4"/>
  <c r="AK120" i="4"/>
  <c r="AM120" i="4" s="1"/>
  <c r="AW18" i="4"/>
  <c r="CG85" i="4"/>
  <c r="B53" i="13"/>
  <c r="I42" i="13"/>
  <c r="AK10" i="4"/>
  <c r="AM10" i="4" s="1"/>
  <c r="AU10" i="4" s="1"/>
  <c r="AV10" i="4" s="1"/>
  <c r="AG7" i="13"/>
  <c r="AJ7" i="13"/>
  <c r="AK54" i="4"/>
  <c r="AM54" i="4" s="1"/>
  <c r="AU54" i="4" s="1"/>
  <c r="AV54" i="4" s="1"/>
  <c r="AG8" i="13"/>
  <c r="AJ8" i="13"/>
  <c r="AK23" i="4"/>
  <c r="AM23" i="4" s="1"/>
  <c r="AU23" i="4" s="1"/>
  <c r="AV23" i="4" s="1"/>
  <c r="AF427" i="13"/>
  <c r="AF224" i="13"/>
  <c r="AF308" i="13"/>
  <c r="AF360" i="13"/>
  <c r="AF246" i="13"/>
  <c r="AF389" i="13"/>
  <c r="AF217" i="13"/>
  <c r="AF559" i="13"/>
  <c r="AF431" i="13"/>
  <c r="AF74" i="13"/>
  <c r="AF62" i="13"/>
  <c r="AF107" i="13"/>
  <c r="AF158" i="13"/>
  <c r="AF363" i="13"/>
  <c r="AF409" i="13"/>
  <c r="AF214" i="13"/>
  <c r="AF190" i="13"/>
  <c r="AF318" i="13"/>
  <c r="AF367" i="13"/>
  <c r="AF96" i="13"/>
  <c r="AF303" i="13"/>
  <c r="AF38" i="13"/>
  <c r="AF382" i="13"/>
  <c r="AF281" i="13"/>
  <c r="AF133" i="13"/>
  <c r="AF416" i="13"/>
  <c r="AF197" i="13"/>
  <c r="AF231" i="13"/>
  <c r="AF172" i="13"/>
  <c r="AF420" i="13"/>
  <c r="AF47" i="13"/>
  <c r="AF540" i="13"/>
  <c r="AF239" i="13"/>
  <c r="AF9" i="13"/>
  <c r="AF294" i="13"/>
  <c r="AF541" i="13"/>
  <c r="AF168" i="13"/>
  <c r="AF371" i="13"/>
  <c r="AF438" i="13"/>
  <c r="AF51" i="13"/>
  <c r="AF532" i="13"/>
  <c r="AF481" i="13"/>
  <c r="AF32" i="13"/>
  <c r="AF359" i="13"/>
  <c r="AF381" i="13"/>
  <c r="AF228" i="13"/>
  <c r="AF45" i="13"/>
  <c r="AF487" i="13"/>
  <c r="AF189" i="13"/>
  <c r="AF111" i="13"/>
  <c r="AF439" i="13"/>
  <c r="AF502" i="13"/>
  <c r="AF115" i="13"/>
  <c r="AF469" i="13"/>
  <c r="AF258" i="13"/>
  <c r="AF325" i="13"/>
  <c r="AF299" i="13"/>
  <c r="AF488" i="13"/>
  <c r="AF103" i="13"/>
  <c r="AF175" i="13"/>
  <c r="AF126" i="13"/>
  <c r="AF276" i="13"/>
  <c r="AF109" i="13"/>
  <c r="AF39" i="13"/>
  <c r="AF125" i="13"/>
  <c r="AF270" i="13"/>
  <c r="AF171" i="13"/>
  <c r="AF104" i="13"/>
  <c r="AF179" i="13"/>
  <c r="AF533" i="13"/>
  <c r="AF491" i="13"/>
  <c r="AF450" i="13"/>
  <c r="AF401" i="13"/>
  <c r="AF69" i="13"/>
  <c r="AF43" i="13"/>
  <c r="AF243" i="13"/>
  <c r="AF261" i="13"/>
  <c r="AF443" i="13"/>
  <c r="AF150" i="13"/>
  <c r="AF173" i="13"/>
  <c r="AF61" i="13"/>
  <c r="AF25" i="13"/>
  <c r="AF386" i="13"/>
  <c r="AF514" i="13"/>
  <c r="AF322" i="13"/>
  <c r="AF545" i="13"/>
  <c r="AF145" i="13"/>
  <c r="AF244" i="13"/>
  <c r="AF500" i="13"/>
  <c r="AF479" i="13"/>
  <c r="AF44" i="13"/>
  <c r="AF138" i="13"/>
  <c r="AF253" i="13"/>
  <c r="AF430" i="13"/>
  <c r="AF266" i="13"/>
  <c r="AF130" i="13"/>
  <c r="AF446" i="13"/>
  <c r="AF66" i="13"/>
  <c r="AF552" i="13"/>
  <c r="AF296" i="13"/>
  <c r="AF295" i="13"/>
  <c r="AF326" i="13"/>
  <c r="AF352" i="13"/>
  <c r="AF467" i="13"/>
  <c r="AF268" i="13"/>
  <c r="AF477" i="13"/>
  <c r="AF307" i="13"/>
  <c r="AF202" i="13"/>
  <c r="AF108" i="13"/>
  <c r="AF394" i="13"/>
  <c r="AF317" i="13"/>
  <c r="AF506" i="13"/>
  <c r="AF40" i="13"/>
  <c r="AF345" i="13"/>
  <c r="AF260" i="13"/>
  <c r="AF230" i="13"/>
  <c r="AF92" i="13"/>
  <c r="AF151" i="13"/>
  <c r="AF144" i="13"/>
  <c r="AF193" i="13"/>
  <c r="AF242" i="13"/>
  <c r="AF219" i="13"/>
  <c r="AF554" i="13"/>
  <c r="AF222" i="13"/>
  <c r="AF548" i="13"/>
  <c r="AF245" i="13"/>
  <c r="AF223" i="13"/>
  <c r="AF216" i="13"/>
  <c r="AF265" i="13"/>
  <c r="AF314" i="13"/>
  <c r="AF291" i="13"/>
  <c r="AF525" i="13"/>
  <c r="AF76" i="13"/>
  <c r="AF236" i="13"/>
  <c r="AF333" i="13"/>
  <c r="AF375" i="13"/>
  <c r="AF368" i="13"/>
  <c r="AF417" i="13"/>
  <c r="AF523" i="13"/>
  <c r="AF433" i="13"/>
  <c r="AF440" i="13"/>
  <c r="AF84" i="13"/>
  <c r="AF149" i="13"/>
  <c r="AF191" i="13"/>
  <c r="AF248" i="13"/>
  <c r="AF233" i="13"/>
  <c r="AF282" i="13"/>
  <c r="AF323" i="13"/>
  <c r="AF557" i="13"/>
  <c r="AF204" i="13"/>
  <c r="AF364" i="13"/>
  <c r="AF349" i="13"/>
  <c r="AF391" i="13"/>
  <c r="AF475" i="13"/>
  <c r="AF468" i="13"/>
  <c r="AF75" i="13"/>
  <c r="AF513" i="13"/>
  <c r="AF520" i="13"/>
  <c r="AF212" i="13"/>
  <c r="AF101" i="13"/>
  <c r="AF143" i="13"/>
  <c r="AF200" i="13"/>
  <c r="AF249" i="13"/>
  <c r="AF234" i="13"/>
  <c r="AF275" i="13"/>
  <c r="AF445" i="13"/>
  <c r="AF553" i="13"/>
  <c r="AF423" i="13"/>
  <c r="AF89" i="13"/>
  <c r="AF527" i="13"/>
  <c r="AF94" i="13"/>
  <c r="AF348" i="13"/>
  <c r="AF215" i="13"/>
  <c r="AF208" i="13"/>
  <c r="AF257" i="13"/>
  <c r="AF306" i="13"/>
  <c r="AF283" i="13"/>
  <c r="AF453" i="13"/>
  <c r="AF262" i="13"/>
  <c r="AF292" i="13"/>
  <c r="AF309" i="13"/>
  <c r="AF287" i="13"/>
  <c r="AF280" i="13"/>
  <c r="AF329" i="13"/>
  <c r="AF378" i="13"/>
  <c r="AF355" i="13"/>
  <c r="AF494" i="13"/>
  <c r="AF46" i="13"/>
  <c r="AF412" i="13"/>
  <c r="AF397" i="13"/>
  <c r="AF451" i="13"/>
  <c r="AF432" i="13"/>
  <c r="AF13" i="13"/>
  <c r="AF59" i="13"/>
  <c r="AF497" i="13"/>
  <c r="AF504" i="13"/>
  <c r="AF54" i="13"/>
  <c r="AF213" i="13"/>
  <c r="AF255" i="13"/>
  <c r="AF312" i="13"/>
  <c r="AF297" i="13"/>
  <c r="AF346" i="13"/>
  <c r="AF387" i="13"/>
  <c r="AF462" i="13"/>
  <c r="AF110" i="13"/>
  <c r="AF28" i="13"/>
  <c r="AF413" i="13"/>
  <c r="AF492" i="13"/>
  <c r="AF49" i="13"/>
  <c r="AF34" i="13"/>
  <c r="AF139" i="13"/>
  <c r="AF474" i="13"/>
  <c r="AF30" i="13"/>
  <c r="AF118" i="13"/>
  <c r="AF165" i="13"/>
  <c r="AF207" i="13"/>
  <c r="AF264" i="13"/>
  <c r="AF313" i="13"/>
  <c r="AF298" i="13"/>
  <c r="AF339" i="13"/>
  <c r="AF509" i="13"/>
  <c r="AF528" i="13"/>
  <c r="AF519" i="13"/>
  <c r="AF167" i="13"/>
  <c r="AF288" i="13"/>
  <c r="AF156" i="13"/>
  <c r="AF398" i="13"/>
  <c r="AF237" i="13"/>
  <c r="AF279" i="13"/>
  <c r="AF272" i="13"/>
  <c r="AF321" i="13"/>
  <c r="AF370" i="13"/>
  <c r="AF347" i="13"/>
  <c r="AF517" i="13"/>
  <c r="AF254" i="13"/>
  <c r="AF180" i="13"/>
  <c r="AF373" i="13"/>
  <c r="AF351" i="13"/>
  <c r="AF344" i="13"/>
  <c r="AF393" i="13"/>
  <c r="AF459" i="13"/>
  <c r="AF419" i="13"/>
  <c r="AF558" i="13"/>
  <c r="AF302" i="13"/>
  <c r="AF220" i="13"/>
  <c r="AF508" i="13"/>
  <c r="AF447" i="13"/>
  <c r="AF33" i="13"/>
  <c r="AF82" i="13"/>
  <c r="AF123" i="13"/>
  <c r="AF458" i="13"/>
  <c r="AF324" i="13"/>
  <c r="AF310" i="13"/>
  <c r="AF277" i="13"/>
  <c r="AF319" i="13"/>
  <c r="AF376" i="13"/>
  <c r="AF361" i="13"/>
  <c r="AF410" i="13"/>
  <c r="AF483" i="13"/>
  <c r="AF526" i="13"/>
  <c r="AF366" i="13"/>
  <c r="AF284" i="13"/>
  <c r="AF551" i="13"/>
  <c r="AF64" i="13"/>
  <c r="AF113" i="13"/>
  <c r="AF98" i="13"/>
  <c r="AF203" i="13"/>
  <c r="AF538" i="13"/>
  <c r="AF388" i="13"/>
  <c r="AF374" i="13"/>
  <c r="AF229" i="13"/>
  <c r="AF271" i="13"/>
  <c r="AF328" i="13"/>
  <c r="AF377" i="13"/>
  <c r="AF362" i="13"/>
  <c r="AF403" i="13"/>
  <c r="AF478" i="13"/>
  <c r="AF12" i="13"/>
  <c r="AF442" i="13"/>
  <c r="AF70" i="13"/>
  <c r="AF81" i="13"/>
  <c r="AF330" i="13"/>
  <c r="AF414" i="13"/>
  <c r="AF429" i="13"/>
  <c r="AF535" i="13"/>
  <c r="AF516" i="13"/>
  <c r="AF50" i="13"/>
  <c r="AF27" i="13"/>
  <c r="AF465" i="13"/>
  <c r="AF472" i="13"/>
  <c r="AF7" i="13"/>
  <c r="AF53" i="13"/>
  <c r="AF31" i="13"/>
  <c r="AF24" i="13"/>
  <c r="AF73" i="13"/>
  <c r="AF122" i="13"/>
  <c r="AF99" i="13"/>
  <c r="AF434" i="13"/>
  <c r="AF196" i="13"/>
  <c r="AF22" i="13"/>
  <c r="AF141" i="13"/>
  <c r="AF183" i="13"/>
  <c r="AF176" i="13"/>
  <c r="AF225" i="13"/>
  <c r="AF274" i="13"/>
  <c r="AF315" i="13"/>
  <c r="AF549" i="13"/>
  <c r="AF140" i="13"/>
  <c r="AF252" i="13"/>
  <c r="AF531" i="13"/>
  <c r="AF56" i="13"/>
  <c r="AF41" i="13"/>
  <c r="AF90" i="13"/>
  <c r="AF131" i="13"/>
  <c r="AF466" i="13"/>
  <c r="AF356" i="13"/>
  <c r="AF86" i="13"/>
  <c r="AF157" i="13"/>
  <c r="AF199" i="13"/>
  <c r="AF256" i="13"/>
  <c r="AF305" i="13"/>
  <c r="AF290" i="13"/>
  <c r="AF395" i="13"/>
  <c r="AF470" i="13"/>
  <c r="AF142" i="13"/>
  <c r="AF60" i="13"/>
  <c r="AF421" i="13"/>
  <c r="AF515" i="13"/>
  <c r="AF57" i="13"/>
  <c r="AF42" i="13"/>
  <c r="AF83" i="13"/>
  <c r="AF521" i="13"/>
  <c r="AF372" i="13"/>
  <c r="AF23" i="13"/>
  <c r="AF65" i="13"/>
  <c r="AF91" i="13"/>
  <c r="AF536" i="13"/>
  <c r="AF117" i="13"/>
  <c r="AF88" i="13"/>
  <c r="AF186" i="13"/>
  <c r="AF498" i="13"/>
  <c r="AF278" i="13"/>
  <c r="AF247" i="13"/>
  <c r="AF289" i="13"/>
  <c r="AF379" i="13"/>
  <c r="AF78" i="13"/>
  <c r="AF63" i="13"/>
  <c r="AF105" i="13"/>
  <c r="AF195" i="13"/>
  <c r="AF166" i="13"/>
  <c r="AF221" i="13"/>
  <c r="AF320" i="13"/>
  <c r="AF354" i="13"/>
  <c r="AF534" i="13"/>
  <c r="AF316" i="13"/>
  <c r="AF72" i="13"/>
  <c r="AF106" i="13"/>
  <c r="AF482" i="13"/>
  <c r="AF235" i="13"/>
  <c r="AF238" i="13"/>
  <c r="AF87" i="13"/>
  <c r="AF129" i="13"/>
  <c r="AF155" i="13"/>
  <c r="AF181" i="13"/>
  <c r="AF152" i="13"/>
  <c r="AF250" i="13"/>
  <c r="AF461" i="13"/>
  <c r="AF286" i="13"/>
  <c r="AF311" i="13"/>
  <c r="AF353" i="13"/>
  <c r="AF460" i="13"/>
  <c r="AF334" i="13"/>
  <c r="AF127" i="13"/>
  <c r="AF169" i="13"/>
  <c r="AF259" i="13"/>
  <c r="AF463" i="13"/>
  <c r="AF285" i="13"/>
  <c r="AF384" i="13"/>
  <c r="AF418" i="13"/>
  <c r="AF456" i="13"/>
  <c r="AF37" i="13"/>
  <c r="AF136" i="13"/>
  <c r="AF170" i="13"/>
  <c r="AF546" i="13"/>
  <c r="AF510" i="13"/>
  <c r="AF496" i="13"/>
  <c r="AF174" i="13"/>
  <c r="AF343" i="13"/>
  <c r="AF385" i="13"/>
  <c r="AF411" i="13"/>
  <c r="AF484" i="13"/>
  <c r="AF444" i="13"/>
  <c r="AF408" i="13"/>
  <c r="AF422" i="13"/>
  <c r="AF480" i="13"/>
  <c r="AF8" i="13"/>
  <c r="AF48" i="13"/>
  <c r="AF146" i="13"/>
  <c r="AF522" i="13"/>
  <c r="AF428" i="13"/>
  <c r="AF383" i="13"/>
  <c r="AF425" i="13"/>
  <c r="AF441" i="13"/>
  <c r="AF68" i="13"/>
  <c r="AF71" i="13"/>
  <c r="AF177" i="13"/>
  <c r="AF267" i="13"/>
  <c r="AF198" i="13"/>
  <c r="AF293" i="13"/>
  <c r="AF392" i="13"/>
  <c r="AF426" i="13"/>
  <c r="AF542" i="13"/>
  <c r="AF273" i="13"/>
  <c r="AF194" i="13"/>
  <c r="AF507" i="13"/>
  <c r="AF407" i="13"/>
  <c r="AF476" i="13"/>
  <c r="AF547" i="13"/>
  <c r="AF206" i="13"/>
  <c r="AF406" i="13"/>
  <c r="AF539" i="13"/>
  <c r="AF35" i="13"/>
  <c r="AF544" i="13"/>
  <c r="AF77" i="13"/>
  <c r="AF112" i="13"/>
  <c r="AF210" i="13"/>
  <c r="AF485" i="13"/>
  <c r="AF300" i="13"/>
  <c r="AF471" i="13"/>
  <c r="AF26" i="13"/>
  <c r="AF505" i="13"/>
  <c r="AF148" i="13"/>
  <c r="AF135" i="13"/>
  <c r="AF241" i="13"/>
  <c r="AF331" i="13"/>
  <c r="AF332" i="13"/>
  <c r="AF357" i="13"/>
  <c r="AF495" i="13"/>
  <c r="AF19" i="13"/>
  <c r="AF464" i="13"/>
  <c r="AF188" i="13"/>
  <c r="AF424" i="13"/>
  <c r="AF337" i="13"/>
  <c r="AF164" i="13"/>
  <c r="AF11" i="13"/>
  <c r="AF114" i="13"/>
  <c r="AF529" i="13"/>
  <c r="AF340" i="13"/>
  <c r="AF95" i="13"/>
  <c r="AF137" i="13"/>
  <c r="AF163" i="13"/>
  <c r="AF102" i="13"/>
  <c r="AF205" i="13"/>
  <c r="AF240" i="13"/>
  <c r="AF338" i="13"/>
  <c r="AF454" i="13"/>
  <c r="AF21" i="13"/>
  <c r="AF120" i="13"/>
  <c r="AF154" i="13"/>
  <c r="AF530" i="13"/>
  <c r="AF342" i="13"/>
  <c r="AF263" i="13"/>
  <c r="AF369" i="13"/>
  <c r="AF503" i="13"/>
  <c r="AF404" i="13"/>
  <c r="AF10" i="13"/>
  <c r="AF121" i="13"/>
  <c r="AF147" i="13"/>
  <c r="AF209" i="13"/>
  <c r="AF232" i="13"/>
  <c r="AF116" i="13"/>
  <c r="AF80" i="13"/>
  <c r="AF178" i="13"/>
  <c r="AF490" i="13"/>
  <c r="AF182" i="13"/>
  <c r="AF159" i="13"/>
  <c r="AF201" i="13"/>
  <c r="AF227" i="13"/>
  <c r="AF358" i="13"/>
  <c r="AF269" i="13"/>
  <c r="AF304" i="13"/>
  <c r="AF402" i="13"/>
  <c r="AF518" i="13"/>
  <c r="AF85" i="13"/>
  <c r="AF184" i="13"/>
  <c r="AF218" i="13"/>
  <c r="AF493" i="13"/>
  <c r="AF36" i="13"/>
  <c r="AF327" i="13"/>
  <c r="AF435" i="13"/>
  <c r="AF449" i="13"/>
  <c r="AF132" i="13"/>
  <c r="AF79" i="13"/>
  <c r="AF185" i="13"/>
  <c r="AF211" i="13"/>
  <c r="AF365" i="13"/>
  <c r="AF380" i="13"/>
  <c r="AF20" i="13"/>
  <c r="AF396" i="13"/>
  <c r="AF512" i="13"/>
  <c r="AF501" i="13"/>
  <c r="AF457" i="13"/>
  <c r="AF336" i="13"/>
  <c r="AF415" i="13"/>
  <c r="AF55" i="13"/>
  <c r="AF341" i="13"/>
  <c r="AF29" i="13"/>
  <c r="AF100" i="13"/>
  <c r="AF400" i="13"/>
  <c r="AF556" i="13"/>
  <c r="AF119" i="13"/>
  <c r="AF405" i="13"/>
  <c r="AF93" i="13"/>
  <c r="AF52" i="13"/>
  <c r="AF560" i="13"/>
  <c r="AF436" i="13"/>
  <c r="AF499" i="13"/>
  <c r="AF97" i="13"/>
  <c r="AF452" i="13"/>
  <c r="AF128" i="13"/>
  <c r="AF335" i="13"/>
  <c r="AF489" i="13"/>
  <c r="AF390" i="13"/>
  <c r="AF58" i="13"/>
  <c r="AF161" i="13"/>
  <c r="AF511" i="13"/>
  <c r="AF192" i="13"/>
  <c r="AF399" i="13"/>
  <c r="AF153" i="13"/>
  <c r="AF550" i="13"/>
  <c r="AF537" i="13"/>
  <c r="AF251" i="13"/>
  <c r="AF67" i="13"/>
  <c r="AF226" i="13"/>
  <c r="AF555" i="13"/>
  <c r="AF301" i="13"/>
  <c r="AF448" i="13"/>
  <c r="AF486" i="13"/>
  <c r="AF162" i="13"/>
  <c r="AF124" i="13"/>
  <c r="AF437" i="13"/>
  <c r="AF473" i="13"/>
  <c r="AF455" i="13"/>
  <c r="AF350" i="13"/>
  <c r="AF524" i="13"/>
  <c r="AF134" i="13"/>
  <c r="AF160" i="13"/>
  <c r="AF187" i="13"/>
  <c r="AF543" i="13"/>
  <c r="I73" i="13"/>
  <c r="O13" i="13"/>
  <c r="AG13" i="13" s="1"/>
  <c r="AJ217" i="13"/>
  <c r="AJ432" i="13"/>
  <c r="AJ495" i="13"/>
  <c r="AJ558" i="13"/>
  <c r="AJ46" i="13"/>
  <c r="AJ109" i="13"/>
  <c r="AJ196" i="13"/>
  <c r="AJ368" i="13"/>
  <c r="AJ431" i="13"/>
  <c r="AJ494" i="13"/>
  <c r="AJ557" i="13"/>
  <c r="AJ45" i="13"/>
  <c r="AJ304" i="13"/>
  <c r="AJ367" i="13"/>
  <c r="AJ430" i="13"/>
  <c r="AJ240" i="13"/>
  <c r="AJ303" i="13"/>
  <c r="AJ366" i="13"/>
  <c r="AJ429" i="13"/>
  <c r="AJ436" i="13"/>
  <c r="AJ176" i="13"/>
  <c r="AJ239" i="13"/>
  <c r="AJ302" i="13"/>
  <c r="AJ365" i="13"/>
  <c r="AJ372" i="13"/>
  <c r="AJ49" i="13"/>
  <c r="AJ112" i="13"/>
  <c r="AJ175" i="13"/>
  <c r="AJ238" i="13"/>
  <c r="AJ301" i="13"/>
  <c r="AJ111" i="13"/>
  <c r="AJ308" i="13"/>
  <c r="AJ315" i="13"/>
  <c r="AJ338" i="13"/>
  <c r="AJ89" i="13"/>
  <c r="AJ104" i="13"/>
  <c r="AJ167" i="13"/>
  <c r="AJ230" i="13"/>
  <c r="AJ293" i="13"/>
  <c r="AJ364" i="13"/>
  <c r="AJ371" i="13"/>
  <c r="AJ394" i="13"/>
  <c r="AJ537" i="13"/>
  <c r="AJ160" i="13"/>
  <c r="AJ223" i="13"/>
  <c r="AJ286" i="13"/>
  <c r="AJ349" i="13"/>
  <c r="AJ420" i="13"/>
  <c r="AJ491" i="13"/>
  <c r="AJ514" i="13"/>
  <c r="AJ425" i="13"/>
  <c r="AJ280" i="13"/>
  <c r="AJ343" i="13"/>
  <c r="AJ406" i="13"/>
  <c r="AJ469" i="13"/>
  <c r="AJ540" i="13"/>
  <c r="AJ28" i="13"/>
  <c r="AJ99" i="13"/>
  <c r="AJ122" i="13"/>
  <c r="AJ336" i="13"/>
  <c r="AJ335" i="13"/>
  <c r="AJ334" i="13"/>
  <c r="AJ333" i="13"/>
  <c r="AJ404" i="13"/>
  <c r="AJ475" i="13"/>
  <c r="AJ498" i="13"/>
  <c r="AJ297" i="13"/>
  <c r="AJ264" i="13"/>
  <c r="AJ263" i="13"/>
  <c r="AJ262" i="13"/>
  <c r="AJ261" i="13"/>
  <c r="AJ268" i="13"/>
  <c r="AJ339" i="13"/>
  <c r="AJ426" i="13"/>
  <c r="AJ161" i="13"/>
  <c r="AJ128" i="13"/>
  <c r="AJ127" i="13"/>
  <c r="AJ126" i="13"/>
  <c r="AJ188" i="13"/>
  <c r="AJ137" i="13"/>
  <c r="AJ317" i="13"/>
  <c r="AJ34" i="13"/>
  <c r="AJ376" i="13"/>
  <c r="AJ195" i="13"/>
  <c r="AJ513" i="13"/>
  <c r="AJ324" i="13"/>
  <c r="AJ177" i="13"/>
  <c r="AJ47" i="13"/>
  <c r="AJ244" i="13"/>
  <c r="AJ251" i="13"/>
  <c r="AJ274" i="13"/>
  <c r="AJ552" i="13"/>
  <c r="AJ40" i="13"/>
  <c r="AJ103" i="13"/>
  <c r="AJ166" i="13"/>
  <c r="AJ229" i="13"/>
  <c r="AJ300" i="13"/>
  <c r="AJ307" i="13"/>
  <c r="AJ330" i="13"/>
  <c r="AJ25" i="13"/>
  <c r="AJ96" i="13"/>
  <c r="AJ159" i="13"/>
  <c r="AJ222" i="13"/>
  <c r="AJ285" i="13"/>
  <c r="AJ356" i="13"/>
  <c r="AJ427" i="13"/>
  <c r="AJ450" i="13"/>
  <c r="AJ353" i="13"/>
  <c r="AJ216" i="13"/>
  <c r="AJ279" i="13"/>
  <c r="AJ342" i="13"/>
  <c r="AJ405" i="13"/>
  <c r="AJ476" i="13"/>
  <c r="AJ547" i="13"/>
  <c r="AJ35" i="13"/>
  <c r="AJ58" i="13"/>
  <c r="AJ272" i="13"/>
  <c r="AJ271" i="13"/>
  <c r="AJ270" i="13"/>
  <c r="AJ269" i="13"/>
  <c r="AJ340" i="13"/>
  <c r="AJ411" i="13"/>
  <c r="AJ434" i="13"/>
  <c r="AJ225" i="13"/>
  <c r="AJ200" i="13"/>
  <c r="AJ199" i="13"/>
  <c r="AJ198" i="13"/>
  <c r="AJ197" i="13"/>
  <c r="AJ204" i="13"/>
  <c r="AJ275" i="13"/>
  <c r="AJ362" i="13"/>
  <c r="AJ281" i="13"/>
  <c r="AJ64" i="13"/>
  <c r="AJ63" i="13"/>
  <c r="AJ62" i="13"/>
  <c r="AJ515" i="13"/>
  <c r="AJ505" i="13"/>
  <c r="AJ61" i="13"/>
  <c r="AJ97" i="13"/>
  <c r="AJ439" i="13"/>
  <c r="AJ538" i="13"/>
  <c r="AJ129" i="13"/>
  <c r="AJ68" i="13"/>
  <c r="AJ113" i="13"/>
  <c r="AJ387" i="13"/>
  <c r="AJ247" i="13"/>
  <c r="AJ418" i="13"/>
  <c r="AJ183" i="13"/>
  <c r="AJ410" i="13"/>
  <c r="AJ182" i="13"/>
  <c r="AJ337" i="13"/>
  <c r="AJ174" i="13"/>
  <c r="AJ180" i="13"/>
  <c r="AJ187" i="13"/>
  <c r="AJ210" i="13"/>
  <c r="AJ488" i="13"/>
  <c r="AJ551" i="13"/>
  <c r="AJ39" i="13"/>
  <c r="AJ102" i="13"/>
  <c r="AJ165" i="13"/>
  <c r="AJ236" i="13"/>
  <c r="AJ243" i="13"/>
  <c r="AJ266" i="13"/>
  <c r="AJ544" i="13"/>
  <c r="AJ32" i="13"/>
  <c r="AJ95" i="13"/>
  <c r="AJ158" i="13"/>
  <c r="AJ221" i="13"/>
  <c r="AJ292" i="13"/>
  <c r="AJ363" i="13"/>
  <c r="AJ386" i="13"/>
  <c r="AJ473" i="13"/>
  <c r="AJ152" i="13"/>
  <c r="AJ215" i="13"/>
  <c r="AJ278" i="13"/>
  <c r="AJ341" i="13"/>
  <c r="AJ412" i="13"/>
  <c r="AJ483" i="13"/>
  <c r="AJ506" i="13"/>
  <c r="AJ361" i="13"/>
  <c r="AJ208" i="13"/>
  <c r="AJ207" i="13"/>
  <c r="AJ206" i="13"/>
  <c r="AJ205" i="13"/>
  <c r="AJ276" i="13"/>
  <c r="AJ347" i="13"/>
  <c r="AJ370" i="13"/>
  <c r="AJ345" i="13"/>
  <c r="AJ136" i="13"/>
  <c r="AJ135" i="13"/>
  <c r="AJ134" i="13"/>
  <c r="AJ133" i="13"/>
  <c r="AJ140" i="13"/>
  <c r="AJ211" i="13"/>
  <c r="AJ298" i="13"/>
  <c r="AJ512" i="13"/>
  <c r="AJ511" i="13"/>
  <c r="AJ510" i="13"/>
  <c r="AJ504" i="13"/>
  <c r="AJ259" i="13"/>
  <c r="AJ433" i="13"/>
  <c r="AJ388" i="13"/>
  <c r="AJ209" i="13"/>
  <c r="AJ502" i="13"/>
  <c r="AJ282" i="13"/>
  <c r="AJ385" i="13"/>
  <c r="AJ395" i="13"/>
  <c r="AJ248" i="13"/>
  <c r="AJ131" i="13"/>
  <c r="AJ310" i="13"/>
  <c r="AJ162" i="13"/>
  <c r="AJ246" i="13"/>
  <c r="AJ154" i="13"/>
  <c r="AJ523" i="13"/>
  <c r="AJ110" i="13"/>
  <c r="AJ116" i="13"/>
  <c r="AJ123" i="13"/>
  <c r="AJ146" i="13"/>
  <c r="AJ424" i="13"/>
  <c r="AJ487" i="13"/>
  <c r="AJ550" i="13"/>
  <c r="AJ38" i="13"/>
  <c r="AJ101" i="13"/>
  <c r="AJ172" i="13"/>
  <c r="AJ179" i="13"/>
  <c r="AJ202" i="13"/>
  <c r="AJ480" i="13"/>
  <c r="AJ543" i="13"/>
  <c r="AJ31" i="13"/>
  <c r="AJ94" i="13"/>
  <c r="AJ157" i="13"/>
  <c r="AJ228" i="13"/>
  <c r="AJ299" i="13"/>
  <c r="AJ322" i="13"/>
  <c r="AJ145" i="13"/>
  <c r="AJ88" i="13"/>
  <c r="AJ151" i="13"/>
  <c r="AJ214" i="13"/>
  <c r="AJ277" i="13"/>
  <c r="AJ348" i="13"/>
  <c r="AJ419" i="13"/>
  <c r="AJ442" i="13"/>
  <c r="AJ289" i="13"/>
  <c r="AJ144" i="13"/>
  <c r="AJ143" i="13"/>
  <c r="AJ142" i="13"/>
  <c r="AJ141" i="13"/>
  <c r="AJ212" i="13"/>
  <c r="AJ283" i="13"/>
  <c r="AJ306" i="13"/>
  <c r="AJ529" i="13"/>
  <c r="AJ72" i="13"/>
  <c r="AJ71" i="13"/>
  <c r="AJ70" i="13"/>
  <c r="AJ69" i="13"/>
  <c r="AJ76" i="13"/>
  <c r="AJ147" i="13"/>
  <c r="AJ234" i="13"/>
  <c r="AJ448" i="13"/>
  <c r="AJ447" i="13"/>
  <c r="AJ446" i="13"/>
  <c r="AJ55" i="13"/>
  <c r="AJ346" i="13"/>
  <c r="AJ241" i="13"/>
  <c r="AJ132" i="13"/>
  <c r="AJ73" i="13"/>
  <c r="AJ309" i="13"/>
  <c r="AJ26" i="13"/>
  <c r="AJ312" i="13"/>
  <c r="AJ139" i="13"/>
  <c r="AJ311" i="13"/>
  <c r="AJ474" i="13"/>
  <c r="AJ445" i="13"/>
  <c r="AJ169" i="13"/>
  <c r="AJ437" i="13"/>
  <c r="AJ105" i="13"/>
  <c r="AJ57" i="13"/>
  <c r="AJ219" i="13"/>
  <c r="AJ517" i="13"/>
  <c r="AJ560" i="13"/>
  <c r="AJ493" i="13"/>
  <c r="AJ52" i="13"/>
  <c r="AJ59" i="13"/>
  <c r="AJ82" i="13"/>
  <c r="AJ360" i="13"/>
  <c r="AJ423" i="13"/>
  <c r="AJ486" i="13"/>
  <c r="AJ549" i="13"/>
  <c r="AJ37" i="13"/>
  <c r="AJ108" i="13"/>
  <c r="AJ115" i="13"/>
  <c r="AJ138" i="13"/>
  <c r="AJ416" i="13"/>
  <c r="AJ479" i="13"/>
  <c r="AJ542" i="13"/>
  <c r="AJ30" i="13"/>
  <c r="AJ93" i="13"/>
  <c r="AJ164" i="13"/>
  <c r="AJ235" i="13"/>
  <c r="AJ258" i="13"/>
  <c r="AJ536" i="13"/>
  <c r="AJ24" i="13"/>
  <c r="AJ87" i="13"/>
  <c r="AJ150" i="13"/>
  <c r="AJ213" i="13"/>
  <c r="AJ284" i="13"/>
  <c r="AJ355" i="13"/>
  <c r="AJ378" i="13"/>
  <c r="AJ409" i="13"/>
  <c r="AJ80" i="13"/>
  <c r="AJ79" i="13"/>
  <c r="AJ78" i="13"/>
  <c r="AJ77" i="13"/>
  <c r="AJ148" i="13"/>
  <c r="AJ242" i="13"/>
  <c r="AJ520" i="13"/>
  <c r="AJ519" i="13"/>
  <c r="AJ518" i="13"/>
  <c r="AJ524" i="13"/>
  <c r="AJ48" i="13"/>
  <c r="AJ173" i="13"/>
  <c r="AJ443" i="13"/>
  <c r="AJ466" i="13"/>
  <c r="AJ41" i="13"/>
  <c r="AJ232" i="13"/>
  <c r="AJ295" i="13"/>
  <c r="AJ358" i="13"/>
  <c r="AJ421" i="13"/>
  <c r="AJ492" i="13"/>
  <c r="AJ499" i="13"/>
  <c r="AJ522" i="13"/>
  <c r="AJ489" i="13"/>
  <c r="AJ288" i="13"/>
  <c r="AJ351" i="13"/>
  <c r="AJ414" i="13"/>
  <c r="AJ477" i="13"/>
  <c r="AJ548" i="13"/>
  <c r="AJ36" i="13"/>
  <c r="AJ107" i="13"/>
  <c r="AJ130" i="13"/>
  <c r="AJ408" i="13"/>
  <c r="AJ471" i="13"/>
  <c r="AJ534" i="13"/>
  <c r="AJ22" i="13"/>
  <c r="AJ85" i="13"/>
  <c r="AJ156" i="13"/>
  <c r="AJ227" i="13"/>
  <c r="AJ250" i="13"/>
  <c r="AJ464" i="13"/>
  <c r="AJ463" i="13"/>
  <c r="AJ462" i="13"/>
  <c r="AJ461" i="13"/>
  <c r="AJ532" i="13"/>
  <c r="AJ20" i="13"/>
  <c r="AJ91" i="13"/>
  <c r="AJ114" i="13"/>
  <c r="AJ392" i="13"/>
  <c r="AJ391" i="13"/>
  <c r="AJ390" i="13"/>
  <c r="AJ389" i="13"/>
  <c r="AJ396" i="13"/>
  <c r="AJ467" i="13"/>
  <c r="AJ554" i="13"/>
  <c r="AJ42" i="13"/>
  <c r="AJ256" i="13"/>
  <c r="AJ255" i="13"/>
  <c r="AJ254" i="13"/>
  <c r="AJ117" i="13"/>
  <c r="AJ153" i="13"/>
  <c r="AJ503" i="13"/>
  <c r="AJ546" i="13"/>
  <c r="AJ449" i="13"/>
  <c r="AJ124" i="13"/>
  <c r="AJ521" i="13"/>
  <c r="AJ509" i="13"/>
  <c r="AJ457" i="13"/>
  <c r="AJ245" i="13"/>
  <c r="AJ249" i="13"/>
  <c r="AJ260" i="13"/>
  <c r="AJ185" i="13"/>
  <c r="AJ252" i="13"/>
  <c r="AJ121" i="13"/>
  <c r="AJ381" i="13"/>
  <c r="AJ56" i="13"/>
  <c r="AJ507" i="13"/>
  <c r="AJ359" i="13"/>
  <c r="AJ44" i="13"/>
  <c r="AJ415" i="13"/>
  <c r="AJ100" i="13"/>
  <c r="AJ535" i="13"/>
  <c r="AJ220" i="13"/>
  <c r="AJ527" i="13"/>
  <c r="AJ84" i="13"/>
  <c r="AJ455" i="13"/>
  <c r="AJ233" i="13"/>
  <c r="AJ318" i="13"/>
  <c r="AJ257" i="13"/>
  <c r="AJ193" i="13"/>
  <c r="AJ438" i="13"/>
  <c r="AJ60" i="13"/>
  <c r="AJ75" i="13"/>
  <c r="AJ67" i="13"/>
  <c r="AJ201" i="13"/>
  <c r="AJ305" i="13"/>
  <c r="AJ98" i="13"/>
  <c r="AJ428" i="13"/>
  <c r="AJ484" i="13"/>
  <c r="AJ468" i="13"/>
  <c r="AJ382" i="13"/>
  <c r="AJ375" i="13"/>
  <c r="AJ379" i="13"/>
  <c r="AJ231" i="13"/>
  <c r="AJ435" i="13"/>
  <c r="AJ287" i="13"/>
  <c r="AJ555" i="13"/>
  <c r="AJ407" i="13"/>
  <c r="AJ92" i="13"/>
  <c r="AJ399" i="13"/>
  <c r="AJ539" i="13"/>
  <c r="AJ327" i="13"/>
  <c r="AJ531" i="13"/>
  <c r="AJ384" i="13"/>
  <c r="AJ190" i="13"/>
  <c r="AJ440" i="13"/>
  <c r="AJ53" i="13"/>
  <c r="AJ253" i="13"/>
  <c r="AJ218" i="13"/>
  <c r="AJ465" i="13"/>
  <c r="AJ401" i="13"/>
  <c r="AJ354" i="13"/>
  <c r="AJ168" i="13"/>
  <c r="AJ21" i="13"/>
  <c r="AJ328" i="13"/>
  <c r="AJ369" i="13"/>
  <c r="AJ323" i="13"/>
  <c r="AJ497" i="13"/>
  <c r="AJ530" i="13"/>
  <c r="AJ422" i="13"/>
  <c r="AJ51" i="13"/>
  <c r="AJ478" i="13"/>
  <c r="AJ171" i="13"/>
  <c r="AJ23" i="13"/>
  <c r="AJ291" i="13"/>
  <c r="AJ526" i="13"/>
  <c r="AJ155" i="13"/>
  <c r="AJ454" i="13"/>
  <c r="AJ403" i="13"/>
  <c r="AJ320" i="13"/>
  <c r="AJ118" i="13"/>
  <c r="AJ54" i="13"/>
  <c r="AJ380" i="13"/>
  <c r="AJ482" i="13"/>
  <c r="AJ393" i="13"/>
  <c r="AJ329" i="13"/>
  <c r="AJ265" i="13"/>
  <c r="AJ452" i="13"/>
  <c r="AJ125" i="13"/>
  <c r="AJ119" i="13"/>
  <c r="AJ344" i="13"/>
  <c r="AJ106" i="13"/>
  <c r="AJ316" i="13"/>
  <c r="AJ402" i="13"/>
  <c r="AJ294" i="13"/>
  <c r="AJ458" i="13"/>
  <c r="AJ350" i="13"/>
  <c r="AJ43" i="13"/>
  <c r="AJ470" i="13"/>
  <c r="AJ163" i="13"/>
  <c r="AJ398" i="13"/>
  <c r="AJ27" i="13"/>
  <c r="AJ326" i="13"/>
  <c r="AJ83" i="13"/>
  <c r="AJ192" i="13"/>
  <c r="AJ373" i="13"/>
  <c r="AJ459" i="13"/>
  <c r="AJ451" i="13"/>
  <c r="AJ226" i="13"/>
  <c r="AJ321" i="13"/>
  <c r="AJ65" i="13"/>
  <c r="AJ500" i="13"/>
  <c r="AJ224" i="13"/>
  <c r="AJ400" i="13"/>
  <c r="AJ332" i="13"/>
  <c r="AJ273" i="13"/>
  <c r="AJ331" i="13"/>
  <c r="AJ496" i="13"/>
  <c r="AJ553" i="13"/>
  <c r="AJ485" i="13"/>
  <c r="AJ74" i="13"/>
  <c r="AJ541" i="13"/>
  <c r="AJ194" i="13"/>
  <c r="AJ86" i="13"/>
  <c r="AJ314" i="13"/>
  <c r="AJ525" i="13"/>
  <c r="AJ178" i="13"/>
  <c r="AJ453" i="13"/>
  <c r="AJ19" i="13"/>
  <c r="AJ383" i="13"/>
  <c r="AJ444" i="13"/>
  <c r="AJ203" i="13"/>
  <c r="AJ33" i="13"/>
  <c r="AJ313" i="13"/>
  <c r="AJ184" i="13"/>
  <c r="AJ120" i="13"/>
  <c r="AJ267" i="13"/>
  <c r="AJ237" i="13"/>
  <c r="AJ556" i="13"/>
  <c r="AJ29" i="13"/>
  <c r="AJ149" i="13"/>
  <c r="AJ460" i="13"/>
  <c r="AJ191" i="13"/>
  <c r="AJ441" i="13"/>
  <c r="AJ501" i="13"/>
  <c r="AJ559" i="13"/>
  <c r="AJ481" i="13"/>
  <c r="AJ357" i="13"/>
  <c r="AJ417" i="13"/>
  <c r="AJ413" i="13"/>
  <c r="AJ66" i="13"/>
  <c r="AJ533" i="13"/>
  <c r="AJ186" i="13"/>
  <c r="AJ397" i="13"/>
  <c r="AJ50" i="13"/>
  <c r="AJ325" i="13"/>
  <c r="AJ490" i="13"/>
  <c r="AJ319" i="13"/>
  <c r="AJ90" i="13"/>
  <c r="AJ290" i="13"/>
  <c r="AJ81" i="13"/>
  <c r="AJ374" i="13"/>
  <c r="AJ189" i="13"/>
  <c r="AJ181" i="13"/>
  <c r="AJ296" i="13"/>
  <c r="AJ352" i="13"/>
  <c r="AJ472" i="13"/>
  <c r="AJ528" i="13"/>
  <c r="AJ456" i="13"/>
  <c r="AJ170" i="13"/>
  <c r="AJ545" i="13"/>
  <c r="AJ377" i="13"/>
  <c r="AJ516" i="13"/>
  <c r="AJ508" i="13"/>
  <c r="AK123" i="4"/>
  <c r="I72" i="13"/>
  <c r="AG271" i="13"/>
  <c r="AG438" i="13"/>
  <c r="AG308" i="13"/>
  <c r="AG387" i="13"/>
  <c r="AG219" i="13"/>
  <c r="AG218" i="13"/>
  <c r="AG185" i="13"/>
  <c r="AG177" i="13"/>
  <c r="AG421" i="13"/>
  <c r="AG207" i="13"/>
  <c r="AG374" i="13"/>
  <c r="AG244" i="13"/>
  <c r="AG522" i="13"/>
  <c r="AG107" i="13"/>
  <c r="AG58" i="13"/>
  <c r="AG73" i="13"/>
  <c r="AG402" i="13"/>
  <c r="AG418" i="13"/>
  <c r="AG117" i="13"/>
  <c r="AG463" i="13"/>
  <c r="AG81" i="13"/>
  <c r="AG101" i="13"/>
  <c r="AG494" i="13"/>
  <c r="AG234" i="13"/>
  <c r="AG442" i="13"/>
  <c r="AG296" i="13"/>
  <c r="AG135" i="13"/>
  <c r="AG278" i="13"/>
  <c r="AG172" i="13"/>
  <c r="AG306" i="13"/>
  <c r="AG473" i="13"/>
  <c r="AG178" i="13"/>
  <c r="AG57" i="13"/>
  <c r="AG381" i="13"/>
  <c r="AG377" i="13"/>
  <c r="AG558" i="13"/>
  <c r="AG386" i="13"/>
  <c r="AG369" i="13"/>
  <c r="AG168" i="13"/>
  <c r="AG71" i="13"/>
  <c r="AG94" i="13"/>
  <c r="AG108" i="13"/>
  <c r="AG173" i="13"/>
  <c r="AG337" i="13"/>
  <c r="AG98" i="13"/>
  <c r="AG243" i="13"/>
  <c r="AG245" i="13"/>
  <c r="AG209" i="13"/>
  <c r="AG126" i="13"/>
  <c r="AG500" i="13"/>
  <c r="AG33" i="13"/>
  <c r="AG274" i="13"/>
  <c r="AG428" i="13"/>
  <c r="AG226" i="13"/>
  <c r="AG335" i="13"/>
  <c r="AG364" i="13"/>
  <c r="AG201" i="13"/>
  <c r="AG104" i="13"/>
  <c r="AG334" i="13"/>
  <c r="AG461" i="13"/>
  <c r="AG52" i="13"/>
  <c r="AG61" i="13"/>
  <c r="AG210" i="13"/>
  <c r="AG545" i="13"/>
  <c r="AG211" i="13"/>
  <c r="AG229" i="13"/>
  <c r="AG113" i="13"/>
  <c r="AG560" i="13"/>
  <c r="AG158" i="13"/>
  <c r="AG507" i="13"/>
  <c r="AG145" i="13"/>
  <c r="AG341" i="13"/>
  <c r="AG363" i="13"/>
  <c r="AG321" i="13"/>
  <c r="AG499" i="13"/>
  <c r="AG225" i="13"/>
  <c r="AG129" i="13"/>
  <c r="AG79" i="13"/>
  <c r="AG180" i="13"/>
  <c r="AG491" i="13"/>
  <c r="AG488" i="13"/>
  <c r="AG556" i="13"/>
  <c r="AG21" i="13"/>
  <c r="AG233" i="13"/>
  <c r="AG466" i="13"/>
  <c r="AG370" i="13"/>
  <c r="AG196" i="13"/>
  <c r="AG318" i="13"/>
  <c r="AG159" i="13"/>
  <c r="AG198" i="13"/>
  <c r="AG504" i="13"/>
  <c r="AG474" i="13"/>
  <c r="AG99" i="13"/>
  <c r="AG283" i="13"/>
  <c r="AG299" i="13"/>
  <c r="AG396" i="13"/>
  <c r="AG526" i="13"/>
  <c r="AG359" i="13"/>
  <c r="AG192" i="13"/>
  <c r="AG34" i="13"/>
  <c r="AG505" i="13"/>
  <c r="AG482" i="13"/>
  <c r="AG125" i="13"/>
  <c r="AG84" i="13"/>
  <c r="AG557" i="13"/>
  <c r="AG47" i="13"/>
  <c r="AG559" i="13"/>
  <c r="AG392" i="13"/>
  <c r="AG275" i="13"/>
  <c r="AG153" i="13"/>
  <c r="AG114" i="13"/>
  <c r="AG269" i="13"/>
  <c r="AG156" i="13"/>
  <c r="AG246" i="13"/>
  <c r="AG119" i="13"/>
  <c r="AG86" i="13"/>
  <c r="AG464" i="13"/>
  <c r="AG213" i="13"/>
  <c r="AG481" i="13"/>
  <c r="AG75" i="13"/>
  <c r="AG355" i="13"/>
  <c r="AG292" i="13"/>
  <c r="AG422" i="13"/>
  <c r="AG255" i="13"/>
  <c r="AG88" i="13"/>
  <c r="AG235" i="13"/>
  <c r="AG399" i="13"/>
  <c r="AG436" i="13"/>
  <c r="AG236" i="13"/>
  <c r="AG513" i="13"/>
  <c r="AG430" i="13"/>
  <c r="AG149" i="13"/>
  <c r="AG385" i="13"/>
  <c r="AG90" i="13"/>
  <c r="AG291" i="13"/>
  <c r="AG260" i="13"/>
  <c r="AG390" i="13"/>
  <c r="AG223" i="13"/>
  <c r="AG56" i="13"/>
  <c r="AG82" i="13"/>
  <c r="AG154" i="13"/>
  <c r="AG457" i="13"/>
  <c r="AG427" i="13"/>
  <c r="AG460" i="13"/>
  <c r="AG549" i="13"/>
  <c r="AG423" i="13"/>
  <c r="AG256" i="13"/>
  <c r="AG227" i="13"/>
  <c r="AG137" i="13"/>
  <c r="AG66" i="13"/>
  <c r="AG253" i="13"/>
  <c r="AG148" i="13"/>
  <c r="AG230" i="13"/>
  <c r="AG111" i="13"/>
  <c r="AG70" i="13"/>
  <c r="AG456" i="13"/>
  <c r="AG69" i="13"/>
  <c r="AG281" i="13"/>
  <c r="AG195" i="13"/>
  <c r="AG434" i="13"/>
  <c r="AG220" i="13"/>
  <c r="AG350" i="13"/>
  <c r="AG183" i="13"/>
  <c r="AG302" i="13"/>
  <c r="AG528" i="13"/>
  <c r="AG361" i="13"/>
  <c r="AG50" i="13"/>
  <c r="AG203" i="13"/>
  <c r="AG483" i="13"/>
  <c r="AG356" i="13"/>
  <c r="AG486" i="13"/>
  <c r="AG319" i="13"/>
  <c r="AG152" i="13"/>
  <c r="AG391" i="13"/>
  <c r="AG224" i="13"/>
  <c r="AG333" i="13"/>
  <c r="AG250" i="13"/>
  <c r="AG193" i="13"/>
  <c r="AG523" i="13"/>
  <c r="AG508" i="13"/>
  <c r="AG150" i="13"/>
  <c r="AG471" i="13"/>
  <c r="AG304" i="13"/>
  <c r="AG549" i="5"/>
  <c r="AG485" i="5"/>
  <c r="AG421" i="5"/>
  <c r="AG189" i="13"/>
  <c r="AG232" i="13"/>
  <c r="AG294" i="13"/>
  <c r="AG492" i="13"/>
  <c r="AG365" i="13"/>
  <c r="AG286" i="13"/>
  <c r="AG277" i="13"/>
  <c r="AG161" i="13"/>
  <c r="AG139" i="13"/>
  <c r="AG419" i="13"/>
  <c r="AG324" i="13"/>
  <c r="AG454" i="13"/>
  <c r="AG287" i="13"/>
  <c r="AG120" i="13"/>
  <c r="AG441" i="13"/>
  <c r="AG282" i="13"/>
  <c r="AG353" i="13"/>
  <c r="AG555" i="13"/>
  <c r="AG524" i="13"/>
  <c r="AG190" i="13"/>
  <c r="AG487" i="13"/>
  <c r="AG320" i="13"/>
  <c r="AG53" i="13"/>
  <c r="AG265" i="13"/>
  <c r="AG131" i="13"/>
  <c r="AG413" i="13"/>
  <c r="AG212" i="13"/>
  <c r="AG342" i="13"/>
  <c r="AG175" i="13"/>
  <c r="AG254" i="13"/>
  <c r="AG520" i="13"/>
  <c r="AG197" i="13"/>
  <c r="AG449" i="13"/>
  <c r="AG59" i="13"/>
  <c r="AG339" i="13"/>
  <c r="AG284" i="13"/>
  <c r="AG414" i="13"/>
  <c r="AG247" i="13"/>
  <c r="AG80" i="13"/>
  <c r="AG97" i="13"/>
  <c r="AG26" i="13"/>
  <c r="AG346" i="13"/>
  <c r="AG347" i="13"/>
  <c r="AG420" i="13"/>
  <c r="AG550" i="13"/>
  <c r="AG383" i="13"/>
  <c r="AG216" i="13"/>
  <c r="AG455" i="13"/>
  <c r="AG288" i="13"/>
  <c r="AG289" i="13"/>
  <c r="AG293" i="13"/>
  <c r="AG409" i="13"/>
  <c r="AG77" i="13"/>
  <c r="AG60" i="13"/>
  <c r="AG485" i="13"/>
  <c r="AG23" i="13"/>
  <c r="AG535" i="13"/>
  <c r="AG368" i="13"/>
  <c r="AG541" i="5"/>
  <c r="AG477" i="5"/>
  <c r="AG413" i="5"/>
  <c r="AG349" i="5"/>
  <c r="AG285" i="5"/>
  <c r="AG548" i="5"/>
  <c r="AG531" i="5"/>
  <c r="AG467" i="5"/>
  <c r="AG403" i="5"/>
  <c r="AG339" i="5"/>
  <c r="AG275" i="5"/>
  <c r="AG211" i="5"/>
  <c r="AG147" i="5"/>
  <c r="AG83" i="5"/>
  <c r="AG19" i="5"/>
  <c r="AG545" i="5"/>
  <c r="AG481" i="5"/>
  <c r="AG417" i="5"/>
  <c r="AG353" i="5"/>
  <c r="AG289" i="5"/>
  <c r="AG225" i="5"/>
  <c r="AG515" i="13"/>
  <c r="AG74" i="13"/>
  <c r="AG453" i="13"/>
  <c r="AG366" i="13"/>
  <c r="AG91" i="13"/>
  <c r="AG263" i="13"/>
  <c r="AG445" i="13"/>
  <c r="AG19" i="13"/>
  <c r="AG267" i="13"/>
  <c r="AG547" i="13"/>
  <c r="AG388" i="13"/>
  <c r="AG518" i="13"/>
  <c r="AG351" i="13"/>
  <c r="AG184" i="13"/>
  <c r="AG465" i="13"/>
  <c r="AG378" i="13"/>
  <c r="AG450" i="13"/>
  <c r="AG118" i="13"/>
  <c r="AG116" i="13"/>
  <c r="AG527" i="13"/>
  <c r="AG371" i="13"/>
  <c r="AG314" i="13"/>
  <c r="AG93" i="13"/>
  <c r="AG509" i="13"/>
  <c r="AG543" i="13"/>
  <c r="AG165" i="13"/>
  <c r="AG122" i="13"/>
  <c r="AG140" i="13"/>
  <c r="AG462" i="13"/>
  <c r="AG222" i="13"/>
  <c r="AG181" i="13"/>
  <c r="AG170" i="13"/>
  <c r="AG451" i="13"/>
  <c r="AG532" i="13"/>
  <c r="AG367" i="13"/>
  <c r="AG115" i="13"/>
  <c r="AG325" i="13"/>
  <c r="AG92" i="13"/>
  <c r="AG54" i="13"/>
  <c r="AG144" i="13"/>
  <c r="AG357" i="13"/>
  <c r="AG345" i="13"/>
  <c r="AG458" i="13"/>
  <c r="AG62" i="13"/>
  <c r="AG447" i="13"/>
  <c r="AG472" i="13"/>
  <c r="AG160" i="13"/>
  <c r="AG537" i="13"/>
  <c r="AG49" i="13"/>
  <c r="AG410" i="13"/>
  <c r="AG188" i="13"/>
  <c r="AG446" i="13"/>
  <c r="AG407" i="13"/>
  <c r="AG496" i="13"/>
  <c r="AG509" i="5"/>
  <c r="AG429" i="5"/>
  <c r="AG341" i="5"/>
  <c r="AG269" i="5"/>
  <c r="AG524" i="5"/>
  <c r="AG499" i="5"/>
  <c r="AG427" i="5"/>
  <c r="AG355" i="5"/>
  <c r="AG283" i="5"/>
  <c r="AG203" i="5"/>
  <c r="AG131" i="5"/>
  <c r="AG59" i="5"/>
  <c r="AG530" i="5"/>
  <c r="AG505" i="5"/>
  <c r="AG433" i="5"/>
  <c r="AG361" i="5"/>
  <c r="AG281" i="5"/>
  <c r="AG209" i="5"/>
  <c r="AG145" i="5"/>
  <c r="AG81" i="5"/>
  <c r="AG12" i="5"/>
  <c r="AG264" i="5"/>
  <c r="AG544" i="5"/>
  <c r="AG480" i="5"/>
  <c r="AG416" i="5"/>
  <c r="AG328" i="5"/>
  <c r="AG192" i="5"/>
  <c r="AG519" i="5"/>
  <c r="AG455" i="5"/>
  <c r="AG391" i="5"/>
  <c r="AG327" i="5"/>
  <c r="AG263" i="5"/>
  <c r="AG199" i="5"/>
  <c r="AG135" i="5"/>
  <c r="AG71" i="5"/>
  <c r="AG558" i="5"/>
  <c r="AG494" i="5"/>
  <c r="AG492" i="5"/>
  <c r="AG302" i="5"/>
  <c r="AG158" i="5"/>
  <c r="AG490" i="5"/>
  <c r="AG300" i="5"/>
  <c r="AG157" i="5"/>
  <c r="AG54" i="5"/>
  <c r="AG77" i="5"/>
  <c r="AG372" i="13"/>
  <c r="AG360" i="13"/>
  <c r="AG44" i="13"/>
  <c r="AG105" i="13"/>
  <c r="AG221" i="13"/>
  <c r="AG182" i="13"/>
  <c r="AG22" i="13"/>
  <c r="AG297" i="13"/>
  <c r="AG155" i="13"/>
  <c r="AG204" i="13"/>
  <c r="AG39" i="13"/>
  <c r="AG64" i="13"/>
  <c r="AG317" i="13"/>
  <c r="AG301" i="13"/>
  <c r="AG315" i="13"/>
  <c r="AG406" i="13"/>
  <c r="AG431" i="13"/>
  <c r="AG25" i="13"/>
  <c r="AG521" i="13"/>
  <c r="AG348" i="13"/>
  <c r="AG238" i="13"/>
  <c r="AG208" i="13"/>
  <c r="AG85" i="13"/>
  <c r="AG546" i="13"/>
  <c r="AG475" i="13"/>
  <c r="AG270" i="13"/>
  <c r="AG511" i="13"/>
  <c r="AG536" i="13"/>
  <c r="AG352" i="13"/>
  <c r="AG133" i="13"/>
  <c r="AG290" i="13"/>
  <c r="AG205" i="13"/>
  <c r="AG252" i="13"/>
  <c r="AG510" i="13"/>
  <c r="AG541" i="13"/>
  <c r="AG501" i="5"/>
  <c r="AG405" i="5"/>
  <c r="AG333" i="5"/>
  <c r="AG261" i="5"/>
  <c r="AG516" i="5"/>
  <c r="AG491" i="5"/>
  <c r="AG419" i="5"/>
  <c r="AG347" i="5"/>
  <c r="AG267" i="5"/>
  <c r="AG195" i="5"/>
  <c r="AG123" i="5"/>
  <c r="AG51" i="5"/>
  <c r="AG522" i="5"/>
  <c r="AG497" i="5"/>
  <c r="AG425" i="5"/>
  <c r="AG345" i="5"/>
  <c r="AG273" i="5"/>
  <c r="AG201" i="5"/>
  <c r="AG137" i="5"/>
  <c r="AG73" i="5"/>
  <c r="AG400" i="5"/>
  <c r="AG248" i="5"/>
  <c r="AG536" i="5"/>
  <c r="AG472" i="5"/>
  <c r="AG408" i="5"/>
  <c r="AG312" i="5"/>
  <c r="AG184" i="5"/>
  <c r="AG511" i="5"/>
  <c r="AG447" i="5"/>
  <c r="AG383" i="5"/>
  <c r="AG319" i="5"/>
  <c r="AG255" i="5"/>
  <c r="AG191" i="5"/>
  <c r="AG127" i="5"/>
  <c r="AG63" i="5"/>
  <c r="AG550" i="5"/>
  <c r="AG486" i="5"/>
  <c r="AG460" i="5"/>
  <c r="AG282" i="5"/>
  <c r="AG146" i="5"/>
  <c r="AG458" i="5"/>
  <c r="AG278" i="5"/>
  <c r="AG144" i="5"/>
  <c r="AG42" i="5"/>
  <c r="AG52" i="5"/>
  <c r="AG502" i="13"/>
  <c r="AG490" i="13"/>
  <c r="AG300" i="13"/>
  <c r="AG138" i="13"/>
  <c r="AG411" i="13"/>
  <c r="AG501" i="13"/>
  <c r="AG248" i="13"/>
  <c r="AG121" i="13"/>
  <c r="AG109" i="13"/>
  <c r="AG268" i="13"/>
  <c r="AG103" i="13"/>
  <c r="AG128" i="13"/>
  <c r="AG506" i="13"/>
  <c r="AG27" i="13"/>
  <c r="AG443" i="13"/>
  <c r="AG470" i="13"/>
  <c r="AG495" i="13"/>
  <c r="AG529" i="13"/>
  <c r="AG43" i="13"/>
  <c r="AG412" i="13"/>
  <c r="AG55" i="13"/>
  <c r="AG272" i="13"/>
  <c r="AG194" i="13"/>
  <c r="AG162" i="13"/>
  <c r="AG36" i="13"/>
  <c r="AG358" i="13"/>
  <c r="AG493" i="13"/>
  <c r="AG327" i="13"/>
  <c r="AG416" i="13"/>
  <c r="AG261" i="13"/>
  <c r="AG106" i="13"/>
  <c r="AG349" i="13"/>
  <c r="AG316" i="13"/>
  <c r="AG477" i="13"/>
  <c r="AG174" i="13"/>
  <c r="AG493" i="5"/>
  <c r="AG397" i="5"/>
  <c r="AG325" i="5"/>
  <c r="AG253" i="5"/>
  <c r="AG555" i="5"/>
  <c r="AG483" i="5"/>
  <c r="AG411" i="5"/>
  <c r="AG331" i="5"/>
  <c r="AG259" i="5"/>
  <c r="AG187" i="5"/>
  <c r="AG115" i="5"/>
  <c r="AG43" i="5"/>
  <c r="AG514" i="5"/>
  <c r="AG489" i="5"/>
  <c r="AG409" i="5"/>
  <c r="AG337" i="5"/>
  <c r="AG265" i="5"/>
  <c r="AG193" i="5"/>
  <c r="AG129" i="5"/>
  <c r="AG65" i="5"/>
  <c r="AG360" i="5"/>
  <c r="AG232" i="5"/>
  <c r="AG528" i="5"/>
  <c r="AG464" i="5"/>
  <c r="AG392" i="5"/>
  <c r="AG296" i="5"/>
  <c r="AG168" i="5"/>
  <c r="AG503" i="5"/>
  <c r="AG439" i="5"/>
  <c r="AG375" i="5"/>
  <c r="AG311" i="5"/>
  <c r="AG247" i="5"/>
  <c r="AG183" i="5"/>
  <c r="AG119" i="5"/>
  <c r="AG55" i="5"/>
  <c r="AG542" i="5"/>
  <c r="AG478" i="5"/>
  <c r="AG430" i="5"/>
  <c r="AG260" i="5"/>
  <c r="AG133" i="5"/>
  <c r="AG428" i="5"/>
  <c r="AG258" i="5"/>
  <c r="AG132" i="5"/>
  <c r="AG29" i="5"/>
  <c r="AG8" i="5"/>
  <c r="AG258" i="13"/>
  <c r="AG389" i="13"/>
  <c r="AG199" i="13"/>
  <c r="AG330" i="13"/>
  <c r="AG429" i="13"/>
  <c r="AG68" i="13"/>
  <c r="AG31" i="13"/>
  <c r="AG376" i="13"/>
  <c r="AG405" i="13"/>
  <c r="AG393" i="13"/>
  <c r="AG525" i="13"/>
  <c r="AG231" i="13"/>
  <c r="AG448" i="13"/>
  <c r="AG51" i="13"/>
  <c r="AG305" i="13"/>
  <c r="AG276" i="13"/>
  <c r="AG38" i="13"/>
  <c r="AG136" i="13"/>
  <c r="AG242" i="13"/>
  <c r="AG186" i="13"/>
  <c r="AG467" i="13"/>
  <c r="AG540" i="13"/>
  <c r="AG375" i="13"/>
  <c r="AG400" i="13"/>
  <c r="AG41" i="13"/>
  <c r="AG553" i="13"/>
  <c r="AG164" i="13"/>
  <c r="AG262" i="13"/>
  <c r="AG24" i="13"/>
  <c r="AG517" i="13"/>
  <c r="AG544" i="13"/>
  <c r="AG309" i="13"/>
  <c r="AG354" i="13"/>
  <c r="AG403" i="13"/>
  <c r="AG444" i="13"/>
  <c r="AG151" i="13"/>
  <c r="AG112" i="13"/>
  <c r="AG329" i="13"/>
  <c r="AG379" i="13"/>
  <c r="AG266" i="13"/>
  <c r="AG166" i="13"/>
  <c r="AG249" i="13"/>
  <c r="AG332" i="13"/>
  <c r="AG384" i="13"/>
  <c r="AG171" i="13"/>
  <c r="AG534" i="13"/>
  <c r="AG530" i="13"/>
  <c r="AG141" i="13"/>
  <c r="AG311" i="13"/>
  <c r="AG163" i="13"/>
  <c r="AG100" i="13"/>
  <c r="AG110" i="13"/>
  <c r="AG480" i="13"/>
  <c r="AG241" i="13"/>
  <c r="AG380" i="13"/>
  <c r="AG48" i="13"/>
  <c r="AG461" i="5"/>
  <c r="AG357" i="5"/>
  <c r="AG556" i="5"/>
  <c r="AG475" i="5"/>
  <c r="AG371" i="5"/>
  <c r="AG243" i="5"/>
  <c r="AG139" i="5"/>
  <c r="AG554" i="5"/>
  <c r="AG473" i="5"/>
  <c r="AG377" i="5"/>
  <c r="AG249" i="5"/>
  <c r="AG153" i="5"/>
  <c r="AG41" i="5"/>
  <c r="AG216" i="5"/>
  <c r="AG496" i="5"/>
  <c r="AG376" i="5"/>
  <c r="AG208" i="5"/>
  <c r="AG479" i="5"/>
  <c r="AG367" i="5"/>
  <c r="AG279" i="5"/>
  <c r="AG167" i="5"/>
  <c r="AG79" i="5"/>
  <c r="AG518" i="5"/>
  <c r="AG410" i="5"/>
  <c r="AG189" i="5"/>
  <c r="AG386" i="5"/>
  <c r="AG172" i="5"/>
  <c r="AG182" i="5"/>
  <c r="AG7" i="5"/>
  <c r="AG382" i="5"/>
  <c r="AG218" i="5"/>
  <c r="AG104" i="5"/>
  <c r="AG482" i="5"/>
  <c r="AG294" i="5"/>
  <c r="AG102" i="5"/>
  <c r="AG356" i="5"/>
  <c r="AG88" i="5"/>
  <c r="AG20" i="5"/>
  <c r="AG101" i="5"/>
  <c r="AG44" i="5"/>
  <c r="AG332" i="5"/>
  <c r="AG180" i="5"/>
  <c r="AG74" i="5"/>
  <c r="AG414" i="5"/>
  <c r="AG244" i="5"/>
  <c r="AG124" i="5"/>
  <c r="AG21" i="5"/>
  <c r="AG326" i="5"/>
  <c r="AG13" i="5"/>
  <c r="AG143" i="13"/>
  <c r="AG373" i="13"/>
  <c r="AG95" i="13"/>
  <c r="AG273" i="13"/>
  <c r="AG206" i="13"/>
  <c r="AG512" i="13"/>
  <c r="AG489" i="13"/>
  <c r="AG214" i="13"/>
  <c r="AG338" i="13"/>
  <c r="AG331" i="13"/>
  <c r="AG439" i="13"/>
  <c r="AG169" i="13"/>
  <c r="AG228" i="13"/>
  <c r="AG280" i="13"/>
  <c r="AG552" i="13"/>
  <c r="AG42" i="13"/>
  <c r="AG142" i="13"/>
  <c r="AG176" i="13"/>
  <c r="AG453" i="5"/>
  <c r="AG317" i="5"/>
  <c r="AG540" i="5"/>
  <c r="AG459" i="5"/>
  <c r="AG363" i="5"/>
  <c r="AG235" i="5"/>
  <c r="AG107" i="5"/>
  <c r="AG546" i="5"/>
  <c r="AG465" i="5"/>
  <c r="AG369" i="5"/>
  <c r="AG241" i="5"/>
  <c r="AG121" i="5"/>
  <c r="AG33" i="5"/>
  <c r="AG200" i="5"/>
  <c r="AG488" i="5"/>
  <c r="AG368" i="5"/>
  <c r="AG559" i="5"/>
  <c r="AG471" i="5"/>
  <c r="AG359" i="5"/>
  <c r="AG271" i="5"/>
  <c r="AG159" i="5"/>
  <c r="AG47" i="5"/>
  <c r="AG510" i="5"/>
  <c r="AG388" i="5"/>
  <c r="AG173" i="5"/>
  <c r="AG364" i="5"/>
  <c r="AG118" i="5"/>
  <c r="AG141" i="5"/>
  <c r="AG242" i="5"/>
  <c r="AG362" i="5"/>
  <c r="AG202" i="5"/>
  <c r="AG92" i="5"/>
  <c r="AG450" i="5"/>
  <c r="AG252" i="5"/>
  <c r="AG90" i="5"/>
  <c r="AG314" i="5"/>
  <c r="AG50" i="5"/>
  <c r="AI50" i="5" s="1"/>
  <c r="AG30" i="5"/>
  <c r="AG62" i="5"/>
  <c r="AG506" i="5"/>
  <c r="AG310" i="5"/>
  <c r="AG164" i="5"/>
  <c r="AG61" i="5"/>
  <c r="AG394" i="5"/>
  <c r="AG226" i="5"/>
  <c r="AG110" i="5"/>
  <c r="AG498" i="5"/>
  <c r="AG284" i="5"/>
  <c r="AG102" i="13"/>
  <c r="AG433" i="13"/>
  <c r="AG415" i="13"/>
  <c r="AG497" i="13"/>
  <c r="AG326" i="13"/>
  <c r="AG437" i="13"/>
  <c r="AG239" i="13"/>
  <c r="AG538" i="13"/>
  <c r="AG459" i="13"/>
  <c r="AG503" i="13"/>
  <c r="AG298" i="13"/>
  <c r="AG484" i="13"/>
  <c r="AG344" i="13"/>
  <c r="AG123" i="13"/>
  <c r="AG310" i="13"/>
  <c r="AG240" i="13"/>
  <c r="AG445" i="5"/>
  <c r="AG309" i="5"/>
  <c r="AG532" i="5"/>
  <c r="AG451" i="5"/>
  <c r="AG323" i="5"/>
  <c r="AG227" i="5"/>
  <c r="AG99" i="5"/>
  <c r="AG538" i="5"/>
  <c r="AG457" i="5"/>
  <c r="AG329" i="5"/>
  <c r="AG233" i="5"/>
  <c r="AG113" i="5"/>
  <c r="AG25" i="5"/>
  <c r="AG176" i="5"/>
  <c r="AG456" i="5"/>
  <c r="AG352" i="5"/>
  <c r="AG551" i="5"/>
  <c r="AG463" i="5"/>
  <c r="AG351" i="5"/>
  <c r="AG239" i="5"/>
  <c r="AG151" i="5"/>
  <c r="AG39" i="5"/>
  <c r="AG502" i="5"/>
  <c r="AG366" i="5"/>
  <c r="AG120" i="5"/>
  <c r="AG342" i="5"/>
  <c r="AG106" i="5"/>
  <c r="AG116" i="5"/>
  <c r="AG134" i="5"/>
  <c r="AG340" i="5"/>
  <c r="AG186" i="5"/>
  <c r="AG78" i="5"/>
  <c r="AG422" i="5"/>
  <c r="AG230" i="5"/>
  <c r="AG64" i="5"/>
  <c r="AG270" i="5"/>
  <c r="AG24" i="5"/>
  <c r="AG508" i="5"/>
  <c r="AG37" i="5"/>
  <c r="AG474" i="5"/>
  <c r="AG290" i="5"/>
  <c r="AG150" i="5"/>
  <c r="AG48" i="5"/>
  <c r="AG372" i="5"/>
  <c r="AG210" i="5"/>
  <c r="AG98" i="5"/>
  <c r="AI98" i="5" s="1"/>
  <c r="AG466" i="5"/>
  <c r="AG222" i="5"/>
  <c r="AG533" i="13"/>
  <c r="AG257" i="13"/>
  <c r="AG479" i="13"/>
  <c r="AG67" i="13"/>
  <c r="AG398" i="13"/>
  <c r="AG498" i="13"/>
  <c r="AG323" i="13"/>
  <c r="AG303" i="13"/>
  <c r="AG146" i="13"/>
  <c r="AG28" i="13"/>
  <c r="AG469" i="13"/>
  <c r="AG202" i="13"/>
  <c r="AG548" i="13"/>
  <c r="AG408" i="13"/>
  <c r="AG35" i="13"/>
  <c r="AG251" i="13"/>
  <c r="AG382" i="13"/>
  <c r="AG432" i="13"/>
  <c r="AG557" i="5"/>
  <c r="AG437" i="5"/>
  <c r="AG301" i="5"/>
  <c r="AG547" i="5"/>
  <c r="AG443" i="5"/>
  <c r="AG315" i="5"/>
  <c r="AG219" i="5"/>
  <c r="AG91" i="5"/>
  <c r="AG553" i="5"/>
  <c r="AG449" i="5"/>
  <c r="AG321" i="5"/>
  <c r="AG217" i="5"/>
  <c r="AG105" i="5"/>
  <c r="AG336" i="5"/>
  <c r="AG560" i="5"/>
  <c r="AG448" i="5"/>
  <c r="AG344" i="5"/>
  <c r="AG543" i="5"/>
  <c r="AG431" i="5"/>
  <c r="AG343" i="5"/>
  <c r="AG231" i="5"/>
  <c r="AG143" i="5"/>
  <c r="AG31" i="5"/>
  <c r="AG470" i="5"/>
  <c r="AG346" i="5"/>
  <c r="AG108" i="5"/>
  <c r="AG322" i="5"/>
  <c r="AG93" i="5"/>
  <c r="AG444" i="5"/>
  <c r="AG45" i="5"/>
  <c r="AG318" i="5"/>
  <c r="AG170" i="5"/>
  <c r="AG66" i="5"/>
  <c r="AG402" i="5"/>
  <c r="AG214" i="5"/>
  <c r="AG38" i="5"/>
  <c r="AG229" i="5"/>
  <c r="AG306" i="5"/>
  <c r="AG398" i="5"/>
  <c r="AG262" i="5"/>
  <c r="AG442" i="5"/>
  <c r="AG268" i="5"/>
  <c r="AG138" i="5"/>
  <c r="AG36" i="5"/>
  <c r="AG350" i="5"/>
  <c r="AG194" i="5"/>
  <c r="AG85" i="5"/>
  <c r="AG434" i="5"/>
  <c r="AG190" i="5"/>
  <c r="AG424" i="13"/>
  <c r="AG539" i="13"/>
  <c r="AG312" i="13"/>
  <c r="AG237" i="13"/>
  <c r="AG167" i="13"/>
  <c r="AG130" i="13"/>
  <c r="AG20" i="13"/>
  <c r="AG72" i="13"/>
  <c r="AG401" i="13"/>
  <c r="AG476" i="13"/>
  <c r="AG336" i="13"/>
  <c r="AG259" i="13"/>
  <c r="AG78" i="13"/>
  <c r="AG519" i="13"/>
  <c r="AG425" i="13"/>
  <c r="AG554" i="13"/>
  <c r="AG87" i="13"/>
  <c r="AG533" i="5"/>
  <c r="AG389" i="5"/>
  <c r="AG293" i="5"/>
  <c r="AG539" i="5"/>
  <c r="AG435" i="5"/>
  <c r="AG307" i="5"/>
  <c r="AG179" i="5"/>
  <c r="AG75" i="5"/>
  <c r="AG537" i="5"/>
  <c r="AG441" i="5"/>
  <c r="AG313" i="5"/>
  <c r="AG185" i="5"/>
  <c r="AG97" i="5"/>
  <c r="AG320" i="5"/>
  <c r="AG552" i="5"/>
  <c r="AG440" i="5"/>
  <c r="AG280" i="5"/>
  <c r="AG535" i="5"/>
  <c r="AG423" i="5"/>
  <c r="AG335" i="5"/>
  <c r="AG223" i="5"/>
  <c r="AG111" i="5"/>
  <c r="AG23" i="5"/>
  <c r="AG462" i="5"/>
  <c r="AG324" i="5"/>
  <c r="AG94" i="5"/>
  <c r="AG236" i="5"/>
  <c r="AG80" i="5"/>
  <c r="AG292" i="5"/>
  <c r="AG484" i="5"/>
  <c r="AG298" i="5"/>
  <c r="AG156" i="5"/>
  <c r="AG53" i="5"/>
  <c r="AG380" i="5"/>
  <c r="AG198" i="5"/>
  <c r="AG26" i="5"/>
  <c r="AG181" i="5"/>
  <c r="AG206" i="5"/>
  <c r="AG334" i="5"/>
  <c r="AG174" i="5"/>
  <c r="AG418" i="5"/>
  <c r="AG246" i="5"/>
  <c r="AG125" i="5"/>
  <c r="AG22" i="5"/>
  <c r="AG330" i="5"/>
  <c r="AG178" i="5"/>
  <c r="AG72" i="5"/>
  <c r="AG412" i="5"/>
  <c r="AG160" i="5"/>
  <c r="AG45" i="13"/>
  <c r="AG83" i="13"/>
  <c r="AG132" i="13"/>
  <c r="AG440" i="13"/>
  <c r="AG307" i="13"/>
  <c r="AG295" i="13"/>
  <c r="AG426" i="13"/>
  <c r="AG340" i="13"/>
  <c r="AG200" i="13"/>
  <c r="AG322" i="13"/>
  <c r="AG30" i="13"/>
  <c r="AG29" i="13"/>
  <c r="AG63" i="13"/>
  <c r="AG134" i="13"/>
  <c r="AG89" i="13"/>
  <c r="AG531" i="13"/>
  <c r="AG215" i="13"/>
  <c r="AG525" i="5"/>
  <c r="AG381" i="5"/>
  <c r="AG277" i="5"/>
  <c r="AG523" i="5"/>
  <c r="AG395" i="5"/>
  <c r="AG299" i="5"/>
  <c r="AG171" i="5"/>
  <c r="AG67" i="5"/>
  <c r="AG529" i="5"/>
  <c r="AG401" i="5"/>
  <c r="AG305" i="5"/>
  <c r="AG177" i="5"/>
  <c r="AG89" i="5"/>
  <c r="AG40" i="13"/>
  <c r="AG516" i="13"/>
  <c r="AG179" i="13"/>
  <c r="AG542" i="13"/>
  <c r="AG96" i="13"/>
  <c r="AG237" i="5"/>
  <c r="AG155" i="5"/>
  <c r="AG257" i="5"/>
  <c r="AG520" i="5"/>
  <c r="AG224" i="5"/>
  <c r="AG295" i="5"/>
  <c r="AG10" i="5"/>
  <c r="AG205" i="5"/>
  <c r="AG11" i="5"/>
  <c r="AG276" i="5"/>
  <c r="AG9" i="5"/>
  <c r="AG420" i="5"/>
  <c r="AG250" i="5"/>
  <c r="AG354" i="5"/>
  <c r="AG468" i="5"/>
  <c r="AG60" i="5"/>
  <c r="AG69" i="5"/>
  <c r="AG147" i="13"/>
  <c r="AG404" i="13"/>
  <c r="AG65" i="13"/>
  <c r="AG217" i="13"/>
  <c r="AG515" i="5"/>
  <c r="AG35" i="5"/>
  <c r="AG169" i="5"/>
  <c r="AG512" i="5"/>
  <c r="AG527" i="5"/>
  <c r="AG287" i="5"/>
  <c r="AG534" i="5"/>
  <c r="AG82" i="5"/>
  <c r="AG274" i="5"/>
  <c r="AG254" i="5"/>
  <c r="AG358" i="5"/>
  <c r="AG378" i="5"/>
  <c r="AG197" i="5"/>
  <c r="AG228" i="5"/>
  <c r="AG436" i="5"/>
  <c r="AG46" i="5"/>
  <c r="AG37" i="13"/>
  <c r="AG468" i="13"/>
  <c r="AG313" i="13"/>
  <c r="AG362" i="13"/>
  <c r="AG507" i="5"/>
  <c r="AG27" i="5"/>
  <c r="AG161" i="5"/>
  <c r="AG504" i="5"/>
  <c r="AG495" i="5"/>
  <c r="AG215" i="5"/>
  <c r="AG526" i="5"/>
  <c r="AG56" i="5"/>
  <c r="AG213" i="5"/>
  <c r="AG234" i="5"/>
  <c r="AG338" i="5"/>
  <c r="AG165" i="5"/>
  <c r="AG152" i="5"/>
  <c r="AG212" i="5"/>
  <c r="AG308" i="5"/>
  <c r="AG34" i="5"/>
  <c r="AG435" i="13"/>
  <c r="AG264" i="13"/>
  <c r="AG157" i="13"/>
  <c r="AG395" i="13"/>
  <c r="AG517" i="5"/>
  <c r="AG387" i="5"/>
  <c r="AG521" i="5"/>
  <c r="AG57" i="5"/>
  <c r="AG432" i="5"/>
  <c r="AG487" i="5"/>
  <c r="AG207" i="5"/>
  <c r="AG454" i="5"/>
  <c r="AG406" i="5"/>
  <c r="AG126" i="5"/>
  <c r="AG142" i="5"/>
  <c r="AG316" i="5"/>
  <c r="AG140" i="5"/>
  <c r="AG122" i="5"/>
  <c r="AG196" i="5"/>
  <c r="AG286" i="5"/>
  <c r="AG390" i="5"/>
  <c r="AG76" i="13"/>
  <c r="AG328" i="13"/>
  <c r="AG285" i="13"/>
  <c r="AG124" i="13"/>
  <c r="AG469" i="5"/>
  <c r="AG397" i="13"/>
  <c r="AG46" i="13"/>
  <c r="AG187" i="13"/>
  <c r="AG191" i="13"/>
  <c r="AG343" i="13"/>
  <c r="AG365" i="5"/>
  <c r="AG251" i="5"/>
  <c r="AG385" i="5"/>
  <c r="AG288" i="5"/>
  <c r="AG256" i="5"/>
  <c r="AG399" i="5"/>
  <c r="AG95" i="5"/>
  <c r="AG238" i="5"/>
  <c r="AG188" i="5"/>
  <c r="AG426" i="5"/>
  <c r="AG40" i="5"/>
  <c r="AG128" i="5"/>
  <c r="AG96" i="5"/>
  <c r="AG396" i="5"/>
  <c r="AG86" i="5"/>
  <c r="AG149" i="5"/>
  <c r="AG109" i="5"/>
  <c r="AG478" i="13"/>
  <c r="AG291" i="5"/>
  <c r="AG424" i="5"/>
  <c r="AG87" i="5"/>
  <c r="AG452" i="5"/>
  <c r="AG114" i="5"/>
  <c r="AH114" i="5" s="1"/>
  <c r="AG500" i="5"/>
  <c r="AG127" i="13"/>
  <c r="AG163" i="5"/>
  <c r="AG384" i="5"/>
  <c r="AG446" i="5"/>
  <c r="AG404" i="5"/>
  <c r="AG148" i="5"/>
  <c r="AG266" i="5"/>
  <c r="AG32" i="13"/>
  <c r="AG513" i="5"/>
  <c r="AG240" i="5"/>
  <c r="AG438" i="5"/>
  <c r="AG130" i="5"/>
  <c r="AG70" i="5"/>
  <c r="AG162" i="5"/>
  <c r="AG417" i="13"/>
  <c r="AG279" i="13"/>
  <c r="AG393" i="5"/>
  <c r="AG415" i="5"/>
  <c r="AG221" i="5"/>
  <c r="AG117" i="5"/>
  <c r="AG84" i="5"/>
  <c r="AG136" i="5"/>
  <c r="AG452" i="13"/>
  <c r="AG297" i="5"/>
  <c r="AG407" i="5"/>
  <c r="AG220" i="5"/>
  <c r="AG28" i="5"/>
  <c r="AG32" i="5"/>
  <c r="AG370" i="5"/>
  <c r="AG551" i="13"/>
  <c r="AG373" i="5"/>
  <c r="AG49" i="5"/>
  <c r="AG303" i="5"/>
  <c r="AG204" i="5"/>
  <c r="AG166" i="5"/>
  <c r="AG374" i="5"/>
  <c r="AG348" i="5"/>
  <c r="AG272" i="5"/>
  <c r="AG100" i="5"/>
  <c r="AG175" i="5"/>
  <c r="AG58" i="5"/>
  <c r="AG103" i="5"/>
  <c r="AG394" i="13"/>
  <c r="AG68" i="5"/>
  <c r="AG514" i="13"/>
  <c r="AG76" i="5"/>
  <c r="AG379" i="5"/>
  <c r="AG476" i="5"/>
  <c r="AG245" i="5"/>
  <c r="AG304" i="5"/>
  <c r="AG154" i="5"/>
  <c r="AG112" i="5"/>
  <c r="O12" i="13"/>
  <c r="AG12" i="13" s="1"/>
  <c r="I70" i="13"/>
  <c r="CG36" i="4"/>
  <c r="AW53" i="4"/>
  <c r="CG148" i="4"/>
  <c r="CG156" i="4"/>
  <c r="CG14" i="4"/>
  <c r="AW33" i="4"/>
  <c r="CG59" i="4"/>
  <c r="AW131" i="4"/>
  <c r="AW118" i="4"/>
  <c r="CG69" i="4"/>
  <c r="CG60" i="4"/>
  <c r="CG52" i="4"/>
  <c r="CG29" i="4"/>
  <c r="CG75" i="4"/>
  <c r="CG115" i="4"/>
  <c r="CG146" i="4"/>
  <c r="AW92" i="4"/>
  <c r="CG92" i="4"/>
  <c r="CG112" i="4"/>
  <c r="AW112" i="4"/>
  <c r="CG152" i="4"/>
  <c r="AW152" i="4"/>
  <c r="AW24" i="4"/>
  <c r="CG24" i="4"/>
  <c r="AW34" i="4"/>
  <c r="CG34" i="4"/>
  <c r="CG43" i="4"/>
  <c r="AW43" i="4"/>
  <c r="AW96" i="4"/>
  <c r="CG96" i="4"/>
  <c r="AW88" i="4"/>
  <c r="AK98" i="4"/>
  <c r="AK35" i="4"/>
  <c r="AM35" i="4" s="1"/>
  <c r="AX35" i="4" s="1"/>
  <c r="AK115" i="4"/>
  <c r="AM115" i="4" s="1"/>
  <c r="AK116" i="4"/>
  <c r="AM116" i="4" s="1"/>
  <c r="AX116" i="4" s="1"/>
  <c r="AK41" i="4"/>
  <c r="AM41" i="4" s="1"/>
  <c r="AU41" i="4" s="1"/>
  <c r="AV41" i="4" s="1"/>
  <c r="AK110" i="4"/>
  <c r="AM110" i="4" s="1"/>
  <c r="AU110" i="4" s="1"/>
  <c r="AV110" i="4" s="1"/>
  <c r="AW27" i="4"/>
  <c r="AK154" i="4"/>
  <c r="AM154" i="4" s="1"/>
  <c r="B85" i="2"/>
  <c r="N35" i="1" s="1"/>
  <c r="AK16" i="4"/>
  <c r="AM16" i="4" s="1"/>
  <c r="AK156" i="4"/>
  <c r="AM156" i="4" s="1"/>
  <c r="AK51" i="4"/>
  <c r="AM51" i="4" s="1"/>
  <c r="AK49" i="4"/>
  <c r="AK9" i="4"/>
  <c r="AM9" i="4" s="1"/>
  <c r="AK93" i="4"/>
  <c r="AK73" i="4"/>
  <c r="AM73" i="4" s="1"/>
  <c r="AK144" i="4"/>
  <c r="AM144" i="4" s="1"/>
  <c r="AK108" i="4"/>
  <c r="AM108" i="4" s="1"/>
  <c r="AK75" i="4"/>
  <c r="AM75" i="4" s="1"/>
  <c r="AK126" i="4"/>
  <c r="AM126" i="4" s="1"/>
  <c r="AK72" i="4"/>
  <c r="AK18" i="4"/>
  <c r="AM18" i="4" s="1"/>
  <c r="AU18" i="4" s="1"/>
  <c r="AV18" i="4" s="1"/>
  <c r="AK58" i="4"/>
  <c r="AM58" i="4" s="1"/>
  <c r="AX58" i="4" s="1"/>
  <c r="AY58" i="4" s="1"/>
  <c r="CN58" i="4" s="1"/>
  <c r="AK114" i="4"/>
  <c r="AM114" i="4" s="1"/>
  <c r="AX114" i="4" s="1"/>
  <c r="AK148" i="4"/>
  <c r="AM148" i="4" s="1"/>
  <c r="AX148" i="4" s="1"/>
  <c r="AY148" i="4" s="1"/>
  <c r="CN148" i="4" s="1"/>
  <c r="AK109" i="4"/>
  <c r="AM109" i="4" s="1"/>
  <c r="AX109" i="4" s="1"/>
  <c r="AW81" i="4"/>
  <c r="B26" i="2"/>
  <c r="B162" i="2" s="1"/>
  <c r="AM550" i="13"/>
  <c r="AM543" i="13"/>
  <c r="AM529" i="13"/>
  <c r="AM524" i="13"/>
  <c r="AM513" i="13"/>
  <c r="AM511" i="13"/>
  <c r="AM497" i="13"/>
  <c r="AM517" i="13"/>
  <c r="AM501" i="13"/>
  <c r="AM503" i="13"/>
  <c r="AM481" i="13"/>
  <c r="AM507" i="13"/>
  <c r="AM466" i="13"/>
  <c r="AM468" i="13"/>
  <c r="AM477" i="13"/>
  <c r="AM457" i="13"/>
  <c r="AM453" i="13"/>
  <c r="AM474" i="13"/>
  <c r="AM470" i="13"/>
  <c r="AM455" i="13"/>
  <c r="AM442" i="13"/>
  <c r="AM451" i="13"/>
  <c r="AM428" i="13"/>
  <c r="AM446" i="13"/>
  <c r="AM426" i="13"/>
  <c r="AM412" i="13"/>
  <c r="AM461" i="13"/>
  <c r="AM411" i="13"/>
  <c r="AM430" i="13"/>
  <c r="AM415" i="13"/>
  <c r="AM414" i="13"/>
  <c r="AM385" i="13"/>
  <c r="AM386" i="13"/>
  <c r="AM459" i="13"/>
  <c r="AM418" i="13"/>
  <c r="AM416" i="13"/>
  <c r="AM410" i="13"/>
  <c r="AM434" i="13"/>
  <c r="AM394" i="13"/>
  <c r="AM357" i="13"/>
  <c r="AM346" i="13"/>
  <c r="AM419" i="13"/>
  <c r="AM389" i="13"/>
  <c r="AM401" i="13"/>
  <c r="AM354" i="13"/>
  <c r="AM417" i="13"/>
  <c r="AM393" i="13"/>
  <c r="AM342" i="13"/>
  <c r="AM398" i="13"/>
  <c r="AM313" i="13"/>
  <c r="AM370" i="13"/>
  <c r="AM347" i="13"/>
  <c r="AM310" i="13"/>
  <c r="AM315" i="13"/>
  <c r="AM309" i="13"/>
  <c r="AM297" i="13"/>
  <c r="AM294" i="13"/>
  <c r="AM289" i="13"/>
  <c r="AM286" i="13"/>
  <c r="AM326" i="13"/>
  <c r="AM293" i="13"/>
  <c r="AM290" i="13"/>
  <c r="AM285" i="13"/>
  <c r="AM318" i="13"/>
  <c r="AM282" i="13"/>
  <c r="AM262" i="13"/>
  <c r="AM254" i="13"/>
  <c r="AM246" i="13"/>
  <c r="AM266" i="13"/>
  <c r="AM305" i="13"/>
  <c r="AM242" i="13"/>
  <c r="AM278" i="13"/>
  <c r="AM195" i="13"/>
  <c r="AM202" i="13"/>
  <c r="AM186" i="13"/>
  <c r="AM183" i="13"/>
  <c r="AM182" i="13"/>
  <c r="AM184" i="13"/>
  <c r="AM164" i="13"/>
  <c r="AM191" i="13"/>
  <c r="AM187" i="13"/>
  <c r="AM144" i="13"/>
  <c r="AM206" i="13"/>
  <c r="AM132" i="13"/>
  <c r="AM92" i="13"/>
  <c r="AM90" i="13"/>
  <c r="AM85" i="13"/>
  <c r="AM241" i="13"/>
  <c r="AM148" i="13"/>
  <c r="AM108" i="13"/>
  <c r="AM102" i="13"/>
  <c r="AM82" i="13"/>
  <c r="AM50" i="13"/>
  <c r="AM134" i="13"/>
  <c r="AM105" i="13"/>
  <c r="AM93" i="13"/>
  <c r="AM42" i="13"/>
  <c r="AM110" i="13"/>
  <c r="AM117" i="13"/>
  <c r="AM100" i="13"/>
  <c r="AM86" i="13"/>
  <c r="AM72" i="13"/>
  <c r="AM35" i="13"/>
  <c r="AM48" i="13"/>
  <c r="AM113" i="13"/>
  <c r="AM78" i="13"/>
  <c r="AM64" i="13"/>
  <c r="AM41" i="13"/>
  <c r="AM38" i="13"/>
  <c r="AM76" i="13"/>
  <c r="AM168" i="13"/>
  <c r="AM130" i="13"/>
  <c r="AM98" i="13"/>
  <c r="AM59" i="13"/>
  <c r="AM44" i="13"/>
  <c r="AM146" i="13"/>
  <c r="AM116" i="13"/>
  <c r="AM88" i="13"/>
  <c r="AM120" i="13"/>
  <c r="AM54" i="13"/>
  <c r="AM70" i="13"/>
  <c r="AM34" i="13"/>
  <c r="AM8" i="13"/>
  <c r="AM89" i="13"/>
  <c r="AM19" i="13"/>
  <c r="AM57" i="13"/>
  <c r="AM22" i="13"/>
  <c r="AM51" i="13"/>
  <c r="AM96" i="13"/>
  <c r="AM46" i="13"/>
  <c r="AM104" i="13"/>
  <c r="AM138" i="13"/>
  <c r="AM142" i="13"/>
  <c r="AM101" i="13"/>
  <c r="AM83" i="13"/>
  <c r="AM99" i="13"/>
  <c r="AM115" i="13"/>
  <c r="AM152" i="13"/>
  <c r="AM226" i="13"/>
  <c r="AM196" i="13"/>
  <c r="AM250" i="13"/>
  <c r="AM223" i="13"/>
  <c r="AM291" i="13"/>
  <c r="AM334" i="13"/>
  <c r="AM288" i="13"/>
  <c r="AM304" i="13"/>
  <c r="AM323" i="13"/>
  <c r="AM320" i="13"/>
  <c r="AM380" i="13"/>
  <c r="AM387" i="13"/>
  <c r="AM397" i="13"/>
  <c r="AM360" i="13"/>
  <c r="AM365" i="13"/>
  <c r="AM381" i="13"/>
  <c r="AM399" i="13"/>
  <c r="AM392" i="13"/>
  <c r="AM465" i="13"/>
  <c r="AM431" i="13"/>
  <c r="AM437" i="13"/>
  <c r="AM433" i="13"/>
  <c r="AM467" i="13"/>
  <c r="AM479" i="13"/>
  <c r="AM508" i="13"/>
  <c r="AM518" i="13"/>
  <c r="AM505" i="13"/>
  <c r="AM510" i="13"/>
  <c r="AM515" i="13"/>
  <c r="AM538" i="13"/>
  <c r="AM546" i="13"/>
  <c r="AM482" i="13"/>
  <c r="AM377" i="13"/>
  <c r="AM388" i="13"/>
  <c r="AM454" i="13"/>
  <c r="AM494" i="13"/>
  <c r="AM495" i="13"/>
  <c r="AM25" i="13"/>
  <c r="AM36" i="13"/>
  <c r="AM147" i="13"/>
  <c r="AM229" i="13"/>
  <c r="AM208" i="13"/>
  <c r="AM307" i="13"/>
  <c r="AM351" i="13"/>
  <c r="AM329" i="13"/>
  <c r="AM429" i="13"/>
  <c r="AM480" i="13"/>
  <c r="AM522" i="13"/>
  <c r="AM540" i="13"/>
  <c r="AM77" i="13"/>
  <c r="AM52" i="13"/>
  <c r="AM81" i="13"/>
  <c r="AM270" i="13"/>
  <c r="AM165" i="13"/>
  <c r="AM180" i="13"/>
  <c r="AM194" i="13"/>
  <c r="AM135" i="13"/>
  <c r="AM151" i="13"/>
  <c r="AM167" i="13"/>
  <c r="AM158" i="13"/>
  <c r="AM174" i="13"/>
  <c r="AM199" i="13"/>
  <c r="AM211" i="13"/>
  <c r="AM185" i="13"/>
  <c r="AM201" i="13"/>
  <c r="AM258" i="13"/>
  <c r="AM303" i="13"/>
  <c r="AM257" i="13"/>
  <c r="AM273" i="13"/>
  <c r="AM244" i="13"/>
  <c r="AM252" i="13"/>
  <c r="AM260" i="13"/>
  <c r="AM268" i="13"/>
  <c r="AM276" i="13"/>
  <c r="AM327" i="13"/>
  <c r="AM345" i="13"/>
  <c r="AM374" i="13"/>
  <c r="AM324" i="13"/>
  <c r="AM361" i="13"/>
  <c r="AM317" i="13"/>
  <c r="AM333" i="13"/>
  <c r="AM353" i="13"/>
  <c r="AM355" i="13"/>
  <c r="AM402" i="13"/>
  <c r="AM406" i="13"/>
  <c r="AM438" i="13"/>
  <c r="AM413" i="13"/>
  <c r="AM408" i="13"/>
  <c r="AM445" i="13"/>
  <c r="AM444" i="13"/>
  <c r="AM471" i="13"/>
  <c r="AM484" i="13"/>
  <c r="AM521" i="13"/>
  <c r="AM528" i="13"/>
  <c r="AM512" i="13"/>
  <c r="AM539" i="13"/>
  <c r="AM536" i="13"/>
  <c r="AM553" i="13"/>
  <c r="AM554" i="13"/>
  <c r="AM456" i="13"/>
  <c r="AM489" i="13"/>
  <c r="AM499" i="13"/>
  <c r="AM491" i="13"/>
  <c r="AM519" i="13"/>
  <c r="AM531" i="13"/>
  <c r="AM557" i="13"/>
  <c r="AM169" i="13"/>
  <c r="AM339" i="13"/>
  <c r="AM300" i="13"/>
  <c r="AM343" i="13"/>
  <c r="AM379" i="13"/>
  <c r="AM349" i="13"/>
  <c r="AM49" i="13"/>
  <c r="AM74" i="13"/>
  <c r="AM122" i="13"/>
  <c r="AM271" i="13"/>
  <c r="AM216" i="13"/>
  <c r="AM336" i="13"/>
  <c r="AM312" i="13"/>
  <c r="AM363" i="13"/>
  <c r="AM509" i="13"/>
  <c r="AM527" i="13"/>
  <c r="AM31" i="13"/>
  <c r="AM128" i="13"/>
  <c r="AM28" i="13"/>
  <c r="AM7" i="13"/>
  <c r="AM160" i="13"/>
  <c r="AM37" i="13"/>
  <c r="AM47" i="13"/>
  <c r="AM39" i="13"/>
  <c r="AM53" i="13"/>
  <c r="AM69" i="13"/>
  <c r="AM129" i="13"/>
  <c r="AM87" i="13"/>
  <c r="AM103" i="13"/>
  <c r="AM119" i="13"/>
  <c r="AM153" i="13"/>
  <c r="AM283" i="13"/>
  <c r="AM275" i="13"/>
  <c r="AM200" i="13"/>
  <c r="AM227" i="13"/>
  <c r="AM235" i="13"/>
  <c r="AM247" i="13"/>
  <c r="AM292" i="13"/>
  <c r="AM376" i="13"/>
  <c r="AM382" i="13"/>
  <c r="AM314" i="13"/>
  <c r="AM335" i="13"/>
  <c r="AM331" i="13"/>
  <c r="AM344" i="13"/>
  <c r="AM420" i="13"/>
  <c r="AM369" i="13"/>
  <c r="AM396" i="13"/>
  <c r="AM435" i="13"/>
  <c r="AM458" i="13"/>
  <c r="AM439" i="13"/>
  <c r="AM500" i="13"/>
  <c r="AM525" i="13"/>
  <c r="AM544" i="13"/>
  <c r="AM219" i="13"/>
  <c r="AM359" i="13"/>
  <c r="AM368" i="13"/>
  <c r="AM487" i="13"/>
  <c r="AM541" i="13"/>
  <c r="AM114" i="13"/>
  <c r="AM163" i="13"/>
  <c r="AM170" i="13"/>
  <c r="AM207" i="13"/>
  <c r="AM213" i="13"/>
  <c r="AM224" i="13"/>
  <c r="AM269" i="13"/>
  <c r="AM383" i="13"/>
  <c r="AM422" i="13"/>
  <c r="AM440" i="13"/>
  <c r="AM478" i="13"/>
  <c r="AM502" i="13"/>
  <c r="AM560" i="13"/>
  <c r="AM21" i="13"/>
  <c r="AM65" i="13"/>
  <c r="AM121" i="13"/>
  <c r="AM125" i="13"/>
  <c r="AM55" i="13"/>
  <c r="AM40" i="13"/>
  <c r="AM172" i="13"/>
  <c r="AM126" i="13"/>
  <c r="AM203" i="13"/>
  <c r="AM140" i="13"/>
  <c r="AM161" i="13"/>
  <c r="AM173" i="13"/>
  <c r="AM233" i="13"/>
  <c r="AM139" i="13"/>
  <c r="AM155" i="13"/>
  <c r="AM171" i="13"/>
  <c r="AM162" i="13"/>
  <c r="AM178" i="13"/>
  <c r="AM232" i="13"/>
  <c r="AM189" i="13"/>
  <c r="AM205" i="13"/>
  <c r="AM217" i="13"/>
  <c r="AM225" i="13"/>
  <c r="AM243" i="13"/>
  <c r="AM212" i="13"/>
  <c r="AM220" i="13"/>
  <c r="AM228" i="13"/>
  <c r="AM350" i="13"/>
  <c r="AM231" i="13"/>
  <c r="AM255" i="13"/>
  <c r="AM287" i="13"/>
  <c r="AM299" i="13"/>
  <c r="AM245" i="13"/>
  <c r="AM261" i="13"/>
  <c r="AM277" i="13"/>
  <c r="AM311" i="13"/>
  <c r="AM306" i="13"/>
  <c r="AM308" i="13"/>
  <c r="AM366" i="13"/>
  <c r="AM378" i="13"/>
  <c r="AM330" i="13"/>
  <c r="AM321" i="13"/>
  <c r="AM337" i="13"/>
  <c r="AM352" i="13"/>
  <c r="AM348" i="13"/>
  <c r="AM375" i="13"/>
  <c r="AM421" i="13"/>
  <c r="AM427" i="13"/>
  <c r="AM441" i="13"/>
  <c r="AM448" i="13"/>
  <c r="AM483" i="13"/>
  <c r="AM493" i="13"/>
  <c r="AM486" i="13"/>
  <c r="AM488" i="13"/>
  <c r="AM496" i="13"/>
  <c r="AM520" i="13"/>
  <c r="AM534" i="13"/>
  <c r="AM537" i="13"/>
  <c r="AM532" i="13"/>
  <c r="AM530" i="13"/>
  <c r="AM547" i="13"/>
  <c r="AM535" i="13"/>
  <c r="AM558" i="13"/>
  <c r="AM552" i="13"/>
  <c r="AM526" i="13"/>
  <c r="AM542" i="13"/>
  <c r="AM555" i="13"/>
  <c r="AM559" i="13"/>
  <c r="AM551" i="13"/>
  <c r="AM20" i="13"/>
  <c r="AM66" i="13"/>
  <c r="AM84" i="13"/>
  <c r="AM62" i="13"/>
  <c r="AM145" i="13"/>
  <c r="AM95" i="13"/>
  <c r="AM190" i="13"/>
  <c r="AM136" i="13"/>
  <c r="AM230" i="13"/>
  <c r="AM284" i="13"/>
  <c r="AM391" i="13"/>
  <c r="AM407" i="13"/>
  <c r="AM506" i="13"/>
  <c r="AM79" i="13"/>
  <c r="AM176" i="13"/>
  <c r="AM154" i="13"/>
  <c r="AM221" i="13"/>
  <c r="AM504" i="13"/>
  <c r="AM71" i="13"/>
  <c r="AM68" i="13"/>
  <c r="AM23" i="13"/>
  <c r="AM60" i="13"/>
  <c r="AM27" i="13"/>
  <c r="AM56" i="13"/>
  <c r="AM94" i="13"/>
  <c r="AM61" i="13"/>
  <c r="AM58" i="13"/>
  <c r="AM67" i="13"/>
  <c r="AM106" i="13"/>
  <c r="AM177" i="13"/>
  <c r="AM91" i="13"/>
  <c r="AM107" i="13"/>
  <c r="AM123" i="13"/>
  <c r="AM274" i="13"/>
  <c r="AM238" i="13"/>
  <c r="AM234" i="13"/>
  <c r="AM251" i="13"/>
  <c r="AM295" i="13"/>
  <c r="AM188" i="13"/>
  <c r="AM204" i="13"/>
  <c r="AM279" i="13"/>
  <c r="AM239" i="13"/>
  <c r="AM215" i="13"/>
  <c r="AM263" i="13"/>
  <c r="AM301" i="13"/>
  <c r="AM298" i="13"/>
  <c r="AM356" i="13"/>
  <c r="AM364" i="13"/>
  <c r="AM296" i="13"/>
  <c r="AM362" i="13"/>
  <c r="AM367" i="13"/>
  <c r="AM373" i="13"/>
  <c r="AM432" i="13"/>
  <c r="AM400" i="13"/>
  <c r="AM450" i="13"/>
  <c r="AM462" i="13"/>
  <c r="AM443" i="13"/>
  <c r="AM447" i="13"/>
  <c r="AM485" i="13"/>
  <c r="AM514" i="13"/>
  <c r="AM523" i="13"/>
  <c r="AM548" i="13"/>
  <c r="AM549" i="13"/>
  <c r="AM556" i="13"/>
  <c r="AM30" i="13"/>
  <c r="AM80" i="13"/>
  <c r="AM24" i="13"/>
  <c r="AM43" i="13"/>
  <c r="AM118" i="13"/>
  <c r="AM157" i="13"/>
  <c r="AM127" i="13"/>
  <c r="AM218" i="13"/>
  <c r="AM192" i="13"/>
  <c r="AM302" i="13"/>
  <c r="AM372" i="13"/>
  <c r="AM404" i="13"/>
  <c r="AM463" i="13"/>
  <c r="AM516" i="13"/>
  <c r="AM137" i="13"/>
  <c r="AM179" i="13"/>
  <c r="AM222" i="13"/>
  <c r="AM197" i="13"/>
  <c r="AM358" i="13"/>
  <c r="AM403" i="13"/>
  <c r="AM390" i="13"/>
  <c r="AM384" i="13"/>
  <c r="AM423" i="13"/>
  <c r="AM460" i="13"/>
  <c r="AM473" i="13"/>
  <c r="AM492" i="13"/>
  <c r="AM32" i="13"/>
  <c r="AM26" i="13"/>
  <c r="AM73" i="13"/>
  <c r="AM124" i="13"/>
  <c r="AM33" i="13"/>
  <c r="AM109" i="13"/>
  <c r="AM133" i="13"/>
  <c r="AM198" i="13"/>
  <c r="AM141" i="13"/>
  <c r="AM156" i="13"/>
  <c r="AM149" i="13"/>
  <c r="AM143" i="13"/>
  <c r="AM159" i="13"/>
  <c r="AM175" i="13"/>
  <c r="AM210" i="13"/>
  <c r="AM150" i="13"/>
  <c r="AM166" i="13"/>
  <c r="AM214" i="13"/>
  <c r="AM236" i="13"/>
  <c r="AM193" i="13"/>
  <c r="AM209" i="13"/>
  <c r="AM259" i="13"/>
  <c r="AM249" i="13"/>
  <c r="AM265" i="13"/>
  <c r="AM281" i="13"/>
  <c r="AM319" i="13"/>
  <c r="AM405" i="13"/>
  <c r="AM248" i="13"/>
  <c r="AM256" i="13"/>
  <c r="AM264" i="13"/>
  <c r="AM272" i="13"/>
  <c r="AM280" i="13"/>
  <c r="AM328" i="13"/>
  <c r="AM316" i="13"/>
  <c r="AM340" i="13"/>
  <c r="AM409" i="13"/>
  <c r="AM325" i="13"/>
  <c r="AM341" i="13"/>
  <c r="AM371" i="13"/>
  <c r="AM395" i="13"/>
  <c r="AM424" i="13"/>
  <c r="AM464" i="13"/>
  <c r="AM469" i="13"/>
  <c r="AM425" i="13"/>
  <c r="AM449" i="13"/>
  <c r="AM452" i="13"/>
  <c r="AM436" i="13"/>
  <c r="AM475" i="13"/>
  <c r="AM490" i="13"/>
  <c r="AM472" i="13"/>
  <c r="AM476" i="13"/>
  <c r="AM498" i="13"/>
  <c r="AM533" i="13"/>
  <c r="AM112" i="13"/>
  <c r="AM75" i="13"/>
  <c r="AM111" i="13"/>
  <c r="AM267" i="13"/>
  <c r="AM332" i="13"/>
  <c r="AM322" i="13"/>
  <c r="AM29" i="13"/>
  <c r="AM97" i="13"/>
  <c r="AM63" i="13"/>
  <c r="AM45" i="13"/>
  <c r="AM131" i="13"/>
  <c r="AM181" i="13"/>
  <c r="AM237" i="13"/>
  <c r="AM338" i="13"/>
  <c r="AM253" i="13"/>
  <c r="AM240" i="13"/>
  <c r="AM545" i="13"/>
  <c r="AK74" i="4"/>
  <c r="AM74" i="4" s="1"/>
  <c r="AK118" i="4"/>
  <c r="AM118" i="4" s="1"/>
  <c r="AK149" i="4"/>
  <c r="AM149" i="4" s="1"/>
  <c r="AK89" i="4"/>
  <c r="AM89" i="4" s="1"/>
  <c r="AK99" i="4"/>
  <c r="AK83" i="4"/>
  <c r="AM83" i="4" s="1"/>
  <c r="AK53" i="4"/>
  <c r="AM53" i="4" s="1"/>
  <c r="AK31" i="4"/>
  <c r="AM31" i="4" s="1"/>
  <c r="AK14" i="4"/>
  <c r="AM14" i="4" s="1"/>
  <c r="AK139" i="4"/>
  <c r="AM139" i="4" s="1"/>
  <c r="AK124" i="4"/>
  <c r="AK42" i="4"/>
  <c r="AM42" i="4" s="1"/>
  <c r="AK134" i="4"/>
  <c r="AM134" i="4" s="1"/>
  <c r="AK66" i="4"/>
  <c r="AM66" i="4" s="1"/>
  <c r="AK43" i="4"/>
  <c r="AM43" i="4" s="1"/>
  <c r="AK8" i="4"/>
  <c r="AK21" i="4"/>
  <c r="AM21" i="4" s="1"/>
  <c r="AU21" i="4" s="1"/>
  <c r="AV21" i="4" s="1"/>
  <c r="AK117" i="4"/>
  <c r="AM117" i="4" s="1"/>
  <c r="AU117" i="4" s="1"/>
  <c r="AV117" i="4" s="1"/>
  <c r="AK67" i="4"/>
  <c r="AM67" i="4" s="1"/>
  <c r="AX67" i="4" s="1"/>
  <c r="AY67" i="4" s="1"/>
  <c r="CN67" i="4" s="1"/>
  <c r="AK131" i="4"/>
  <c r="AM131" i="4" s="1"/>
  <c r="AU131" i="4" s="1"/>
  <c r="AV131" i="4" s="1"/>
  <c r="AK29" i="4"/>
  <c r="AM29" i="4" s="1"/>
  <c r="AX29" i="4" s="1"/>
  <c r="AY29" i="4" s="1"/>
  <c r="CN29" i="4" s="1"/>
  <c r="AK152" i="4"/>
  <c r="AM152" i="4" s="1"/>
  <c r="AU152" i="4" s="1"/>
  <c r="AV152" i="4" s="1"/>
  <c r="AK26" i="4"/>
  <c r="AM26" i="4" s="1"/>
  <c r="AK20" i="4"/>
  <c r="AM20" i="4" s="1"/>
  <c r="AK12" i="4"/>
  <c r="AK61" i="4"/>
  <c r="AM61" i="4" s="1"/>
  <c r="AK62" i="4"/>
  <c r="AM62" i="4" s="1"/>
  <c r="AK150" i="4"/>
  <c r="AM150" i="4" s="1"/>
  <c r="AK71" i="4"/>
  <c r="AK101" i="4"/>
  <c r="AM101" i="4" s="1"/>
  <c r="AK147" i="4"/>
  <c r="AM147" i="4" s="1"/>
  <c r="AK57" i="4"/>
  <c r="AM57" i="4" s="1"/>
  <c r="AK127" i="4"/>
  <c r="AM127" i="4" s="1"/>
  <c r="AK82" i="4"/>
  <c r="AM82" i="4" s="1"/>
  <c r="AU82" i="4" s="1"/>
  <c r="AV82" i="4" s="1"/>
  <c r="AK25" i="4"/>
  <c r="AM25" i="4" s="1"/>
  <c r="AX25" i="4" s="1"/>
  <c r="AY25" i="4" s="1"/>
  <c r="CN25" i="4" s="1"/>
  <c r="AK39" i="4"/>
  <c r="AM39" i="4" s="1"/>
  <c r="AU39" i="4" s="1"/>
  <c r="AV39" i="4" s="1"/>
  <c r="AK103" i="4"/>
  <c r="AM103" i="4" s="1"/>
  <c r="AU103" i="4" s="1"/>
  <c r="AV103" i="4" s="1"/>
  <c r="AK96" i="4"/>
  <c r="AM96" i="4" s="1"/>
  <c r="AU96" i="4" s="1"/>
  <c r="AV96" i="4" s="1"/>
  <c r="AK76" i="4"/>
  <c r="AM76" i="4" s="1"/>
  <c r="AX76" i="4" s="1"/>
  <c r="AW70" i="4"/>
  <c r="AK30" i="4"/>
  <c r="AM30" i="4" s="1"/>
  <c r="AK22" i="4"/>
  <c r="AM22" i="4" s="1"/>
  <c r="AK95" i="4"/>
  <c r="AM95" i="4" s="1"/>
  <c r="AK64" i="4"/>
  <c r="AM64" i="4" s="1"/>
  <c r="AK38" i="4"/>
  <c r="AM38" i="4" s="1"/>
  <c r="AK40" i="4"/>
  <c r="AM40" i="4" s="1"/>
  <c r="AK65" i="4"/>
  <c r="AM65" i="4" s="1"/>
  <c r="AK146" i="4"/>
  <c r="AM146" i="4" s="1"/>
  <c r="AK141" i="4"/>
  <c r="AM141" i="4" s="1"/>
  <c r="AK55" i="4"/>
  <c r="AM55" i="4" s="1"/>
  <c r="AK24" i="4"/>
  <c r="AM24" i="4" s="1"/>
  <c r="AK46" i="4"/>
  <c r="AM46" i="4" s="1"/>
  <c r="AK81" i="4"/>
  <c r="B80" i="2"/>
  <c r="N27" i="1" s="1"/>
  <c r="AK91" i="4"/>
  <c r="AM91" i="4" s="1"/>
  <c r="AU91" i="4" s="1"/>
  <c r="AV91" i="4" s="1"/>
  <c r="AK100" i="4"/>
  <c r="AM100" i="4" s="1"/>
  <c r="AX100" i="4" s="1"/>
  <c r="AY100" i="4" s="1"/>
  <c r="CN100" i="4" s="1"/>
  <c r="AK32" i="4"/>
  <c r="AM32" i="4" s="1"/>
  <c r="AU32" i="4" s="1"/>
  <c r="AV32" i="4" s="1"/>
  <c r="AK112" i="4"/>
  <c r="AM112" i="4" s="1"/>
  <c r="AU112" i="4" s="1"/>
  <c r="AV112" i="4" s="1"/>
  <c r="AK143" i="4"/>
  <c r="AM143" i="4" s="1"/>
  <c r="AU143" i="4" s="1"/>
  <c r="AV143" i="4" s="1"/>
  <c r="AK52" i="4"/>
  <c r="AM52" i="4" s="1"/>
  <c r="AU52" i="4" s="1"/>
  <c r="AV52" i="4" s="1"/>
  <c r="CG50" i="4"/>
  <c r="AK79" i="4"/>
  <c r="AM79" i="4" s="1"/>
  <c r="AK17" i="4"/>
  <c r="AM17" i="4" s="1"/>
  <c r="AK105" i="4"/>
  <c r="AM105" i="4" s="1"/>
  <c r="AK90" i="4"/>
  <c r="AK85" i="4"/>
  <c r="AM85" i="4" s="1"/>
  <c r="AK47" i="4"/>
  <c r="AM47" i="4" s="1"/>
  <c r="AK78" i="4"/>
  <c r="AM78" i="4" s="1"/>
  <c r="AK36" i="4"/>
  <c r="AM36" i="4" s="1"/>
  <c r="AK88" i="4"/>
  <c r="AM88" i="4" s="1"/>
  <c r="AK151" i="4"/>
  <c r="AM151" i="4" s="1"/>
  <c r="AK50" i="4"/>
  <c r="AM50" i="4" s="1"/>
  <c r="AK132" i="4"/>
  <c r="AK129" i="4"/>
  <c r="AM129" i="4" s="1"/>
  <c r="AX129" i="4" s="1"/>
  <c r="AK15" i="4"/>
  <c r="AM15" i="4" s="1"/>
  <c r="AU15" i="4" s="1"/>
  <c r="AV15" i="4" s="1"/>
  <c r="AK63" i="4"/>
  <c r="AM63" i="4" s="1"/>
  <c r="AU63" i="4" s="1"/>
  <c r="AV63" i="4" s="1"/>
  <c r="AK111" i="4"/>
  <c r="AM111" i="4" s="1"/>
  <c r="AX111" i="4" s="1"/>
  <c r="AK19" i="4"/>
  <c r="AM19" i="4" s="1"/>
  <c r="AX19" i="4" s="1"/>
  <c r="AK136" i="4"/>
  <c r="AM136" i="4" s="1"/>
  <c r="AX136" i="4" s="1"/>
  <c r="AK153" i="4"/>
  <c r="AM153" i="4" s="1"/>
  <c r="AK145" i="4"/>
  <c r="AM145" i="4" s="1"/>
  <c r="AK94" i="4"/>
  <c r="AM94" i="4" s="1"/>
  <c r="AK155" i="4"/>
  <c r="AM155" i="4" s="1"/>
  <c r="AK77" i="4"/>
  <c r="AM77" i="4" s="1"/>
  <c r="AK122" i="4"/>
  <c r="AK84" i="4"/>
  <c r="AM84" i="4" s="1"/>
  <c r="AK44" i="4"/>
  <c r="AM44" i="4" s="1"/>
  <c r="AK125" i="4"/>
  <c r="AK7" i="4"/>
  <c r="AM7" i="4" s="1"/>
  <c r="AK80" i="4"/>
  <c r="AM80" i="4" s="1"/>
  <c r="AK138" i="4"/>
  <c r="AM138" i="4" s="1"/>
  <c r="AK87" i="4"/>
  <c r="AM87" i="4" s="1"/>
  <c r="AK45" i="4"/>
  <c r="AM45" i="4" s="1"/>
  <c r="AK130" i="4"/>
  <c r="AM130" i="4" s="1"/>
  <c r="AK102" i="4"/>
  <c r="AM102" i="4" s="1"/>
  <c r="AU102" i="4" s="1"/>
  <c r="AV102" i="4" s="1"/>
  <c r="AK48" i="4"/>
  <c r="AM48" i="4" s="1"/>
  <c r="AX48" i="4" s="1"/>
  <c r="AK104" i="4"/>
  <c r="AM104" i="4" s="1"/>
  <c r="AK37" i="4"/>
  <c r="AM37" i="4" s="1"/>
  <c r="AU37" i="4" s="1"/>
  <c r="AV37" i="4" s="1"/>
  <c r="AK86" i="4"/>
  <c r="AM86" i="4" s="1"/>
  <c r="AU86" i="4" s="1"/>
  <c r="AV86" i="4" s="1"/>
  <c r="AK13" i="4"/>
  <c r="AM13" i="4" s="1"/>
  <c r="AX13" i="4" s="1"/>
  <c r="AY13" i="4" s="1"/>
  <c r="CN13" i="4" s="1"/>
  <c r="AW28" i="4"/>
  <c r="CG121" i="4"/>
  <c r="AW42" i="4"/>
  <c r="AW133" i="4"/>
  <c r="CG108" i="4"/>
  <c r="CG62" i="4"/>
  <c r="AW129" i="4"/>
  <c r="CG82" i="4"/>
  <c r="CG86" i="4"/>
  <c r="CG147" i="4"/>
  <c r="CG84" i="4"/>
  <c r="CG105" i="4"/>
  <c r="CG10" i="4"/>
  <c r="CG97" i="4"/>
  <c r="CG12" i="4"/>
  <c r="CG67" i="4"/>
  <c r="AW126" i="4"/>
  <c r="AW144" i="4"/>
  <c r="CG117" i="4"/>
  <c r="CG155" i="4"/>
  <c r="AW137" i="4"/>
  <c r="CG139" i="4"/>
  <c r="CG99" i="4"/>
  <c r="CG49" i="4"/>
  <c r="CG134" i="4"/>
  <c r="AW116" i="4"/>
  <c r="AW136" i="4"/>
  <c r="CG91" i="4"/>
  <c r="AW74" i="4"/>
  <c r="CG72" i="4"/>
  <c r="AW65" i="4"/>
  <c r="CG128" i="4"/>
  <c r="CG8" i="4"/>
  <c r="CG89" i="4"/>
  <c r="CG83" i="4"/>
  <c r="CG39" i="4"/>
  <c r="AW26" i="4"/>
  <c r="CG57" i="4"/>
  <c r="CG54" i="4"/>
  <c r="B86" i="2"/>
  <c r="B186" i="2"/>
  <c r="B187" i="2" s="1"/>
  <c r="B185" i="2"/>
  <c r="B44" i="2"/>
  <c r="B180" i="2" s="1"/>
  <c r="B48" i="2"/>
  <c r="B43" i="2"/>
  <c r="BV54" i="4" s="1"/>
  <c r="B47" i="2"/>
  <c r="A1" i="11"/>
  <c r="B76" i="2"/>
  <c r="B25" i="2"/>
  <c r="BA124" i="4" s="1"/>
  <c r="B30" i="2"/>
  <c r="B74" i="2"/>
  <c r="B75" i="2" s="1"/>
  <c r="N19" i="1" s="1"/>
  <c r="B29" i="2"/>
  <c r="B165" i="2"/>
  <c r="B166" i="2"/>
  <c r="AW153" i="4"/>
  <c r="AW19" i="4"/>
  <c r="CG19" i="4"/>
  <c r="AW123" i="4"/>
  <c r="CG123" i="4"/>
  <c r="AW48" i="4"/>
  <c r="CG48" i="4"/>
  <c r="AW104" i="4"/>
  <c r="CG104" i="4"/>
  <c r="AW94" i="4"/>
  <c r="CG94" i="4"/>
  <c r="B331" i="2"/>
  <c r="B330" i="2"/>
  <c r="AW113" i="4"/>
  <c r="CG113" i="4"/>
  <c r="AW114" i="4"/>
  <c r="CG114" i="4"/>
  <c r="E270" i="2"/>
  <c r="B129" i="2"/>
  <c r="AW145" i="4"/>
  <c r="AW106" i="4"/>
  <c r="CG124" i="4"/>
  <c r="AM123" i="4"/>
  <c r="AX123" i="4" s="1"/>
  <c r="AF114" i="5"/>
  <c r="AF452" i="5"/>
  <c r="AF363" i="5"/>
  <c r="AF424" i="5"/>
  <c r="AF408" i="5"/>
  <c r="AF13" i="5"/>
  <c r="AF210" i="5"/>
  <c r="AF109" i="5"/>
  <c r="AF541" i="5"/>
  <c r="AF412" i="5"/>
  <c r="AF199" i="5"/>
  <c r="AK128" i="4"/>
  <c r="AM128" i="4" s="1"/>
  <c r="AX128" i="4" s="1"/>
  <c r="AY128" i="4" s="1"/>
  <c r="CN128" i="4" s="1"/>
  <c r="AW37" i="4"/>
  <c r="AF87" i="5"/>
  <c r="AF465" i="5"/>
  <c r="AF527" i="5"/>
  <c r="AF502" i="5"/>
  <c r="AF547" i="5"/>
  <c r="AF308" i="5"/>
  <c r="AF275" i="5"/>
  <c r="AF187" i="5"/>
  <c r="AF55" i="5"/>
  <c r="AF446" i="5"/>
  <c r="AF517" i="5"/>
  <c r="AF32" i="5"/>
  <c r="AF431" i="5"/>
  <c r="AF345" i="5"/>
  <c r="AF92" i="5"/>
  <c r="AF180" i="5"/>
  <c r="AF177" i="5"/>
  <c r="AF309" i="5"/>
  <c r="AF261" i="5"/>
  <c r="AF226" i="5"/>
  <c r="AF559" i="5"/>
  <c r="AF243" i="5"/>
  <c r="AF139" i="5"/>
  <c r="AF98" i="5"/>
  <c r="AF557" i="5"/>
  <c r="AF338" i="5"/>
  <c r="AF151" i="5"/>
  <c r="AF153" i="5"/>
  <c r="AF462" i="5"/>
  <c r="AF389" i="5"/>
  <c r="AF468" i="5"/>
  <c r="AF483" i="5"/>
  <c r="AF12" i="5"/>
  <c r="AF325" i="5"/>
  <c r="AF218" i="5"/>
  <c r="AF220" i="5"/>
  <c r="AF67" i="5"/>
  <c r="AF223" i="5"/>
  <c r="AF415" i="5"/>
  <c r="AF71" i="5"/>
  <c r="AF476" i="5"/>
  <c r="AF536" i="5"/>
  <c r="AF560" i="5"/>
  <c r="AF510" i="5"/>
  <c r="AF7" i="5"/>
  <c r="AF202" i="5"/>
  <c r="AF239" i="5"/>
  <c r="AF328" i="5"/>
  <c r="AF233" i="5"/>
  <c r="AF548" i="5"/>
  <c r="AF540" i="5"/>
  <c r="AF28" i="5"/>
  <c r="AF499" i="5"/>
  <c r="AF432" i="5"/>
  <c r="AF91" i="5"/>
  <c r="AK59" i="4"/>
  <c r="AM59" i="4" s="1"/>
  <c r="AK33" i="4"/>
  <c r="AM33" i="4" s="1"/>
  <c r="AX33" i="4" s="1"/>
  <c r="CG107" i="4"/>
  <c r="AW107" i="4"/>
  <c r="AK113" i="4"/>
  <c r="AM113" i="4" s="1"/>
  <c r="AX113" i="4" s="1"/>
  <c r="CG93" i="4"/>
  <c r="AW93" i="4"/>
  <c r="CG68" i="4"/>
  <c r="AW68" i="4"/>
  <c r="AW63" i="4"/>
  <c r="CG63" i="4"/>
  <c r="AW110" i="4"/>
  <c r="CG110" i="4"/>
  <c r="AW38" i="4"/>
  <c r="CG38" i="4"/>
  <c r="AW23" i="4"/>
  <c r="CG23" i="4"/>
  <c r="AK119" i="4"/>
  <c r="AM119" i="4" s="1"/>
  <c r="AW109" i="4"/>
  <c r="CG109" i="4"/>
  <c r="AW132" i="4"/>
  <c r="CG132" i="4"/>
  <c r="AW79" i="4"/>
  <c r="CG79" i="4"/>
  <c r="AW20" i="4"/>
  <c r="CG20" i="4"/>
  <c r="CG55" i="4"/>
  <c r="AW55" i="4"/>
  <c r="CG78" i="4"/>
  <c r="AW78" i="4"/>
  <c r="CG73" i="4"/>
  <c r="AW73" i="4"/>
  <c r="CG125" i="4"/>
  <c r="AW125" i="4"/>
  <c r="CG35" i="4"/>
  <c r="AW35" i="4"/>
  <c r="AW95" i="4"/>
  <c r="CG95" i="4"/>
  <c r="AW76" i="4"/>
  <c r="CG76" i="4"/>
  <c r="AW51" i="4"/>
  <c r="CG51" i="4"/>
  <c r="AW80" i="4"/>
  <c r="CG80" i="4"/>
  <c r="AW71" i="4"/>
  <c r="CG71" i="4"/>
  <c r="AW142" i="4"/>
  <c r="CG142" i="4"/>
  <c r="AW141" i="4"/>
  <c r="CG141" i="4"/>
  <c r="AW90" i="4"/>
  <c r="CG90" i="4"/>
  <c r="CG111" i="4"/>
  <c r="AW111" i="4"/>
  <c r="AW140" i="4"/>
  <c r="CG140" i="4"/>
  <c r="AW87" i="4"/>
  <c r="CG87" i="4"/>
  <c r="AW44" i="4"/>
  <c r="CG44" i="4"/>
  <c r="AK34" i="4"/>
  <c r="AM34" i="4" s="1"/>
  <c r="AU34" i="4" s="1"/>
  <c r="AV34" i="4" s="1"/>
  <c r="CG17" i="4"/>
  <c r="AW17" i="4"/>
  <c r="CG157" i="4"/>
  <c r="AW157" i="4"/>
  <c r="CG154" i="4"/>
  <c r="AW154" i="4"/>
  <c r="AW127" i="4"/>
  <c r="CG127" i="4"/>
  <c r="AW103" i="4"/>
  <c r="CG103" i="4"/>
  <c r="AW45" i="4"/>
  <c r="CG45" i="4"/>
  <c r="AW40" i="4"/>
  <c r="CG40" i="4"/>
  <c r="AW56" i="4"/>
  <c r="CG56" i="4"/>
  <c r="CG143" i="4"/>
  <c r="AW143" i="4"/>
  <c r="CG98" i="4"/>
  <c r="AW98" i="4"/>
  <c r="CG119" i="4"/>
  <c r="AW119" i="4"/>
  <c r="AW21" i="4"/>
  <c r="CG21" i="4"/>
  <c r="AK68" i="4"/>
  <c r="AM68" i="4" s="1"/>
  <c r="AU68" i="4" s="1"/>
  <c r="AV68" i="4" s="1"/>
  <c r="AW61" i="4"/>
  <c r="CG61" i="4"/>
  <c r="AW102" i="4"/>
  <c r="CG102" i="4"/>
  <c r="CG120" i="4"/>
  <c r="AW120" i="4"/>
  <c r="AW22" i="4"/>
  <c r="CG22" i="4"/>
  <c r="AW9" i="4"/>
  <c r="CG9" i="4"/>
  <c r="AW135" i="4"/>
  <c r="CG135" i="4"/>
  <c r="AW66" i="4"/>
  <c r="CG66" i="4"/>
  <c r="AW77" i="4"/>
  <c r="CG77" i="4"/>
  <c r="AW16" i="4"/>
  <c r="CG16" i="4"/>
  <c r="CG47" i="4"/>
  <c r="AW47" i="4"/>
  <c r="CG46" i="4"/>
  <c r="AW46" i="4"/>
  <c r="AW64" i="4"/>
  <c r="CG64" i="4"/>
  <c r="AW151" i="4"/>
  <c r="CG151" i="4"/>
  <c r="AW41" i="4"/>
  <c r="CG41" i="4"/>
  <c r="AM513" i="5"/>
  <c r="AO513" i="5" s="1"/>
  <c r="AK27" i="4"/>
  <c r="AM27" i="4" s="1"/>
  <c r="AU27" i="4" s="1"/>
  <c r="AV27" i="4" s="1"/>
  <c r="AK142" i="4"/>
  <c r="AM142" i="4" s="1"/>
  <c r="AU142" i="4" s="1"/>
  <c r="AV142" i="4" s="1"/>
  <c r="G213" i="2"/>
  <c r="B152" i="2"/>
  <c r="H18" i="1"/>
  <c r="B128" i="2"/>
  <c r="AK56" i="4"/>
  <c r="AM56" i="4" s="1"/>
  <c r="AU56" i="4" s="1"/>
  <c r="AV56" i="4" s="1"/>
  <c r="AM135" i="5"/>
  <c r="AO135" i="5" s="1"/>
  <c r="AM323" i="5"/>
  <c r="AM167" i="5"/>
  <c r="AN167" i="5" s="1"/>
  <c r="AM333" i="5"/>
  <c r="AO333" i="5" s="1"/>
  <c r="AJ34" i="5"/>
  <c r="AL34" i="5" s="1"/>
  <c r="AX137" i="4"/>
  <c r="AU137" i="4"/>
  <c r="AV137" i="4" s="1"/>
  <c r="AI8" i="5"/>
  <c r="AM89" i="5"/>
  <c r="AO89" i="5" s="1"/>
  <c r="AM134" i="5"/>
  <c r="AO134" i="5" s="1"/>
  <c r="AM62" i="5"/>
  <c r="AN62" i="5" s="1"/>
  <c r="AM60" i="5"/>
  <c r="AO60" i="5" s="1"/>
  <c r="AM316" i="5"/>
  <c r="AO316" i="5" s="1"/>
  <c r="AM186" i="5"/>
  <c r="AN186" i="5" s="1"/>
  <c r="AM468" i="5"/>
  <c r="AN468" i="5" s="1"/>
  <c r="AM93" i="5"/>
  <c r="AO93" i="5" s="1"/>
  <c r="AM153" i="5"/>
  <c r="AO153" i="5" s="1"/>
  <c r="AM239" i="5"/>
  <c r="AN239" i="5" s="1"/>
  <c r="AM48" i="5"/>
  <c r="AO48" i="5" s="1"/>
  <c r="AM113" i="5"/>
  <c r="AN113" i="5" s="1"/>
  <c r="AM31" i="5"/>
  <c r="AN31" i="5" s="1"/>
  <c r="AM94" i="5"/>
  <c r="AN94" i="5" s="1"/>
  <c r="AM183" i="5"/>
  <c r="AN183" i="5" s="1"/>
  <c r="AM269" i="5"/>
  <c r="AO269" i="5" s="1"/>
  <c r="AM373" i="5"/>
  <c r="AN373" i="5" s="1"/>
  <c r="AM364" i="5"/>
  <c r="AN364" i="5" s="1"/>
  <c r="AM507" i="5"/>
  <c r="AO507" i="5" s="1"/>
  <c r="AM448" i="5"/>
  <c r="AM96" i="5"/>
  <c r="AN96" i="5" s="1"/>
  <c r="AM185" i="5"/>
  <c r="AO185" i="5" s="1"/>
  <c r="AM259" i="5"/>
  <c r="AO259" i="5" s="1"/>
  <c r="AM71" i="5"/>
  <c r="AM148" i="5"/>
  <c r="AO148" i="5" s="1"/>
  <c r="AM44" i="5"/>
  <c r="AO44" i="5" s="1"/>
  <c r="AM144" i="5"/>
  <c r="AO144" i="5" s="1"/>
  <c r="AM136" i="5"/>
  <c r="AN136" i="5" s="1"/>
  <c r="AM317" i="5"/>
  <c r="AO317" i="5" s="1"/>
  <c r="AM411" i="5"/>
  <c r="AN411" i="5" s="1"/>
  <c r="AM398" i="5"/>
  <c r="AO398" i="5" s="1"/>
  <c r="AM353" i="5"/>
  <c r="AM407" i="5"/>
  <c r="AO407" i="5" s="1"/>
  <c r="AM87" i="5"/>
  <c r="AN87" i="5" s="1"/>
  <c r="AM203" i="5"/>
  <c r="AO203" i="5" s="1"/>
  <c r="AM281" i="5"/>
  <c r="AN281" i="5" s="1"/>
  <c r="AM69" i="5"/>
  <c r="AN69" i="5" s="1"/>
  <c r="AM175" i="5"/>
  <c r="AN175" i="5" s="1"/>
  <c r="AM64" i="5"/>
  <c r="AO64" i="5" s="1"/>
  <c r="AM117" i="5"/>
  <c r="AN117" i="5" s="1"/>
  <c r="AM213" i="5"/>
  <c r="AN213" i="5" s="1"/>
  <c r="AM241" i="5"/>
  <c r="AO241" i="5" s="1"/>
  <c r="AM440" i="5"/>
  <c r="AN440" i="5" s="1"/>
  <c r="AM368" i="5"/>
  <c r="AM441" i="5"/>
  <c r="AO441" i="5" s="1"/>
  <c r="AM541" i="5"/>
  <c r="AO541" i="5" s="1"/>
  <c r="AM25" i="5"/>
  <c r="AN25" i="5" s="1"/>
  <c r="AM129" i="5"/>
  <c r="AO129" i="5" s="1"/>
  <c r="AM205" i="5"/>
  <c r="AN205" i="5" s="1"/>
  <c r="AM307" i="5"/>
  <c r="AN307" i="5" s="1"/>
  <c r="AM88" i="5"/>
  <c r="AO88" i="5" s="1"/>
  <c r="AM164" i="5"/>
  <c r="AN164" i="5" s="1"/>
  <c r="AM52" i="5"/>
  <c r="AN52" i="5" s="1"/>
  <c r="AM119" i="5"/>
  <c r="AO119" i="5" s="1"/>
  <c r="AM179" i="5"/>
  <c r="AO179" i="5" s="1"/>
  <c r="AM268" i="5"/>
  <c r="AN268" i="5" s="1"/>
  <c r="AM345" i="5"/>
  <c r="AN345" i="5" s="1"/>
  <c r="AM460" i="5"/>
  <c r="AO460" i="5" s="1"/>
  <c r="AM488" i="5"/>
  <c r="AN488" i="5" s="1"/>
  <c r="AM464" i="5"/>
  <c r="AN464" i="5" s="1"/>
  <c r="AM128" i="5"/>
  <c r="AM504" i="5"/>
  <c r="AN504" i="5" s="1"/>
  <c r="AM34" i="5"/>
  <c r="AO34" i="5" s="1"/>
  <c r="AM33" i="5"/>
  <c r="AN33" i="5" s="1"/>
  <c r="AM253" i="5"/>
  <c r="AO253" i="5" s="1"/>
  <c r="AM109" i="5"/>
  <c r="AN109" i="5" s="1"/>
  <c r="AM101" i="5"/>
  <c r="AM309" i="5"/>
  <c r="AN309" i="5" s="1"/>
  <c r="AM28" i="5"/>
  <c r="AO28" i="5" s="1"/>
  <c r="AM155" i="5"/>
  <c r="AO155" i="5" s="1"/>
  <c r="AM204" i="5"/>
  <c r="AN204" i="5" s="1"/>
  <c r="AM294" i="5"/>
  <c r="AN294" i="5" s="1"/>
  <c r="AM27" i="5"/>
  <c r="AO27" i="5" s="1"/>
  <c r="AM140" i="5"/>
  <c r="AO140" i="5" s="1"/>
  <c r="AM75" i="5"/>
  <c r="AM177" i="5"/>
  <c r="AN177" i="5" s="1"/>
  <c r="AM191" i="5"/>
  <c r="AN191" i="5" s="1"/>
  <c r="AM329" i="5"/>
  <c r="AO329" i="5" s="1"/>
  <c r="AM399" i="5"/>
  <c r="AO399" i="5" s="1"/>
  <c r="AM382" i="5"/>
  <c r="AO382" i="5" s="1"/>
  <c r="AM522" i="5"/>
  <c r="AN522" i="5" s="1"/>
  <c r="AM236" i="5"/>
  <c r="AO236" i="5" s="1"/>
  <c r="AM233" i="5"/>
  <c r="AO233" i="5" s="1"/>
  <c r="AM29" i="5"/>
  <c r="AO29" i="5" s="1"/>
  <c r="AM54" i="5"/>
  <c r="AN54" i="5" s="1"/>
  <c r="AM214" i="5"/>
  <c r="AO214" i="5" s="1"/>
  <c r="AM375" i="5"/>
  <c r="AN375" i="5" s="1"/>
  <c r="AM502" i="5"/>
  <c r="AN502" i="5" s="1"/>
  <c r="AM49" i="5"/>
  <c r="AN49" i="5" s="1"/>
  <c r="AM142" i="5"/>
  <c r="AO142" i="5" s="1"/>
  <c r="AM228" i="5"/>
  <c r="AO228" i="5" s="1"/>
  <c r="AM192" i="5"/>
  <c r="AO192" i="5" s="1"/>
  <c r="AM41" i="5"/>
  <c r="AO41" i="5" s="1"/>
  <c r="AM112" i="5"/>
  <c r="AO112" i="5" s="1"/>
  <c r="AM8" i="5"/>
  <c r="AN8" i="5" s="1"/>
  <c r="AM76" i="5"/>
  <c r="AO76" i="5" s="1"/>
  <c r="AM166" i="5"/>
  <c r="AO166" i="5" s="1"/>
  <c r="AM288" i="5"/>
  <c r="AN288" i="5" s="1"/>
  <c r="AM351" i="5"/>
  <c r="AN351" i="5" s="1"/>
  <c r="AM245" i="5"/>
  <c r="AN245" i="5" s="1"/>
  <c r="AM429" i="5"/>
  <c r="AN429" i="5" s="1"/>
  <c r="AM229" i="5"/>
  <c r="AO229" i="5" s="1"/>
  <c r="AM35" i="5"/>
  <c r="AO35" i="5" s="1"/>
  <c r="AF522" i="5"/>
  <c r="AF445" i="5"/>
  <c r="AF256" i="5"/>
  <c r="AF505" i="5"/>
  <c r="AF379" i="5"/>
  <c r="AF444" i="5"/>
  <c r="AF206" i="5"/>
  <c r="AF469" i="5"/>
  <c r="AF526" i="5"/>
  <c r="AF262" i="5"/>
  <c r="AF165" i="5"/>
  <c r="AF455" i="5"/>
  <c r="AF414" i="5"/>
  <c r="AF176" i="5"/>
  <c r="AF544" i="5"/>
  <c r="AF322" i="5"/>
  <c r="AF486" i="5"/>
  <c r="AF434" i="5"/>
  <c r="AF405" i="5"/>
  <c r="AF276" i="5"/>
  <c r="AF132" i="5"/>
  <c r="AF493" i="5"/>
  <c r="AF554" i="5"/>
  <c r="AF512" i="5"/>
  <c r="AF464" i="5"/>
  <c r="AF376" i="5"/>
  <c r="AF304" i="5"/>
  <c r="AF108" i="5"/>
  <c r="AF26" i="5"/>
  <c r="AF93" i="5"/>
  <c r="AF200" i="5"/>
  <c r="AF231" i="5"/>
  <c r="AF288" i="5"/>
  <c r="AF331" i="5"/>
  <c r="AF393" i="5"/>
  <c r="AF383" i="5"/>
  <c r="AF413" i="5"/>
  <c r="AF490" i="5"/>
  <c r="AF79" i="5"/>
  <c r="AF155" i="5"/>
  <c r="AF186" i="5"/>
  <c r="AF194" i="5"/>
  <c r="AF311" i="5"/>
  <c r="AF247" i="5"/>
  <c r="AF277" i="5"/>
  <c r="AF257" i="5"/>
  <c r="AF335" i="5"/>
  <c r="AF406" i="5"/>
  <c r="AF134" i="5"/>
  <c r="AF117" i="5"/>
  <c r="AF74" i="5"/>
  <c r="AF40" i="5"/>
  <c r="AF130" i="5"/>
  <c r="AF121" i="5"/>
  <c r="AF160" i="5"/>
  <c r="AF75" i="5"/>
  <c r="AF44" i="5"/>
  <c r="AF9" i="5"/>
  <c r="AF534" i="5"/>
  <c r="AF521" i="5"/>
  <c r="AF316" i="5"/>
  <c r="AF382" i="5"/>
  <c r="AF339" i="5"/>
  <c r="AF478" i="5"/>
  <c r="AF553" i="5"/>
  <c r="AF556" i="5"/>
  <c r="AF485" i="5"/>
  <c r="AF258" i="5"/>
  <c r="AF129" i="5"/>
  <c r="AF426" i="5"/>
  <c r="AF355" i="5"/>
  <c r="AF161" i="5"/>
  <c r="AF518" i="5"/>
  <c r="AF519" i="5"/>
  <c r="AF474" i="5"/>
  <c r="AF397" i="5"/>
  <c r="AF260" i="5"/>
  <c r="AF241" i="5"/>
  <c r="AF144" i="5"/>
  <c r="AF443" i="5"/>
  <c r="AF529" i="5"/>
  <c r="AF498" i="5"/>
  <c r="AF263" i="5"/>
  <c r="AF342" i="5"/>
  <c r="AF278" i="5"/>
  <c r="AF111" i="5"/>
  <c r="AF56" i="5"/>
  <c r="AF116" i="5"/>
  <c r="AF229" i="5"/>
  <c r="AF201" i="5"/>
  <c r="AF303" i="5"/>
  <c r="AF352" i="5"/>
  <c r="AF409" i="5"/>
  <c r="AF404" i="5"/>
  <c r="AF336" i="5"/>
  <c r="AF39" i="5"/>
  <c r="AF96" i="5"/>
  <c r="AF127" i="5"/>
  <c r="AF216" i="5"/>
  <c r="AF203" i="5"/>
  <c r="AF327" i="5"/>
  <c r="AF268" i="5"/>
  <c r="AF324" i="5"/>
  <c r="AF295" i="5"/>
  <c r="AF357" i="5"/>
  <c r="AF433" i="5"/>
  <c r="AF182" i="5"/>
  <c r="AF107" i="5"/>
  <c r="AF78" i="5"/>
  <c r="AF42" i="5"/>
  <c r="AF172" i="5"/>
  <c r="AF103" i="5"/>
  <c r="AF142" i="5"/>
  <c r="AF35" i="5"/>
  <c r="AF37" i="5"/>
  <c r="AF10" i="5"/>
  <c r="AF466" i="5"/>
  <c r="AF467" i="5"/>
  <c r="AF196" i="5"/>
  <c r="AF417" i="5"/>
  <c r="AF298" i="5"/>
  <c r="AF366" i="5"/>
  <c r="AF450" i="5"/>
  <c r="AF523" i="5"/>
  <c r="AF422" i="5"/>
  <c r="AF197" i="5"/>
  <c r="AF81" i="5"/>
  <c r="AF504" i="5"/>
  <c r="AF360" i="5"/>
  <c r="AF128" i="5"/>
  <c r="AF401" i="5"/>
  <c r="AF503" i="5"/>
  <c r="AF459" i="5"/>
  <c r="AF419" i="5"/>
  <c r="AF344" i="5"/>
  <c r="AF205" i="5"/>
  <c r="AF110" i="5"/>
  <c r="AF542" i="5"/>
  <c r="AF520" i="5"/>
  <c r="AF477" i="5"/>
  <c r="AF392" i="5"/>
  <c r="AF265" i="5"/>
  <c r="AF244" i="5"/>
  <c r="AF101" i="5"/>
  <c r="AF46" i="5"/>
  <c r="AF135" i="5"/>
  <c r="AF251" i="5"/>
  <c r="AF266" i="5"/>
  <c r="AF323" i="5"/>
  <c r="AF252" i="5"/>
  <c r="AF441" i="5"/>
  <c r="AF418" i="5"/>
  <c r="AF388" i="5"/>
  <c r="AF43" i="5"/>
  <c r="AF86" i="5"/>
  <c r="AF120" i="5"/>
  <c r="AF232" i="5"/>
  <c r="AF219" i="5"/>
  <c r="AF183" i="5"/>
  <c r="AF290" i="5"/>
  <c r="AF354" i="5"/>
  <c r="AF315" i="5"/>
  <c r="AF371" i="5"/>
  <c r="AF442" i="5"/>
  <c r="AF163" i="5"/>
  <c r="AF156" i="5"/>
  <c r="AF69" i="5"/>
  <c r="AF21" i="5"/>
  <c r="AF152" i="5"/>
  <c r="AF154" i="5"/>
  <c r="AF85" i="5"/>
  <c r="AF76" i="5"/>
  <c r="AF22" i="5"/>
  <c r="AF11" i="5"/>
  <c r="AF482" i="5"/>
  <c r="AF514" i="5"/>
  <c r="AF494" i="5"/>
  <c r="AF438" i="5"/>
  <c r="AF228" i="5"/>
  <c r="AF373" i="5"/>
  <c r="AF481" i="5"/>
  <c r="AF500" i="5"/>
  <c r="AF375" i="5"/>
  <c r="AF212" i="5"/>
  <c r="AF70" i="5"/>
  <c r="AF533" i="5"/>
  <c r="AF294" i="5"/>
  <c r="AF54" i="5"/>
  <c r="AF508" i="5"/>
  <c r="AF484" i="5"/>
  <c r="AF439" i="5"/>
  <c r="AF314" i="5"/>
  <c r="AF310" i="5"/>
  <c r="AF240" i="5"/>
  <c r="AF29" i="5"/>
  <c r="AF558" i="5"/>
  <c r="AF506" i="5"/>
  <c r="AF423" i="5"/>
  <c r="AF365" i="5"/>
  <c r="AF350" i="5"/>
  <c r="AF222" i="5"/>
  <c r="AF80" i="5"/>
  <c r="AF33" i="5"/>
  <c r="AF145" i="5"/>
  <c r="AF191" i="5"/>
  <c r="AF279" i="5"/>
  <c r="AF234" i="5"/>
  <c r="AF274" i="5"/>
  <c r="AF254" i="5"/>
  <c r="AF334" i="5"/>
  <c r="AF403" i="5"/>
  <c r="AF41" i="5"/>
  <c r="AF106" i="5"/>
  <c r="AF181" i="5"/>
  <c r="AF178" i="5"/>
  <c r="AF237" i="5"/>
  <c r="AF259" i="5"/>
  <c r="AF305" i="5"/>
  <c r="AF368" i="5"/>
  <c r="AF347" i="5"/>
  <c r="AF384" i="5"/>
  <c r="AF458" i="5"/>
  <c r="AF143" i="5"/>
  <c r="AF124" i="5"/>
  <c r="AF66" i="5"/>
  <c r="AF211" i="5"/>
  <c r="AF122" i="5"/>
  <c r="AF147" i="5"/>
  <c r="AF99" i="5"/>
  <c r="AF53" i="5"/>
  <c r="AF36" i="5"/>
  <c r="AF31" i="5"/>
  <c r="AF448" i="5"/>
  <c r="AF453" i="5"/>
  <c r="AF487" i="5"/>
  <c r="AF248" i="5"/>
  <c r="AF90" i="5"/>
  <c r="AF387" i="5"/>
  <c r="AF398" i="5"/>
  <c r="AF470" i="5"/>
  <c r="AF280" i="5"/>
  <c r="AF207" i="5"/>
  <c r="AF19" i="5"/>
  <c r="AF497" i="5"/>
  <c r="AF313" i="5"/>
  <c r="AF68" i="5"/>
  <c r="AF356" i="5"/>
  <c r="AF473" i="5"/>
  <c r="AF421" i="5"/>
  <c r="AF390" i="5"/>
  <c r="AF272" i="5"/>
  <c r="AF221" i="5"/>
  <c r="AF59" i="5"/>
  <c r="AF525" i="5"/>
  <c r="AF492" i="5"/>
  <c r="AF359" i="5"/>
  <c r="AF320" i="5"/>
  <c r="AF317" i="5"/>
  <c r="AF190" i="5"/>
  <c r="AF64" i="5"/>
  <c r="AF73" i="5"/>
  <c r="AF170" i="5"/>
  <c r="AF213" i="5"/>
  <c r="AF292" i="5"/>
  <c r="AF267" i="5"/>
  <c r="AF301" i="5"/>
  <c r="AF283" i="5"/>
  <c r="AF346" i="5"/>
  <c r="AF425" i="5"/>
  <c r="AF60" i="5"/>
  <c r="AF148" i="5"/>
  <c r="AF137" i="5"/>
  <c r="AF195" i="5"/>
  <c r="AF246" i="5"/>
  <c r="AF271" i="5"/>
  <c r="AF326" i="5"/>
  <c r="AF386" i="5"/>
  <c r="AF369" i="5"/>
  <c r="AF399" i="5"/>
  <c r="AF475" i="5"/>
  <c r="AF115" i="5"/>
  <c r="AF104" i="5"/>
  <c r="AF47" i="5"/>
  <c r="AF189" i="5"/>
  <c r="AF184" i="5"/>
  <c r="AF133" i="5"/>
  <c r="AF100" i="5"/>
  <c r="AF30" i="5"/>
  <c r="AF45" i="5"/>
  <c r="AF8" i="5"/>
  <c r="AF362" i="5"/>
  <c r="AF337" i="5"/>
  <c r="AF427" i="5"/>
  <c r="AF318" i="5"/>
  <c r="AF551" i="5"/>
  <c r="AF329" i="5"/>
  <c r="AF513" i="5"/>
  <c r="AF480" i="5"/>
  <c r="AF391" i="5"/>
  <c r="AF157" i="5"/>
  <c r="AF535" i="5"/>
  <c r="AF447" i="5"/>
  <c r="AF227" i="5"/>
  <c r="AF20" i="5"/>
  <c r="AF530" i="5"/>
  <c r="AF463" i="5"/>
  <c r="AF515" i="5"/>
  <c r="AF351" i="5"/>
  <c r="AF215" i="5"/>
  <c r="AF82" i="5"/>
  <c r="AF50" i="5"/>
  <c r="AF451" i="5"/>
  <c r="AF454" i="5"/>
  <c r="AF532" i="5"/>
  <c r="AF402" i="5"/>
  <c r="AF300" i="5"/>
  <c r="AF224" i="5"/>
  <c r="AF63" i="5"/>
  <c r="AF84" i="5"/>
  <c r="AF119" i="5"/>
  <c r="AF225" i="5"/>
  <c r="AF171" i="5"/>
  <c r="AF284" i="5"/>
  <c r="AF349" i="5"/>
  <c r="AF312" i="5"/>
  <c r="AF370" i="5"/>
  <c r="AF436" i="5"/>
  <c r="AF49" i="5"/>
  <c r="AF102" i="5"/>
  <c r="AF175" i="5"/>
  <c r="AF217" i="5"/>
  <c r="AF270" i="5"/>
  <c r="AF291" i="5"/>
  <c r="AF341" i="5"/>
  <c r="AF396" i="5"/>
  <c r="AF385" i="5"/>
  <c r="AF416" i="5"/>
  <c r="AF174" i="5"/>
  <c r="AF88" i="5"/>
  <c r="AF95" i="5"/>
  <c r="AF65" i="5"/>
  <c r="AF158" i="5"/>
  <c r="AF169" i="5"/>
  <c r="AF125" i="5"/>
  <c r="AF83" i="5"/>
  <c r="AF58" i="5"/>
  <c r="AF539" i="5"/>
  <c r="AF245" i="5"/>
  <c r="AF273" i="5"/>
  <c r="AF511" i="5"/>
  <c r="AF289" i="5"/>
  <c r="AF555" i="5"/>
  <c r="AF281" i="5"/>
  <c r="AF543" i="5"/>
  <c r="AF457" i="5"/>
  <c r="AF293" i="5"/>
  <c r="AF113" i="5"/>
  <c r="AF509" i="5"/>
  <c r="AF364" i="5"/>
  <c r="AF286" i="5"/>
  <c r="AF524" i="5"/>
  <c r="AF488" i="5"/>
  <c r="AF449" i="5"/>
  <c r="AF491" i="5"/>
  <c r="AF306" i="5"/>
  <c r="AF296" i="5"/>
  <c r="AF185" i="5"/>
  <c r="AF27" i="5"/>
  <c r="AF546" i="5"/>
  <c r="AF440" i="5"/>
  <c r="AF516" i="5"/>
  <c r="AF353" i="5"/>
  <c r="AF264" i="5"/>
  <c r="AF173" i="5"/>
  <c r="AF51" i="5"/>
  <c r="AF94" i="5"/>
  <c r="AF167" i="5"/>
  <c r="AF236" i="5"/>
  <c r="AF253" i="5"/>
  <c r="AF302" i="5"/>
  <c r="AF367" i="5"/>
  <c r="AF343" i="5"/>
  <c r="AF380" i="5"/>
  <c r="AF456" i="5"/>
  <c r="AF38" i="5"/>
  <c r="AF123" i="5"/>
  <c r="AF166" i="5"/>
  <c r="AF230" i="5"/>
  <c r="AF282" i="5"/>
  <c r="AF307" i="5"/>
  <c r="AF358" i="5"/>
  <c r="AF410" i="5"/>
  <c r="AF411" i="5"/>
  <c r="AF348" i="5"/>
  <c r="AF118" i="5"/>
  <c r="AF149" i="5"/>
  <c r="AF57" i="5"/>
  <c r="AF52" i="5"/>
  <c r="AF192" i="5"/>
  <c r="AF138" i="5"/>
  <c r="AF112" i="5"/>
  <c r="AF97" i="5"/>
  <c r="AF72" i="5"/>
  <c r="AF430" i="5"/>
  <c r="AF531" i="5"/>
  <c r="AF287" i="5"/>
  <c r="AF461" i="5"/>
  <c r="AF89" i="5"/>
  <c r="AF495" i="5"/>
  <c r="AF250" i="5"/>
  <c r="AF552" i="5"/>
  <c r="AF378" i="5"/>
  <c r="AF330" i="5"/>
  <c r="AF23" i="5"/>
  <c r="AF479" i="5"/>
  <c r="AF377" i="5"/>
  <c r="AF242" i="5"/>
  <c r="AF489" i="5"/>
  <c r="AF429" i="5"/>
  <c r="AF507" i="5"/>
  <c r="AF460" i="5"/>
  <c r="AF208" i="5"/>
  <c r="AF299" i="5"/>
  <c r="AF188" i="5"/>
  <c r="AF550" i="5"/>
  <c r="AF374" i="5"/>
  <c r="AF420" i="5"/>
  <c r="AF496" i="5"/>
  <c r="AF407" i="5"/>
  <c r="AF333" i="5"/>
  <c r="AF159" i="5"/>
  <c r="AF34" i="5"/>
  <c r="AF126" i="5"/>
  <c r="AF164" i="5"/>
  <c r="AF214" i="5"/>
  <c r="AF269" i="5"/>
  <c r="AF321" i="5"/>
  <c r="AF381" i="5"/>
  <c r="AF361" i="5"/>
  <c r="AF395" i="5"/>
  <c r="AF472" i="5"/>
  <c r="AF77" i="5"/>
  <c r="AF140" i="5"/>
  <c r="AF204" i="5"/>
  <c r="AF238" i="5"/>
  <c r="AF297" i="5"/>
  <c r="AF198" i="5"/>
  <c r="AF255" i="5"/>
  <c r="AF193" i="5"/>
  <c r="AF249" i="5"/>
  <c r="AF394" i="5"/>
  <c r="AF162" i="5"/>
  <c r="AF131" i="5"/>
  <c r="AF61" i="5"/>
  <c r="AF25" i="5"/>
  <c r="AF168" i="5"/>
  <c r="AF141" i="5"/>
  <c r="AF105" i="5"/>
  <c r="AF48" i="5"/>
  <c r="AF62" i="5"/>
  <c r="AO98" i="5"/>
  <c r="AN98" i="5"/>
  <c r="AX11" i="4"/>
  <c r="AY11" i="4" s="1"/>
  <c r="CN11" i="4" s="1"/>
  <c r="AX117" i="4"/>
  <c r="AY117" i="4" s="1"/>
  <c r="CN117" i="4" s="1"/>
  <c r="AU67" i="4"/>
  <c r="AV67" i="4" s="1"/>
  <c r="AM548" i="5"/>
  <c r="AM59" i="5"/>
  <c r="AU25" i="4"/>
  <c r="AV25" i="4" s="1"/>
  <c r="AM242" i="5"/>
  <c r="AM42" i="5"/>
  <c r="AM260" i="5"/>
  <c r="AM466" i="5"/>
  <c r="AM91" i="5"/>
  <c r="AM92" i="5"/>
  <c r="AX143" i="4"/>
  <c r="AM266" i="5"/>
  <c r="AM58" i="5"/>
  <c r="AM292" i="5"/>
  <c r="AM99" i="5"/>
  <c r="AM100" i="5"/>
  <c r="AM122" i="5"/>
  <c r="AM66" i="5"/>
  <c r="AM300" i="5"/>
  <c r="B38" i="2"/>
  <c r="B39" i="2"/>
  <c r="B81" i="2"/>
  <c r="B35" i="2"/>
  <c r="B170" i="2" s="1"/>
  <c r="B34" i="2"/>
  <c r="BL93" i="4" s="1"/>
  <c r="B176" i="2"/>
  <c r="B177" i="2" s="1"/>
  <c r="B175" i="2"/>
  <c r="AM138" i="5"/>
  <c r="AM74" i="5"/>
  <c r="AM180" i="5"/>
  <c r="AM162" i="5"/>
  <c r="O12" i="5"/>
  <c r="AM40" i="5"/>
  <c r="AM38" i="5"/>
  <c r="AM73" i="5"/>
  <c r="AM57" i="5"/>
  <c r="AM103" i="5"/>
  <c r="AM45" i="5"/>
  <c r="AM46" i="5"/>
  <c r="AM21" i="5"/>
  <c r="AM70" i="5"/>
  <c r="AM65" i="5"/>
  <c r="AM22" i="5"/>
  <c r="AM55" i="5"/>
  <c r="AM77" i="5"/>
  <c r="AM102" i="5"/>
  <c r="AM151" i="5"/>
  <c r="AM133" i="5"/>
  <c r="AM137" i="5"/>
  <c r="AM181" i="5"/>
  <c r="AM187" i="5"/>
  <c r="AM174" i="5"/>
  <c r="AM217" i="5"/>
  <c r="AM240" i="5"/>
  <c r="AM271" i="5"/>
  <c r="AM256" i="5"/>
  <c r="AM321" i="5"/>
  <c r="AM251" i="5"/>
  <c r="AM295" i="5"/>
  <c r="AM320" i="5"/>
  <c r="AM344" i="5"/>
  <c r="AM299" i="5"/>
  <c r="AM376" i="5"/>
  <c r="AM361" i="5"/>
  <c r="AM389" i="5"/>
  <c r="AM419" i="5"/>
  <c r="AM366" i="5"/>
  <c r="AM406" i="5"/>
  <c r="AM442" i="5"/>
  <c r="AM478" i="5"/>
  <c r="AM532" i="5"/>
  <c r="AM426" i="5"/>
  <c r="AM467" i="5"/>
  <c r="AM511" i="5"/>
  <c r="AM387" i="5"/>
  <c r="AM451" i="5"/>
  <c r="AM479" i="5"/>
  <c r="AM495" i="5"/>
  <c r="AM518" i="5"/>
  <c r="AM556" i="5"/>
  <c r="AM517" i="5"/>
  <c r="AM557" i="5"/>
  <c r="AM543" i="5"/>
  <c r="AM501" i="5"/>
  <c r="AM372" i="5"/>
  <c r="AM43" i="5"/>
  <c r="AM39" i="5"/>
  <c r="AM79" i="5"/>
  <c r="AM95" i="5"/>
  <c r="AM131" i="5"/>
  <c r="AM146" i="5"/>
  <c r="AM145" i="5"/>
  <c r="AM150" i="5"/>
  <c r="AM156" i="5"/>
  <c r="AM130" i="5"/>
  <c r="AM225" i="5"/>
  <c r="AM212" i="5"/>
  <c r="AM184" i="5"/>
  <c r="AM193" i="5"/>
  <c r="AM279" i="5"/>
  <c r="AM327" i="5"/>
  <c r="AM290" i="5"/>
  <c r="AM248" i="5"/>
  <c r="AM287" i="5"/>
  <c r="AM322" i="5"/>
  <c r="AM357" i="5"/>
  <c r="AM338" i="5"/>
  <c r="AM404" i="5"/>
  <c r="AM436" i="5"/>
  <c r="AM356" i="5"/>
  <c r="AM386" i="5"/>
  <c r="AM209" i="5"/>
  <c r="AM340" i="5"/>
  <c r="AM378" i="5"/>
  <c r="AM354" i="5"/>
  <c r="AM471" i="5"/>
  <c r="AM526" i="5"/>
  <c r="AM412" i="5"/>
  <c r="AM470" i="5"/>
  <c r="AM514" i="5"/>
  <c r="AM430" i="5"/>
  <c r="AM463" i="5"/>
  <c r="AM492" i="5"/>
  <c r="AM509" i="5"/>
  <c r="AM555" i="5"/>
  <c r="AM521" i="5"/>
  <c r="AM558" i="5"/>
  <c r="AM550" i="5"/>
  <c r="AM542" i="5"/>
  <c r="AM546" i="5"/>
  <c r="AM20" i="5"/>
  <c r="AM63" i="5"/>
  <c r="AM23" i="5"/>
  <c r="AM97" i="5"/>
  <c r="AM81" i="5"/>
  <c r="AM147" i="5"/>
  <c r="AM104" i="5"/>
  <c r="AM159" i="5"/>
  <c r="AM158" i="5"/>
  <c r="AM165" i="5"/>
  <c r="AM230" i="5"/>
  <c r="AM219" i="5"/>
  <c r="AM199" i="5"/>
  <c r="AM220" i="5"/>
  <c r="AM282" i="5"/>
  <c r="AM157" i="5"/>
  <c r="AM298" i="5"/>
  <c r="AM249" i="5"/>
  <c r="AM301" i="5"/>
  <c r="AM324" i="5"/>
  <c r="AM358" i="5"/>
  <c r="AM352" i="5"/>
  <c r="AM409" i="5"/>
  <c r="AM250" i="5"/>
  <c r="AM359" i="5"/>
  <c r="AM390" i="5"/>
  <c r="AM254" i="5"/>
  <c r="AM341" i="5"/>
  <c r="AM379" i="5"/>
  <c r="AM362" i="5"/>
  <c r="AM472" i="5"/>
  <c r="AM531" i="5"/>
  <c r="AM427" i="5"/>
  <c r="AM474" i="5"/>
  <c r="AM516" i="5"/>
  <c r="AM432" i="5"/>
  <c r="AM469" i="5"/>
  <c r="AM493" i="5"/>
  <c r="AM510" i="5"/>
  <c r="AM297" i="5"/>
  <c r="AM527" i="5"/>
  <c r="AM433" i="5"/>
  <c r="AM551" i="5"/>
  <c r="AM547" i="5"/>
  <c r="AM19" i="5"/>
  <c r="AM30" i="5"/>
  <c r="AM24" i="5"/>
  <c r="AM47" i="5"/>
  <c r="AM105" i="5"/>
  <c r="AM85" i="5"/>
  <c r="AM149" i="5"/>
  <c r="AM132" i="5"/>
  <c r="AM170" i="5"/>
  <c r="AM168" i="5"/>
  <c r="AM171" i="5"/>
  <c r="AM243" i="5"/>
  <c r="AM222" i="5"/>
  <c r="AM200" i="5"/>
  <c r="AM223" i="5"/>
  <c r="AM285" i="5"/>
  <c r="AM207" i="5"/>
  <c r="AM305" i="5"/>
  <c r="AM255" i="5"/>
  <c r="AM302" i="5"/>
  <c r="AM330" i="5"/>
  <c r="AM206" i="5"/>
  <c r="AM360" i="5"/>
  <c r="AM410" i="5"/>
  <c r="AM252" i="5"/>
  <c r="AM363" i="5"/>
  <c r="AM392" i="5"/>
  <c r="AM267" i="5"/>
  <c r="AM342" i="5"/>
  <c r="AM388" i="5"/>
  <c r="AM401" i="5"/>
  <c r="AM475" i="5"/>
  <c r="AM270" i="5"/>
  <c r="AM439" i="5"/>
  <c r="AM477" i="5"/>
  <c r="AM519" i="5"/>
  <c r="AM434" i="5"/>
  <c r="AM473" i="5"/>
  <c r="AM494" i="5"/>
  <c r="AM520" i="5"/>
  <c r="AM328" i="5"/>
  <c r="AM529" i="5"/>
  <c r="AM437" i="5"/>
  <c r="AM424" i="5"/>
  <c r="AM552" i="5"/>
  <c r="AM50" i="5"/>
  <c r="AM51" i="5"/>
  <c r="AM80" i="5"/>
  <c r="AM108" i="5"/>
  <c r="AM111" i="5"/>
  <c r="AM154" i="5"/>
  <c r="AM160" i="5"/>
  <c r="AM172" i="5"/>
  <c r="AM173" i="5"/>
  <c r="AM190" i="5"/>
  <c r="AM182" i="5"/>
  <c r="AM226" i="5"/>
  <c r="AM215" i="5"/>
  <c r="AM246" i="5"/>
  <c r="AM291" i="5"/>
  <c r="AM247" i="5"/>
  <c r="AM326" i="5"/>
  <c r="AM257" i="5"/>
  <c r="AM306" i="5"/>
  <c r="AM332" i="5"/>
  <c r="AM218" i="5"/>
  <c r="AM367" i="5"/>
  <c r="AM414" i="5"/>
  <c r="AM277" i="5"/>
  <c r="AM365" i="5"/>
  <c r="AM402" i="5"/>
  <c r="AM273" i="5"/>
  <c r="AM348" i="5"/>
  <c r="AM395" i="5"/>
  <c r="AM422" i="5"/>
  <c r="AM490" i="5"/>
  <c r="AM325" i="5"/>
  <c r="AM446" i="5"/>
  <c r="AM480" i="5"/>
  <c r="AM308" i="5"/>
  <c r="AM443" i="5"/>
  <c r="AM476" i="5"/>
  <c r="AM499" i="5"/>
  <c r="AM523" i="5"/>
  <c r="AM421" i="5"/>
  <c r="AM534" i="5"/>
  <c r="AM445" i="5"/>
  <c r="AM481" i="5"/>
  <c r="AM559" i="5"/>
  <c r="AM32" i="5"/>
  <c r="AM61" i="5"/>
  <c r="AM82" i="5"/>
  <c r="AM86" i="5"/>
  <c r="AM120" i="5"/>
  <c r="AM107" i="5"/>
  <c r="AM163" i="5"/>
  <c r="AM176" i="5"/>
  <c r="AM197" i="5"/>
  <c r="AM208" i="5"/>
  <c r="AM194" i="5"/>
  <c r="AM235" i="5"/>
  <c r="AM231" i="5"/>
  <c r="AM261" i="5"/>
  <c r="AM296" i="5"/>
  <c r="AM262" i="5"/>
  <c r="AM331" i="5"/>
  <c r="AM263" i="5"/>
  <c r="AM310" i="5"/>
  <c r="AM337" i="5"/>
  <c r="AM224" i="5"/>
  <c r="AM369" i="5"/>
  <c r="AM423" i="5"/>
  <c r="AM293" i="5"/>
  <c r="AM370" i="5"/>
  <c r="AM408" i="5"/>
  <c r="AM280" i="5"/>
  <c r="AM349" i="5"/>
  <c r="AM400" i="5"/>
  <c r="AM452" i="5"/>
  <c r="AM496" i="5"/>
  <c r="AM391" i="5"/>
  <c r="AM447" i="5"/>
  <c r="AM484" i="5"/>
  <c r="AM347" i="5"/>
  <c r="AM444" i="5"/>
  <c r="AM482" i="5"/>
  <c r="AM500" i="5"/>
  <c r="AM530" i="5"/>
  <c r="AM425" i="5"/>
  <c r="AM536" i="5"/>
  <c r="AM524" i="5"/>
  <c r="AM491" i="5"/>
  <c r="AM438" i="5"/>
  <c r="AM26" i="5"/>
  <c r="AM67" i="5"/>
  <c r="AM78" i="5"/>
  <c r="AM83" i="5"/>
  <c r="AM114" i="5"/>
  <c r="AM125" i="5"/>
  <c r="AM127" i="5"/>
  <c r="AM116" i="5"/>
  <c r="AM143" i="5"/>
  <c r="AM201" i="5"/>
  <c r="AM216" i="5"/>
  <c r="AM196" i="5"/>
  <c r="AM244" i="5"/>
  <c r="AM237" i="5"/>
  <c r="AM274" i="5"/>
  <c r="AM313" i="5"/>
  <c r="AM278" i="5"/>
  <c r="AM227" i="5"/>
  <c r="AM275" i="5"/>
  <c r="AM314" i="5"/>
  <c r="AM343" i="5"/>
  <c r="AM319" i="5"/>
  <c r="AM385" i="5"/>
  <c r="AM431" i="5"/>
  <c r="AM334" i="5"/>
  <c r="AM380" i="5"/>
  <c r="AM417" i="5"/>
  <c r="AM289" i="5"/>
  <c r="AM371" i="5"/>
  <c r="AM416" i="5"/>
  <c r="AM458" i="5"/>
  <c r="AM515" i="5"/>
  <c r="AM397" i="5"/>
  <c r="AM462" i="5"/>
  <c r="AM506" i="5"/>
  <c r="AM396" i="5"/>
  <c r="AM454" i="5"/>
  <c r="AM487" i="5"/>
  <c r="AM505" i="5"/>
  <c r="AM545" i="5"/>
  <c r="AM456" i="5"/>
  <c r="AM553" i="5"/>
  <c r="AM544" i="5"/>
  <c r="AM533" i="5"/>
  <c r="AM483" i="5"/>
  <c r="AM37" i="5"/>
  <c r="AM68" i="5"/>
  <c r="AM53" i="5"/>
  <c r="AM90" i="5"/>
  <c r="AM121" i="5"/>
  <c r="AM126" i="5"/>
  <c r="AM139" i="5"/>
  <c r="AM141" i="5"/>
  <c r="AM152" i="5"/>
  <c r="AM118" i="5"/>
  <c r="AM221" i="5"/>
  <c r="AM210" i="5"/>
  <c r="AM161" i="5"/>
  <c r="AM189" i="5"/>
  <c r="AM276" i="5"/>
  <c r="AM318" i="5"/>
  <c r="AM284" i="5"/>
  <c r="AM232" i="5"/>
  <c r="AM283" i="5"/>
  <c r="AM315" i="5"/>
  <c r="AM346" i="5"/>
  <c r="AM335" i="5"/>
  <c r="AM393" i="5"/>
  <c r="AM435" i="5"/>
  <c r="AM350" i="5"/>
  <c r="AM384" i="5"/>
  <c r="AM418" i="5"/>
  <c r="AM336" i="5"/>
  <c r="AM374" i="5"/>
  <c r="AM311" i="5"/>
  <c r="AM459" i="5"/>
  <c r="AM525" i="5"/>
  <c r="AM403" i="5"/>
  <c r="AM465" i="5"/>
  <c r="AM512" i="5"/>
  <c r="AM405" i="5"/>
  <c r="AM455" i="5"/>
  <c r="AM489" i="5"/>
  <c r="AM508" i="5"/>
  <c r="AM554" i="5"/>
  <c r="AM485" i="5"/>
  <c r="AM560" i="5"/>
  <c r="AM84" i="5"/>
  <c r="AM195" i="5"/>
  <c r="AM312" i="5"/>
  <c r="AM286" i="5"/>
  <c r="AM381" i="5"/>
  <c r="AM549" i="5"/>
  <c r="AM110" i="5"/>
  <c r="AM238" i="5"/>
  <c r="AM339" i="5"/>
  <c r="AM355" i="5"/>
  <c r="AM453" i="5"/>
  <c r="AM528" i="5"/>
  <c r="AM123" i="5"/>
  <c r="AM234" i="5"/>
  <c r="AM258" i="5"/>
  <c r="AM415" i="5"/>
  <c r="AM486" i="5"/>
  <c r="AM535" i="5"/>
  <c r="AM124" i="5"/>
  <c r="AM264" i="5"/>
  <c r="AM383" i="5"/>
  <c r="AM457" i="5"/>
  <c r="AM503" i="5"/>
  <c r="AM450" i="5"/>
  <c r="AM169" i="5"/>
  <c r="AM303" i="5"/>
  <c r="AM428" i="5"/>
  <c r="AM497" i="5"/>
  <c r="AM539" i="5"/>
  <c r="AM537" i="5"/>
  <c r="AM36" i="5"/>
  <c r="AM115" i="5"/>
  <c r="AM272" i="5"/>
  <c r="AM304" i="5"/>
  <c r="AM394" i="5"/>
  <c r="AM449" i="5"/>
  <c r="AM56" i="5"/>
  <c r="AM198" i="5"/>
  <c r="AM188" i="5"/>
  <c r="AM377" i="5"/>
  <c r="AM461" i="5"/>
  <c r="AM540" i="5"/>
  <c r="AM413" i="5"/>
  <c r="AM498" i="5"/>
  <c r="AM538" i="5"/>
  <c r="AM72" i="5"/>
  <c r="AM211" i="5"/>
  <c r="AM265" i="5"/>
  <c r="AM178" i="5"/>
  <c r="AM106" i="5"/>
  <c r="AU114" i="4"/>
  <c r="AV114" i="4" s="1"/>
  <c r="AU148" i="4"/>
  <c r="AV148" i="4" s="1"/>
  <c r="AM202" i="5"/>
  <c r="AM420" i="5"/>
  <c r="AK58" i="5"/>
  <c r="AL58" i="5"/>
  <c r="AM107" i="4"/>
  <c r="AM92" i="4"/>
  <c r="AM70" i="4"/>
  <c r="AM106" i="4"/>
  <c r="AM133" i="4"/>
  <c r="AM132" i="4"/>
  <c r="AM98" i="4"/>
  <c r="AM7" i="5"/>
  <c r="AJ7" i="5"/>
  <c r="Z7" i="5"/>
  <c r="AM49" i="4"/>
  <c r="AM93" i="4"/>
  <c r="AM157" i="4"/>
  <c r="AM124" i="4"/>
  <c r="AM99" i="4"/>
  <c r="AO96" i="5"/>
  <c r="AM12" i="4"/>
  <c r="AM71" i="4"/>
  <c r="AM72" i="4"/>
  <c r="AM8" i="4"/>
  <c r="AJ22" i="5"/>
  <c r="AJ20" i="5"/>
  <c r="AJ21" i="5"/>
  <c r="AJ52" i="5"/>
  <c r="AJ61" i="5"/>
  <c r="AJ56" i="5"/>
  <c r="AJ60" i="5"/>
  <c r="AJ88" i="5"/>
  <c r="AJ85" i="5"/>
  <c r="AJ89" i="5"/>
  <c r="AJ97" i="5"/>
  <c r="AJ125" i="5"/>
  <c r="AJ158" i="5"/>
  <c r="AJ132" i="5"/>
  <c r="AJ64" i="5"/>
  <c r="AJ121" i="5"/>
  <c r="AJ150" i="5"/>
  <c r="AJ166" i="5"/>
  <c r="AJ173" i="5"/>
  <c r="AJ171" i="5"/>
  <c r="AJ207" i="5"/>
  <c r="AJ203" i="5"/>
  <c r="AJ228" i="5"/>
  <c r="AJ199" i="5"/>
  <c r="AJ172" i="5"/>
  <c r="AJ201" i="5"/>
  <c r="AJ227" i="5"/>
  <c r="AJ236" i="5"/>
  <c r="AJ278" i="5"/>
  <c r="AJ317" i="5"/>
  <c r="AJ230" i="5"/>
  <c r="AJ265" i="5"/>
  <c r="AJ301" i="5"/>
  <c r="AJ324" i="5"/>
  <c r="AJ258" i="5"/>
  <c r="AJ286" i="5"/>
  <c r="AJ316" i="5"/>
  <c r="AJ353" i="5"/>
  <c r="AJ327" i="5"/>
  <c r="AJ359" i="5"/>
  <c r="AJ384" i="5"/>
  <c r="AJ416" i="5"/>
  <c r="AJ274" i="5"/>
  <c r="AJ358" i="5"/>
  <c r="AJ398" i="5"/>
  <c r="AJ303" i="5"/>
  <c r="AJ382" i="5"/>
  <c r="AJ405" i="5"/>
  <c r="AJ429" i="5"/>
  <c r="AJ467" i="5"/>
  <c r="AJ492" i="5"/>
  <c r="AJ523" i="5"/>
  <c r="AJ436" i="5"/>
  <c r="AJ455" i="5"/>
  <c r="AJ489" i="5"/>
  <c r="AJ510" i="5"/>
  <c r="AJ351" i="5"/>
  <c r="AJ422" i="5"/>
  <c r="AJ448" i="5"/>
  <c r="AJ490" i="5"/>
  <c r="AJ534" i="5"/>
  <c r="AJ558" i="5"/>
  <c r="AJ459" i="5"/>
  <c r="AJ462" i="5"/>
  <c r="AJ541" i="5"/>
  <c r="AJ457" i="5"/>
  <c r="AJ525" i="5"/>
  <c r="AJ514" i="5"/>
  <c r="O13" i="5"/>
  <c r="AJ33" i="5"/>
  <c r="AJ32" i="5"/>
  <c r="AJ36" i="5"/>
  <c r="AJ65" i="5"/>
  <c r="AJ70" i="5"/>
  <c r="AJ99" i="5"/>
  <c r="AJ95" i="5"/>
  <c r="AJ111" i="5"/>
  <c r="AJ135" i="5"/>
  <c r="AJ115" i="5"/>
  <c r="AJ141" i="5"/>
  <c r="AJ102" i="5"/>
  <c r="AJ131" i="5"/>
  <c r="AJ155" i="5"/>
  <c r="AJ176" i="5"/>
  <c r="AJ183" i="5"/>
  <c r="AJ188" i="5"/>
  <c r="AJ148" i="5"/>
  <c r="AJ214" i="5"/>
  <c r="AJ240" i="5"/>
  <c r="AJ231" i="5"/>
  <c r="AJ187" i="5"/>
  <c r="AJ216" i="5"/>
  <c r="AJ241" i="5"/>
  <c r="AJ253" i="5"/>
  <c r="AJ294" i="5"/>
  <c r="AJ329" i="5"/>
  <c r="AJ251" i="5"/>
  <c r="AJ280" i="5"/>
  <c r="AJ312" i="5"/>
  <c r="AJ213" i="5"/>
  <c r="AJ270" i="5"/>
  <c r="AJ297" i="5"/>
  <c r="AJ328" i="5"/>
  <c r="AJ246" i="5"/>
  <c r="AJ345" i="5"/>
  <c r="AJ370" i="5"/>
  <c r="AJ392" i="5"/>
  <c r="AJ427" i="5"/>
  <c r="AJ341" i="5"/>
  <c r="AJ374" i="5"/>
  <c r="AJ415" i="5"/>
  <c r="AJ362" i="5"/>
  <c r="AJ391" i="5"/>
  <c r="AJ410" i="5"/>
  <c r="AJ444" i="5"/>
  <c r="AJ477" i="5"/>
  <c r="AJ505" i="5"/>
  <c r="AJ361" i="5"/>
  <c r="AJ443" i="5"/>
  <c r="AJ469" i="5"/>
  <c r="AJ499" i="5"/>
  <c r="AJ520" i="5"/>
  <c r="AJ402" i="5"/>
  <c r="AJ433" i="5"/>
  <c r="AJ460" i="5"/>
  <c r="AJ501" i="5"/>
  <c r="AJ540" i="5"/>
  <c r="AJ285" i="5"/>
  <c r="AJ549" i="5"/>
  <c r="AJ522" i="5"/>
  <c r="AJ554" i="5"/>
  <c r="AJ478" i="5"/>
  <c r="AJ557" i="5"/>
  <c r="AJ545" i="5"/>
  <c r="AJ8" i="5"/>
  <c r="AJ23" i="5"/>
  <c r="AJ38" i="5"/>
  <c r="AJ42" i="5"/>
  <c r="AJ66" i="5"/>
  <c r="AJ71" i="5"/>
  <c r="AJ74" i="5"/>
  <c r="AJ93" i="5"/>
  <c r="AJ96" i="5"/>
  <c r="AJ118" i="5"/>
  <c r="AJ161" i="5"/>
  <c r="AJ143" i="5"/>
  <c r="AJ110" i="5"/>
  <c r="AJ151" i="5"/>
  <c r="AJ180" i="5"/>
  <c r="AJ165" i="5"/>
  <c r="AJ124" i="5"/>
  <c r="AJ217" i="5"/>
  <c r="AJ167" i="5"/>
  <c r="AJ175" i="5"/>
  <c r="AJ218" i="5"/>
  <c r="AJ211" i="5"/>
  <c r="AJ284" i="5"/>
  <c r="AJ330" i="5"/>
  <c r="AJ257" i="5"/>
  <c r="AJ306" i="5"/>
  <c r="AJ221" i="5"/>
  <c r="AJ277" i="5"/>
  <c r="AJ319" i="5"/>
  <c r="AJ281" i="5"/>
  <c r="AJ356" i="5"/>
  <c r="AJ389" i="5"/>
  <c r="AJ432" i="5"/>
  <c r="AJ349" i="5"/>
  <c r="AJ400" i="5"/>
  <c r="AJ368" i="5"/>
  <c r="AJ401" i="5"/>
  <c r="AJ430" i="5"/>
  <c r="AJ479" i="5"/>
  <c r="AJ512" i="5"/>
  <c r="AJ438" i="5"/>
  <c r="AJ473" i="5"/>
  <c r="AJ508" i="5"/>
  <c r="AJ375" i="5"/>
  <c r="AJ435" i="5"/>
  <c r="AJ483" i="5"/>
  <c r="AJ536" i="5"/>
  <c r="AJ291" i="5"/>
  <c r="AJ556" i="5"/>
  <c r="AJ546" i="5"/>
  <c r="AJ486" i="5"/>
  <c r="AJ497" i="5"/>
  <c r="AJ25" i="5"/>
  <c r="AJ41" i="5"/>
  <c r="AJ45" i="5"/>
  <c r="AJ27" i="5"/>
  <c r="AJ75" i="5"/>
  <c r="AJ83" i="5"/>
  <c r="AJ94" i="5"/>
  <c r="AJ98" i="5"/>
  <c r="AJ120" i="5"/>
  <c r="AJ87" i="5"/>
  <c r="AJ145" i="5"/>
  <c r="AJ114" i="5"/>
  <c r="AJ154" i="5"/>
  <c r="AJ185" i="5"/>
  <c r="AJ170" i="5"/>
  <c r="AJ142" i="5"/>
  <c r="AJ219" i="5"/>
  <c r="AJ197" i="5"/>
  <c r="AJ181" i="5"/>
  <c r="AJ220" i="5"/>
  <c r="AJ233" i="5"/>
  <c r="AJ290" i="5"/>
  <c r="AJ331" i="5"/>
  <c r="AJ263" i="5"/>
  <c r="AJ309" i="5"/>
  <c r="AJ245" i="5"/>
  <c r="AJ282" i="5"/>
  <c r="AJ325" i="5"/>
  <c r="AJ296" i="5"/>
  <c r="AJ357" i="5"/>
  <c r="AJ390" i="5"/>
  <c r="AJ434" i="5"/>
  <c r="AJ354" i="5"/>
  <c r="AJ406" i="5"/>
  <c r="AJ372" i="5"/>
  <c r="AJ403" i="5"/>
  <c r="AJ440" i="5"/>
  <c r="AJ480" i="5"/>
  <c r="AJ519" i="5"/>
  <c r="AJ441" i="5"/>
  <c r="AJ481" i="5"/>
  <c r="AJ509" i="5"/>
  <c r="AJ393" i="5"/>
  <c r="AJ437" i="5"/>
  <c r="AJ485" i="5"/>
  <c r="AJ538" i="5"/>
  <c r="AJ404" i="5"/>
  <c r="AJ369" i="5"/>
  <c r="AJ551" i="5"/>
  <c r="AJ498" i="5"/>
  <c r="AJ507" i="5"/>
  <c r="AJ31" i="5"/>
  <c r="AJ44" i="5"/>
  <c r="AJ63" i="5"/>
  <c r="AJ47" i="5"/>
  <c r="AJ79" i="5"/>
  <c r="AJ91" i="5"/>
  <c r="AJ101" i="5"/>
  <c r="AJ100" i="5"/>
  <c r="AJ126" i="5"/>
  <c r="AJ116" i="5"/>
  <c r="AJ153" i="5"/>
  <c r="AJ123" i="5"/>
  <c r="AJ113" i="5"/>
  <c r="AJ186" i="5"/>
  <c r="AJ182" i="5"/>
  <c r="AJ160" i="5"/>
  <c r="AJ222" i="5"/>
  <c r="AJ202" i="5"/>
  <c r="AJ189" i="5"/>
  <c r="AJ223" i="5"/>
  <c r="AJ243" i="5"/>
  <c r="AJ298" i="5"/>
  <c r="AJ177" i="5"/>
  <c r="AJ268" i="5"/>
  <c r="AJ314" i="5"/>
  <c r="AJ250" i="5"/>
  <c r="AJ289" i="5"/>
  <c r="AJ333" i="5"/>
  <c r="AJ307" i="5"/>
  <c r="AJ363" i="5"/>
  <c r="AJ399" i="5"/>
  <c r="AJ439" i="5"/>
  <c r="AJ364" i="5"/>
  <c r="AJ420" i="5"/>
  <c r="AJ376" i="5"/>
  <c r="AJ407" i="5"/>
  <c r="AJ446" i="5"/>
  <c r="AJ482" i="5"/>
  <c r="AJ537" i="5"/>
  <c r="AJ449" i="5"/>
  <c r="AJ487" i="5"/>
  <c r="AJ513" i="5"/>
  <c r="AJ411" i="5"/>
  <c r="AJ442" i="5"/>
  <c r="AJ491" i="5"/>
  <c r="AJ542" i="5"/>
  <c r="AJ423" i="5"/>
  <c r="AJ468" i="5"/>
  <c r="AJ548" i="5"/>
  <c r="AJ504" i="5"/>
  <c r="AJ529" i="5"/>
  <c r="AJ37" i="5"/>
  <c r="AJ46" i="5"/>
  <c r="AJ69" i="5"/>
  <c r="AJ49" i="5"/>
  <c r="AJ40" i="5"/>
  <c r="AJ67" i="5"/>
  <c r="AJ104" i="5"/>
  <c r="AJ107" i="5"/>
  <c r="AJ128" i="5"/>
  <c r="AJ122" i="5"/>
  <c r="AJ157" i="5"/>
  <c r="AJ129" i="5"/>
  <c r="AJ139" i="5"/>
  <c r="AJ156" i="5"/>
  <c r="AJ184" i="5"/>
  <c r="AJ162" i="5"/>
  <c r="AJ226" i="5"/>
  <c r="AJ215" i="5"/>
  <c r="AJ192" i="5"/>
  <c r="AJ224" i="5"/>
  <c r="AJ247" i="5"/>
  <c r="AJ302" i="5"/>
  <c r="AJ225" i="5"/>
  <c r="AJ275" i="5"/>
  <c r="AJ315" i="5"/>
  <c r="AJ252" i="5"/>
  <c r="AJ292" i="5"/>
  <c r="AJ334" i="5"/>
  <c r="AJ313" i="5"/>
  <c r="AJ365" i="5"/>
  <c r="AJ408" i="5"/>
  <c r="AJ271" i="5"/>
  <c r="AJ366" i="5"/>
  <c r="AJ259" i="5"/>
  <c r="AJ381" i="5"/>
  <c r="AJ409" i="5"/>
  <c r="AJ453" i="5"/>
  <c r="AJ484" i="5"/>
  <c r="AJ288" i="5"/>
  <c r="AJ450" i="5"/>
  <c r="AJ488" i="5"/>
  <c r="AJ518" i="5"/>
  <c r="AJ414" i="5"/>
  <c r="AJ445" i="5"/>
  <c r="AJ496" i="5"/>
  <c r="AJ544" i="5"/>
  <c r="AJ452" i="5"/>
  <c r="AJ516" i="5"/>
  <c r="AJ560" i="5"/>
  <c r="AJ515" i="5"/>
  <c r="AJ543" i="5"/>
  <c r="AJ43" i="5"/>
  <c r="AJ24" i="5"/>
  <c r="AJ51" i="5"/>
  <c r="AJ50" i="5"/>
  <c r="AJ76" i="5"/>
  <c r="AJ72" i="5"/>
  <c r="AJ109" i="5"/>
  <c r="AJ103" i="5"/>
  <c r="AJ138" i="5"/>
  <c r="AJ127" i="5"/>
  <c r="AJ80" i="5"/>
  <c r="AJ133" i="5"/>
  <c r="AJ159" i="5"/>
  <c r="AJ178" i="5"/>
  <c r="AJ191" i="5"/>
  <c r="AJ194" i="5"/>
  <c r="AJ235" i="5"/>
  <c r="AJ234" i="5"/>
  <c r="AJ193" i="5"/>
  <c r="AJ229" i="5"/>
  <c r="AJ256" i="5"/>
  <c r="AJ305" i="5"/>
  <c r="AJ248" i="5"/>
  <c r="AJ283" i="5"/>
  <c r="AJ320" i="5"/>
  <c r="AJ260" i="5"/>
  <c r="AJ299" i="5"/>
  <c r="AJ340" i="5"/>
  <c r="AJ337" i="5"/>
  <c r="AJ371" i="5"/>
  <c r="AJ412" i="5"/>
  <c r="AJ318" i="5"/>
  <c r="AJ378" i="5"/>
  <c r="AJ264" i="5"/>
  <c r="AJ386" i="5"/>
  <c r="AJ338" i="5"/>
  <c r="AJ461" i="5"/>
  <c r="AJ495" i="5"/>
  <c r="AJ367" i="5"/>
  <c r="AJ451" i="5"/>
  <c r="AJ493" i="5"/>
  <c r="AJ521" i="5"/>
  <c r="AJ417" i="5"/>
  <c r="AJ456" i="5"/>
  <c r="AJ517" i="5"/>
  <c r="AJ547" i="5"/>
  <c r="AJ524" i="5"/>
  <c r="AJ528" i="5"/>
  <c r="AJ383" i="5"/>
  <c r="AJ531" i="5"/>
  <c r="AJ553" i="5"/>
  <c r="AJ48" i="5"/>
  <c r="AJ28" i="5"/>
  <c r="AJ53" i="5"/>
  <c r="AJ54" i="5"/>
  <c r="AJ77" i="5"/>
  <c r="AJ82" i="5"/>
  <c r="AJ84" i="5"/>
  <c r="AJ106" i="5"/>
  <c r="AJ146" i="5"/>
  <c r="AJ130" i="5"/>
  <c r="AJ86" i="5"/>
  <c r="AJ140" i="5"/>
  <c r="AJ164" i="5"/>
  <c r="AJ179" i="5"/>
  <c r="AJ196" i="5"/>
  <c r="AJ195" i="5"/>
  <c r="AJ238" i="5"/>
  <c r="AJ237" i="5"/>
  <c r="AJ198" i="5"/>
  <c r="AJ232" i="5"/>
  <c r="AJ262" i="5"/>
  <c r="AJ310" i="5"/>
  <c r="AJ249" i="5"/>
  <c r="AJ287" i="5"/>
  <c r="AJ322" i="5"/>
  <c r="AJ267" i="5"/>
  <c r="AJ304" i="5"/>
  <c r="AJ347" i="5"/>
  <c r="AJ344" i="5"/>
  <c r="AJ377" i="5"/>
  <c r="AJ413" i="5"/>
  <c r="AJ336" i="5"/>
  <c r="AJ388" i="5"/>
  <c r="AJ300" i="5"/>
  <c r="AJ387" i="5"/>
  <c r="AJ352" i="5"/>
  <c r="AJ465" i="5"/>
  <c r="AJ500" i="5"/>
  <c r="AJ373" i="5"/>
  <c r="AJ454" i="5"/>
  <c r="AJ494" i="5"/>
  <c r="AJ266" i="5"/>
  <c r="AJ421" i="5"/>
  <c r="AJ458" i="5"/>
  <c r="AJ526" i="5"/>
  <c r="AJ552" i="5"/>
  <c r="AJ532" i="5"/>
  <c r="AJ530" i="5"/>
  <c r="AJ447" i="5"/>
  <c r="AJ555" i="5"/>
  <c r="AJ19" i="5"/>
  <c r="AJ29" i="5"/>
  <c r="AJ35" i="5"/>
  <c r="AJ55" i="5"/>
  <c r="AJ57" i="5"/>
  <c r="AJ68" i="5"/>
  <c r="AJ78" i="5"/>
  <c r="AJ90" i="5"/>
  <c r="AJ112" i="5"/>
  <c r="AJ149" i="5"/>
  <c r="AJ134" i="5"/>
  <c r="AJ105" i="5"/>
  <c r="AJ144" i="5"/>
  <c r="AJ168" i="5"/>
  <c r="AJ119" i="5"/>
  <c r="AJ200" i="5"/>
  <c r="AJ204" i="5"/>
  <c r="AJ242" i="5"/>
  <c r="AJ239" i="5"/>
  <c r="AJ206" i="5"/>
  <c r="AJ163" i="5"/>
  <c r="AJ269" i="5"/>
  <c r="AJ321" i="5"/>
  <c r="AJ254" i="5"/>
  <c r="AJ293" i="5"/>
  <c r="AJ332" i="5"/>
  <c r="AJ273" i="5"/>
  <c r="AJ308" i="5"/>
  <c r="AJ355" i="5"/>
  <c r="AJ346" i="5"/>
  <c r="AJ379" i="5"/>
  <c r="AJ419" i="5"/>
  <c r="AJ342" i="5"/>
  <c r="AJ394" i="5"/>
  <c r="AJ323" i="5"/>
  <c r="AJ396" i="5"/>
  <c r="AJ385" i="5"/>
  <c r="AJ470" i="5"/>
  <c r="AJ506" i="5"/>
  <c r="AJ418" i="5"/>
  <c r="AJ463" i="5"/>
  <c r="AJ502" i="5"/>
  <c r="AJ335" i="5"/>
  <c r="AJ424" i="5"/>
  <c r="AJ464" i="5"/>
  <c r="AJ527" i="5"/>
  <c r="AJ261" i="5"/>
  <c r="AJ550" i="5"/>
  <c r="AJ535" i="5"/>
  <c r="AJ471" i="5"/>
  <c r="AJ360" i="5"/>
  <c r="AJ30" i="5"/>
  <c r="AJ152" i="5"/>
  <c r="AJ244" i="5"/>
  <c r="AJ190" i="5"/>
  <c r="AJ395" i="5"/>
  <c r="AJ503" i="5"/>
  <c r="AJ475" i="5"/>
  <c r="AJ39" i="5"/>
  <c r="AJ136" i="5"/>
  <c r="AJ169" i="5"/>
  <c r="AJ276" i="5"/>
  <c r="AJ343" i="5"/>
  <c r="AJ339" i="5"/>
  <c r="AJ474" i="5"/>
  <c r="AJ59" i="5"/>
  <c r="AJ108" i="5"/>
  <c r="AJ209" i="5"/>
  <c r="AJ311" i="5"/>
  <c r="AJ397" i="5"/>
  <c r="AJ425" i="5"/>
  <c r="AJ62" i="5"/>
  <c r="AJ147" i="5"/>
  <c r="AJ208" i="5"/>
  <c r="AJ212" i="5"/>
  <c r="AJ428" i="5"/>
  <c r="AJ472" i="5"/>
  <c r="AJ73" i="5"/>
  <c r="AJ174" i="5"/>
  <c r="AJ272" i="5"/>
  <c r="AJ350" i="5"/>
  <c r="AJ476" i="5"/>
  <c r="AJ533" i="5"/>
  <c r="AJ81" i="5"/>
  <c r="AJ137" i="5"/>
  <c r="AJ326" i="5"/>
  <c r="AJ380" i="5"/>
  <c r="AJ511" i="5"/>
  <c r="AJ279" i="5"/>
  <c r="AJ92" i="5"/>
  <c r="AJ205" i="5"/>
  <c r="AJ255" i="5"/>
  <c r="AJ426" i="5"/>
  <c r="AJ431" i="5"/>
  <c r="AJ559" i="5"/>
  <c r="AJ117" i="5"/>
  <c r="AJ210" i="5"/>
  <c r="AJ295" i="5"/>
  <c r="AJ348" i="5"/>
  <c r="AJ466" i="5"/>
  <c r="AJ539" i="5"/>
  <c r="AM90" i="4"/>
  <c r="B182" i="2"/>
  <c r="AM122" i="4"/>
  <c r="AM125" i="4"/>
  <c r="AM81" i="4"/>
  <c r="AN41" i="5"/>
  <c r="AJ26" i="5"/>
  <c r="AX103" i="4" l="1"/>
  <c r="AX82" i="4"/>
  <c r="AY82" i="4" s="1"/>
  <c r="CN82" i="4" s="1"/>
  <c r="AX15" i="4"/>
  <c r="AY15" i="4" s="1"/>
  <c r="CN15" i="4" s="1"/>
  <c r="AX54" i="4"/>
  <c r="AY54" i="4" s="1"/>
  <c r="CN54" i="4" s="1"/>
  <c r="AX60" i="4"/>
  <c r="AY60" i="4" s="1"/>
  <c r="CN60" i="4" s="1"/>
  <c r="AX27" i="4"/>
  <c r="AY27" i="4" s="1"/>
  <c r="CN27" i="4" s="1"/>
  <c r="AX18" i="4"/>
  <c r="AY18" i="4" s="1"/>
  <c r="CN18" i="4" s="1"/>
  <c r="AU28" i="4"/>
  <c r="AV28" i="4" s="1"/>
  <c r="AI114" i="5"/>
  <c r="AU109" i="4"/>
  <c r="AV109" i="4" s="1"/>
  <c r="AU29" i="4"/>
  <c r="AV29" i="4" s="1"/>
  <c r="AX10" i="4"/>
  <c r="AY10" i="4" s="1"/>
  <c r="CN10" i="4" s="1"/>
  <c r="AU111" i="4"/>
  <c r="AV111" i="4" s="1"/>
  <c r="AX115" i="4"/>
  <c r="AY115" i="4" s="1"/>
  <c r="CN115" i="4" s="1"/>
  <c r="AU115" i="4"/>
  <c r="AV115" i="4" s="1"/>
  <c r="AO294" i="5"/>
  <c r="AN28" i="5"/>
  <c r="AX112" i="4"/>
  <c r="AY112" i="4" s="1"/>
  <c r="CN112" i="4" s="1"/>
  <c r="AO54" i="5"/>
  <c r="AX110" i="4"/>
  <c r="AN316" i="5"/>
  <c r="AU104" i="4"/>
  <c r="AV104" i="4" s="1"/>
  <c r="AX104" i="4"/>
  <c r="AY104" i="4" s="1"/>
  <c r="CN104" i="4" s="1"/>
  <c r="AU100" i="4"/>
  <c r="AV100" i="4" s="1"/>
  <c r="AO245" i="5"/>
  <c r="AX142" i="4"/>
  <c r="AS8" i="13"/>
  <c r="AT8" i="13" s="1"/>
  <c r="AO136" i="5"/>
  <c r="AU116" i="4"/>
  <c r="AV116" i="4" s="1"/>
  <c r="AX37" i="4"/>
  <c r="AY37" i="4" s="1"/>
  <c r="CN37" i="4" s="1"/>
  <c r="AN29" i="5"/>
  <c r="AU13" i="4"/>
  <c r="AV13" i="4" s="1"/>
  <c r="AX63" i="4"/>
  <c r="AY63" i="4" s="1"/>
  <c r="CN63" i="4" s="1"/>
  <c r="AX39" i="4"/>
  <c r="AY39" i="4" s="1"/>
  <c r="CN39" i="4" s="1"/>
  <c r="AX52" i="4"/>
  <c r="AY52" i="4" s="1"/>
  <c r="CN52" i="4" s="1"/>
  <c r="AX131" i="4"/>
  <c r="AY131" i="4" s="1"/>
  <c r="CN131" i="4" s="1"/>
  <c r="B55" i="13"/>
  <c r="Z13" i="5" s="1"/>
  <c r="B55" i="5"/>
  <c r="AX23" i="4"/>
  <c r="AY23" i="4" s="1"/>
  <c r="CN23" i="4" s="1"/>
  <c r="AY136" i="4"/>
  <c r="CN136" i="4" s="1"/>
  <c r="AO25" i="5"/>
  <c r="AO464" i="5"/>
  <c r="AN179" i="5"/>
  <c r="AN64" i="5"/>
  <c r="AX96" i="4"/>
  <c r="AY96" i="4" s="1"/>
  <c r="CN96" i="4" s="1"/>
  <c r="AO183" i="5"/>
  <c r="AU123" i="4"/>
  <c r="AV123" i="4" s="1"/>
  <c r="AN34" i="5"/>
  <c r="AO204" i="5"/>
  <c r="AU35" i="4"/>
  <c r="AV35" i="4" s="1"/>
  <c r="AX152" i="4"/>
  <c r="AY152" i="4" s="1"/>
  <c r="CN152" i="4" s="1"/>
  <c r="AY48" i="4"/>
  <c r="CN48" i="4" s="1"/>
  <c r="AY28" i="4"/>
  <c r="CN28" i="4" s="1"/>
  <c r="AX102" i="4"/>
  <c r="AY102" i="4" s="1"/>
  <c r="CN102" i="4" s="1"/>
  <c r="AU76" i="4"/>
  <c r="AV76" i="4" s="1"/>
  <c r="AN317" i="5"/>
  <c r="AX91" i="4"/>
  <c r="AY91" i="4" s="1"/>
  <c r="CN91" i="4" s="1"/>
  <c r="AO52" i="5"/>
  <c r="AN441" i="5"/>
  <c r="AU136" i="4"/>
  <c r="AV136" i="4" s="1"/>
  <c r="AS7" i="13"/>
  <c r="AI279" i="13"/>
  <c r="AH279" i="13"/>
  <c r="AH32" i="13"/>
  <c r="AI32" i="13"/>
  <c r="AI343" i="13"/>
  <c r="AH343" i="13"/>
  <c r="AH328" i="13"/>
  <c r="AI328" i="13"/>
  <c r="AI313" i="13"/>
  <c r="AH313" i="13"/>
  <c r="AH96" i="13"/>
  <c r="AI96" i="13"/>
  <c r="AI30" i="13"/>
  <c r="AH30" i="13"/>
  <c r="AI132" i="13"/>
  <c r="AH132" i="13"/>
  <c r="AH78" i="13"/>
  <c r="AI78" i="13"/>
  <c r="AI167" i="13"/>
  <c r="AH167" i="13"/>
  <c r="AI251" i="13"/>
  <c r="AH251" i="13"/>
  <c r="AH303" i="13"/>
  <c r="AI303" i="13"/>
  <c r="AH240" i="13"/>
  <c r="AI240" i="13"/>
  <c r="AI538" i="13"/>
  <c r="AH538" i="13"/>
  <c r="AI176" i="13"/>
  <c r="AH176" i="13"/>
  <c r="AI331" i="13"/>
  <c r="AH331" i="13"/>
  <c r="AI373" i="13"/>
  <c r="AH373" i="13"/>
  <c r="AI100" i="13"/>
  <c r="AH100" i="13"/>
  <c r="AI332" i="13"/>
  <c r="AH332" i="13"/>
  <c r="AH444" i="13"/>
  <c r="AI444" i="13"/>
  <c r="AH164" i="13"/>
  <c r="AI164" i="13"/>
  <c r="AH242" i="13"/>
  <c r="AI242" i="13"/>
  <c r="AI525" i="13"/>
  <c r="AH525" i="13"/>
  <c r="AI199" i="13"/>
  <c r="AH199" i="13"/>
  <c r="AH174" i="13"/>
  <c r="AI174" i="13"/>
  <c r="AH493" i="13"/>
  <c r="AI493" i="13"/>
  <c r="AH43" i="13"/>
  <c r="AI43" i="13"/>
  <c r="AH103" i="13"/>
  <c r="AI103" i="13"/>
  <c r="AI300" i="13"/>
  <c r="AH300" i="13"/>
  <c r="AI541" i="13"/>
  <c r="AH541" i="13"/>
  <c r="AI511" i="13"/>
  <c r="AH511" i="13"/>
  <c r="AI521" i="13"/>
  <c r="AH521" i="13"/>
  <c r="AH39" i="13"/>
  <c r="AI39" i="13"/>
  <c r="AH44" i="13"/>
  <c r="AI44" i="13"/>
  <c r="AI496" i="13"/>
  <c r="AH496" i="13"/>
  <c r="AH472" i="13"/>
  <c r="AI472" i="13"/>
  <c r="AH92" i="13"/>
  <c r="AI92" i="13"/>
  <c r="AI222" i="13"/>
  <c r="AH222" i="13"/>
  <c r="AI314" i="13"/>
  <c r="AH314" i="13"/>
  <c r="AH184" i="13"/>
  <c r="AI184" i="13"/>
  <c r="AI263" i="13"/>
  <c r="AH263" i="13"/>
  <c r="AH77" i="13"/>
  <c r="AI77" i="13"/>
  <c r="AH550" i="13"/>
  <c r="AI550" i="13"/>
  <c r="AI414" i="13"/>
  <c r="AH414" i="13"/>
  <c r="AI175" i="13"/>
  <c r="AH175" i="13"/>
  <c r="AI487" i="13"/>
  <c r="AH487" i="13"/>
  <c r="AH287" i="13"/>
  <c r="AI287" i="13"/>
  <c r="AI365" i="13"/>
  <c r="AH365" i="13"/>
  <c r="AI304" i="13"/>
  <c r="AH304" i="13"/>
  <c r="AH224" i="13"/>
  <c r="AI224" i="13"/>
  <c r="AI50" i="13"/>
  <c r="AH50" i="13"/>
  <c r="AI195" i="13"/>
  <c r="AH195" i="13"/>
  <c r="AH253" i="13"/>
  <c r="AI253" i="13"/>
  <c r="AI427" i="13"/>
  <c r="AH427" i="13"/>
  <c r="AH291" i="13"/>
  <c r="AI291" i="13"/>
  <c r="AI399" i="13"/>
  <c r="AH399" i="13"/>
  <c r="AH481" i="13"/>
  <c r="AI481" i="13"/>
  <c r="AH114" i="13"/>
  <c r="AI114" i="13"/>
  <c r="AI125" i="13"/>
  <c r="AH125" i="13"/>
  <c r="AI299" i="13"/>
  <c r="AH299" i="13"/>
  <c r="AI196" i="13"/>
  <c r="AH196" i="13"/>
  <c r="AI180" i="13"/>
  <c r="AH180" i="13"/>
  <c r="AI145" i="13"/>
  <c r="AH145" i="13"/>
  <c r="AI210" i="13"/>
  <c r="AH210" i="13"/>
  <c r="AH335" i="13"/>
  <c r="AI335" i="13"/>
  <c r="AI245" i="13"/>
  <c r="AH245" i="13"/>
  <c r="AI168" i="13"/>
  <c r="AH168" i="13"/>
  <c r="AI473" i="13"/>
  <c r="AH473" i="13"/>
  <c r="AH494" i="13"/>
  <c r="AI494" i="13"/>
  <c r="AI58" i="13"/>
  <c r="AH58" i="13"/>
  <c r="AI185" i="13"/>
  <c r="AH185" i="13"/>
  <c r="AH452" i="13"/>
  <c r="AI452" i="13"/>
  <c r="AH417" i="13"/>
  <c r="AI417" i="13"/>
  <c r="AI191" i="13"/>
  <c r="AH191" i="13"/>
  <c r="AH76" i="13"/>
  <c r="AI76" i="13"/>
  <c r="AH468" i="13"/>
  <c r="AI468" i="13"/>
  <c r="AH542" i="13"/>
  <c r="AI542" i="13"/>
  <c r="AH322" i="13"/>
  <c r="AI322" i="13"/>
  <c r="AI83" i="13"/>
  <c r="AH83" i="13"/>
  <c r="AH259" i="13"/>
  <c r="AI259" i="13"/>
  <c r="AI237" i="13"/>
  <c r="AH237" i="13"/>
  <c r="AH35" i="13"/>
  <c r="AI35" i="13"/>
  <c r="AI323" i="13"/>
  <c r="AH323" i="13"/>
  <c r="AI310" i="13"/>
  <c r="AH310" i="13"/>
  <c r="AI239" i="13"/>
  <c r="AH239" i="13"/>
  <c r="AI142" i="13"/>
  <c r="AH142" i="13"/>
  <c r="AH338" i="13"/>
  <c r="AI338" i="13"/>
  <c r="AI143" i="13"/>
  <c r="AH143" i="13"/>
  <c r="AH163" i="13"/>
  <c r="AI163" i="13"/>
  <c r="AH249" i="13"/>
  <c r="AI249" i="13"/>
  <c r="AI403" i="13"/>
  <c r="AH403" i="13"/>
  <c r="AH553" i="13"/>
  <c r="AI553" i="13"/>
  <c r="AH136" i="13"/>
  <c r="AI136" i="13"/>
  <c r="AH393" i="13"/>
  <c r="AI393" i="13"/>
  <c r="AH389" i="13"/>
  <c r="AI389" i="13"/>
  <c r="AH477" i="13"/>
  <c r="AI477" i="13"/>
  <c r="AH358" i="13"/>
  <c r="AI358" i="13"/>
  <c r="AI529" i="13"/>
  <c r="AH529" i="13"/>
  <c r="AI268" i="13"/>
  <c r="AH268" i="13"/>
  <c r="AH490" i="13"/>
  <c r="AI490" i="13"/>
  <c r="AH510" i="13"/>
  <c r="AI510" i="13"/>
  <c r="AI270" i="13"/>
  <c r="AH270" i="13"/>
  <c r="AI25" i="13"/>
  <c r="AH25" i="13"/>
  <c r="AI204" i="13"/>
  <c r="AH204" i="13"/>
  <c r="AI360" i="13"/>
  <c r="AH360" i="13"/>
  <c r="AH407" i="13"/>
  <c r="AI407" i="13"/>
  <c r="AI447" i="13"/>
  <c r="AH447" i="13"/>
  <c r="AH325" i="13"/>
  <c r="AI325" i="13"/>
  <c r="AH462" i="13"/>
  <c r="AI462" i="13"/>
  <c r="AH371" i="13"/>
  <c r="AI371" i="13"/>
  <c r="AI351" i="13"/>
  <c r="AH351" i="13"/>
  <c r="AI91" i="13"/>
  <c r="AH91" i="13"/>
  <c r="AI409" i="13"/>
  <c r="AH409" i="13"/>
  <c r="AI420" i="13"/>
  <c r="AH420" i="13"/>
  <c r="AH284" i="13"/>
  <c r="AI284" i="13"/>
  <c r="AI342" i="13"/>
  <c r="AH342" i="13"/>
  <c r="AI190" i="13"/>
  <c r="AH190" i="13"/>
  <c r="AI454" i="13"/>
  <c r="AH454" i="13"/>
  <c r="AI492" i="13"/>
  <c r="AH492" i="13"/>
  <c r="AH471" i="13"/>
  <c r="AI471" i="13"/>
  <c r="AI391" i="13"/>
  <c r="AH391" i="13"/>
  <c r="AI361" i="13"/>
  <c r="AH361" i="13"/>
  <c r="AH281" i="13"/>
  <c r="AI281" i="13"/>
  <c r="AI66" i="13"/>
  <c r="AH66" i="13"/>
  <c r="AI457" i="13"/>
  <c r="AH457" i="13"/>
  <c r="AI90" i="13"/>
  <c r="AH90" i="13"/>
  <c r="AI235" i="13"/>
  <c r="AH235" i="13"/>
  <c r="AH213" i="13"/>
  <c r="AI213" i="13"/>
  <c r="AI153" i="13"/>
  <c r="AH153" i="13"/>
  <c r="AI482" i="13"/>
  <c r="AH482" i="13"/>
  <c r="AH283" i="13"/>
  <c r="AI283" i="13"/>
  <c r="AI370" i="13"/>
  <c r="AH370" i="13"/>
  <c r="AI79" i="13"/>
  <c r="AH79" i="13"/>
  <c r="AH507" i="13"/>
  <c r="AI507" i="13"/>
  <c r="AI61" i="13"/>
  <c r="AH61" i="13"/>
  <c r="AI226" i="13"/>
  <c r="AH226" i="13"/>
  <c r="AI243" i="13"/>
  <c r="AH243" i="13"/>
  <c r="AH369" i="13"/>
  <c r="AI369" i="13"/>
  <c r="AI306" i="13"/>
  <c r="AH306" i="13"/>
  <c r="AH101" i="13"/>
  <c r="AI101" i="13"/>
  <c r="AI107" i="13"/>
  <c r="AH107" i="13"/>
  <c r="AI218" i="13"/>
  <c r="AH218" i="13"/>
  <c r="AI8" i="13"/>
  <c r="AH8" i="13"/>
  <c r="AN119" i="5"/>
  <c r="AH551" i="13"/>
  <c r="AI551" i="13"/>
  <c r="AI187" i="13"/>
  <c r="AH187" i="13"/>
  <c r="AH37" i="13"/>
  <c r="AI37" i="13"/>
  <c r="AI179" i="13"/>
  <c r="AH179" i="13"/>
  <c r="AI215" i="13"/>
  <c r="AH215" i="13"/>
  <c r="AI200" i="13"/>
  <c r="AH200" i="13"/>
  <c r="AI45" i="13"/>
  <c r="AH45" i="13"/>
  <c r="AI336" i="13"/>
  <c r="AH336" i="13"/>
  <c r="AH312" i="13"/>
  <c r="AI312" i="13"/>
  <c r="AI408" i="13"/>
  <c r="AH408" i="13"/>
  <c r="AI498" i="13"/>
  <c r="AH498" i="13"/>
  <c r="AI123" i="13"/>
  <c r="AH123" i="13"/>
  <c r="AI437" i="13"/>
  <c r="AH437" i="13"/>
  <c r="AH42" i="13"/>
  <c r="AI42" i="13"/>
  <c r="AH214" i="13"/>
  <c r="AI214" i="13"/>
  <c r="AH311" i="13"/>
  <c r="AI311" i="13"/>
  <c r="AH166" i="13"/>
  <c r="AI166" i="13"/>
  <c r="AH354" i="13"/>
  <c r="AI354" i="13"/>
  <c r="AI41" i="13"/>
  <c r="AH41" i="13"/>
  <c r="AI38" i="13"/>
  <c r="AH38" i="13"/>
  <c r="AI405" i="13"/>
  <c r="AH405" i="13"/>
  <c r="AH258" i="13"/>
  <c r="AI258" i="13"/>
  <c r="AI316" i="13"/>
  <c r="AH316" i="13"/>
  <c r="AI36" i="13"/>
  <c r="AH36" i="13"/>
  <c r="AI495" i="13"/>
  <c r="AH495" i="13"/>
  <c r="AI109" i="13"/>
  <c r="AH109" i="13"/>
  <c r="AI502" i="13"/>
  <c r="AH502" i="13"/>
  <c r="AH252" i="13"/>
  <c r="AI252" i="13"/>
  <c r="AI475" i="13"/>
  <c r="AH475" i="13"/>
  <c r="AH431" i="13"/>
  <c r="AI431" i="13"/>
  <c r="AI155" i="13"/>
  <c r="AH155" i="13"/>
  <c r="AI372" i="13"/>
  <c r="AH372" i="13"/>
  <c r="AH446" i="13"/>
  <c r="AI446" i="13"/>
  <c r="AI62" i="13"/>
  <c r="AH62" i="13"/>
  <c r="AI115" i="13"/>
  <c r="AH115" i="13"/>
  <c r="AH140" i="13"/>
  <c r="AI140" i="13"/>
  <c r="AH527" i="13"/>
  <c r="AI527" i="13"/>
  <c r="AH518" i="13"/>
  <c r="AI518" i="13"/>
  <c r="AI366" i="13"/>
  <c r="AH366" i="13"/>
  <c r="AI293" i="13"/>
  <c r="AH293" i="13"/>
  <c r="AI347" i="13"/>
  <c r="AH347" i="13"/>
  <c r="AH339" i="13"/>
  <c r="AI339" i="13"/>
  <c r="AI212" i="13"/>
  <c r="AH212" i="13"/>
  <c r="AH524" i="13"/>
  <c r="AI524" i="13"/>
  <c r="AI324" i="13"/>
  <c r="AH324" i="13"/>
  <c r="AI294" i="13"/>
  <c r="AH294" i="13"/>
  <c r="AH150" i="13"/>
  <c r="AI150" i="13"/>
  <c r="AI152" i="13"/>
  <c r="AH152" i="13"/>
  <c r="AI528" i="13"/>
  <c r="AH528" i="13"/>
  <c r="AI69" i="13"/>
  <c r="AH69" i="13"/>
  <c r="AI137" i="13"/>
  <c r="AH137" i="13"/>
  <c r="AH154" i="13"/>
  <c r="AI154" i="13"/>
  <c r="AI385" i="13"/>
  <c r="AH385" i="13"/>
  <c r="AH88" i="13"/>
  <c r="AI88" i="13"/>
  <c r="AH464" i="13"/>
  <c r="AI464" i="13"/>
  <c r="AH275" i="13"/>
  <c r="AI275" i="13"/>
  <c r="AH505" i="13"/>
  <c r="AI505" i="13"/>
  <c r="AI99" i="13"/>
  <c r="AH99" i="13"/>
  <c r="AH466" i="13"/>
  <c r="AI466" i="13"/>
  <c r="AI129" i="13"/>
  <c r="AH129" i="13"/>
  <c r="AH158" i="13"/>
  <c r="AI158" i="13"/>
  <c r="AI52" i="13"/>
  <c r="AH52" i="13"/>
  <c r="AI428" i="13"/>
  <c r="AH428" i="13"/>
  <c r="AI98" i="13"/>
  <c r="AH98" i="13"/>
  <c r="AI386" i="13"/>
  <c r="AH386" i="13"/>
  <c r="AI172" i="13"/>
  <c r="AH172" i="13"/>
  <c r="AI81" i="13"/>
  <c r="AH81" i="13"/>
  <c r="AH522" i="13"/>
  <c r="AI522" i="13"/>
  <c r="AH219" i="13"/>
  <c r="AI219" i="13"/>
  <c r="AH514" i="13"/>
  <c r="AI514" i="13"/>
  <c r="AI46" i="13"/>
  <c r="AH46" i="13"/>
  <c r="AI395" i="13"/>
  <c r="AH395" i="13"/>
  <c r="AH217" i="13"/>
  <c r="AI217" i="13"/>
  <c r="AI516" i="13"/>
  <c r="AH516" i="13"/>
  <c r="AH531" i="13"/>
  <c r="AI531" i="13"/>
  <c r="AI340" i="13"/>
  <c r="AH340" i="13"/>
  <c r="AI476" i="13"/>
  <c r="AH476" i="13"/>
  <c r="AI539" i="13"/>
  <c r="AH539" i="13"/>
  <c r="AH548" i="13"/>
  <c r="AI548" i="13"/>
  <c r="AH398" i="13"/>
  <c r="AI398" i="13"/>
  <c r="AI344" i="13"/>
  <c r="AH344" i="13"/>
  <c r="AI326" i="13"/>
  <c r="AH326" i="13"/>
  <c r="AI552" i="13"/>
  <c r="AH552" i="13"/>
  <c r="AI489" i="13"/>
  <c r="AH489" i="13"/>
  <c r="AI48" i="13"/>
  <c r="AH48" i="13"/>
  <c r="AI141" i="13"/>
  <c r="AH141" i="13"/>
  <c r="AH266" i="13"/>
  <c r="AI266" i="13"/>
  <c r="AH309" i="13"/>
  <c r="AI309" i="13"/>
  <c r="AH400" i="13"/>
  <c r="AI400" i="13"/>
  <c r="AH276" i="13"/>
  <c r="AI276" i="13"/>
  <c r="AH376" i="13"/>
  <c r="AI376" i="13"/>
  <c r="AH349" i="13"/>
  <c r="AI349" i="13"/>
  <c r="AH162" i="13"/>
  <c r="AI162" i="13"/>
  <c r="AH470" i="13"/>
  <c r="AI470" i="13"/>
  <c r="AI121" i="13"/>
  <c r="AH121" i="13"/>
  <c r="AH205" i="13"/>
  <c r="AI205" i="13"/>
  <c r="AH546" i="13"/>
  <c r="AI546" i="13"/>
  <c r="AI406" i="13"/>
  <c r="AH406" i="13"/>
  <c r="AI297" i="13"/>
  <c r="AH297" i="13"/>
  <c r="AI188" i="13"/>
  <c r="AH188" i="13"/>
  <c r="AI458" i="13"/>
  <c r="AH458" i="13"/>
  <c r="AH367" i="13"/>
  <c r="AI367" i="13"/>
  <c r="AI122" i="13"/>
  <c r="AH122" i="13"/>
  <c r="AH116" i="13"/>
  <c r="AI116" i="13"/>
  <c r="AI388" i="13"/>
  <c r="AH388" i="13"/>
  <c r="AH453" i="13"/>
  <c r="AI453" i="13"/>
  <c r="AH368" i="13"/>
  <c r="AI368" i="13"/>
  <c r="AI289" i="13"/>
  <c r="AH289" i="13"/>
  <c r="AI346" i="13"/>
  <c r="AH346" i="13"/>
  <c r="AH59" i="13"/>
  <c r="AI59" i="13"/>
  <c r="AH413" i="13"/>
  <c r="AI413" i="13"/>
  <c r="AH555" i="13"/>
  <c r="AI555" i="13"/>
  <c r="AH419" i="13"/>
  <c r="AI419" i="13"/>
  <c r="AI232" i="13"/>
  <c r="AH232" i="13"/>
  <c r="AI508" i="13"/>
  <c r="AH508" i="13"/>
  <c r="AI319" i="13"/>
  <c r="AH319" i="13"/>
  <c r="AI302" i="13"/>
  <c r="AH302" i="13"/>
  <c r="AI456" i="13"/>
  <c r="AH456" i="13"/>
  <c r="AH227" i="13"/>
  <c r="AI227" i="13"/>
  <c r="AI82" i="13"/>
  <c r="AH82" i="13"/>
  <c r="AH149" i="13"/>
  <c r="AI149" i="13"/>
  <c r="AI255" i="13"/>
  <c r="AH255" i="13"/>
  <c r="AH86" i="13"/>
  <c r="AI86" i="13"/>
  <c r="AI392" i="13"/>
  <c r="AH392" i="13"/>
  <c r="AH34" i="13"/>
  <c r="AI34" i="13"/>
  <c r="AH474" i="13"/>
  <c r="AI474" i="13"/>
  <c r="AI233" i="13"/>
  <c r="AH233" i="13"/>
  <c r="AH225" i="13"/>
  <c r="AI225" i="13"/>
  <c r="AI560" i="13"/>
  <c r="AH560" i="13"/>
  <c r="AH461" i="13"/>
  <c r="AI461" i="13"/>
  <c r="AI274" i="13"/>
  <c r="AH274" i="13"/>
  <c r="AI337" i="13"/>
  <c r="AH337" i="13"/>
  <c r="AI558" i="13"/>
  <c r="AH558" i="13"/>
  <c r="AI278" i="13"/>
  <c r="AH278" i="13"/>
  <c r="AI463" i="13"/>
  <c r="AH463" i="13"/>
  <c r="AH244" i="13"/>
  <c r="AI244" i="13"/>
  <c r="AI387" i="13"/>
  <c r="AH387" i="13"/>
  <c r="AX56" i="4"/>
  <c r="AY56" i="4" s="1"/>
  <c r="CN56" i="4" s="1"/>
  <c r="AI397" i="13"/>
  <c r="AH397" i="13"/>
  <c r="AI157" i="13"/>
  <c r="AH157" i="13"/>
  <c r="AH65" i="13"/>
  <c r="AI65" i="13"/>
  <c r="AI40" i="13"/>
  <c r="AH40" i="13"/>
  <c r="AI89" i="13"/>
  <c r="AH89" i="13"/>
  <c r="AI426" i="13"/>
  <c r="AH426" i="13"/>
  <c r="AH87" i="13"/>
  <c r="AI87" i="13"/>
  <c r="AH401" i="13"/>
  <c r="AI401" i="13"/>
  <c r="AH424" i="13"/>
  <c r="AI424" i="13"/>
  <c r="AH202" i="13"/>
  <c r="AI202" i="13"/>
  <c r="AH67" i="13"/>
  <c r="AI67" i="13"/>
  <c r="AH484" i="13"/>
  <c r="AI484" i="13"/>
  <c r="AI497" i="13"/>
  <c r="AH497" i="13"/>
  <c r="AH280" i="13"/>
  <c r="AI280" i="13"/>
  <c r="AH512" i="13"/>
  <c r="AI512" i="13"/>
  <c r="AH380" i="13"/>
  <c r="AI380" i="13"/>
  <c r="AI530" i="13"/>
  <c r="AH530" i="13"/>
  <c r="AI379" i="13"/>
  <c r="AH379" i="13"/>
  <c r="AI544" i="13"/>
  <c r="AH544" i="13"/>
  <c r="AI375" i="13"/>
  <c r="AH375" i="13"/>
  <c r="AI305" i="13"/>
  <c r="AH305" i="13"/>
  <c r="AI31" i="13"/>
  <c r="AH31" i="13"/>
  <c r="AI106" i="13"/>
  <c r="AH106" i="13"/>
  <c r="AH194" i="13"/>
  <c r="AI194" i="13"/>
  <c r="AI443" i="13"/>
  <c r="AH443" i="13"/>
  <c r="AI248" i="13"/>
  <c r="AH248" i="13"/>
  <c r="AI290" i="13"/>
  <c r="AH290" i="13"/>
  <c r="AI85" i="13"/>
  <c r="AH85" i="13"/>
  <c r="AI315" i="13"/>
  <c r="AH315" i="13"/>
  <c r="AI22" i="13"/>
  <c r="AH22" i="13"/>
  <c r="AH410" i="13"/>
  <c r="AI410" i="13"/>
  <c r="AI345" i="13"/>
  <c r="AH345" i="13"/>
  <c r="AI532" i="13"/>
  <c r="AH532" i="13"/>
  <c r="AH165" i="13"/>
  <c r="AI165" i="13"/>
  <c r="AH118" i="13"/>
  <c r="AI118" i="13"/>
  <c r="AI547" i="13"/>
  <c r="AH547" i="13"/>
  <c r="AH74" i="13"/>
  <c r="AI74" i="13"/>
  <c r="AH535" i="13"/>
  <c r="AI535" i="13"/>
  <c r="AH288" i="13"/>
  <c r="AI288" i="13"/>
  <c r="AH26" i="13"/>
  <c r="AI26" i="13"/>
  <c r="AH449" i="13"/>
  <c r="AI449" i="13"/>
  <c r="AH131" i="13"/>
  <c r="AI131" i="13"/>
  <c r="AI353" i="13"/>
  <c r="AH353" i="13"/>
  <c r="AI139" i="13"/>
  <c r="AH139" i="13"/>
  <c r="AH189" i="13"/>
  <c r="AI189" i="13"/>
  <c r="AH523" i="13"/>
  <c r="AI523" i="13"/>
  <c r="AH486" i="13"/>
  <c r="AI486" i="13"/>
  <c r="AI183" i="13"/>
  <c r="AH183" i="13"/>
  <c r="AI70" i="13"/>
  <c r="AH70" i="13"/>
  <c r="AI256" i="13"/>
  <c r="AH256" i="13"/>
  <c r="AI56" i="13"/>
  <c r="AH56" i="13"/>
  <c r="AH430" i="13"/>
  <c r="AI430" i="13"/>
  <c r="AH422" i="13"/>
  <c r="AI422" i="13"/>
  <c r="AI119" i="13"/>
  <c r="AH119" i="13"/>
  <c r="AH559" i="13"/>
  <c r="AI559" i="13"/>
  <c r="AH192" i="13"/>
  <c r="AI192" i="13"/>
  <c r="AI504" i="13"/>
  <c r="AH504" i="13"/>
  <c r="AI21" i="13"/>
  <c r="AH21" i="13"/>
  <c r="AI499" i="13"/>
  <c r="AH499" i="13"/>
  <c r="AH113" i="13"/>
  <c r="AI113" i="13"/>
  <c r="AH334" i="13"/>
  <c r="AI334" i="13"/>
  <c r="AI33" i="13"/>
  <c r="AH33" i="13"/>
  <c r="AI173" i="13"/>
  <c r="AH173" i="13"/>
  <c r="AI377" i="13"/>
  <c r="AH377" i="13"/>
  <c r="AI135" i="13"/>
  <c r="AH135" i="13"/>
  <c r="AI117" i="13"/>
  <c r="AH117" i="13"/>
  <c r="AH374" i="13"/>
  <c r="AI374" i="13"/>
  <c r="AH308" i="13"/>
  <c r="AI308" i="13"/>
  <c r="AI7" i="13"/>
  <c r="AH7" i="13"/>
  <c r="AI394" i="13"/>
  <c r="AH394" i="13"/>
  <c r="AI264" i="13"/>
  <c r="AH264" i="13"/>
  <c r="AH404" i="13"/>
  <c r="AI404" i="13"/>
  <c r="AH134" i="13"/>
  <c r="AI134" i="13"/>
  <c r="AI295" i="13"/>
  <c r="AH295" i="13"/>
  <c r="AI554" i="13"/>
  <c r="AH554" i="13"/>
  <c r="AI72" i="13"/>
  <c r="AH72" i="13"/>
  <c r="AH469" i="13"/>
  <c r="AI469" i="13"/>
  <c r="AH479" i="13"/>
  <c r="AI479" i="13"/>
  <c r="AH298" i="13"/>
  <c r="AI298" i="13"/>
  <c r="AH415" i="13"/>
  <c r="AI415" i="13"/>
  <c r="AI228" i="13"/>
  <c r="AH228" i="13"/>
  <c r="AI206" i="13"/>
  <c r="AH206" i="13"/>
  <c r="AI241" i="13"/>
  <c r="AH241" i="13"/>
  <c r="AH534" i="13"/>
  <c r="AI534" i="13"/>
  <c r="AI329" i="13"/>
  <c r="AH329" i="13"/>
  <c r="AI517" i="13"/>
  <c r="AH517" i="13"/>
  <c r="AH540" i="13"/>
  <c r="AI540" i="13"/>
  <c r="AI51" i="13"/>
  <c r="AH51" i="13"/>
  <c r="AH68" i="13"/>
  <c r="AI68" i="13"/>
  <c r="AH261" i="13"/>
  <c r="AI261" i="13"/>
  <c r="AI272" i="13"/>
  <c r="AH272" i="13"/>
  <c r="AI27" i="13"/>
  <c r="AH27" i="13"/>
  <c r="AI501" i="13"/>
  <c r="AH501" i="13"/>
  <c r="AI133" i="13"/>
  <c r="AH133" i="13"/>
  <c r="AI208" i="13"/>
  <c r="AH208" i="13"/>
  <c r="AI301" i="13"/>
  <c r="AH301" i="13"/>
  <c r="AI182" i="13"/>
  <c r="AH182" i="13"/>
  <c r="AI49" i="13"/>
  <c r="AH49" i="13"/>
  <c r="AH357" i="13"/>
  <c r="AI357" i="13"/>
  <c r="AH451" i="13"/>
  <c r="AI451" i="13"/>
  <c r="AI543" i="13"/>
  <c r="AH543" i="13"/>
  <c r="AH450" i="13"/>
  <c r="AI450" i="13"/>
  <c r="AI267" i="13"/>
  <c r="AH267" i="13"/>
  <c r="AI515" i="13"/>
  <c r="AH515" i="13"/>
  <c r="AH23" i="13"/>
  <c r="AI23" i="13"/>
  <c r="AI455" i="13"/>
  <c r="AH455" i="13"/>
  <c r="AH97" i="13"/>
  <c r="AI97" i="13"/>
  <c r="AI197" i="13"/>
  <c r="AH197" i="13"/>
  <c r="AI265" i="13"/>
  <c r="AH265" i="13"/>
  <c r="AI282" i="13"/>
  <c r="AH282" i="13"/>
  <c r="AH161" i="13"/>
  <c r="AI161" i="13"/>
  <c r="AI193" i="13"/>
  <c r="AH193" i="13"/>
  <c r="AI356" i="13"/>
  <c r="AH356" i="13"/>
  <c r="AH350" i="13"/>
  <c r="AI350" i="13"/>
  <c r="AH111" i="13"/>
  <c r="AI111" i="13"/>
  <c r="AI423" i="13"/>
  <c r="AH423" i="13"/>
  <c r="AH223" i="13"/>
  <c r="AI223" i="13"/>
  <c r="AH513" i="13"/>
  <c r="AI513" i="13"/>
  <c r="AH292" i="13"/>
  <c r="AI292" i="13"/>
  <c r="AI246" i="13"/>
  <c r="AH246" i="13"/>
  <c r="AI47" i="13"/>
  <c r="AH47" i="13"/>
  <c r="AI359" i="13"/>
  <c r="AH359" i="13"/>
  <c r="AH198" i="13"/>
  <c r="AI198" i="13"/>
  <c r="AI556" i="13"/>
  <c r="AH556" i="13"/>
  <c r="AI321" i="13"/>
  <c r="AH321" i="13"/>
  <c r="AI229" i="13"/>
  <c r="AH229" i="13"/>
  <c r="AH104" i="13"/>
  <c r="AI104" i="13"/>
  <c r="AI500" i="13"/>
  <c r="AH500" i="13"/>
  <c r="AH108" i="13"/>
  <c r="AI108" i="13"/>
  <c r="AI381" i="13"/>
  <c r="AH381" i="13"/>
  <c r="AI296" i="13"/>
  <c r="AH296" i="13"/>
  <c r="AI418" i="13"/>
  <c r="AH418" i="13"/>
  <c r="AI207" i="13"/>
  <c r="AH207" i="13"/>
  <c r="AI438" i="13"/>
  <c r="AH438" i="13"/>
  <c r="AN155" i="5"/>
  <c r="AU128" i="4"/>
  <c r="AV128" i="4" s="1"/>
  <c r="AI478" i="13"/>
  <c r="AH478" i="13"/>
  <c r="AI124" i="13"/>
  <c r="AH124" i="13"/>
  <c r="AH435" i="13"/>
  <c r="AI435" i="13"/>
  <c r="AI147" i="13"/>
  <c r="AH147" i="13"/>
  <c r="AI63" i="13"/>
  <c r="AH63" i="13"/>
  <c r="AI307" i="13"/>
  <c r="AH307" i="13"/>
  <c r="AH425" i="13"/>
  <c r="AI425" i="13"/>
  <c r="AH20" i="13"/>
  <c r="AI20" i="13"/>
  <c r="AH432" i="13"/>
  <c r="AI432" i="13"/>
  <c r="AH28" i="13"/>
  <c r="AI28" i="13"/>
  <c r="AH257" i="13"/>
  <c r="AI257" i="13"/>
  <c r="AI503" i="13"/>
  <c r="AH503" i="13"/>
  <c r="AH433" i="13"/>
  <c r="AI433" i="13"/>
  <c r="AH169" i="13"/>
  <c r="AI169" i="13"/>
  <c r="AI273" i="13"/>
  <c r="AH273" i="13"/>
  <c r="AI480" i="13"/>
  <c r="AH480" i="13"/>
  <c r="AI171" i="13"/>
  <c r="AH171" i="13"/>
  <c r="AI112" i="13"/>
  <c r="AH112" i="13"/>
  <c r="AI24" i="13"/>
  <c r="AH24" i="13"/>
  <c r="AI467" i="13"/>
  <c r="AH467" i="13"/>
  <c r="AH448" i="13"/>
  <c r="AI448" i="13"/>
  <c r="AI429" i="13"/>
  <c r="AH429" i="13"/>
  <c r="AI416" i="13"/>
  <c r="AH416" i="13"/>
  <c r="AI55" i="13"/>
  <c r="AH55" i="13"/>
  <c r="AI506" i="13"/>
  <c r="AH506" i="13"/>
  <c r="AH411" i="13"/>
  <c r="AI411" i="13"/>
  <c r="AI352" i="13"/>
  <c r="AH352" i="13"/>
  <c r="AH238" i="13"/>
  <c r="AI238" i="13"/>
  <c r="AI317" i="13"/>
  <c r="AH317" i="13"/>
  <c r="AI221" i="13"/>
  <c r="AH221" i="13"/>
  <c r="AI537" i="13"/>
  <c r="AH537" i="13"/>
  <c r="AH144" i="13"/>
  <c r="AI144" i="13"/>
  <c r="AI170" i="13"/>
  <c r="AH170" i="13"/>
  <c r="AI509" i="13"/>
  <c r="AH509" i="13"/>
  <c r="AI378" i="13"/>
  <c r="AH378" i="13"/>
  <c r="AI19" i="13"/>
  <c r="AH19" i="13"/>
  <c r="AH485" i="13"/>
  <c r="AI485" i="13"/>
  <c r="AH216" i="13"/>
  <c r="AI216" i="13"/>
  <c r="AI80" i="13"/>
  <c r="AH80" i="13"/>
  <c r="AH520" i="13"/>
  <c r="AI520" i="13"/>
  <c r="AH53" i="13"/>
  <c r="AI53" i="13"/>
  <c r="AH441" i="13"/>
  <c r="AI441" i="13"/>
  <c r="AI277" i="13"/>
  <c r="AH277" i="13"/>
  <c r="AH250" i="13"/>
  <c r="AI250" i="13"/>
  <c r="AH483" i="13"/>
  <c r="AI483" i="13"/>
  <c r="AH220" i="13"/>
  <c r="AI220" i="13"/>
  <c r="AH230" i="13"/>
  <c r="AI230" i="13"/>
  <c r="AI549" i="13"/>
  <c r="AH549" i="13"/>
  <c r="AH390" i="13"/>
  <c r="AI390" i="13"/>
  <c r="AH236" i="13"/>
  <c r="AI236" i="13"/>
  <c r="AI355" i="13"/>
  <c r="AH355" i="13"/>
  <c r="AH156" i="13"/>
  <c r="AI156" i="13"/>
  <c r="AI557" i="13"/>
  <c r="AH557" i="13"/>
  <c r="AI526" i="13"/>
  <c r="AH526" i="13"/>
  <c r="AI159" i="13"/>
  <c r="AH159" i="13"/>
  <c r="AI488" i="13"/>
  <c r="AH488" i="13"/>
  <c r="AI363" i="13"/>
  <c r="AH363" i="13"/>
  <c r="AI211" i="13"/>
  <c r="AH211" i="13"/>
  <c r="AI201" i="13"/>
  <c r="AH201" i="13"/>
  <c r="AI126" i="13"/>
  <c r="AH126" i="13"/>
  <c r="AH94" i="13"/>
  <c r="AI94" i="13"/>
  <c r="AI57" i="13"/>
  <c r="AH57" i="13"/>
  <c r="AI442" i="13"/>
  <c r="AH442" i="13"/>
  <c r="AI402" i="13"/>
  <c r="AH402" i="13"/>
  <c r="AI421" i="13"/>
  <c r="AH421" i="13"/>
  <c r="AH271" i="13"/>
  <c r="AI271" i="13"/>
  <c r="AI127" i="13"/>
  <c r="AH127" i="13"/>
  <c r="AH285" i="13"/>
  <c r="AI285" i="13"/>
  <c r="AI362" i="13"/>
  <c r="AH362" i="13"/>
  <c r="AI29" i="13"/>
  <c r="AH29" i="13"/>
  <c r="AH440" i="13"/>
  <c r="AI440" i="13"/>
  <c r="AH519" i="13"/>
  <c r="AI519" i="13"/>
  <c r="AI130" i="13"/>
  <c r="AH130" i="13"/>
  <c r="AH382" i="13"/>
  <c r="AI382" i="13"/>
  <c r="AH146" i="13"/>
  <c r="AI146" i="13"/>
  <c r="AH533" i="13"/>
  <c r="AI533" i="13"/>
  <c r="AI459" i="13"/>
  <c r="AH459" i="13"/>
  <c r="AH102" i="13"/>
  <c r="AI102" i="13"/>
  <c r="AH439" i="13"/>
  <c r="AI439" i="13"/>
  <c r="AH95" i="13"/>
  <c r="AI95" i="13"/>
  <c r="AH110" i="13"/>
  <c r="AI110" i="13"/>
  <c r="AI384" i="13"/>
  <c r="AH384" i="13"/>
  <c r="AI151" i="13"/>
  <c r="AH151" i="13"/>
  <c r="AI262" i="13"/>
  <c r="AH262" i="13"/>
  <c r="AH186" i="13"/>
  <c r="AI186" i="13"/>
  <c r="AI231" i="13"/>
  <c r="AH231" i="13"/>
  <c r="AH330" i="13"/>
  <c r="AI330" i="13"/>
  <c r="AI327" i="13"/>
  <c r="AH327" i="13"/>
  <c r="AH412" i="13"/>
  <c r="AI412" i="13"/>
  <c r="AH128" i="13"/>
  <c r="AI128" i="13"/>
  <c r="AH138" i="13"/>
  <c r="AI138" i="13"/>
  <c r="AI536" i="13"/>
  <c r="AH536" i="13"/>
  <c r="AI348" i="13"/>
  <c r="AH348" i="13"/>
  <c r="AI64" i="13"/>
  <c r="AH64" i="13"/>
  <c r="AI105" i="13"/>
  <c r="AH105" i="13"/>
  <c r="AI160" i="13"/>
  <c r="AH160" i="13"/>
  <c r="AI54" i="13"/>
  <c r="AH54" i="13"/>
  <c r="AH181" i="13"/>
  <c r="AI181" i="13"/>
  <c r="AI93" i="13"/>
  <c r="AH93" i="13"/>
  <c r="AI465" i="13"/>
  <c r="AH465" i="13"/>
  <c r="AH445" i="13"/>
  <c r="AI445" i="13"/>
  <c r="AH60" i="13"/>
  <c r="AI60" i="13"/>
  <c r="AI383" i="13"/>
  <c r="AH383" i="13"/>
  <c r="AH247" i="13"/>
  <c r="AI247" i="13"/>
  <c r="AI254" i="13"/>
  <c r="AH254" i="13"/>
  <c r="AI320" i="13"/>
  <c r="AH320" i="13"/>
  <c r="AI120" i="13"/>
  <c r="AH120" i="13"/>
  <c r="AH286" i="13"/>
  <c r="AI286" i="13"/>
  <c r="AI333" i="13"/>
  <c r="AH333" i="13"/>
  <c r="AH203" i="13"/>
  <c r="AI203" i="13"/>
  <c r="AI434" i="13"/>
  <c r="AH434" i="13"/>
  <c r="AH148" i="13"/>
  <c r="AI148" i="13"/>
  <c r="AH460" i="13"/>
  <c r="AI460" i="13"/>
  <c r="AI260" i="13"/>
  <c r="AH260" i="13"/>
  <c r="AH436" i="13"/>
  <c r="AI436" i="13"/>
  <c r="AI75" i="13"/>
  <c r="AH75" i="13"/>
  <c r="AH269" i="13"/>
  <c r="AI269" i="13"/>
  <c r="AI84" i="13"/>
  <c r="AH84" i="13"/>
  <c r="AH396" i="13"/>
  <c r="AI396" i="13"/>
  <c r="AI318" i="13"/>
  <c r="AH318" i="13"/>
  <c r="AI491" i="13"/>
  <c r="AH491" i="13"/>
  <c r="AH341" i="13"/>
  <c r="AI341" i="13"/>
  <c r="AI545" i="13"/>
  <c r="AH545" i="13"/>
  <c r="AI364" i="13"/>
  <c r="AH364" i="13"/>
  <c r="AI209" i="13"/>
  <c r="AH209" i="13"/>
  <c r="AI71" i="13"/>
  <c r="AH71" i="13"/>
  <c r="AH178" i="13"/>
  <c r="AI178" i="13"/>
  <c r="AI234" i="13"/>
  <c r="AH234" i="13"/>
  <c r="AI73" i="13"/>
  <c r="AH73" i="13"/>
  <c r="AI177" i="13"/>
  <c r="AH177" i="13"/>
  <c r="AU130" i="4"/>
  <c r="AV130" i="4" s="1"/>
  <c r="AX130" i="4"/>
  <c r="AY130" i="4" s="1"/>
  <c r="CN130" i="4" s="1"/>
  <c r="AU48" i="4"/>
  <c r="AV48" i="4" s="1"/>
  <c r="AX41" i="4"/>
  <c r="AY41" i="4" s="1"/>
  <c r="CN41" i="4" s="1"/>
  <c r="AU19" i="4"/>
  <c r="AV19" i="4" s="1"/>
  <c r="AY33" i="4"/>
  <c r="CN33" i="4" s="1"/>
  <c r="AY35" i="4"/>
  <c r="CN35" i="4" s="1"/>
  <c r="AY129" i="4"/>
  <c r="CN129" i="4" s="1"/>
  <c r="AY19" i="4"/>
  <c r="CN19" i="4" s="1"/>
  <c r="AY114" i="4"/>
  <c r="CN114" i="4" s="1"/>
  <c r="AO33" i="5"/>
  <c r="AO164" i="5"/>
  <c r="AO177" i="5"/>
  <c r="AO309" i="5"/>
  <c r="AN333" i="5"/>
  <c r="AN76" i="5"/>
  <c r="AJ12" i="13"/>
  <c r="AJ13" i="13"/>
  <c r="B160" i="2"/>
  <c r="BA130" i="4"/>
  <c r="BA145" i="4"/>
  <c r="BA54" i="4"/>
  <c r="BA127" i="4"/>
  <c r="AS89" i="13"/>
  <c r="AU89" i="13" s="1"/>
  <c r="AS59" i="13"/>
  <c r="AT59" i="13" s="1"/>
  <c r="AS63" i="13"/>
  <c r="AU63" i="13" s="1"/>
  <c r="AS75" i="13"/>
  <c r="AU75" i="13" s="1"/>
  <c r="AS108" i="13"/>
  <c r="AU108" i="13" s="1"/>
  <c r="AS153" i="13"/>
  <c r="AU153" i="13" s="1"/>
  <c r="AS115" i="13"/>
  <c r="AU115" i="13" s="1"/>
  <c r="AS94" i="13"/>
  <c r="AT94" i="13" s="1"/>
  <c r="AS190" i="13"/>
  <c r="AT190" i="13" s="1"/>
  <c r="AS196" i="13"/>
  <c r="AU196" i="13" s="1"/>
  <c r="AS225" i="13"/>
  <c r="AT225" i="13" s="1"/>
  <c r="AS208" i="13"/>
  <c r="AU208" i="13" s="1"/>
  <c r="AS199" i="13"/>
  <c r="AU199" i="13" s="1"/>
  <c r="AS294" i="13"/>
  <c r="AS241" i="13"/>
  <c r="AU241" i="13" s="1"/>
  <c r="AS273" i="13"/>
  <c r="AT273" i="13" s="1"/>
  <c r="AS284" i="13"/>
  <c r="AU284" i="13" s="1"/>
  <c r="AS314" i="13"/>
  <c r="AU314" i="13" s="1"/>
  <c r="AS332" i="13"/>
  <c r="AU332" i="13" s="1"/>
  <c r="AS373" i="13"/>
  <c r="AU373" i="13" s="1"/>
  <c r="AS393" i="13"/>
  <c r="AU393" i="13" s="1"/>
  <c r="AS440" i="13"/>
  <c r="AU440" i="13" s="1"/>
  <c r="AS424" i="13"/>
  <c r="AT424" i="13" s="1"/>
  <c r="AS430" i="13"/>
  <c r="AU430" i="13" s="1"/>
  <c r="AS443" i="13"/>
  <c r="AT443" i="13" s="1"/>
  <c r="AS449" i="13"/>
  <c r="AT449" i="13" s="1"/>
  <c r="AS460" i="13"/>
  <c r="AU460" i="13" s="1"/>
  <c r="AS493" i="13"/>
  <c r="AU493" i="13" s="1"/>
  <c r="AS492" i="13"/>
  <c r="AU492" i="13" s="1"/>
  <c r="AS501" i="13"/>
  <c r="AU501" i="13" s="1"/>
  <c r="AS517" i="13"/>
  <c r="AU517" i="13" s="1"/>
  <c r="AS139" i="13"/>
  <c r="AU139" i="13" s="1"/>
  <c r="AS166" i="13"/>
  <c r="AU166" i="13" s="1"/>
  <c r="AS246" i="13"/>
  <c r="AU246" i="13" s="1"/>
  <c r="AS255" i="13"/>
  <c r="AU255" i="13" s="1"/>
  <c r="AS362" i="13"/>
  <c r="AU362" i="13" s="1"/>
  <c r="AS557" i="13"/>
  <c r="AU557" i="13" s="1"/>
  <c r="AP13" i="13"/>
  <c r="AS324" i="13"/>
  <c r="AU324" i="13" s="1"/>
  <c r="AS352" i="13"/>
  <c r="AT352" i="13" s="1"/>
  <c r="AP12" i="13"/>
  <c r="AS38" i="13"/>
  <c r="AU38" i="13" s="1"/>
  <c r="AS169" i="13"/>
  <c r="AT169" i="13" s="1"/>
  <c r="AS74" i="13"/>
  <c r="AU74" i="13" s="1"/>
  <c r="AS84" i="13"/>
  <c r="AT84" i="13" s="1"/>
  <c r="AS143" i="13"/>
  <c r="AU143" i="13" s="1"/>
  <c r="AS91" i="13"/>
  <c r="AU91" i="13" s="1"/>
  <c r="AS102" i="13"/>
  <c r="AT102" i="13" s="1"/>
  <c r="AS201" i="13"/>
  <c r="AU201" i="13" s="1"/>
  <c r="AS248" i="13"/>
  <c r="AU248" i="13" s="1"/>
  <c r="AS234" i="13"/>
  <c r="AT234" i="13" s="1"/>
  <c r="AS325" i="13"/>
  <c r="AT325" i="13" s="1"/>
  <c r="AS322" i="13"/>
  <c r="AU322" i="13" s="1"/>
  <c r="AS343" i="13"/>
  <c r="AS364" i="13"/>
  <c r="AU364" i="13" s="1"/>
  <c r="AS405" i="13"/>
  <c r="AT405" i="13" s="1"/>
  <c r="AS411" i="13"/>
  <c r="AU411" i="13" s="1"/>
  <c r="AS406" i="13"/>
  <c r="AT406" i="13" s="1"/>
  <c r="AS454" i="13"/>
  <c r="AU454" i="13" s="1"/>
  <c r="AS507" i="13"/>
  <c r="AU507" i="13" s="1"/>
  <c r="AS530" i="13"/>
  <c r="AU530" i="13" s="1"/>
  <c r="AS536" i="13"/>
  <c r="AU536" i="13" s="1"/>
  <c r="AS55" i="13"/>
  <c r="AT55" i="13" s="1"/>
  <c r="AS45" i="13"/>
  <c r="AU45" i="13" s="1"/>
  <c r="AS22" i="13"/>
  <c r="AU22" i="13" s="1"/>
  <c r="AS64" i="13"/>
  <c r="AT64" i="13" s="1"/>
  <c r="AS78" i="13"/>
  <c r="AT78" i="13" s="1"/>
  <c r="AS429" i="13"/>
  <c r="AU429" i="13" s="1"/>
  <c r="AS461" i="13"/>
  <c r="AT461" i="13" s="1"/>
  <c r="AS54" i="13"/>
  <c r="AT54" i="13" s="1"/>
  <c r="AS214" i="13"/>
  <c r="AU214" i="13" s="1"/>
  <c r="AS44" i="13"/>
  <c r="AU44" i="13" s="1"/>
  <c r="AS133" i="13"/>
  <c r="AU133" i="13" s="1"/>
  <c r="AS104" i="13"/>
  <c r="AU104" i="13" s="1"/>
  <c r="AS145" i="13"/>
  <c r="AT145" i="13" s="1"/>
  <c r="AS111" i="13"/>
  <c r="AU111" i="13" s="1"/>
  <c r="AS122" i="13"/>
  <c r="AU122" i="13" s="1"/>
  <c r="AS144" i="13"/>
  <c r="AU144" i="13" s="1"/>
  <c r="AS176" i="13"/>
  <c r="AT176" i="13" s="1"/>
  <c r="AS130" i="13"/>
  <c r="AT130" i="13" s="1"/>
  <c r="AS206" i="13"/>
  <c r="AT206" i="13" s="1"/>
  <c r="AS189" i="13"/>
  <c r="AU189" i="13" s="1"/>
  <c r="AS221" i="13"/>
  <c r="AU221" i="13" s="1"/>
  <c r="AS204" i="13"/>
  <c r="AU204" i="13" s="1"/>
  <c r="AS195" i="13"/>
  <c r="AU195" i="13" s="1"/>
  <c r="AS227" i="13"/>
  <c r="AU227" i="13" s="1"/>
  <c r="AS237" i="13"/>
  <c r="AU237" i="13" s="1"/>
  <c r="AS269" i="13"/>
  <c r="AU269" i="13" s="1"/>
  <c r="AS316" i="13"/>
  <c r="AU316" i="13" s="1"/>
  <c r="AS251" i="13"/>
  <c r="AU251" i="13" s="1"/>
  <c r="AS321" i="13"/>
  <c r="AT321" i="13" s="1"/>
  <c r="AS338" i="13"/>
  <c r="AT338" i="13" s="1"/>
  <c r="AS356" i="13"/>
  <c r="AU356" i="13" s="1"/>
  <c r="AS306" i="13"/>
  <c r="AU306" i="13" s="1"/>
  <c r="AS347" i="13"/>
  <c r="AU347" i="13" s="1"/>
  <c r="AS353" i="13"/>
  <c r="AU353" i="13" s="1"/>
  <c r="AS358" i="13"/>
  <c r="AT358" i="13" s="1"/>
  <c r="AS386" i="13"/>
  <c r="AT386" i="13" s="1"/>
  <c r="AS369" i="13"/>
  <c r="AU369" i="13" s="1"/>
  <c r="AS392" i="13"/>
  <c r="AU392" i="13" s="1"/>
  <c r="AS396" i="13"/>
  <c r="AU396" i="13" s="1"/>
  <c r="AS403" i="13"/>
  <c r="AU403" i="13" s="1"/>
  <c r="AS433" i="13"/>
  <c r="AU433" i="13" s="1"/>
  <c r="AS427" i="13"/>
  <c r="AU427" i="13" s="1"/>
  <c r="AS421" i="13"/>
  <c r="AT421" i="13" s="1"/>
  <c r="AS445" i="13"/>
  <c r="AU445" i="13" s="1"/>
  <c r="AS455" i="13"/>
  <c r="AT455" i="13" s="1"/>
  <c r="AS457" i="13"/>
  <c r="AU457" i="13" s="1"/>
  <c r="AS489" i="13"/>
  <c r="AU489" i="13" s="1"/>
  <c r="AS488" i="13"/>
  <c r="AU488" i="13" s="1"/>
  <c r="AS479" i="13"/>
  <c r="AU479" i="13" s="1"/>
  <c r="AS490" i="13"/>
  <c r="AU490" i="13" s="1"/>
  <c r="AS497" i="13"/>
  <c r="AU497" i="13" s="1"/>
  <c r="AS534" i="13"/>
  <c r="AU534" i="13" s="1"/>
  <c r="AS542" i="13"/>
  <c r="AT542" i="13" s="1"/>
  <c r="AS535" i="13"/>
  <c r="AU535" i="13" s="1"/>
  <c r="AS560" i="13"/>
  <c r="AU560" i="13" s="1"/>
  <c r="AS556" i="13"/>
  <c r="AU556" i="13" s="1"/>
  <c r="AS101" i="13"/>
  <c r="AT101" i="13" s="1"/>
  <c r="AS134" i="13"/>
  <c r="AU134" i="13" s="1"/>
  <c r="AS335" i="13"/>
  <c r="AU335" i="13" s="1"/>
  <c r="AS494" i="13"/>
  <c r="AT494" i="13" s="1"/>
  <c r="AS72" i="13"/>
  <c r="AU72" i="13" s="1"/>
  <c r="AS232" i="13"/>
  <c r="AT232" i="13" s="1"/>
  <c r="AS90" i="13"/>
  <c r="AT90" i="13" s="1"/>
  <c r="AS431" i="13"/>
  <c r="AT431" i="13" s="1"/>
  <c r="AS456" i="13"/>
  <c r="AT456" i="13" s="1"/>
  <c r="AS510" i="13"/>
  <c r="AU510" i="13" s="1"/>
  <c r="AO440" i="5"/>
  <c r="AN185" i="5"/>
  <c r="AO239" i="5"/>
  <c r="AN135" i="5"/>
  <c r="AN460" i="5"/>
  <c r="AO307" i="5"/>
  <c r="AN241" i="5"/>
  <c r="AO87" i="5"/>
  <c r="AO411" i="5"/>
  <c r="AO175" i="5"/>
  <c r="AN229" i="5"/>
  <c r="AN112" i="5"/>
  <c r="AN541" i="5"/>
  <c r="AO504" i="5"/>
  <c r="AO94" i="5"/>
  <c r="AO186" i="5"/>
  <c r="AO351" i="5"/>
  <c r="AN144" i="5"/>
  <c r="AN507" i="5"/>
  <c r="AN88" i="5"/>
  <c r="AN228" i="5"/>
  <c r="AH8" i="5"/>
  <c r="AH98" i="5"/>
  <c r="AN203" i="5"/>
  <c r="AO488" i="5"/>
  <c r="AN233" i="5"/>
  <c r="AO364" i="5"/>
  <c r="AN44" i="5"/>
  <c r="AO288" i="5"/>
  <c r="AO191" i="5"/>
  <c r="AN142" i="5"/>
  <c r="AO109" i="5"/>
  <c r="AO429" i="5"/>
  <c r="BA71" i="4"/>
  <c r="BA137" i="4"/>
  <c r="BA76" i="4"/>
  <c r="BA153" i="4"/>
  <c r="BA98" i="4"/>
  <c r="BA114" i="4"/>
  <c r="BA97" i="4"/>
  <c r="AO213" i="5"/>
  <c r="AN89" i="5"/>
  <c r="AN153" i="5"/>
  <c r="AN148" i="5"/>
  <c r="AK34" i="5"/>
  <c r="AN27" i="5"/>
  <c r="AO373" i="5"/>
  <c r="AN513" i="5"/>
  <c r="AN93" i="5"/>
  <c r="AS98" i="5"/>
  <c r="AU98" i="5" s="1"/>
  <c r="BA148" i="4"/>
  <c r="BA96" i="4"/>
  <c r="BA116" i="4"/>
  <c r="BA100" i="4"/>
  <c r="BA32" i="4"/>
  <c r="BA128" i="4"/>
  <c r="BA131" i="4"/>
  <c r="BA13" i="4"/>
  <c r="BA49" i="4"/>
  <c r="BA134" i="4"/>
  <c r="BA27" i="4"/>
  <c r="BA66" i="4"/>
  <c r="BA126" i="4"/>
  <c r="BA112" i="4"/>
  <c r="BA79" i="4"/>
  <c r="BA108" i="4"/>
  <c r="BA14" i="4"/>
  <c r="BA17" i="4"/>
  <c r="BA9" i="4"/>
  <c r="BA147" i="4"/>
  <c r="B167" i="2"/>
  <c r="B190" i="2" s="1"/>
  <c r="B19" i="13" s="1"/>
  <c r="BA40" i="4"/>
  <c r="BA73" i="4"/>
  <c r="BA57" i="4"/>
  <c r="BA51" i="4"/>
  <c r="BA45" i="4"/>
  <c r="AU119" i="4"/>
  <c r="AV119" i="4" s="1"/>
  <c r="AX119" i="4"/>
  <c r="AY119" i="4" s="1"/>
  <c r="CN119" i="4" s="1"/>
  <c r="AU59" i="4"/>
  <c r="AV59" i="4" s="1"/>
  <c r="AX59" i="4"/>
  <c r="AY59" i="4" s="1"/>
  <c r="CN59" i="4" s="1"/>
  <c r="AO128" i="5"/>
  <c r="AN128" i="5"/>
  <c r="AO448" i="5"/>
  <c r="AN448" i="5"/>
  <c r="AN75" i="5"/>
  <c r="AO75" i="5"/>
  <c r="AN368" i="5"/>
  <c r="AO368" i="5"/>
  <c r="AO71" i="5"/>
  <c r="AN71" i="5"/>
  <c r="AN323" i="5"/>
  <c r="AO323" i="5"/>
  <c r="AR404" i="13"/>
  <c r="AQ404" i="13"/>
  <c r="AR422" i="13"/>
  <c r="AQ422" i="13"/>
  <c r="AR468" i="13"/>
  <c r="AQ468" i="13"/>
  <c r="AR355" i="13"/>
  <c r="AQ355" i="13"/>
  <c r="AR266" i="13"/>
  <c r="AQ266" i="13"/>
  <c r="AQ171" i="13"/>
  <c r="AR171" i="13"/>
  <c r="AR98" i="13"/>
  <c r="AQ98" i="13"/>
  <c r="AR48" i="13"/>
  <c r="AQ48" i="13"/>
  <c r="AQ498" i="13"/>
  <c r="AR498" i="13"/>
  <c r="AQ390" i="13"/>
  <c r="AR390" i="13"/>
  <c r="AR226" i="13"/>
  <c r="AQ226" i="13"/>
  <c r="AQ135" i="13"/>
  <c r="AR135" i="13"/>
  <c r="AR42" i="13"/>
  <c r="AQ42" i="13"/>
  <c r="AR383" i="13"/>
  <c r="AQ383" i="13"/>
  <c r="AQ289" i="13"/>
  <c r="AR289" i="13"/>
  <c r="AR481" i="13"/>
  <c r="AQ481" i="13"/>
  <c r="AR342" i="13"/>
  <c r="AQ342" i="13"/>
  <c r="AR106" i="13"/>
  <c r="AQ106" i="13"/>
  <c r="AR50" i="13"/>
  <c r="AQ50" i="13"/>
  <c r="AQ529" i="13"/>
  <c r="AR529" i="13"/>
  <c r="AQ297" i="13"/>
  <c r="AR297" i="13"/>
  <c r="AQ202" i="13"/>
  <c r="AR202" i="13"/>
  <c r="AQ159" i="13"/>
  <c r="AR159" i="13"/>
  <c r="AR76" i="13"/>
  <c r="AQ76" i="13"/>
  <c r="AR508" i="13"/>
  <c r="AQ508" i="13"/>
  <c r="AR485" i="13"/>
  <c r="AQ485" i="13"/>
  <c r="AR407" i="13"/>
  <c r="AQ407" i="13"/>
  <c r="AR280" i="13"/>
  <c r="AQ280" i="13"/>
  <c r="AQ147" i="13"/>
  <c r="AR147" i="13"/>
  <c r="AR35" i="13"/>
  <c r="AQ35" i="13"/>
  <c r="AQ537" i="13"/>
  <c r="AR537" i="13"/>
  <c r="AQ547" i="13"/>
  <c r="AR547" i="13"/>
  <c r="AR418" i="13"/>
  <c r="AQ418" i="13"/>
  <c r="AR222" i="13"/>
  <c r="AQ222" i="13"/>
  <c r="AQ157" i="13"/>
  <c r="AR157" i="13"/>
  <c r="AR117" i="13"/>
  <c r="AQ117" i="13"/>
  <c r="AR36" i="13"/>
  <c r="AQ36" i="13"/>
  <c r="AQ37" i="13"/>
  <c r="AR37" i="13"/>
  <c r="AR40" i="13"/>
  <c r="AQ40" i="13"/>
  <c r="AR66" i="13"/>
  <c r="AQ66" i="13"/>
  <c r="AR73" i="13"/>
  <c r="AQ73" i="13"/>
  <c r="AR162" i="13"/>
  <c r="AQ162" i="13"/>
  <c r="AN101" i="5"/>
  <c r="AO101" i="5"/>
  <c r="AO353" i="5"/>
  <c r="AN353" i="5"/>
  <c r="AO281" i="5"/>
  <c r="AO49" i="5"/>
  <c r="AN166" i="5"/>
  <c r="AR150" i="13"/>
  <c r="AQ150" i="13"/>
  <c r="AR140" i="13"/>
  <c r="AQ140" i="13"/>
  <c r="AR267" i="13"/>
  <c r="AQ267" i="13"/>
  <c r="AR223" i="13"/>
  <c r="AQ223" i="13"/>
  <c r="AR209" i="13"/>
  <c r="AQ209" i="13"/>
  <c r="AR259" i="13"/>
  <c r="AQ259" i="13"/>
  <c r="AR283" i="13"/>
  <c r="AQ283" i="13"/>
  <c r="AQ285" i="13"/>
  <c r="AR285" i="13"/>
  <c r="AR281" i="13"/>
  <c r="AQ281" i="13"/>
  <c r="AR300" i="13"/>
  <c r="AQ300" i="13"/>
  <c r="AR320" i="13"/>
  <c r="AQ320" i="13"/>
  <c r="AR360" i="13"/>
  <c r="AQ360" i="13"/>
  <c r="AR357" i="13"/>
  <c r="AQ357" i="13"/>
  <c r="AR333" i="13"/>
  <c r="AQ333" i="13"/>
  <c r="AR340" i="13"/>
  <c r="AQ340" i="13"/>
  <c r="AR384" i="13"/>
  <c r="AQ384" i="13"/>
  <c r="AR410" i="13"/>
  <c r="AQ410" i="13"/>
  <c r="AQ435" i="13"/>
  <c r="AR435" i="13"/>
  <c r="AR464" i="13"/>
  <c r="AQ464" i="13"/>
  <c r="AQ441" i="13"/>
  <c r="AR441" i="13"/>
  <c r="AQ512" i="13"/>
  <c r="AR512" i="13"/>
  <c r="AQ522" i="13"/>
  <c r="AR522" i="13"/>
  <c r="AR506" i="13"/>
  <c r="AQ506" i="13"/>
  <c r="AQ532" i="13"/>
  <c r="AR532" i="13"/>
  <c r="AQ539" i="13"/>
  <c r="AR539" i="13"/>
  <c r="AQ545" i="13"/>
  <c r="AR545" i="13"/>
  <c r="AS42" i="13"/>
  <c r="AS35" i="13"/>
  <c r="AS66" i="13"/>
  <c r="AS226" i="13"/>
  <c r="AT144" i="13"/>
  <c r="AS162" i="13"/>
  <c r="AS289" i="13"/>
  <c r="AS297" i="13"/>
  <c r="AS280" i="13"/>
  <c r="AS283" i="13"/>
  <c r="AS355" i="13"/>
  <c r="AL30" i="13"/>
  <c r="AK30" i="13"/>
  <c r="AL178" i="13"/>
  <c r="AK178" i="13"/>
  <c r="AK533" i="13"/>
  <c r="AL533" i="13"/>
  <c r="AL254" i="13"/>
  <c r="AK254" i="13"/>
  <c r="AL205" i="13"/>
  <c r="AK205" i="13"/>
  <c r="AL113" i="13"/>
  <c r="AK113" i="13"/>
  <c r="AL27" i="13"/>
  <c r="AK27" i="13"/>
  <c r="AL117" i="13"/>
  <c r="AK117" i="13"/>
  <c r="AL459" i="13"/>
  <c r="AK459" i="13"/>
  <c r="AK359" i="13"/>
  <c r="AL359" i="13"/>
  <c r="AL189" i="13"/>
  <c r="AK189" i="13"/>
  <c r="AL124" i="13"/>
  <c r="AK124" i="13"/>
  <c r="AL446" i="13"/>
  <c r="AK446" i="13"/>
  <c r="AK550" i="13"/>
  <c r="AL550" i="13"/>
  <c r="AL361" i="13"/>
  <c r="AK361" i="13"/>
  <c r="AL278" i="13"/>
  <c r="AK278" i="13"/>
  <c r="AL110" i="13"/>
  <c r="AK110" i="13"/>
  <c r="AL97" i="13"/>
  <c r="AK97" i="13"/>
  <c r="AK374" i="13"/>
  <c r="AL374" i="13"/>
  <c r="AL419" i="13"/>
  <c r="AK419" i="13"/>
  <c r="AK251" i="13"/>
  <c r="AL251" i="13"/>
  <c r="AL209" i="13"/>
  <c r="AK209" i="13"/>
  <c r="AK148" i="13"/>
  <c r="AL148" i="13"/>
  <c r="AL463" i="13"/>
  <c r="AK463" i="13"/>
  <c r="AL420" i="13"/>
  <c r="AK420" i="13"/>
  <c r="AL455" i="13"/>
  <c r="AK455" i="13"/>
  <c r="AL258" i="13"/>
  <c r="AK258" i="13"/>
  <c r="AL100" i="13"/>
  <c r="AK100" i="13"/>
  <c r="AK58" i="13"/>
  <c r="AL58" i="13"/>
  <c r="AK306" i="13"/>
  <c r="AL306" i="13"/>
  <c r="AK538" i="13"/>
  <c r="AL538" i="13"/>
  <c r="AL390" i="13"/>
  <c r="AK390" i="13"/>
  <c r="AK247" i="13"/>
  <c r="AL247" i="13"/>
  <c r="AL193" i="13"/>
  <c r="AK193" i="13"/>
  <c r="AL109" i="13"/>
  <c r="AK109" i="13"/>
  <c r="AL52" i="13"/>
  <c r="AK52" i="13"/>
  <c r="AL49" i="13"/>
  <c r="AK49" i="13"/>
  <c r="AK28" i="13"/>
  <c r="AL28" i="13"/>
  <c r="AL80" i="13"/>
  <c r="AK80" i="13"/>
  <c r="AL147" i="13"/>
  <c r="AK147" i="13"/>
  <c r="AL127" i="13"/>
  <c r="AK127" i="13"/>
  <c r="AL129" i="13"/>
  <c r="AK129" i="13"/>
  <c r="AL179" i="13"/>
  <c r="AK179" i="13"/>
  <c r="AL192" i="13"/>
  <c r="AK192" i="13"/>
  <c r="AL216" i="13"/>
  <c r="AK216" i="13"/>
  <c r="AL268" i="13"/>
  <c r="AK268" i="13"/>
  <c r="AK311" i="13"/>
  <c r="AL311" i="13"/>
  <c r="AL297" i="13"/>
  <c r="AK297" i="13"/>
  <c r="AL305" i="13"/>
  <c r="AK305" i="13"/>
  <c r="AK328" i="13"/>
  <c r="AL328" i="13"/>
  <c r="AL354" i="13"/>
  <c r="AK354" i="13"/>
  <c r="AK395" i="13"/>
  <c r="AL395" i="13"/>
  <c r="AK327" i="13"/>
  <c r="AL327" i="13"/>
  <c r="AL356" i="13"/>
  <c r="AK356" i="13"/>
  <c r="AL398" i="13"/>
  <c r="AK398" i="13"/>
  <c r="AL400" i="13"/>
  <c r="AK400" i="13"/>
  <c r="AK399" i="13"/>
  <c r="AL399" i="13"/>
  <c r="AK434" i="13"/>
  <c r="AL434" i="13"/>
  <c r="AL472" i="13"/>
  <c r="AK472" i="13"/>
  <c r="AK439" i="13"/>
  <c r="AL439" i="13"/>
  <c r="AL475" i="13"/>
  <c r="AK475" i="13"/>
  <c r="AL464" i="13"/>
  <c r="AK464" i="13"/>
  <c r="AL520" i="13"/>
  <c r="AK520" i="13"/>
  <c r="AK506" i="13"/>
  <c r="AL506" i="13"/>
  <c r="AK523" i="13"/>
  <c r="AL523" i="13"/>
  <c r="AL535" i="13"/>
  <c r="AK535" i="13"/>
  <c r="AL556" i="13"/>
  <c r="AK556" i="13"/>
  <c r="AL558" i="13"/>
  <c r="AK558" i="13"/>
  <c r="AO131" i="13"/>
  <c r="AN131" i="13"/>
  <c r="AO111" i="13"/>
  <c r="AN111" i="13"/>
  <c r="AN475" i="13"/>
  <c r="AO475" i="13"/>
  <c r="AN395" i="13"/>
  <c r="AO395" i="13"/>
  <c r="AO280" i="13"/>
  <c r="AN280" i="13"/>
  <c r="AO265" i="13"/>
  <c r="AN265" i="13"/>
  <c r="AO150" i="13"/>
  <c r="AN150" i="13"/>
  <c r="AO198" i="13"/>
  <c r="AN198" i="13"/>
  <c r="AO492" i="13"/>
  <c r="AN492" i="13"/>
  <c r="AO197" i="13"/>
  <c r="AN197" i="13"/>
  <c r="AN302" i="13"/>
  <c r="AO302" i="13"/>
  <c r="AN80" i="13"/>
  <c r="AO80" i="13"/>
  <c r="AN447" i="13"/>
  <c r="AO447" i="13"/>
  <c r="AN362" i="13"/>
  <c r="AO362" i="13"/>
  <c r="AN239" i="13"/>
  <c r="AO239" i="13"/>
  <c r="AO274" i="13"/>
  <c r="AN274" i="13"/>
  <c r="AO61" i="13"/>
  <c r="AN61" i="13"/>
  <c r="AN504" i="13"/>
  <c r="AO504" i="13"/>
  <c r="AO284" i="13"/>
  <c r="AN284" i="13"/>
  <c r="AN66" i="13"/>
  <c r="AO66" i="13"/>
  <c r="AO558" i="13"/>
  <c r="AN558" i="13"/>
  <c r="AO496" i="13"/>
  <c r="AN496" i="13"/>
  <c r="AN421" i="13"/>
  <c r="AO421" i="13"/>
  <c r="AO366" i="13"/>
  <c r="AN366" i="13"/>
  <c r="AO287" i="13"/>
  <c r="AN287" i="13"/>
  <c r="AO225" i="13"/>
  <c r="AN225" i="13"/>
  <c r="AO155" i="13"/>
  <c r="AN155" i="13"/>
  <c r="AO172" i="13"/>
  <c r="AN172" i="13"/>
  <c r="AO502" i="13"/>
  <c r="AN502" i="13"/>
  <c r="AN207" i="13"/>
  <c r="AO207" i="13"/>
  <c r="AO219" i="13"/>
  <c r="AN219" i="13"/>
  <c r="AO369" i="13"/>
  <c r="AN369" i="13"/>
  <c r="AO292" i="13"/>
  <c r="AN292" i="13"/>
  <c r="AO119" i="13"/>
  <c r="AN119" i="13"/>
  <c r="AO37" i="13"/>
  <c r="AN37" i="13"/>
  <c r="AO363" i="13"/>
  <c r="AN363" i="13"/>
  <c r="AO349" i="13"/>
  <c r="AN349" i="13"/>
  <c r="AO519" i="13"/>
  <c r="AN519" i="13"/>
  <c r="AO539" i="13"/>
  <c r="AN539" i="13"/>
  <c r="AO408" i="13"/>
  <c r="AN408" i="13"/>
  <c r="AO317" i="13"/>
  <c r="AN317" i="13"/>
  <c r="AO260" i="13"/>
  <c r="AN260" i="13"/>
  <c r="AN185" i="13"/>
  <c r="AO185" i="13"/>
  <c r="AO194" i="13"/>
  <c r="AN194" i="13"/>
  <c r="AO522" i="13"/>
  <c r="AN522" i="13"/>
  <c r="AO147" i="13"/>
  <c r="AN147" i="13"/>
  <c r="AO482" i="13"/>
  <c r="AN482" i="13"/>
  <c r="AO479" i="13"/>
  <c r="AN479" i="13"/>
  <c r="AO381" i="13"/>
  <c r="AN381" i="13"/>
  <c r="AO304" i="13"/>
  <c r="AN304" i="13"/>
  <c r="AO152" i="13"/>
  <c r="AN152" i="13"/>
  <c r="AO46" i="13"/>
  <c r="AN46" i="13"/>
  <c r="AN34" i="13"/>
  <c r="AO34" i="13"/>
  <c r="AO59" i="13"/>
  <c r="AN59" i="13"/>
  <c r="AO78" i="13"/>
  <c r="AN78" i="13"/>
  <c r="AN110" i="13"/>
  <c r="AO110" i="13"/>
  <c r="AO108" i="13"/>
  <c r="AN108" i="13"/>
  <c r="AO144" i="13"/>
  <c r="AN144" i="13"/>
  <c r="AO202" i="13"/>
  <c r="AN202" i="13"/>
  <c r="AO262" i="13"/>
  <c r="AN262" i="13"/>
  <c r="AO289" i="13"/>
  <c r="AN289" i="13"/>
  <c r="AO313" i="13"/>
  <c r="AN313" i="13"/>
  <c r="AN419" i="13"/>
  <c r="AO419" i="13"/>
  <c r="AO459" i="13"/>
  <c r="AN459" i="13"/>
  <c r="AO412" i="13"/>
  <c r="AN412" i="13"/>
  <c r="AO474" i="13"/>
  <c r="AN474" i="13"/>
  <c r="AO503" i="13"/>
  <c r="AN503" i="13"/>
  <c r="AO543" i="13"/>
  <c r="AN543" i="13"/>
  <c r="AX154" i="4"/>
  <c r="AY154" i="4" s="1"/>
  <c r="CN154" i="4" s="1"/>
  <c r="AU154" i="4"/>
  <c r="AV154" i="4" s="1"/>
  <c r="AR309" i="13"/>
  <c r="AQ309" i="13"/>
  <c r="AQ369" i="13"/>
  <c r="AR369" i="13"/>
  <c r="AR118" i="13"/>
  <c r="AQ118" i="13"/>
  <c r="AR503" i="13"/>
  <c r="AQ503" i="13"/>
  <c r="AR409" i="13"/>
  <c r="AQ409" i="13"/>
  <c r="AQ188" i="13"/>
  <c r="AR188" i="13"/>
  <c r="AR210" i="13"/>
  <c r="AQ210" i="13"/>
  <c r="AR470" i="13"/>
  <c r="AQ470" i="13"/>
  <c r="AR83" i="13"/>
  <c r="AQ83" i="13"/>
  <c r="AQ535" i="13"/>
  <c r="AR535" i="13"/>
  <c r="AQ238" i="13"/>
  <c r="AR238" i="13"/>
  <c r="AR7" i="13"/>
  <c r="AQ7" i="13"/>
  <c r="AR446" i="13"/>
  <c r="AQ446" i="13"/>
  <c r="AR240" i="13"/>
  <c r="AQ240" i="13"/>
  <c r="AR99" i="13"/>
  <c r="AQ99" i="13"/>
  <c r="AR511" i="13"/>
  <c r="AQ511" i="13"/>
  <c r="AR214" i="13"/>
  <c r="AQ214" i="13"/>
  <c r="AR95" i="13"/>
  <c r="AQ95" i="13"/>
  <c r="AR33" i="13"/>
  <c r="AQ33" i="13"/>
  <c r="AR27" i="13"/>
  <c r="AQ27" i="13"/>
  <c r="AQ46" i="13"/>
  <c r="AR46" i="13"/>
  <c r="AR154" i="13"/>
  <c r="AQ154" i="13"/>
  <c r="AR227" i="13"/>
  <c r="AQ227" i="13"/>
  <c r="AQ286" i="13"/>
  <c r="AR286" i="13"/>
  <c r="AQ293" i="13"/>
  <c r="AR293" i="13"/>
  <c r="AR308" i="13"/>
  <c r="AQ308" i="13"/>
  <c r="AR303" i="13"/>
  <c r="AQ303" i="13"/>
  <c r="AR337" i="13"/>
  <c r="AQ337" i="13"/>
  <c r="AR397" i="13"/>
  <c r="AQ397" i="13"/>
  <c r="AR436" i="13"/>
  <c r="AQ436" i="13"/>
  <c r="AR445" i="13"/>
  <c r="AQ445" i="13"/>
  <c r="AR527" i="13"/>
  <c r="AQ527" i="13"/>
  <c r="AR531" i="13"/>
  <c r="AQ531" i="13"/>
  <c r="AQ554" i="13"/>
  <c r="AR554" i="13"/>
  <c r="AS188" i="13"/>
  <c r="AS83" i="13"/>
  <c r="AS126" i="13"/>
  <c r="AS148" i="13"/>
  <c r="AU294" i="13"/>
  <c r="AT294" i="13"/>
  <c r="AS278" i="13"/>
  <c r="AS285" i="13"/>
  <c r="AS287" i="13"/>
  <c r="AS311" i="13"/>
  <c r="AS328" i="13"/>
  <c r="AS400" i="13"/>
  <c r="AS397" i="13"/>
  <c r="AS483" i="13"/>
  <c r="AS538" i="13"/>
  <c r="AS539" i="13"/>
  <c r="AS545" i="13"/>
  <c r="AK24" i="13"/>
  <c r="AL24" i="13"/>
  <c r="AK501" i="13"/>
  <c r="AL501" i="13"/>
  <c r="AK156" i="13"/>
  <c r="AL156" i="13"/>
  <c r="AL125" i="13"/>
  <c r="AK125" i="13"/>
  <c r="AK430" i="13"/>
  <c r="AL430" i="13"/>
  <c r="AL183" i="13"/>
  <c r="AK183" i="13"/>
  <c r="AK195" i="13"/>
  <c r="AL195" i="13"/>
  <c r="AL338" i="13"/>
  <c r="AK338" i="13"/>
  <c r="AL96" i="13"/>
  <c r="AK96" i="13"/>
  <c r="AL237" i="13"/>
  <c r="AK237" i="13"/>
  <c r="AL235" i="13"/>
  <c r="AK235" i="13"/>
  <c r="AK199" i="13"/>
  <c r="AL199" i="13"/>
  <c r="AL86" i="13"/>
  <c r="AK86" i="13"/>
  <c r="AK462" i="13"/>
  <c r="AL462" i="13"/>
  <c r="AL211" i="13"/>
  <c r="AK211" i="13"/>
  <c r="AK393" i="13"/>
  <c r="AL393" i="13"/>
  <c r="AL232" i="13"/>
  <c r="AK232" i="13"/>
  <c r="AL94" i="13"/>
  <c r="AK94" i="13"/>
  <c r="AL69" i="13"/>
  <c r="AK69" i="13"/>
  <c r="AL265" i="13"/>
  <c r="AK265" i="13"/>
  <c r="AL531" i="13"/>
  <c r="AK531" i="13"/>
  <c r="AK370" i="13"/>
  <c r="AL370" i="13"/>
  <c r="AL231" i="13"/>
  <c r="AK231" i="13"/>
  <c r="AL190" i="13"/>
  <c r="AK190" i="13"/>
  <c r="AK76" i="13"/>
  <c r="AL76" i="13"/>
  <c r="AL32" i="13"/>
  <c r="AK32" i="13"/>
  <c r="AK19" i="13"/>
  <c r="AL19" i="13"/>
  <c r="AL48" i="13"/>
  <c r="AK48" i="13"/>
  <c r="AL87" i="13"/>
  <c r="AK87" i="13"/>
  <c r="AL137" i="13"/>
  <c r="AK137" i="13"/>
  <c r="AL145" i="13"/>
  <c r="AK145" i="13"/>
  <c r="AL141" i="13"/>
  <c r="AK141" i="13"/>
  <c r="AL165" i="13"/>
  <c r="AK165" i="13"/>
  <c r="AL220" i="13"/>
  <c r="AK220" i="13"/>
  <c r="AL272" i="13"/>
  <c r="AK272" i="13"/>
  <c r="AL276" i="13"/>
  <c r="AK276" i="13"/>
  <c r="AK320" i="13"/>
  <c r="AL320" i="13"/>
  <c r="AL309" i="13"/>
  <c r="AK309" i="13"/>
  <c r="AL329" i="13"/>
  <c r="AK329" i="13"/>
  <c r="AL308" i="13"/>
  <c r="AK308" i="13"/>
  <c r="AK310" i="13"/>
  <c r="AL310" i="13"/>
  <c r="AL396" i="13"/>
  <c r="AK396" i="13"/>
  <c r="AL365" i="13"/>
  <c r="AK365" i="13"/>
  <c r="AL360" i="13"/>
  <c r="AK360" i="13"/>
  <c r="AK387" i="13"/>
  <c r="AL387" i="13"/>
  <c r="AL403" i="13"/>
  <c r="AK403" i="13"/>
  <c r="AL456" i="13"/>
  <c r="AK456" i="13"/>
  <c r="AL440" i="13"/>
  <c r="AK440" i="13"/>
  <c r="AL443" i="13"/>
  <c r="AK443" i="13"/>
  <c r="AL471" i="13"/>
  <c r="AK471" i="13"/>
  <c r="AL479" i="13"/>
  <c r="AK479" i="13"/>
  <c r="AK488" i="13"/>
  <c r="AL488" i="13"/>
  <c r="AK511" i="13"/>
  <c r="AL511" i="13"/>
  <c r="AL537" i="13"/>
  <c r="AK537" i="13"/>
  <c r="AK529" i="13"/>
  <c r="AL529" i="13"/>
  <c r="AL539" i="13"/>
  <c r="AK539" i="13"/>
  <c r="AK555" i="13"/>
  <c r="AL555" i="13"/>
  <c r="AO45" i="13"/>
  <c r="AN45" i="13"/>
  <c r="AO75" i="13"/>
  <c r="AN75" i="13"/>
  <c r="AO436" i="13"/>
  <c r="AN436" i="13"/>
  <c r="AO371" i="13"/>
  <c r="AN371" i="13"/>
  <c r="AO272" i="13"/>
  <c r="AN272" i="13"/>
  <c r="AO249" i="13"/>
  <c r="AN249" i="13"/>
  <c r="AO210" i="13"/>
  <c r="AN210" i="13"/>
  <c r="AO133" i="13"/>
  <c r="AN133" i="13"/>
  <c r="AO473" i="13"/>
  <c r="AN473" i="13"/>
  <c r="AO222" i="13"/>
  <c r="AN222" i="13"/>
  <c r="AO192" i="13"/>
  <c r="AN192" i="13"/>
  <c r="AN30" i="13"/>
  <c r="AO30" i="13"/>
  <c r="AO443" i="13"/>
  <c r="AN443" i="13"/>
  <c r="AO296" i="13"/>
  <c r="AN296" i="13"/>
  <c r="AN279" i="13"/>
  <c r="AO279" i="13"/>
  <c r="AO123" i="13"/>
  <c r="AN123" i="13"/>
  <c r="AN94" i="13"/>
  <c r="AO94" i="13"/>
  <c r="AO221" i="13"/>
  <c r="AN221" i="13"/>
  <c r="AO230" i="13"/>
  <c r="AN230" i="13"/>
  <c r="AO20" i="13"/>
  <c r="AN20" i="13"/>
  <c r="AO535" i="13"/>
  <c r="AN535" i="13"/>
  <c r="AO488" i="13"/>
  <c r="AN488" i="13"/>
  <c r="AO375" i="13"/>
  <c r="AN375" i="13"/>
  <c r="AN308" i="13"/>
  <c r="AO308" i="13"/>
  <c r="AN255" i="13"/>
  <c r="AO255" i="13"/>
  <c r="AO217" i="13"/>
  <c r="AN217" i="13"/>
  <c r="AO139" i="13"/>
  <c r="AN139" i="13"/>
  <c r="AN40" i="13"/>
  <c r="AO40" i="13"/>
  <c r="AN478" i="13"/>
  <c r="AO478" i="13"/>
  <c r="AO170" i="13"/>
  <c r="AN170" i="13"/>
  <c r="AO544" i="13"/>
  <c r="AN544" i="13"/>
  <c r="AO420" i="13"/>
  <c r="AN420" i="13"/>
  <c r="AN247" i="13"/>
  <c r="AO247" i="13"/>
  <c r="AN103" i="13"/>
  <c r="AO103" i="13"/>
  <c r="AO160" i="13"/>
  <c r="AN160" i="13"/>
  <c r="AO312" i="13"/>
  <c r="AN312" i="13"/>
  <c r="AN379" i="13"/>
  <c r="AO379" i="13"/>
  <c r="AO491" i="13"/>
  <c r="AN491" i="13"/>
  <c r="AN512" i="13"/>
  <c r="AO512" i="13"/>
  <c r="AN413" i="13"/>
  <c r="AO413" i="13"/>
  <c r="AO361" i="13"/>
  <c r="AN361" i="13"/>
  <c r="AO252" i="13"/>
  <c r="AN252" i="13"/>
  <c r="AN211" i="13"/>
  <c r="AO211" i="13"/>
  <c r="AO180" i="13"/>
  <c r="AN180" i="13"/>
  <c r="AO480" i="13"/>
  <c r="AN480" i="13"/>
  <c r="AO36" i="13"/>
  <c r="AN36" i="13"/>
  <c r="AO546" i="13"/>
  <c r="AN546" i="13"/>
  <c r="AO467" i="13"/>
  <c r="AN467" i="13"/>
  <c r="AO365" i="13"/>
  <c r="AN365" i="13"/>
  <c r="AO288" i="13"/>
  <c r="AN288" i="13"/>
  <c r="AO115" i="13"/>
  <c r="AN115" i="13"/>
  <c r="AO96" i="13"/>
  <c r="AN96" i="13"/>
  <c r="AO70" i="13"/>
  <c r="AN70" i="13"/>
  <c r="AN98" i="13"/>
  <c r="AO98" i="13"/>
  <c r="AN113" i="13"/>
  <c r="AO113" i="13"/>
  <c r="AO42" i="13"/>
  <c r="AN42" i="13"/>
  <c r="AO148" i="13"/>
  <c r="AN148" i="13"/>
  <c r="AN187" i="13"/>
  <c r="AO187" i="13"/>
  <c r="AN195" i="13"/>
  <c r="AO195" i="13"/>
  <c r="AO282" i="13"/>
  <c r="AN282" i="13"/>
  <c r="AO294" i="13"/>
  <c r="AN294" i="13"/>
  <c r="AO398" i="13"/>
  <c r="AN398" i="13"/>
  <c r="AO346" i="13"/>
  <c r="AN346" i="13"/>
  <c r="AN386" i="13"/>
  <c r="AO386" i="13"/>
  <c r="AO426" i="13"/>
  <c r="AN426" i="13"/>
  <c r="AO453" i="13"/>
  <c r="AN453" i="13"/>
  <c r="AO501" i="13"/>
  <c r="AN501" i="13"/>
  <c r="AO550" i="13"/>
  <c r="AN550" i="13"/>
  <c r="AQ346" i="13"/>
  <c r="AR346" i="13"/>
  <c r="AR466" i="13"/>
  <c r="AQ466" i="13"/>
  <c r="AQ264" i="13"/>
  <c r="AR264" i="13"/>
  <c r="AR97" i="13"/>
  <c r="AQ97" i="13"/>
  <c r="AQ480" i="13"/>
  <c r="AR480" i="13"/>
  <c r="AR218" i="13"/>
  <c r="AQ218" i="13"/>
  <c r="AQ41" i="13"/>
  <c r="AR41" i="13"/>
  <c r="AR192" i="13"/>
  <c r="AQ192" i="13"/>
  <c r="AR236" i="13"/>
  <c r="AQ236" i="13"/>
  <c r="AR367" i="13"/>
  <c r="AQ367" i="13"/>
  <c r="AQ301" i="13"/>
  <c r="AR301" i="13"/>
  <c r="AR121" i="13"/>
  <c r="AQ121" i="13"/>
  <c r="AR463" i="13"/>
  <c r="AQ463" i="13"/>
  <c r="AR371" i="13"/>
  <c r="AQ371" i="13"/>
  <c r="AR126" i="13"/>
  <c r="AQ126" i="13"/>
  <c r="AR359" i="13"/>
  <c r="AQ359" i="13"/>
  <c r="AR392" i="13"/>
  <c r="AQ392" i="13"/>
  <c r="AQ149" i="13"/>
  <c r="AR149" i="13"/>
  <c r="AR25" i="13"/>
  <c r="AQ25" i="13"/>
  <c r="AR58" i="13"/>
  <c r="AQ58" i="13"/>
  <c r="AR77" i="13"/>
  <c r="AQ77" i="13"/>
  <c r="AR174" i="13"/>
  <c r="AQ174" i="13"/>
  <c r="AR181" i="13"/>
  <c r="AQ181" i="13"/>
  <c r="AR213" i="13"/>
  <c r="AQ213" i="13"/>
  <c r="AR291" i="13"/>
  <c r="AQ291" i="13"/>
  <c r="AR287" i="13"/>
  <c r="AQ287" i="13"/>
  <c r="AR328" i="13"/>
  <c r="AQ328" i="13"/>
  <c r="AR376" i="13"/>
  <c r="AQ376" i="13"/>
  <c r="AQ344" i="13"/>
  <c r="AR344" i="13"/>
  <c r="AR413" i="13"/>
  <c r="AQ413" i="13"/>
  <c r="AR451" i="13"/>
  <c r="AQ451" i="13"/>
  <c r="AR483" i="13"/>
  <c r="AQ483" i="13"/>
  <c r="AQ514" i="13"/>
  <c r="AR514" i="13"/>
  <c r="AQ551" i="13"/>
  <c r="AR551" i="13"/>
  <c r="AS40" i="13"/>
  <c r="AS50" i="13"/>
  <c r="AS193" i="13"/>
  <c r="AS459" i="13"/>
  <c r="AS537" i="13"/>
  <c r="AK154" i="13"/>
  <c r="AL154" i="13"/>
  <c r="AL350" i="13"/>
  <c r="AK350" i="13"/>
  <c r="AL92" i="13"/>
  <c r="AK92" i="13"/>
  <c r="AL66" i="13"/>
  <c r="AK66" i="13"/>
  <c r="AK382" i="13"/>
  <c r="AL382" i="13"/>
  <c r="AL60" i="13"/>
  <c r="AK60" i="13"/>
  <c r="AK499" i="13"/>
  <c r="AL499" i="13"/>
  <c r="AL266" i="13"/>
  <c r="AK266" i="13"/>
  <c r="AK70" i="13"/>
  <c r="AL70" i="13"/>
  <c r="AL416" i="13"/>
  <c r="AK416" i="13"/>
  <c r="AL99" i="13"/>
  <c r="AK99" i="13"/>
  <c r="AN140" i="5"/>
  <c r="AU129" i="4"/>
  <c r="AV129" i="4" s="1"/>
  <c r="AX32" i="4"/>
  <c r="AY32" i="4" s="1"/>
  <c r="CN32" i="4" s="1"/>
  <c r="AX21" i="4"/>
  <c r="AY21" i="4" s="1"/>
  <c r="CN21" i="4" s="1"/>
  <c r="AY137" i="4"/>
  <c r="CN137" i="4" s="1"/>
  <c r="AR272" i="13"/>
  <c r="AQ272" i="13"/>
  <c r="AQ216" i="13"/>
  <c r="AR216" i="13"/>
  <c r="AR458" i="13"/>
  <c r="AQ458" i="13"/>
  <c r="AR338" i="13"/>
  <c r="AQ338" i="13"/>
  <c r="AQ258" i="13"/>
  <c r="AR258" i="13"/>
  <c r="AR110" i="13"/>
  <c r="AQ110" i="13"/>
  <c r="AR70" i="13"/>
  <c r="AQ70" i="13"/>
  <c r="AQ394" i="13"/>
  <c r="AR394" i="13"/>
  <c r="AR461" i="13"/>
  <c r="AQ461" i="13"/>
  <c r="AQ349" i="13"/>
  <c r="AR349" i="13"/>
  <c r="AR237" i="13"/>
  <c r="AQ237" i="13"/>
  <c r="AQ212" i="13"/>
  <c r="AR212" i="13"/>
  <c r="AR20" i="13"/>
  <c r="AQ20" i="13"/>
  <c r="AR548" i="13"/>
  <c r="AQ548" i="13"/>
  <c r="AQ228" i="13"/>
  <c r="AR228" i="13"/>
  <c r="AR450" i="13"/>
  <c r="AQ450" i="13"/>
  <c r="AQ256" i="13"/>
  <c r="AR256" i="13"/>
  <c r="AR176" i="13"/>
  <c r="AQ176" i="13"/>
  <c r="AR113" i="13"/>
  <c r="AQ113" i="13"/>
  <c r="AQ507" i="13"/>
  <c r="AR507" i="13"/>
  <c r="AR302" i="13"/>
  <c r="AQ302" i="13"/>
  <c r="AQ137" i="13"/>
  <c r="AR137" i="13"/>
  <c r="AR112" i="13"/>
  <c r="AQ112" i="13"/>
  <c r="AR366" i="13"/>
  <c r="AQ366" i="13"/>
  <c r="AQ129" i="13"/>
  <c r="AR129" i="13"/>
  <c r="AR462" i="13"/>
  <c r="AQ462" i="13"/>
  <c r="AR378" i="13"/>
  <c r="AQ378" i="13"/>
  <c r="AQ208" i="13"/>
  <c r="AR208" i="13"/>
  <c r="AR115" i="13"/>
  <c r="AQ115" i="13"/>
  <c r="AR119" i="13"/>
  <c r="AQ119" i="13"/>
  <c r="AQ400" i="13"/>
  <c r="AR400" i="13"/>
  <c r="AR473" i="13"/>
  <c r="AQ473" i="13"/>
  <c r="AR420" i="13"/>
  <c r="AQ420" i="13"/>
  <c r="AR260" i="13"/>
  <c r="AQ260" i="13"/>
  <c r="AQ133" i="13"/>
  <c r="AR133" i="13"/>
  <c r="AR127" i="13"/>
  <c r="AQ127" i="13"/>
  <c r="AR79" i="13"/>
  <c r="AQ79" i="13"/>
  <c r="AR22" i="13"/>
  <c r="AQ22" i="13"/>
  <c r="AQ39" i="13"/>
  <c r="AR39" i="13"/>
  <c r="AR53" i="13"/>
  <c r="AQ53" i="13"/>
  <c r="AR80" i="13"/>
  <c r="AQ80" i="13"/>
  <c r="AQ52" i="13"/>
  <c r="AR52" i="13"/>
  <c r="AR195" i="13"/>
  <c r="AQ195" i="13"/>
  <c r="AR170" i="13"/>
  <c r="AQ170" i="13"/>
  <c r="AR183" i="13"/>
  <c r="AQ183" i="13"/>
  <c r="AR271" i="13"/>
  <c r="AQ271" i="13"/>
  <c r="AR217" i="13"/>
  <c r="AQ217" i="13"/>
  <c r="AR231" i="13"/>
  <c r="AQ231" i="13"/>
  <c r="AR311" i="13"/>
  <c r="AQ311" i="13"/>
  <c r="AQ290" i="13"/>
  <c r="AR290" i="13"/>
  <c r="AR295" i="13"/>
  <c r="AQ295" i="13"/>
  <c r="AR321" i="13"/>
  <c r="AQ321" i="13"/>
  <c r="AR317" i="13"/>
  <c r="AQ317" i="13"/>
  <c r="AR307" i="13"/>
  <c r="AQ307" i="13"/>
  <c r="AR387" i="13"/>
  <c r="AQ387" i="13"/>
  <c r="AR341" i="13"/>
  <c r="AQ341" i="13"/>
  <c r="AR372" i="13"/>
  <c r="AQ372" i="13"/>
  <c r="AQ398" i="13"/>
  <c r="AR398" i="13"/>
  <c r="AR428" i="13"/>
  <c r="AQ428" i="13"/>
  <c r="AR426" i="13"/>
  <c r="AQ426" i="13"/>
  <c r="AR452" i="13"/>
  <c r="AQ452" i="13"/>
  <c r="AR479" i="13"/>
  <c r="AQ479" i="13"/>
  <c r="AR482" i="13"/>
  <c r="AQ482" i="13"/>
  <c r="AR487" i="13"/>
  <c r="AQ487" i="13"/>
  <c r="AQ523" i="13"/>
  <c r="AR523" i="13"/>
  <c r="AQ526" i="13"/>
  <c r="AR526" i="13"/>
  <c r="AR540" i="13"/>
  <c r="AQ540" i="13"/>
  <c r="AR557" i="13"/>
  <c r="AQ557" i="13"/>
  <c r="AS20" i="13"/>
  <c r="AS26" i="13"/>
  <c r="AS21" i="13"/>
  <c r="AS31" i="13"/>
  <c r="AS25" i="13"/>
  <c r="AS32" i="13"/>
  <c r="AS70" i="13"/>
  <c r="AS53" i="13"/>
  <c r="AS157" i="13"/>
  <c r="AS67" i="13"/>
  <c r="AS105" i="13"/>
  <c r="AS194" i="13"/>
  <c r="AS112" i="13"/>
  <c r="AS218" i="13"/>
  <c r="AS87" i="13"/>
  <c r="AS119" i="13"/>
  <c r="AS149" i="13"/>
  <c r="AS98" i="13"/>
  <c r="AS137" i="13"/>
  <c r="AS152" i="13"/>
  <c r="AS167" i="13"/>
  <c r="AS138" i="13"/>
  <c r="AS170" i="13"/>
  <c r="AS202" i="13"/>
  <c r="AS197" i="13"/>
  <c r="AS229" i="13"/>
  <c r="AS212" i="13"/>
  <c r="AS254" i="13"/>
  <c r="AS203" i="13"/>
  <c r="AS230" i="13"/>
  <c r="AS282" i="13"/>
  <c r="AS245" i="13"/>
  <c r="AS277" i="13"/>
  <c r="AS290" i="13"/>
  <c r="AS295" i="13"/>
  <c r="AS259" i="13"/>
  <c r="AS292" i="13"/>
  <c r="AS333" i="13"/>
  <c r="AS320" i="13"/>
  <c r="AS345" i="13"/>
  <c r="AS319" i="13"/>
  <c r="AS359" i="13"/>
  <c r="AS336" i="13"/>
  <c r="AS339" i="13"/>
  <c r="AS366" i="13"/>
  <c r="AS426" i="13"/>
  <c r="AS377" i="13"/>
  <c r="AS398" i="13"/>
  <c r="AS401" i="13"/>
  <c r="AS409" i="13"/>
  <c r="AS407" i="13"/>
  <c r="AS446" i="13"/>
  <c r="AS432" i="13"/>
  <c r="AS436" i="13"/>
  <c r="AS467" i="13"/>
  <c r="AS450" i="13"/>
  <c r="AS465" i="13"/>
  <c r="AS464" i="13"/>
  <c r="AS462" i="13"/>
  <c r="AS496" i="13"/>
  <c r="AS487" i="13"/>
  <c r="AS502" i="13"/>
  <c r="AS505" i="13"/>
  <c r="AS518" i="13"/>
  <c r="AS524" i="13"/>
  <c r="AS529" i="13"/>
  <c r="AS554" i="13"/>
  <c r="AS548" i="13"/>
  <c r="AS559" i="13"/>
  <c r="AK544" i="13"/>
  <c r="AL544" i="13"/>
  <c r="AL203" i="13"/>
  <c r="AK203" i="13"/>
  <c r="AK468" i="13"/>
  <c r="AL468" i="13"/>
  <c r="AL241" i="13"/>
  <c r="AK241" i="13"/>
  <c r="AK136" i="13"/>
  <c r="AL136" i="13"/>
  <c r="AL34" i="13"/>
  <c r="AK34" i="13"/>
  <c r="AL489" i="13"/>
  <c r="AK489" i="13"/>
  <c r="AL42" i="13"/>
  <c r="AK42" i="13"/>
  <c r="AK438" i="13"/>
  <c r="AL438" i="13"/>
  <c r="AL271" i="13"/>
  <c r="AK271" i="13"/>
  <c r="AL201" i="13"/>
  <c r="AK201" i="13"/>
  <c r="AL74" i="13"/>
  <c r="AK74" i="13"/>
  <c r="AK405" i="13"/>
  <c r="AL405" i="13"/>
  <c r="AK466" i="13"/>
  <c r="AL466" i="13"/>
  <c r="AK315" i="13"/>
  <c r="AL315" i="13"/>
  <c r="AL234" i="13"/>
  <c r="AK234" i="13"/>
  <c r="AL128" i="13"/>
  <c r="AK128" i="13"/>
  <c r="AL57" i="13"/>
  <c r="AK57" i="13"/>
  <c r="AL413" i="13"/>
  <c r="AK413" i="13"/>
  <c r="AL379" i="13"/>
  <c r="AK379" i="13"/>
  <c r="AL281" i="13"/>
  <c r="AK281" i="13"/>
  <c r="AL174" i="13"/>
  <c r="AK174" i="13"/>
  <c r="AL98" i="13"/>
  <c r="AK98" i="13"/>
  <c r="AK330" i="13"/>
  <c r="AL330" i="13"/>
  <c r="AK168" i="13"/>
  <c r="AL168" i="13"/>
  <c r="AL363" i="13"/>
  <c r="AK363" i="13"/>
  <c r="AL207" i="13"/>
  <c r="AK207" i="13"/>
  <c r="AL106" i="13"/>
  <c r="AK106" i="13"/>
  <c r="AL410" i="13"/>
  <c r="AK410" i="13"/>
  <c r="AL227" i="13"/>
  <c r="AK227" i="13"/>
  <c r="AL497" i="13"/>
  <c r="AK497" i="13"/>
  <c r="AL389" i="13"/>
  <c r="AK389" i="13"/>
  <c r="AK302" i="13"/>
  <c r="AL302" i="13"/>
  <c r="AL121" i="13"/>
  <c r="AK121" i="13"/>
  <c r="AK41" i="13"/>
  <c r="AL41" i="13"/>
  <c r="AL65" i="13"/>
  <c r="AK65" i="13"/>
  <c r="AK33" i="13"/>
  <c r="AL33" i="13"/>
  <c r="AL200" i="13"/>
  <c r="AK200" i="13"/>
  <c r="AL95" i="13"/>
  <c r="AK95" i="13"/>
  <c r="AL103" i="13"/>
  <c r="AK103" i="13"/>
  <c r="AL159" i="13"/>
  <c r="AK159" i="13"/>
  <c r="AL153" i="13"/>
  <c r="AK153" i="13"/>
  <c r="AL151" i="13"/>
  <c r="AK151" i="13"/>
  <c r="AL169" i="13"/>
  <c r="AK169" i="13"/>
  <c r="AL224" i="13"/>
  <c r="AK224" i="13"/>
  <c r="AL240" i="13"/>
  <c r="AK240" i="13"/>
  <c r="AL280" i="13"/>
  <c r="AK280" i="13"/>
  <c r="AK291" i="13"/>
  <c r="AL291" i="13"/>
  <c r="AL299" i="13"/>
  <c r="AK299" i="13"/>
  <c r="AL373" i="13"/>
  <c r="AK373" i="13"/>
  <c r="AK316" i="13"/>
  <c r="AL316" i="13"/>
  <c r="AK324" i="13"/>
  <c r="AL324" i="13"/>
  <c r="AL404" i="13"/>
  <c r="AK404" i="13"/>
  <c r="AL381" i="13"/>
  <c r="AK381" i="13"/>
  <c r="AL364" i="13"/>
  <c r="AK364" i="13"/>
  <c r="AK388" i="13"/>
  <c r="AL388" i="13"/>
  <c r="AK436" i="13"/>
  <c r="AL436" i="13"/>
  <c r="AL414" i="13"/>
  <c r="AK414" i="13"/>
  <c r="AK433" i="13"/>
  <c r="AL433" i="13"/>
  <c r="AL447" i="13"/>
  <c r="AK447" i="13"/>
  <c r="AL484" i="13"/>
  <c r="AK484" i="13"/>
  <c r="AL486" i="13"/>
  <c r="AK486" i="13"/>
  <c r="AK492" i="13"/>
  <c r="AL492" i="13"/>
  <c r="AL509" i="13"/>
  <c r="AK509" i="13"/>
  <c r="AK514" i="13"/>
  <c r="AL514" i="13"/>
  <c r="AL532" i="13"/>
  <c r="AK532" i="13"/>
  <c r="AK552" i="13"/>
  <c r="AL552" i="13"/>
  <c r="AK559" i="13"/>
  <c r="AL559" i="13"/>
  <c r="AO545" i="13"/>
  <c r="AN545" i="13"/>
  <c r="AO63" i="13"/>
  <c r="AN63" i="13"/>
  <c r="AO112" i="13"/>
  <c r="AN112" i="13"/>
  <c r="AN452" i="13"/>
  <c r="AO452" i="13"/>
  <c r="AO341" i="13"/>
  <c r="AN341" i="13"/>
  <c r="AO264" i="13"/>
  <c r="AN264" i="13"/>
  <c r="AN259" i="13"/>
  <c r="AO259" i="13"/>
  <c r="AO175" i="13"/>
  <c r="AN175" i="13"/>
  <c r="AN109" i="13"/>
  <c r="AO109" i="13"/>
  <c r="AN460" i="13"/>
  <c r="AO460" i="13"/>
  <c r="AO179" i="13"/>
  <c r="AN179" i="13"/>
  <c r="AO218" i="13"/>
  <c r="AN218" i="13"/>
  <c r="AO556" i="13"/>
  <c r="AN556" i="13"/>
  <c r="AN462" i="13"/>
  <c r="AO462" i="13"/>
  <c r="AO364" i="13"/>
  <c r="AN364" i="13"/>
  <c r="AN204" i="13"/>
  <c r="AO204" i="13"/>
  <c r="AN107" i="13"/>
  <c r="AO107" i="13"/>
  <c r="AN56" i="13"/>
  <c r="AO56" i="13"/>
  <c r="AO154" i="13"/>
  <c r="AN154" i="13"/>
  <c r="AO136" i="13"/>
  <c r="AN136" i="13"/>
  <c r="AO551" i="13"/>
  <c r="AN551" i="13"/>
  <c r="AO547" i="13"/>
  <c r="AN547" i="13"/>
  <c r="AO486" i="13"/>
  <c r="AN486" i="13"/>
  <c r="AO348" i="13"/>
  <c r="AN348" i="13"/>
  <c r="AN306" i="13"/>
  <c r="AO306" i="13"/>
  <c r="AN231" i="13"/>
  <c r="AO231" i="13"/>
  <c r="AO205" i="13"/>
  <c r="AN205" i="13"/>
  <c r="AN233" i="13"/>
  <c r="AO233" i="13"/>
  <c r="AO55" i="13"/>
  <c r="AN55" i="13"/>
  <c r="AO440" i="13"/>
  <c r="AN440" i="13"/>
  <c r="AO163" i="13"/>
  <c r="AN163" i="13"/>
  <c r="AO525" i="13"/>
  <c r="AN525" i="13"/>
  <c r="AO344" i="13"/>
  <c r="AN344" i="13"/>
  <c r="AN235" i="13"/>
  <c r="AO235" i="13"/>
  <c r="AN87" i="13"/>
  <c r="AO87" i="13"/>
  <c r="AO7" i="13"/>
  <c r="AN7" i="13"/>
  <c r="AO336" i="13"/>
  <c r="AN336" i="13"/>
  <c r="AN343" i="13"/>
  <c r="AO343" i="13"/>
  <c r="AO499" i="13"/>
  <c r="AN499" i="13"/>
  <c r="AN528" i="13"/>
  <c r="AO528" i="13"/>
  <c r="AO438" i="13"/>
  <c r="AN438" i="13"/>
  <c r="AO324" i="13"/>
  <c r="AN324" i="13"/>
  <c r="AO244" i="13"/>
  <c r="AN244" i="13"/>
  <c r="AN199" i="13"/>
  <c r="AO199" i="13"/>
  <c r="AO165" i="13"/>
  <c r="AN165" i="13"/>
  <c r="AO429" i="13"/>
  <c r="AN429" i="13"/>
  <c r="AO25" i="13"/>
  <c r="AN25" i="13"/>
  <c r="AO538" i="13"/>
  <c r="AN538" i="13"/>
  <c r="AO433" i="13"/>
  <c r="AN433" i="13"/>
  <c r="AN360" i="13"/>
  <c r="AO360" i="13"/>
  <c r="AO334" i="13"/>
  <c r="AN334" i="13"/>
  <c r="AN99" i="13"/>
  <c r="AO99" i="13"/>
  <c r="AO51" i="13"/>
  <c r="AN51" i="13"/>
  <c r="AO54" i="13"/>
  <c r="AN54" i="13"/>
  <c r="AO130" i="13"/>
  <c r="AN130" i="13"/>
  <c r="AO48" i="13"/>
  <c r="AN48" i="13"/>
  <c r="AO93" i="13"/>
  <c r="AN93" i="13"/>
  <c r="AO241" i="13"/>
  <c r="AN241" i="13"/>
  <c r="AN191" i="13"/>
  <c r="AO191" i="13"/>
  <c r="AO278" i="13"/>
  <c r="AN278" i="13"/>
  <c r="AO318" i="13"/>
  <c r="AN318" i="13"/>
  <c r="AO297" i="13"/>
  <c r="AN297" i="13"/>
  <c r="AO342" i="13"/>
  <c r="AN342" i="13"/>
  <c r="AO357" i="13"/>
  <c r="AN357" i="13"/>
  <c r="AO385" i="13"/>
  <c r="AN385" i="13"/>
  <c r="AO446" i="13"/>
  <c r="AN446" i="13"/>
  <c r="AO457" i="13"/>
  <c r="AN457" i="13"/>
  <c r="AO517" i="13"/>
  <c r="AN517" i="13"/>
  <c r="AO502" i="5"/>
  <c r="AY110" i="4"/>
  <c r="CN110" i="4" s="1"/>
  <c r="BV98" i="4"/>
  <c r="AR196" i="13"/>
  <c r="AQ196" i="13"/>
  <c r="AR142" i="13"/>
  <c r="AQ142" i="13"/>
  <c r="AQ438" i="13"/>
  <c r="AR438" i="13"/>
  <c r="AQ358" i="13"/>
  <c r="AR358" i="13"/>
  <c r="AR252" i="13"/>
  <c r="AQ252" i="13"/>
  <c r="AR96" i="13"/>
  <c r="AQ96" i="13"/>
  <c r="AR57" i="13"/>
  <c r="AQ57" i="13"/>
  <c r="AR233" i="13"/>
  <c r="AQ233" i="13"/>
  <c r="AR453" i="13"/>
  <c r="AQ453" i="13"/>
  <c r="AQ315" i="13"/>
  <c r="AR315" i="13"/>
  <c r="AR177" i="13"/>
  <c r="AQ177" i="13"/>
  <c r="AQ155" i="13"/>
  <c r="AR155" i="13"/>
  <c r="AR30" i="13"/>
  <c r="AQ30" i="13"/>
  <c r="AR493" i="13"/>
  <c r="AQ493" i="13"/>
  <c r="AR138" i="13"/>
  <c r="AQ138" i="13"/>
  <c r="AR449" i="13"/>
  <c r="AQ449" i="13"/>
  <c r="AR276" i="13"/>
  <c r="AQ276" i="13"/>
  <c r="AR116" i="13"/>
  <c r="AQ116" i="13"/>
  <c r="AR64" i="13"/>
  <c r="AQ64" i="13"/>
  <c r="AR442" i="13"/>
  <c r="AQ442" i="13"/>
  <c r="AQ242" i="13"/>
  <c r="AR242" i="13"/>
  <c r="AQ220" i="13"/>
  <c r="AR220" i="13"/>
  <c r="AR78" i="13"/>
  <c r="AQ78" i="13"/>
  <c r="AR186" i="13"/>
  <c r="AQ186" i="13"/>
  <c r="AQ151" i="13"/>
  <c r="AR151" i="13"/>
  <c r="AQ425" i="13"/>
  <c r="AR425" i="13"/>
  <c r="AR374" i="13"/>
  <c r="AQ374" i="13"/>
  <c r="AQ175" i="13"/>
  <c r="AR175" i="13"/>
  <c r="AR105" i="13"/>
  <c r="AQ105" i="13"/>
  <c r="AQ45" i="13"/>
  <c r="AR45" i="13"/>
  <c r="AQ305" i="13"/>
  <c r="AR305" i="13"/>
  <c r="AR467" i="13"/>
  <c r="AQ467" i="13"/>
  <c r="AR306" i="13"/>
  <c r="AQ306" i="13"/>
  <c r="AR200" i="13"/>
  <c r="AQ200" i="13"/>
  <c r="AR204" i="13"/>
  <c r="AQ204" i="13"/>
  <c r="AQ87" i="13"/>
  <c r="AR87" i="13"/>
  <c r="AQ51" i="13"/>
  <c r="AR51" i="13"/>
  <c r="AR263" i="13"/>
  <c r="AQ263" i="13"/>
  <c r="AR44" i="13"/>
  <c r="AQ44" i="13"/>
  <c r="AR197" i="13"/>
  <c r="AQ197" i="13"/>
  <c r="AR152" i="13"/>
  <c r="AQ152" i="13"/>
  <c r="AQ68" i="13"/>
  <c r="AR68" i="13"/>
  <c r="AR158" i="13"/>
  <c r="AQ158" i="13"/>
  <c r="AR207" i="13"/>
  <c r="AQ207" i="13"/>
  <c r="AR185" i="13"/>
  <c r="AQ185" i="13"/>
  <c r="AR239" i="13"/>
  <c r="AQ239" i="13"/>
  <c r="AR221" i="13"/>
  <c r="AQ221" i="13"/>
  <c r="AR235" i="13"/>
  <c r="AQ235" i="13"/>
  <c r="AR288" i="13"/>
  <c r="AQ288" i="13"/>
  <c r="AR339" i="13"/>
  <c r="AQ339" i="13"/>
  <c r="AR313" i="13"/>
  <c r="AQ313" i="13"/>
  <c r="AR324" i="13"/>
  <c r="AQ324" i="13"/>
  <c r="AQ329" i="13"/>
  <c r="AR329" i="13"/>
  <c r="AR312" i="13"/>
  <c r="AQ312" i="13"/>
  <c r="AR352" i="13"/>
  <c r="AQ352" i="13"/>
  <c r="AR348" i="13"/>
  <c r="AQ348" i="13"/>
  <c r="AR391" i="13"/>
  <c r="AQ391" i="13"/>
  <c r="AR403" i="13"/>
  <c r="AQ403" i="13"/>
  <c r="AQ431" i="13"/>
  <c r="AR431" i="13"/>
  <c r="AQ429" i="13"/>
  <c r="AR429" i="13"/>
  <c r="AR455" i="13"/>
  <c r="AQ455" i="13"/>
  <c r="AR444" i="13"/>
  <c r="AQ444" i="13"/>
  <c r="AR490" i="13"/>
  <c r="AQ490" i="13"/>
  <c r="AQ491" i="13"/>
  <c r="AR491" i="13"/>
  <c r="AQ509" i="13"/>
  <c r="AR509" i="13"/>
  <c r="AR538" i="13"/>
  <c r="AQ538" i="13"/>
  <c r="AR544" i="13"/>
  <c r="AQ544" i="13"/>
  <c r="AR555" i="13"/>
  <c r="AQ555" i="13"/>
  <c r="AS24" i="13"/>
  <c r="AS77" i="13"/>
  <c r="AS68" i="13"/>
  <c r="AS76" i="13"/>
  <c r="AS58" i="13"/>
  <c r="AS109" i="13"/>
  <c r="AS116" i="13"/>
  <c r="AT143" i="13"/>
  <c r="AS123" i="13"/>
  <c r="AS177" i="13"/>
  <c r="AS159" i="13"/>
  <c r="AS156" i="13"/>
  <c r="AS171" i="13"/>
  <c r="AS142" i="13"/>
  <c r="AS174" i="13"/>
  <c r="AS238" i="13"/>
  <c r="AS216" i="13"/>
  <c r="AS262" i="13"/>
  <c r="AS207" i="13"/>
  <c r="AS291" i="13"/>
  <c r="AS249" i="13"/>
  <c r="AS281" i="13"/>
  <c r="AS293" i="13"/>
  <c r="AS231" i="13"/>
  <c r="AS263" i="13"/>
  <c r="AS303" i="13"/>
  <c r="AS300" i="13"/>
  <c r="AS312" i="13"/>
  <c r="AS360" i="13"/>
  <c r="AS340" i="13"/>
  <c r="AU343" i="13"/>
  <c r="AT343" i="13"/>
  <c r="AS370" i="13"/>
  <c r="AS390" i="13"/>
  <c r="AS381" i="13"/>
  <c r="AS416" i="13"/>
  <c r="AS434" i="13"/>
  <c r="AS442" i="13"/>
  <c r="AS485" i="13"/>
  <c r="AS468" i="13"/>
  <c r="AS472" i="13"/>
  <c r="AS466" i="13"/>
  <c r="AS498" i="13"/>
  <c r="AS491" i="13"/>
  <c r="AS508" i="13"/>
  <c r="AS525" i="13"/>
  <c r="AS533" i="13"/>
  <c r="AS543" i="13"/>
  <c r="AK485" i="13"/>
  <c r="AL485" i="13"/>
  <c r="AK536" i="13"/>
  <c r="AL536" i="13"/>
  <c r="AK221" i="13"/>
  <c r="AL221" i="13"/>
  <c r="AK426" i="13"/>
  <c r="AL426" i="13"/>
  <c r="AL236" i="13"/>
  <c r="AK236" i="13"/>
  <c r="AL118" i="13"/>
  <c r="AK118" i="13"/>
  <c r="AL181" i="13"/>
  <c r="AK181" i="13"/>
  <c r="AL417" i="13"/>
  <c r="AK417" i="13"/>
  <c r="AL543" i="13"/>
  <c r="AK543" i="13"/>
  <c r="AL408" i="13"/>
  <c r="AK408" i="13"/>
  <c r="AK255" i="13"/>
  <c r="AL255" i="13"/>
  <c r="AK146" i="13"/>
  <c r="AL146" i="13"/>
  <c r="AL61" i="13"/>
  <c r="AK61" i="13"/>
  <c r="AK259" i="13"/>
  <c r="AL259" i="13"/>
  <c r="AL458" i="13"/>
  <c r="AK458" i="13"/>
  <c r="AL345" i="13"/>
  <c r="AK345" i="13"/>
  <c r="AL206" i="13"/>
  <c r="AK206" i="13"/>
  <c r="AL120" i="13"/>
  <c r="AK120" i="13"/>
  <c r="AK38" i="13"/>
  <c r="AL38" i="13"/>
  <c r="AL362" i="13"/>
  <c r="AK362" i="13"/>
  <c r="AL353" i="13"/>
  <c r="AK353" i="13"/>
  <c r="AL269" i="13"/>
  <c r="AK269" i="13"/>
  <c r="AL166" i="13"/>
  <c r="AK166" i="13"/>
  <c r="AL261" i="13"/>
  <c r="AK261" i="13"/>
  <c r="AL122" i="13"/>
  <c r="AK122" i="13"/>
  <c r="AK546" i="13"/>
  <c r="AL546" i="13"/>
  <c r="AK347" i="13"/>
  <c r="AL347" i="13"/>
  <c r="AK197" i="13"/>
  <c r="AL197" i="13"/>
  <c r="AK176" i="13"/>
  <c r="AL176" i="13"/>
  <c r="AL105" i="13"/>
  <c r="AK105" i="13"/>
  <c r="AL238" i="13"/>
  <c r="AK238" i="13"/>
  <c r="AL478" i="13"/>
  <c r="AK478" i="13"/>
  <c r="AL409" i="13"/>
  <c r="AK409" i="13"/>
  <c r="AL246" i="13"/>
  <c r="AK246" i="13"/>
  <c r="AK67" i="13"/>
  <c r="AL67" i="13"/>
  <c r="AL22" i="13"/>
  <c r="AK22" i="13"/>
  <c r="AL91" i="13"/>
  <c r="AK91" i="13"/>
  <c r="AM13" i="13"/>
  <c r="AL149" i="13"/>
  <c r="AK149" i="13"/>
  <c r="AL139" i="13"/>
  <c r="AK139" i="13"/>
  <c r="AL107" i="13"/>
  <c r="AK107" i="13"/>
  <c r="AL171" i="13"/>
  <c r="AK171" i="13"/>
  <c r="AL184" i="13"/>
  <c r="AK184" i="13"/>
  <c r="AL161" i="13"/>
  <c r="AK161" i="13"/>
  <c r="AL173" i="13"/>
  <c r="AK173" i="13"/>
  <c r="AL228" i="13"/>
  <c r="AK228" i="13"/>
  <c r="AL214" i="13"/>
  <c r="AK214" i="13"/>
  <c r="AK287" i="13"/>
  <c r="AL287" i="13"/>
  <c r="AL336" i="13"/>
  <c r="AK336" i="13"/>
  <c r="AL303" i="13"/>
  <c r="AK303" i="13"/>
  <c r="AL312" i="13"/>
  <c r="AK312" i="13"/>
  <c r="AK323" i="13"/>
  <c r="AL323" i="13"/>
  <c r="AK325" i="13"/>
  <c r="AL325" i="13"/>
  <c r="AL377" i="13"/>
  <c r="AK377" i="13"/>
  <c r="AK352" i="13"/>
  <c r="AL352" i="13"/>
  <c r="AL368" i="13"/>
  <c r="AK368" i="13"/>
  <c r="AL411" i="13"/>
  <c r="AK411" i="13"/>
  <c r="AL470" i="13"/>
  <c r="AK470" i="13"/>
  <c r="AK432" i="13"/>
  <c r="AL432" i="13"/>
  <c r="AL444" i="13"/>
  <c r="AK444" i="13"/>
  <c r="AL487" i="13"/>
  <c r="AK487" i="13"/>
  <c r="AL502" i="13"/>
  <c r="AK502" i="13"/>
  <c r="AL490" i="13"/>
  <c r="AK490" i="13"/>
  <c r="AK496" i="13"/>
  <c r="AL496" i="13"/>
  <c r="AL510" i="13"/>
  <c r="AK510" i="13"/>
  <c r="AK515" i="13"/>
  <c r="AL515" i="13"/>
  <c r="AL542" i="13"/>
  <c r="AK542" i="13"/>
  <c r="AK554" i="13"/>
  <c r="AL554" i="13"/>
  <c r="AK557" i="13"/>
  <c r="AL557" i="13"/>
  <c r="AO240" i="13"/>
  <c r="AN240" i="13"/>
  <c r="AO97" i="13"/>
  <c r="AN97" i="13"/>
  <c r="AO533" i="13"/>
  <c r="AN533" i="13"/>
  <c r="AO449" i="13"/>
  <c r="AN449" i="13"/>
  <c r="AO325" i="13"/>
  <c r="AN325" i="13"/>
  <c r="AO256" i="13"/>
  <c r="AN256" i="13"/>
  <c r="AO209" i="13"/>
  <c r="AN209" i="13"/>
  <c r="AO159" i="13"/>
  <c r="AN159" i="13"/>
  <c r="AO33" i="13"/>
  <c r="AN33" i="13"/>
  <c r="AO423" i="13"/>
  <c r="AN423" i="13"/>
  <c r="AO137" i="13"/>
  <c r="AN137" i="13"/>
  <c r="AO127" i="13"/>
  <c r="AN127" i="13"/>
  <c r="AO549" i="13"/>
  <c r="AN549" i="13"/>
  <c r="AO450" i="13"/>
  <c r="AN450" i="13"/>
  <c r="AN356" i="13"/>
  <c r="AO356" i="13"/>
  <c r="AO188" i="13"/>
  <c r="AN188" i="13"/>
  <c r="AN91" i="13"/>
  <c r="AO91" i="13"/>
  <c r="AO27" i="13"/>
  <c r="AN27" i="13"/>
  <c r="AO176" i="13"/>
  <c r="AN176" i="13"/>
  <c r="AO190" i="13"/>
  <c r="AN190" i="13"/>
  <c r="AN559" i="13"/>
  <c r="AO559" i="13"/>
  <c r="AN530" i="13"/>
  <c r="AO530" i="13"/>
  <c r="AO493" i="13"/>
  <c r="AN493" i="13"/>
  <c r="AO352" i="13"/>
  <c r="AN352" i="13"/>
  <c r="AO311" i="13"/>
  <c r="AN311" i="13"/>
  <c r="AO350" i="13"/>
  <c r="AN350" i="13"/>
  <c r="AO189" i="13"/>
  <c r="AN189" i="13"/>
  <c r="AO173" i="13"/>
  <c r="AN173" i="13"/>
  <c r="AN125" i="13"/>
  <c r="AO125" i="13"/>
  <c r="AO422" i="13"/>
  <c r="AN422" i="13"/>
  <c r="AN114" i="13"/>
  <c r="AO114" i="13"/>
  <c r="AO500" i="13"/>
  <c r="AN500" i="13"/>
  <c r="AO331" i="13"/>
  <c r="AN331" i="13"/>
  <c r="AO227" i="13"/>
  <c r="AN227" i="13"/>
  <c r="AN129" i="13"/>
  <c r="AO129" i="13"/>
  <c r="AO28" i="13"/>
  <c r="AN28" i="13"/>
  <c r="AO216" i="13"/>
  <c r="AN216" i="13"/>
  <c r="AO300" i="13"/>
  <c r="AN300" i="13"/>
  <c r="AO489" i="13"/>
  <c r="AN489" i="13"/>
  <c r="AO521" i="13"/>
  <c r="AN521" i="13"/>
  <c r="AN406" i="13"/>
  <c r="AO406" i="13"/>
  <c r="AO374" i="13"/>
  <c r="AN374" i="13"/>
  <c r="AO273" i="13"/>
  <c r="AN273" i="13"/>
  <c r="AO174" i="13"/>
  <c r="AN174" i="13"/>
  <c r="AO270" i="13"/>
  <c r="AN270" i="13"/>
  <c r="AO329" i="13"/>
  <c r="AN329" i="13"/>
  <c r="AO495" i="13"/>
  <c r="AN495" i="13"/>
  <c r="AO515" i="13"/>
  <c r="AN515" i="13"/>
  <c r="AO437" i="13"/>
  <c r="AN437" i="13"/>
  <c r="AO397" i="13"/>
  <c r="AN397" i="13"/>
  <c r="AN291" i="13"/>
  <c r="AO291" i="13"/>
  <c r="AN83" i="13"/>
  <c r="AO83" i="13"/>
  <c r="AO22" i="13"/>
  <c r="AN22" i="13"/>
  <c r="AO120" i="13"/>
  <c r="AN120" i="13"/>
  <c r="AO168" i="13"/>
  <c r="AN168" i="13"/>
  <c r="AN35" i="13"/>
  <c r="AO35" i="13"/>
  <c r="AN105" i="13"/>
  <c r="AO105" i="13"/>
  <c r="AN85" i="13"/>
  <c r="AO85" i="13"/>
  <c r="AO164" i="13"/>
  <c r="AN164" i="13"/>
  <c r="AO242" i="13"/>
  <c r="AN242" i="13"/>
  <c r="AO285" i="13"/>
  <c r="AN285" i="13"/>
  <c r="AO309" i="13"/>
  <c r="AN309" i="13"/>
  <c r="AO393" i="13"/>
  <c r="AN393" i="13"/>
  <c r="AO394" i="13"/>
  <c r="AN394" i="13"/>
  <c r="AN414" i="13"/>
  <c r="AO414" i="13"/>
  <c r="AO428" i="13"/>
  <c r="AN428" i="13"/>
  <c r="AO477" i="13"/>
  <c r="AN477" i="13"/>
  <c r="AN497" i="13"/>
  <c r="AO497" i="13"/>
  <c r="AI7" i="4"/>
  <c r="AR101" i="13"/>
  <c r="AQ101" i="13"/>
  <c r="AR124" i="13"/>
  <c r="AQ124" i="13"/>
  <c r="AR415" i="13"/>
  <c r="AQ415" i="13"/>
  <c r="AR334" i="13"/>
  <c r="AQ334" i="13"/>
  <c r="AR206" i="13"/>
  <c r="AQ206" i="13"/>
  <c r="AR111" i="13"/>
  <c r="AQ111" i="13"/>
  <c r="AR8" i="13"/>
  <c r="AQ8" i="13"/>
  <c r="AQ224" i="13"/>
  <c r="AR224" i="13"/>
  <c r="AR412" i="13"/>
  <c r="AQ412" i="13"/>
  <c r="AQ326" i="13"/>
  <c r="AR326" i="13"/>
  <c r="AR169" i="13"/>
  <c r="AQ169" i="13"/>
  <c r="AR91" i="13"/>
  <c r="AQ91" i="13"/>
  <c r="AQ55" i="13"/>
  <c r="AR55" i="13"/>
  <c r="AR496" i="13"/>
  <c r="AQ496" i="13"/>
  <c r="AR88" i="13"/>
  <c r="AQ88" i="13"/>
  <c r="AR396" i="13"/>
  <c r="AQ396" i="13"/>
  <c r="AR148" i="13"/>
  <c r="AQ148" i="13"/>
  <c r="AR104" i="13"/>
  <c r="AQ104" i="13"/>
  <c r="AQ524" i="13"/>
  <c r="AR524" i="13"/>
  <c r="AR423" i="13"/>
  <c r="AQ423" i="13"/>
  <c r="AR282" i="13"/>
  <c r="AQ282" i="13"/>
  <c r="AR164" i="13"/>
  <c r="AQ164" i="13"/>
  <c r="AR84" i="13"/>
  <c r="AQ84" i="13"/>
  <c r="AR184" i="13"/>
  <c r="AQ184" i="13"/>
  <c r="AQ550" i="13"/>
  <c r="AR550" i="13"/>
  <c r="AR414" i="13"/>
  <c r="AQ414" i="13"/>
  <c r="AR388" i="13"/>
  <c r="AQ388" i="13"/>
  <c r="AQ163" i="13"/>
  <c r="AR163" i="13"/>
  <c r="AR130" i="13"/>
  <c r="AQ130" i="13"/>
  <c r="AQ23" i="13"/>
  <c r="AR23" i="13"/>
  <c r="AQ262" i="13"/>
  <c r="AR262" i="13"/>
  <c r="AR457" i="13"/>
  <c r="AQ457" i="13"/>
  <c r="AR405" i="13"/>
  <c r="AQ405" i="13"/>
  <c r="AR274" i="13"/>
  <c r="AQ274" i="13"/>
  <c r="AR172" i="13"/>
  <c r="AQ172" i="13"/>
  <c r="AR72" i="13"/>
  <c r="AQ72" i="13"/>
  <c r="AR60" i="13"/>
  <c r="AQ60" i="13"/>
  <c r="AM12" i="13"/>
  <c r="AR67" i="13"/>
  <c r="AQ67" i="13"/>
  <c r="AR32" i="13"/>
  <c r="AQ32" i="13"/>
  <c r="AR62" i="13"/>
  <c r="AQ62" i="13"/>
  <c r="AQ75" i="13"/>
  <c r="AR75" i="13"/>
  <c r="AR178" i="13"/>
  <c r="AQ178" i="13"/>
  <c r="AR193" i="13"/>
  <c r="AQ193" i="13"/>
  <c r="AQ294" i="13"/>
  <c r="AR294" i="13"/>
  <c r="AR245" i="13"/>
  <c r="AQ245" i="13"/>
  <c r="AR225" i="13"/>
  <c r="AQ225" i="13"/>
  <c r="AR249" i="13"/>
  <c r="AQ249" i="13"/>
  <c r="AR296" i="13"/>
  <c r="AQ296" i="13"/>
  <c r="AR265" i="13"/>
  <c r="AQ265" i="13"/>
  <c r="AQ284" i="13"/>
  <c r="AR284" i="13"/>
  <c r="AQ325" i="13"/>
  <c r="AR325" i="13"/>
  <c r="AQ331" i="13"/>
  <c r="AR331" i="13"/>
  <c r="AQ319" i="13"/>
  <c r="AR319" i="13"/>
  <c r="AR364" i="13"/>
  <c r="AQ364" i="13"/>
  <c r="AR368" i="13"/>
  <c r="AQ368" i="13"/>
  <c r="AR401" i="13"/>
  <c r="AQ401" i="13"/>
  <c r="AQ373" i="13"/>
  <c r="AR373" i="13"/>
  <c r="AQ433" i="13"/>
  <c r="AR433" i="13"/>
  <c r="AQ437" i="13"/>
  <c r="AR437" i="13"/>
  <c r="AR456" i="13"/>
  <c r="AQ456" i="13"/>
  <c r="AR448" i="13"/>
  <c r="AQ448" i="13"/>
  <c r="AR494" i="13"/>
  <c r="AQ494" i="13"/>
  <c r="AQ495" i="13"/>
  <c r="AR495" i="13"/>
  <c r="AQ510" i="13"/>
  <c r="AR510" i="13"/>
  <c r="AQ528" i="13"/>
  <c r="AR528" i="13"/>
  <c r="AQ549" i="13"/>
  <c r="AR549" i="13"/>
  <c r="AQ558" i="13"/>
  <c r="AR558" i="13"/>
  <c r="AS37" i="13"/>
  <c r="AS30" i="13"/>
  <c r="AS19" i="13"/>
  <c r="AS27" i="13"/>
  <c r="AS41" i="13"/>
  <c r="AS79" i="13"/>
  <c r="AS62" i="13"/>
  <c r="AS61" i="13"/>
  <c r="AS81" i="13"/>
  <c r="AS113" i="13"/>
  <c r="AS88" i="13"/>
  <c r="AS120" i="13"/>
  <c r="AS163" i="13"/>
  <c r="AS95" i="13"/>
  <c r="AS127" i="13"/>
  <c r="AS180" i="13"/>
  <c r="AS106" i="13"/>
  <c r="AS210" i="13"/>
  <c r="AS160" i="13"/>
  <c r="AS175" i="13"/>
  <c r="AS146" i="13"/>
  <c r="AS178" i="13"/>
  <c r="AS240" i="13"/>
  <c r="AS205" i="13"/>
  <c r="AS256" i="13"/>
  <c r="AS220" i="13"/>
  <c r="AS274" i="13"/>
  <c r="AS211" i="13"/>
  <c r="AS242" i="13"/>
  <c r="AS299" i="13"/>
  <c r="AS253" i="13"/>
  <c r="AS288" i="13"/>
  <c r="AS334" i="13"/>
  <c r="AS235" i="13"/>
  <c r="AS267" i="13"/>
  <c r="AS301" i="13"/>
  <c r="AS304" i="13"/>
  <c r="AS326" i="13"/>
  <c r="AS317" i="13"/>
  <c r="AS329" i="13"/>
  <c r="AS337" i="13"/>
  <c r="AS344" i="13"/>
  <c r="AS350" i="13"/>
  <c r="AS374" i="13"/>
  <c r="AS408" i="13"/>
  <c r="AS388" i="13"/>
  <c r="AS368" i="13"/>
  <c r="AS428" i="13"/>
  <c r="AS387" i="13"/>
  <c r="AS415" i="13"/>
  <c r="AS410" i="13"/>
  <c r="AS435" i="13"/>
  <c r="AS437" i="13"/>
  <c r="AS469" i="13"/>
  <c r="AS458" i="13"/>
  <c r="AS470" i="13"/>
  <c r="AS481" i="13"/>
  <c r="AS500" i="13"/>
  <c r="AS520" i="13"/>
  <c r="AS495" i="13"/>
  <c r="AS511" i="13"/>
  <c r="AS509" i="13"/>
  <c r="AS513" i="13"/>
  <c r="AS526" i="13"/>
  <c r="AS541" i="13"/>
  <c r="AS549" i="13"/>
  <c r="AS540" i="13"/>
  <c r="AK425" i="13"/>
  <c r="AL425" i="13"/>
  <c r="AL454" i="13"/>
  <c r="AK454" i="13"/>
  <c r="AL81" i="13"/>
  <c r="AK81" i="13"/>
  <c r="AK401" i="13"/>
  <c r="AL401" i="13"/>
  <c r="AL245" i="13"/>
  <c r="AK245" i="13"/>
  <c r="AK140" i="13"/>
  <c r="AL140" i="13"/>
  <c r="AK50" i="13"/>
  <c r="AL50" i="13"/>
  <c r="AK243" i="13"/>
  <c r="AL243" i="13"/>
  <c r="AK525" i="13"/>
  <c r="AL525" i="13"/>
  <c r="AL386" i="13"/>
  <c r="AK386" i="13"/>
  <c r="AK239" i="13"/>
  <c r="AL239" i="13"/>
  <c r="AK229" i="13"/>
  <c r="AL229" i="13"/>
  <c r="AK36" i="13"/>
  <c r="AL36" i="13"/>
  <c r="AL93" i="13"/>
  <c r="AK93" i="13"/>
  <c r="AL469" i="13"/>
  <c r="AK469" i="13"/>
  <c r="AL334" i="13"/>
  <c r="AK334" i="13"/>
  <c r="AK187" i="13"/>
  <c r="AL187" i="13"/>
  <c r="AL90" i="13"/>
  <c r="AK90" i="13"/>
  <c r="AL8" i="13"/>
  <c r="AK8" i="13"/>
  <c r="AL185" i="13"/>
  <c r="AK185" i="13"/>
  <c r="AL394" i="13"/>
  <c r="AK394" i="13"/>
  <c r="AL262" i="13"/>
  <c r="AK262" i="13"/>
  <c r="AK158" i="13"/>
  <c r="AL158" i="13"/>
  <c r="AL102" i="13"/>
  <c r="AK102" i="13"/>
  <c r="AL108" i="13"/>
  <c r="AK108" i="13"/>
  <c r="AL493" i="13"/>
  <c r="AK493" i="13"/>
  <c r="AL358" i="13"/>
  <c r="AK358" i="13"/>
  <c r="AK213" i="13"/>
  <c r="AL213" i="13"/>
  <c r="AL82" i="13"/>
  <c r="AK82" i="13"/>
  <c r="AL524" i="13"/>
  <c r="AK524" i="13"/>
  <c r="AL170" i="13"/>
  <c r="AK170" i="13"/>
  <c r="AK442" i="13"/>
  <c r="AL442" i="13"/>
  <c r="AK319" i="13"/>
  <c r="AL319" i="13"/>
  <c r="AL233" i="13"/>
  <c r="AK233" i="13"/>
  <c r="AL112" i="13"/>
  <c r="AK112" i="13"/>
  <c r="AL29" i="13"/>
  <c r="AK29" i="13"/>
  <c r="AL46" i="13"/>
  <c r="AK46" i="13"/>
  <c r="AL37" i="13"/>
  <c r="AK37" i="13"/>
  <c r="AL7" i="13"/>
  <c r="AK7" i="13"/>
  <c r="AL157" i="13"/>
  <c r="AK157" i="13"/>
  <c r="AL111" i="13"/>
  <c r="AK111" i="13"/>
  <c r="AL133" i="13"/>
  <c r="AK133" i="13"/>
  <c r="AL186" i="13"/>
  <c r="AK186" i="13"/>
  <c r="AL167" i="13"/>
  <c r="AK167" i="13"/>
  <c r="AL177" i="13"/>
  <c r="AK177" i="13"/>
  <c r="AL242" i="13"/>
  <c r="AK242" i="13"/>
  <c r="AL218" i="13"/>
  <c r="AK218" i="13"/>
  <c r="AK295" i="13"/>
  <c r="AL295" i="13"/>
  <c r="AK285" i="13"/>
  <c r="AL285" i="13"/>
  <c r="AL307" i="13"/>
  <c r="AK307" i="13"/>
  <c r="AL331" i="13"/>
  <c r="AK331" i="13"/>
  <c r="AK332" i="13"/>
  <c r="AL332" i="13"/>
  <c r="AK326" i="13"/>
  <c r="AL326" i="13"/>
  <c r="AL384" i="13"/>
  <c r="AK384" i="13"/>
  <c r="AL369" i="13"/>
  <c r="AK369" i="13"/>
  <c r="AL372" i="13"/>
  <c r="AK372" i="13"/>
  <c r="AK435" i="13"/>
  <c r="AL435" i="13"/>
  <c r="AL422" i="13"/>
  <c r="AK422" i="13"/>
  <c r="AL448" i="13"/>
  <c r="AK448" i="13"/>
  <c r="AL453" i="13"/>
  <c r="AK453" i="13"/>
  <c r="AL476" i="13"/>
  <c r="AK476" i="13"/>
  <c r="AL491" i="13"/>
  <c r="AK491" i="13"/>
  <c r="AL494" i="13"/>
  <c r="AK494" i="13"/>
  <c r="AL504" i="13"/>
  <c r="AK504" i="13"/>
  <c r="AK519" i="13"/>
  <c r="AL519" i="13"/>
  <c r="AL528" i="13"/>
  <c r="AK528" i="13"/>
  <c r="AL545" i="13"/>
  <c r="AK545" i="13"/>
  <c r="AL549" i="13"/>
  <c r="AK549" i="13"/>
  <c r="AO253" i="13"/>
  <c r="AN253" i="13"/>
  <c r="AO29" i="13"/>
  <c r="AN29" i="13"/>
  <c r="AO498" i="13"/>
  <c r="AN498" i="13"/>
  <c r="AN425" i="13"/>
  <c r="AO425" i="13"/>
  <c r="AO409" i="13"/>
  <c r="AN409" i="13"/>
  <c r="AO248" i="13"/>
  <c r="AN248" i="13"/>
  <c r="AO193" i="13"/>
  <c r="AN193" i="13"/>
  <c r="AO143" i="13"/>
  <c r="AN143" i="13"/>
  <c r="AO124" i="13"/>
  <c r="AN124" i="13"/>
  <c r="AO384" i="13"/>
  <c r="AN384" i="13"/>
  <c r="AO516" i="13"/>
  <c r="AN516" i="13"/>
  <c r="AO157" i="13"/>
  <c r="AN157" i="13"/>
  <c r="AO548" i="13"/>
  <c r="AN548" i="13"/>
  <c r="AO400" i="13"/>
  <c r="AN400" i="13"/>
  <c r="AO298" i="13"/>
  <c r="AN298" i="13"/>
  <c r="AO295" i="13"/>
  <c r="AN295" i="13"/>
  <c r="AO177" i="13"/>
  <c r="AN177" i="13"/>
  <c r="AN60" i="13"/>
  <c r="AO60" i="13"/>
  <c r="AO79" i="13"/>
  <c r="AN79" i="13"/>
  <c r="AN95" i="13"/>
  <c r="AO95" i="13"/>
  <c r="AO555" i="13"/>
  <c r="AN555" i="13"/>
  <c r="AO532" i="13"/>
  <c r="AN532" i="13"/>
  <c r="AO483" i="13"/>
  <c r="AN483" i="13"/>
  <c r="AO337" i="13"/>
  <c r="AN337" i="13"/>
  <c r="AO277" i="13"/>
  <c r="AN277" i="13"/>
  <c r="AO228" i="13"/>
  <c r="AN228" i="13"/>
  <c r="AO232" i="13"/>
  <c r="AN232" i="13"/>
  <c r="AO161" i="13"/>
  <c r="AN161" i="13"/>
  <c r="AN121" i="13"/>
  <c r="AO121" i="13"/>
  <c r="AO383" i="13"/>
  <c r="AN383" i="13"/>
  <c r="AO541" i="13"/>
  <c r="AN541" i="13"/>
  <c r="AO439" i="13"/>
  <c r="AN439" i="13"/>
  <c r="AN335" i="13"/>
  <c r="AO335" i="13"/>
  <c r="AO200" i="13"/>
  <c r="AN200" i="13"/>
  <c r="AO69" i="13"/>
  <c r="AN69" i="13"/>
  <c r="AO128" i="13"/>
  <c r="AN128" i="13"/>
  <c r="AN271" i="13"/>
  <c r="AO271" i="13"/>
  <c r="AN339" i="13"/>
  <c r="AO339" i="13"/>
  <c r="AN456" i="13"/>
  <c r="AO456" i="13"/>
  <c r="AO484" i="13"/>
  <c r="AN484" i="13"/>
  <c r="AO402" i="13"/>
  <c r="AN402" i="13"/>
  <c r="AO345" i="13"/>
  <c r="AN345" i="13"/>
  <c r="AO257" i="13"/>
  <c r="AN257" i="13"/>
  <c r="AO158" i="13"/>
  <c r="AN158" i="13"/>
  <c r="AO81" i="13"/>
  <c r="AN81" i="13"/>
  <c r="AN351" i="13"/>
  <c r="AO351" i="13"/>
  <c r="AO494" i="13"/>
  <c r="AN494" i="13"/>
  <c r="AO510" i="13"/>
  <c r="AN510" i="13"/>
  <c r="AN431" i="13"/>
  <c r="AO431" i="13"/>
  <c r="AN387" i="13"/>
  <c r="AO387" i="13"/>
  <c r="AO223" i="13"/>
  <c r="AN223" i="13"/>
  <c r="AN101" i="13"/>
  <c r="AO101" i="13"/>
  <c r="AO57" i="13"/>
  <c r="AN57" i="13"/>
  <c r="AO88" i="13"/>
  <c r="AN88" i="13"/>
  <c r="AO76" i="13"/>
  <c r="AN76" i="13"/>
  <c r="AO72" i="13"/>
  <c r="AN72" i="13"/>
  <c r="AO134" i="13"/>
  <c r="AN134" i="13"/>
  <c r="AN90" i="13"/>
  <c r="AO90" i="13"/>
  <c r="AO184" i="13"/>
  <c r="AN184" i="13"/>
  <c r="AO305" i="13"/>
  <c r="AN305" i="13"/>
  <c r="AO290" i="13"/>
  <c r="AN290" i="13"/>
  <c r="AO315" i="13"/>
  <c r="AN315" i="13"/>
  <c r="AN417" i="13"/>
  <c r="AO417" i="13"/>
  <c r="AO434" i="13"/>
  <c r="AN434" i="13"/>
  <c r="AN415" i="13"/>
  <c r="AO415" i="13"/>
  <c r="AO451" i="13"/>
  <c r="AN451" i="13"/>
  <c r="AO468" i="13"/>
  <c r="AN468" i="13"/>
  <c r="AO511" i="13"/>
  <c r="AN511" i="13"/>
  <c r="AN398" i="5"/>
  <c r="AN269" i="5"/>
  <c r="AO468" i="5"/>
  <c r="AN134" i="5"/>
  <c r="AX86" i="4"/>
  <c r="AY86" i="4" s="1"/>
  <c r="CN86" i="4" s="1"/>
  <c r="AY111" i="4"/>
  <c r="CN111" i="4" s="1"/>
  <c r="BV33" i="4"/>
  <c r="AR92" i="13"/>
  <c r="AQ92" i="13"/>
  <c r="AQ521" i="13"/>
  <c r="AR521" i="13"/>
  <c r="AR379" i="13"/>
  <c r="AQ379" i="13"/>
  <c r="AR330" i="13"/>
  <c r="AQ330" i="13"/>
  <c r="AR187" i="13"/>
  <c r="AQ187" i="13"/>
  <c r="AR128" i="13"/>
  <c r="AQ128" i="13"/>
  <c r="AR353" i="13"/>
  <c r="AQ353" i="13"/>
  <c r="AQ513" i="13"/>
  <c r="AR513" i="13"/>
  <c r="AR419" i="13"/>
  <c r="AQ419" i="13"/>
  <c r="AQ310" i="13"/>
  <c r="AR310" i="13"/>
  <c r="AQ161" i="13"/>
  <c r="AR161" i="13"/>
  <c r="AR102" i="13"/>
  <c r="AQ102" i="13"/>
  <c r="AR86" i="13"/>
  <c r="AQ86" i="13"/>
  <c r="AQ465" i="13"/>
  <c r="AR465" i="13"/>
  <c r="AR107" i="13"/>
  <c r="AQ107" i="13"/>
  <c r="AR375" i="13"/>
  <c r="AQ375" i="13"/>
  <c r="AQ167" i="13"/>
  <c r="AR167" i="13"/>
  <c r="AR34" i="13"/>
  <c r="AQ34" i="13"/>
  <c r="AQ145" i="13"/>
  <c r="AR145" i="13"/>
  <c r="AR432" i="13"/>
  <c r="AQ432" i="13"/>
  <c r="AR234" i="13"/>
  <c r="AQ234" i="13"/>
  <c r="AQ190" i="13"/>
  <c r="AR190" i="13"/>
  <c r="AR123" i="13"/>
  <c r="AQ123" i="13"/>
  <c r="AR156" i="13"/>
  <c r="AQ156" i="13"/>
  <c r="AR472" i="13"/>
  <c r="AQ472" i="13"/>
  <c r="AR402" i="13"/>
  <c r="AQ402" i="13"/>
  <c r="AR347" i="13"/>
  <c r="AQ347" i="13"/>
  <c r="AQ139" i="13"/>
  <c r="AR139" i="13"/>
  <c r="AR125" i="13"/>
  <c r="AQ125" i="13"/>
  <c r="AQ28" i="13"/>
  <c r="AR28" i="13"/>
  <c r="AQ179" i="13"/>
  <c r="AR179" i="13"/>
  <c r="AR454" i="13"/>
  <c r="AQ454" i="13"/>
  <c r="AR230" i="13"/>
  <c r="AQ230" i="13"/>
  <c r="AR182" i="13"/>
  <c r="AQ182" i="13"/>
  <c r="AR168" i="13"/>
  <c r="AQ168" i="13"/>
  <c r="AR59" i="13"/>
  <c r="AQ59" i="13"/>
  <c r="AR21" i="13"/>
  <c r="AQ21" i="13"/>
  <c r="AR54" i="13"/>
  <c r="AQ54" i="13"/>
  <c r="AR81" i="13"/>
  <c r="AQ81" i="13"/>
  <c r="AQ43" i="13"/>
  <c r="AR43" i="13"/>
  <c r="AR69" i="13"/>
  <c r="AQ69" i="13"/>
  <c r="AR82" i="13"/>
  <c r="AQ82" i="13"/>
  <c r="AR199" i="13"/>
  <c r="AQ199" i="13"/>
  <c r="AR255" i="13"/>
  <c r="AQ255" i="13"/>
  <c r="AR211" i="13"/>
  <c r="AQ211" i="13"/>
  <c r="AR253" i="13"/>
  <c r="AQ253" i="13"/>
  <c r="AR229" i="13"/>
  <c r="AQ229" i="13"/>
  <c r="AR257" i="13"/>
  <c r="AQ257" i="13"/>
  <c r="AR298" i="13"/>
  <c r="AQ298" i="13"/>
  <c r="AR269" i="13"/>
  <c r="AQ269" i="13"/>
  <c r="AQ292" i="13"/>
  <c r="AR292" i="13"/>
  <c r="AQ327" i="13"/>
  <c r="AR327" i="13"/>
  <c r="AR335" i="13"/>
  <c r="AQ335" i="13"/>
  <c r="AR345" i="13"/>
  <c r="AQ345" i="13"/>
  <c r="AR380" i="13"/>
  <c r="AQ380" i="13"/>
  <c r="AR443" i="13"/>
  <c r="AQ443" i="13"/>
  <c r="AR393" i="13"/>
  <c r="AQ393" i="13"/>
  <c r="AQ377" i="13"/>
  <c r="AR377" i="13"/>
  <c r="AQ434" i="13"/>
  <c r="AR434" i="13"/>
  <c r="AR440" i="13"/>
  <c r="AQ440" i="13"/>
  <c r="AR459" i="13"/>
  <c r="AQ459" i="13"/>
  <c r="AR478" i="13"/>
  <c r="AQ478" i="13"/>
  <c r="AR497" i="13"/>
  <c r="AQ497" i="13"/>
  <c r="AQ515" i="13"/>
  <c r="AR515" i="13"/>
  <c r="AQ518" i="13"/>
  <c r="AR518" i="13"/>
  <c r="AR536" i="13"/>
  <c r="AQ536" i="13"/>
  <c r="AQ553" i="13"/>
  <c r="AR553" i="13"/>
  <c r="AQ556" i="13"/>
  <c r="AR556" i="13"/>
  <c r="AS43" i="13"/>
  <c r="AS65" i="13"/>
  <c r="AS23" i="13"/>
  <c r="AS48" i="13"/>
  <c r="AS46" i="13"/>
  <c r="AS97" i="13"/>
  <c r="AS69" i="13"/>
  <c r="AS93" i="13"/>
  <c r="AS131" i="13"/>
  <c r="AS117" i="13"/>
  <c r="AS92" i="13"/>
  <c r="AS124" i="13"/>
  <c r="AS173" i="13"/>
  <c r="AS99" i="13"/>
  <c r="AS141" i="13"/>
  <c r="AS236" i="13"/>
  <c r="AS110" i="13"/>
  <c r="AS132" i="13"/>
  <c r="AS164" i="13"/>
  <c r="AS179" i="13"/>
  <c r="AS150" i="13"/>
  <c r="AS182" i="13"/>
  <c r="AS250" i="13"/>
  <c r="AS209" i="13"/>
  <c r="AS264" i="13"/>
  <c r="AS224" i="13"/>
  <c r="AS183" i="13"/>
  <c r="AS215" i="13"/>
  <c r="AS244" i="13"/>
  <c r="AS308" i="13"/>
  <c r="AS257" i="13"/>
  <c r="AS296" i="13"/>
  <c r="AS268" i="13"/>
  <c r="AS239" i="13"/>
  <c r="AS271" i="13"/>
  <c r="AS305" i="13"/>
  <c r="AS310" i="13"/>
  <c r="AS327" i="13"/>
  <c r="AS342" i="13"/>
  <c r="AS331" i="13"/>
  <c r="AS341" i="13"/>
  <c r="AS354" i="13"/>
  <c r="AS367" i="13"/>
  <c r="AS378" i="13"/>
  <c r="AS357" i="13"/>
  <c r="AS389" i="13"/>
  <c r="AS372" i="13"/>
  <c r="AS412" i="13"/>
  <c r="AS391" i="13"/>
  <c r="AS419" i="13"/>
  <c r="AS414" i="13"/>
  <c r="AS439" i="13"/>
  <c r="AS438" i="13"/>
  <c r="AS444" i="13"/>
  <c r="AS447" i="13"/>
  <c r="AS482" i="13"/>
  <c r="AS478" i="13"/>
  <c r="AS476" i="13"/>
  <c r="AS515" i="13"/>
  <c r="AS504" i="13"/>
  <c r="AS499" i="13"/>
  <c r="AS527" i="13"/>
  <c r="AS519" i="13"/>
  <c r="AS531" i="13"/>
  <c r="AS552" i="13"/>
  <c r="AS544" i="13"/>
  <c r="AS558" i="13"/>
  <c r="AL230" i="13"/>
  <c r="AK230" i="13"/>
  <c r="AL275" i="13"/>
  <c r="AK275" i="13"/>
  <c r="AL55" i="13"/>
  <c r="AK55" i="13"/>
  <c r="AL346" i="13"/>
  <c r="AK346" i="13"/>
  <c r="AL210" i="13"/>
  <c r="AK210" i="13"/>
  <c r="AL89" i="13"/>
  <c r="AK89" i="13"/>
  <c r="AL64" i="13"/>
  <c r="AK64" i="13"/>
  <c r="AL219" i="13"/>
  <c r="AK219" i="13"/>
  <c r="AK508" i="13"/>
  <c r="AL508" i="13"/>
  <c r="AL383" i="13"/>
  <c r="AK383" i="13"/>
  <c r="AK290" i="13"/>
  <c r="AL290" i="13"/>
  <c r="AK142" i="13"/>
  <c r="AL142" i="13"/>
  <c r="AK160" i="13"/>
  <c r="AL160" i="13"/>
  <c r="AL72" i="13"/>
  <c r="AK72" i="13"/>
  <c r="AK415" i="13"/>
  <c r="AL415" i="13"/>
  <c r="AK298" i="13"/>
  <c r="AL298" i="13"/>
  <c r="AL194" i="13"/>
  <c r="AK194" i="13"/>
  <c r="AK54" i="13"/>
  <c r="AL54" i="13"/>
  <c r="AL424" i="13"/>
  <c r="AK424" i="13"/>
  <c r="AK517" i="13"/>
  <c r="AL517" i="13"/>
  <c r="AK355" i="13"/>
  <c r="AL355" i="13"/>
  <c r="AL249" i="13"/>
  <c r="AK249" i="13"/>
  <c r="AK150" i="13"/>
  <c r="AL150" i="13"/>
  <c r="AL56" i="13"/>
  <c r="AK56" i="13"/>
  <c r="AL85" i="13"/>
  <c r="AK85" i="13"/>
  <c r="AK481" i="13"/>
  <c r="AL481" i="13"/>
  <c r="AK351" i="13"/>
  <c r="AL351" i="13"/>
  <c r="AK144" i="13"/>
  <c r="AL144" i="13"/>
  <c r="AL116" i="13"/>
  <c r="AK116" i="13"/>
  <c r="AK503" i="13"/>
  <c r="AL503" i="13"/>
  <c r="AK172" i="13"/>
  <c r="AL172" i="13"/>
  <c r="AL423" i="13"/>
  <c r="AK423" i="13"/>
  <c r="AK294" i="13"/>
  <c r="AL294" i="13"/>
  <c r="AL282" i="13"/>
  <c r="AK282" i="13"/>
  <c r="AL78" i="13"/>
  <c r="AK78" i="13"/>
  <c r="AL59" i="13"/>
  <c r="AK59" i="13"/>
  <c r="AL21" i="13"/>
  <c r="AK21" i="13"/>
  <c r="AL43" i="13"/>
  <c r="AK43" i="13"/>
  <c r="AL39" i="13"/>
  <c r="AK39" i="13"/>
  <c r="AL202" i="13"/>
  <c r="AK202" i="13"/>
  <c r="AL115" i="13"/>
  <c r="AK115" i="13"/>
  <c r="AL175" i="13"/>
  <c r="AK175" i="13"/>
  <c r="AL198" i="13"/>
  <c r="AK198" i="13"/>
  <c r="AL182" i="13"/>
  <c r="AK182" i="13"/>
  <c r="AL188" i="13"/>
  <c r="AK188" i="13"/>
  <c r="AL244" i="13"/>
  <c r="AK244" i="13"/>
  <c r="AL248" i="13"/>
  <c r="AK248" i="13"/>
  <c r="AL284" i="13"/>
  <c r="AK284" i="13"/>
  <c r="AK288" i="13"/>
  <c r="AL288" i="13"/>
  <c r="AL314" i="13"/>
  <c r="AK314" i="13"/>
  <c r="AK313" i="13"/>
  <c r="AL313" i="13"/>
  <c r="AL318" i="13"/>
  <c r="AK318" i="13"/>
  <c r="AL344" i="13"/>
  <c r="AK344" i="13"/>
  <c r="AL335" i="13"/>
  <c r="AK335" i="13"/>
  <c r="AL333" i="13"/>
  <c r="AK333" i="13"/>
  <c r="AL376" i="13"/>
  <c r="AK376" i="13"/>
  <c r="AK391" i="13"/>
  <c r="AL391" i="13"/>
  <c r="AL427" i="13"/>
  <c r="AK427" i="13"/>
  <c r="AL437" i="13"/>
  <c r="AK437" i="13"/>
  <c r="AL457" i="13"/>
  <c r="AK457" i="13"/>
  <c r="AL445" i="13"/>
  <c r="AK445" i="13"/>
  <c r="AL495" i="13"/>
  <c r="AK495" i="13"/>
  <c r="AL500" i="13"/>
  <c r="AK500" i="13"/>
  <c r="AK513" i="13"/>
  <c r="AL513" i="13"/>
  <c r="AK516" i="13"/>
  <c r="AL516" i="13"/>
  <c r="AK518" i="13"/>
  <c r="AL518" i="13"/>
  <c r="AK540" i="13"/>
  <c r="AL540" i="13"/>
  <c r="AL560" i="13"/>
  <c r="AK560" i="13"/>
  <c r="AO338" i="13"/>
  <c r="AN338" i="13"/>
  <c r="AO322" i="13"/>
  <c r="AN322" i="13"/>
  <c r="AO476" i="13"/>
  <c r="AN476" i="13"/>
  <c r="AO469" i="13"/>
  <c r="AN469" i="13"/>
  <c r="AO340" i="13"/>
  <c r="AN340" i="13"/>
  <c r="AO405" i="13"/>
  <c r="AN405" i="13"/>
  <c r="AO236" i="13"/>
  <c r="AN236" i="13"/>
  <c r="AN149" i="13"/>
  <c r="AO149" i="13"/>
  <c r="AN73" i="13"/>
  <c r="AO73" i="13"/>
  <c r="AO390" i="13"/>
  <c r="AN390" i="13"/>
  <c r="AO463" i="13"/>
  <c r="AN463" i="13"/>
  <c r="AN118" i="13"/>
  <c r="AO118" i="13"/>
  <c r="AO523" i="13"/>
  <c r="AN523" i="13"/>
  <c r="AO432" i="13"/>
  <c r="AN432" i="13"/>
  <c r="AO301" i="13"/>
  <c r="AN301" i="13"/>
  <c r="AN251" i="13"/>
  <c r="AO251" i="13"/>
  <c r="AN106" i="13"/>
  <c r="AO106" i="13"/>
  <c r="AO23" i="13"/>
  <c r="AN23" i="13"/>
  <c r="AO506" i="13"/>
  <c r="AN506" i="13"/>
  <c r="AN145" i="13"/>
  <c r="AO145" i="13"/>
  <c r="AO542" i="13"/>
  <c r="AN542" i="13"/>
  <c r="AO537" i="13"/>
  <c r="AN537" i="13"/>
  <c r="AO448" i="13"/>
  <c r="AN448" i="13"/>
  <c r="AO321" i="13"/>
  <c r="AN321" i="13"/>
  <c r="AO261" i="13"/>
  <c r="AN261" i="13"/>
  <c r="AO220" i="13"/>
  <c r="AN220" i="13"/>
  <c r="AO178" i="13"/>
  <c r="AN178" i="13"/>
  <c r="AO140" i="13"/>
  <c r="AN140" i="13"/>
  <c r="AO65" i="13"/>
  <c r="AN65" i="13"/>
  <c r="AO269" i="13"/>
  <c r="AN269" i="13"/>
  <c r="AO487" i="13"/>
  <c r="AN487" i="13"/>
  <c r="AO458" i="13"/>
  <c r="AN458" i="13"/>
  <c r="AO314" i="13"/>
  <c r="AN314" i="13"/>
  <c r="AN275" i="13"/>
  <c r="AO275" i="13"/>
  <c r="AN53" i="13"/>
  <c r="AO53" i="13"/>
  <c r="AN31" i="13"/>
  <c r="AO31" i="13"/>
  <c r="AN122" i="13"/>
  <c r="AO122" i="13"/>
  <c r="AO169" i="13"/>
  <c r="AN169" i="13"/>
  <c r="AO554" i="13"/>
  <c r="AN554" i="13"/>
  <c r="AN471" i="13"/>
  <c r="AO471" i="13"/>
  <c r="AO355" i="13"/>
  <c r="AN355" i="13"/>
  <c r="AO327" i="13"/>
  <c r="AN327" i="13"/>
  <c r="AO303" i="13"/>
  <c r="AN303" i="13"/>
  <c r="AO167" i="13"/>
  <c r="AN167" i="13"/>
  <c r="AO52" i="13"/>
  <c r="AN52" i="13"/>
  <c r="AO307" i="13"/>
  <c r="AN307" i="13"/>
  <c r="AO454" i="13"/>
  <c r="AN454" i="13"/>
  <c r="AN505" i="13"/>
  <c r="AO505" i="13"/>
  <c r="AO465" i="13"/>
  <c r="AN465" i="13"/>
  <c r="AO380" i="13"/>
  <c r="AN380" i="13"/>
  <c r="AO250" i="13"/>
  <c r="AN250" i="13"/>
  <c r="AO142" i="13"/>
  <c r="AN142" i="13"/>
  <c r="AO19" i="13"/>
  <c r="AN19" i="13"/>
  <c r="AO116" i="13"/>
  <c r="AN116" i="13"/>
  <c r="AO38" i="13"/>
  <c r="AN38" i="13"/>
  <c r="AN86" i="13"/>
  <c r="AO86" i="13"/>
  <c r="AO50" i="13"/>
  <c r="AN50" i="13"/>
  <c r="AO92" i="13"/>
  <c r="AN92" i="13"/>
  <c r="AO182" i="13"/>
  <c r="AN182" i="13"/>
  <c r="AO266" i="13"/>
  <c r="AN266" i="13"/>
  <c r="AO293" i="13"/>
  <c r="AN293" i="13"/>
  <c r="AO310" i="13"/>
  <c r="AN310" i="13"/>
  <c r="AO354" i="13"/>
  <c r="AN354" i="13"/>
  <c r="AN410" i="13"/>
  <c r="AO410" i="13"/>
  <c r="AO430" i="13"/>
  <c r="AN430" i="13"/>
  <c r="AO442" i="13"/>
  <c r="AN442" i="13"/>
  <c r="AN466" i="13"/>
  <c r="AO466" i="13"/>
  <c r="AO513" i="13"/>
  <c r="AN513" i="13"/>
  <c r="AJ12" i="5"/>
  <c r="AK12" i="5" s="1"/>
  <c r="AO268" i="5"/>
  <c r="AO117" i="5"/>
  <c r="AN129" i="5"/>
  <c r="AN259" i="5"/>
  <c r="AN399" i="5"/>
  <c r="AN48" i="5"/>
  <c r="AO62" i="5"/>
  <c r="AU58" i="4"/>
  <c r="AV58" i="4" s="1"/>
  <c r="AY123" i="4"/>
  <c r="CN123" i="4" s="1"/>
  <c r="AY103" i="4"/>
  <c r="CN103" i="4" s="1"/>
  <c r="AU33" i="4"/>
  <c r="AV33" i="4" s="1"/>
  <c r="AQ525" i="13"/>
  <c r="AR525" i="13"/>
  <c r="AR477" i="13"/>
  <c r="AQ477" i="13"/>
  <c r="AQ502" i="13"/>
  <c r="AR502" i="13"/>
  <c r="AQ365" i="13"/>
  <c r="AR365" i="13"/>
  <c r="AR270" i="13"/>
  <c r="AQ270" i="13"/>
  <c r="AQ194" i="13"/>
  <c r="AR194" i="13"/>
  <c r="AR120" i="13"/>
  <c r="AQ120" i="13"/>
  <c r="AR122" i="13"/>
  <c r="AQ122" i="13"/>
  <c r="AQ500" i="13"/>
  <c r="AR500" i="13"/>
  <c r="AR416" i="13"/>
  <c r="AQ416" i="13"/>
  <c r="AQ246" i="13"/>
  <c r="AR246" i="13"/>
  <c r="AQ153" i="13"/>
  <c r="AR153" i="13"/>
  <c r="AR103" i="13"/>
  <c r="AQ103" i="13"/>
  <c r="AQ19" i="13"/>
  <c r="AR19" i="13"/>
  <c r="AR408" i="13"/>
  <c r="AQ408" i="13"/>
  <c r="AQ533" i="13"/>
  <c r="AR533" i="13"/>
  <c r="AR363" i="13"/>
  <c r="AQ363" i="13"/>
  <c r="AR114" i="13"/>
  <c r="AQ114" i="13"/>
  <c r="AR160" i="13"/>
  <c r="AQ160" i="13"/>
  <c r="AR180" i="13"/>
  <c r="AQ180" i="13"/>
  <c r="AR370" i="13"/>
  <c r="AQ370" i="13"/>
  <c r="AR268" i="13"/>
  <c r="AQ268" i="13"/>
  <c r="AQ131" i="13"/>
  <c r="AR131" i="13"/>
  <c r="AR71" i="13"/>
  <c r="AQ71" i="13"/>
  <c r="AR546" i="13"/>
  <c r="AQ546" i="13"/>
  <c r="AR488" i="13"/>
  <c r="AQ488" i="13"/>
  <c r="AR424" i="13"/>
  <c r="AQ424" i="13"/>
  <c r="AQ254" i="13"/>
  <c r="AR254" i="13"/>
  <c r="AR203" i="13"/>
  <c r="AQ203" i="13"/>
  <c r="AR108" i="13"/>
  <c r="AQ108" i="13"/>
  <c r="AQ318" i="13"/>
  <c r="AR318" i="13"/>
  <c r="AQ541" i="13"/>
  <c r="AR541" i="13"/>
  <c r="AR469" i="13"/>
  <c r="AQ469" i="13"/>
  <c r="AQ350" i="13"/>
  <c r="AR350" i="13"/>
  <c r="AR173" i="13"/>
  <c r="AQ173" i="13"/>
  <c r="AR191" i="13"/>
  <c r="AQ191" i="13"/>
  <c r="AQ61" i="13"/>
  <c r="AR61" i="13"/>
  <c r="AR26" i="13"/>
  <c r="AQ26" i="13"/>
  <c r="AR56" i="13"/>
  <c r="AQ56" i="13"/>
  <c r="AR90" i="13"/>
  <c r="AQ90" i="13"/>
  <c r="AQ49" i="13"/>
  <c r="AR49" i="13"/>
  <c r="AR94" i="13"/>
  <c r="AQ94" i="13"/>
  <c r="AR132" i="13"/>
  <c r="AQ132" i="13"/>
  <c r="AR201" i="13"/>
  <c r="AQ201" i="13"/>
  <c r="AR189" i="13"/>
  <c r="AQ189" i="13"/>
  <c r="AR215" i="13"/>
  <c r="AQ215" i="13"/>
  <c r="AR261" i="13"/>
  <c r="AQ261" i="13"/>
  <c r="AR243" i="13"/>
  <c r="AQ243" i="13"/>
  <c r="AR275" i="13"/>
  <c r="AQ275" i="13"/>
  <c r="AR304" i="13"/>
  <c r="AQ304" i="13"/>
  <c r="AR273" i="13"/>
  <c r="AQ273" i="13"/>
  <c r="AR316" i="13"/>
  <c r="AQ316" i="13"/>
  <c r="AR343" i="13"/>
  <c r="AQ343" i="13"/>
  <c r="AQ314" i="13"/>
  <c r="AR314" i="13"/>
  <c r="AR351" i="13"/>
  <c r="AQ351" i="13"/>
  <c r="AQ386" i="13"/>
  <c r="AR386" i="13"/>
  <c r="AR332" i="13"/>
  <c r="AQ332" i="13"/>
  <c r="AR395" i="13"/>
  <c r="AQ395" i="13"/>
  <c r="AQ381" i="13"/>
  <c r="AR381" i="13"/>
  <c r="AR439" i="13"/>
  <c r="AQ439" i="13"/>
  <c r="AQ471" i="13"/>
  <c r="AR471" i="13"/>
  <c r="AR460" i="13"/>
  <c r="AQ460" i="13"/>
  <c r="AQ475" i="13"/>
  <c r="AR475" i="13"/>
  <c r="AR501" i="13"/>
  <c r="AQ501" i="13"/>
  <c r="AQ516" i="13"/>
  <c r="AR516" i="13"/>
  <c r="AR519" i="13"/>
  <c r="AQ519" i="13"/>
  <c r="AQ530" i="13"/>
  <c r="AR530" i="13"/>
  <c r="AR559" i="13"/>
  <c r="AQ559" i="13"/>
  <c r="AQ560" i="13"/>
  <c r="AR560" i="13"/>
  <c r="AS57" i="13"/>
  <c r="AS49" i="13"/>
  <c r="AS29" i="13"/>
  <c r="AS28" i="13"/>
  <c r="AS33" i="13"/>
  <c r="AS52" i="13"/>
  <c r="AS80" i="13"/>
  <c r="AS155" i="13"/>
  <c r="AS85" i="13"/>
  <c r="AS135" i="13"/>
  <c r="AS56" i="13"/>
  <c r="AS121" i="13"/>
  <c r="AS96" i="13"/>
  <c r="AS128" i="13"/>
  <c r="AS198" i="13"/>
  <c r="AS103" i="13"/>
  <c r="AS151" i="13"/>
  <c r="AS82" i="13"/>
  <c r="AS114" i="13"/>
  <c r="AS136" i="13"/>
  <c r="AS168" i="13"/>
  <c r="AS181" i="13"/>
  <c r="AS154" i="13"/>
  <c r="AS186" i="13"/>
  <c r="AS258" i="13"/>
  <c r="AS213" i="13"/>
  <c r="AS266" i="13"/>
  <c r="AS228" i="13"/>
  <c r="AS187" i="13"/>
  <c r="AS219" i="13"/>
  <c r="AS252" i="13"/>
  <c r="AS307" i="13"/>
  <c r="AS261" i="13"/>
  <c r="AS298" i="13"/>
  <c r="AS272" i="13"/>
  <c r="AS243" i="13"/>
  <c r="AS275" i="13"/>
  <c r="AS323" i="13"/>
  <c r="AS315" i="13"/>
  <c r="AS330" i="13"/>
  <c r="AS371" i="13"/>
  <c r="AS346" i="13"/>
  <c r="AS375" i="13"/>
  <c r="AS379" i="13"/>
  <c r="AS383" i="13"/>
  <c r="AS382" i="13"/>
  <c r="AS361" i="13"/>
  <c r="AS394" i="13"/>
  <c r="AS376" i="13"/>
  <c r="AS404" i="13"/>
  <c r="AS395" i="13"/>
  <c r="AS423" i="13"/>
  <c r="AS418" i="13"/>
  <c r="AS413" i="13"/>
  <c r="AS473" i="13"/>
  <c r="AS448" i="13"/>
  <c r="AS463" i="13"/>
  <c r="AS474" i="13"/>
  <c r="AS477" i="13"/>
  <c r="AS480" i="13"/>
  <c r="AS471" i="13"/>
  <c r="AS512" i="13"/>
  <c r="AS503" i="13"/>
  <c r="AS516" i="13"/>
  <c r="AS521" i="13"/>
  <c r="AS547" i="13"/>
  <c r="AS553" i="13"/>
  <c r="AS551" i="13"/>
  <c r="AS546" i="13"/>
  <c r="AL253" i="13"/>
  <c r="AK253" i="13"/>
  <c r="AL222" i="13"/>
  <c r="AK222" i="13"/>
  <c r="AK79" i="13"/>
  <c r="AL79" i="13"/>
  <c r="AK366" i="13"/>
  <c r="AL366" i="13"/>
  <c r="AK130" i="13"/>
  <c r="AL130" i="13"/>
  <c r="AL101" i="13"/>
  <c r="AK101" i="13"/>
  <c r="AL35" i="13"/>
  <c r="AK35" i="13"/>
  <c r="AL274" i="13"/>
  <c r="AK274" i="13"/>
  <c r="AK477" i="13"/>
  <c r="AL477" i="13"/>
  <c r="AL367" i="13"/>
  <c r="AK367" i="13"/>
  <c r="AL257" i="13"/>
  <c r="AK257" i="13"/>
  <c r="AK138" i="13"/>
  <c r="AL138" i="13"/>
  <c r="AK63" i="13"/>
  <c r="AL63" i="13"/>
  <c r="AL62" i="13"/>
  <c r="AK62" i="13"/>
  <c r="AL406" i="13"/>
  <c r="AK406" i="13"/>
  <c r="AK286" i="13"/>
  <c r="AL286" i="13"/>
  <c r="AK134" i="13"/>
  <c r="AL134" i="13"/>
  <c r="AK20" i="13"/>
  <c r="AL20" i="13"/>
  <c r="AL421" i="13"/>
  <c r="AK421" i="13"/>
  <c r="AL465" i="13"/>
  <c r="AK465" i="13"/>
  <c r="AL283" i="13"/>
  <c r="AK283" i="13"/>
  <c r="AL223" i="13"/>
  <c r="AK223" i="13"/>
  <c r="AK164" i="13"/>
  <c r="AL164" i="13"/>
  <c r="AL25" i="13"/>
  <c r="AK25" i="13"/>
  <c r="AK428" i="13"/>
  <c r="AL428" i="13"/>
  <c r="AL467" i="13"/>
  <c r="AK467" i="13"/>
  <c r="AL342" i="13"/>
  <c r="AK342" i="13"/>
  <c r="AL126" i="13"/>
  <c r="AK126" i="13"/>
  <c r="AL104" i="13"/>
  <c r="AK104" i="13"/>
  <c r="AL473" i="13"/>
  <c r="AK473" i="13"/>
  <c r="AK527" i="13"/>
  <c r="AL527" i="13"/>
  <c r="AL375" i="13"/>
  <c r="AK375" i="13"/>
  <c r="AL279" i="13"/>
  <c r="AK279" i="13"/>
  <c r="AL226" i="13"/>
  <c r="AK226" i="13"/>
  <c r="AL84" i="13"/>
  <c r="AK84" i="13"/>
  <c r="AL68" i="13"/>
  <c r="AK68" i="13"/>
  <c r="AL26" i="13"/>
  <c r="AK26" i="13"/>
  <c r="AL45" i="13"/>
  <c r="AK45" i="13"/>
  <c r="AL73" i="13"/>
  <c r="AK73" i="13"/>
  <c r="AL83" i="13"/>
  <c r="AK83" i="13"/>
  <c r="AL119" i="13"/>
  <c r="AK119" i="13"/>
  <c r="AL131" i="13"/>
  <c r="AK131" i="13"/>
  <c r="AL143" i="13"/>
  <c r="AK143" i="13"/>
  <c r="AL196" i="13"/>
  <c r="AK196" i="13"/>
  <c r="AL208" i="13"/>
  <c r="AK208" i="13"/>
  <c r="AL252" i="13"/>
  <c r="AK252" i="13"/>
  <c r="AL256" i="13"/>
  <c r="AK256" i="13"/>
  <c r="AL289" i="13"/>
  <c r="AK289" i="13"/>
  <c r="AK293" i="13"/>
  <c r="AL293" i="13"/>
  <c r="AL317" i="13"/>
  <c r="AK317" i="13"/>
  <c r="AL340" i="13"/>
  <c r="AK340" i="13"/>
  <c r="AL321" i="13"/>
  <c r="AK321" i="13"/>
  <c r="AL300" i="13"/>
  <c r="AK300" i="13"/>
  <c r="AL339" i="13"/>
  <c r="AK339" i="13"/>
  <c r="AL337" i="13"/>
  <c r="AK337" i="13"/>
  <c r="AL380" i="13"/>
  <c r="AK380" i="13"/>
  <c r="AL392" i="13"/>
  <c r="AK392" i="13"/>
  <c r="AL429" i="13"/>
  <c r="AK429" i="13"/>
  <c r="AL460" i="13"/>
  <c r="AK460" i="13"/>
  <c r="AL441" i="13"/>
  <c r="AK441" i="13"/>
  <c r="AL449" i="13"/>
  <c r="AK449" i="13"/>
  <c r="AL483" i="13"/>
  <c r="AK483" i="13"/>
  <c r="AK521" i="13"/>
  <c r="AL521" i="13"/>
  <c r="AL507" i="13"/>
  <c r="AK507" i="13"/>
  <c r="AK522" i="13"/>
  <c r="AL522" i="13"/>
  <c r="AK526" i="13"/>
  <c r="AL526" i="13"/>
  <c r="AL541" i="13"/>
  <c r="AK541" i="13"/>
  <c r="AK551" i="13"/>
  <c r="AL551" i="13"/>
  <c r="AO237" i="13"/>
  <c r="AN237" i="13"/>
  <c r="AO332" i="13"/>
  <c r="AN332" i="13"/>
  <c r="AO472" i="13"/>
  <c r="AN472" i="13"/>
  <c r="AO464" i="13"/>
  <c r="AN464" i="13"/>
  <c r="AO316" i="13"/>
  <c r="AN316" i="13"/>
  <c r="AO319" i="13"/>
  <c r="AN319" i="13"/>
  <c r="AO214" i="13"/>
  <c r="AN214" i="13"/>
  <c r="AO156" i="13"/>
  <c r="AN156" i="13"/>
  <c r="AN26" i="13"/>
  <c r="AO26" i="13"/>
  <c r="AN403" i="13"/>
  <c r="AO403" i="13"/>
  <c r="AO404" i="13"/>
  <c r="AN404" i="13"/>
  <c r="AN43" i="13"/>
  <c r="AO43" i="13"/>
  <c r="AN514" i="13"/>
  <c r="AO514" i="13"/>
  <c r="AO373" i="13"/>
  <c r="AN373" i="13"/>
  <c r="AN263" i="13"/>
  <c r="AO263" i="13"/>
  <c r="AO234" i="13"/>
  <c r="AN234" i="13"/>
  <c r="AO67" i="13"/>
  <c r="AN67" i="13"/>
  <c r="AO68" i="13"/>
  <c r="AN68" i="13"/>
  <c r="AN407" i="13"/>
  <c r="AO407" i="13"/>
  <c r="AN62" i="13"/>
  <c r="AO62" i="13"/>
  <c r="AO526" i="13"/>
  <c r="AN526" i="13"/>
  <c r="AO534" i="13"/>
  <c r="AN534" i="13"/>
  <c r="AO441" i="13"/>
  <c r="AN441" i="13"/>
  <c r="AO330" i="13"/>
  <c r="AN330" i="13"/>
  <c r="AO245" i="13"/>
  <c r="AN245" i="13"/>
  <c r="AO212" i="13"/>
  <c r="AN212" i="13"/>
  <c r="AO162" i="13"/>
  <c r="AN162" i="13"/>
  <c r="AN203" i="13"/>
  <c r="AO203" i="13"/>
  <c r="AN21" i="13"/>
  <c r="AO21" i="13"/>
  <c r="AO224" i="13"/>
  <c r="AN224" i="13"/>
  <c r="AO368" i="13"/>
  <c r="AN368" i="13"/>
  <c r="AO435" i="13"/>
  <c r="AN435" i="13"/>
  <c r="AO382" i="13"/>
  <c r="AN382" i="13"/>
  <c r="AN283" i="13"/>
  <c r="AO283" i="13"/>
  <c r="AO39" i="13"/>
  <c r="AN39" i="13"/>
  <c r="AO527" i="13"/>
  <c r="AN527" i="13"/>
  <c r="AO74" i="13"/>
  <c r="AN74" i="13"/>
  <c r="AO557" i="13"/>
  <c r="AN557" i="13"/>
  <c r="AO553" i="13"/>
  <c r="AN553" i="13"/>
  <c r="AO444" i="13"/>
  <c r="AN444" i="13"/>
  <c r="AO353" i="13"/>
  <c r="AN353" i="13"/>
  <c r="AO276" i="13"/>
  <c r="AN276" i="13"/>
  <c r="AO258" i="13"/>
  <c r="AN258" i="13"/>
  <c r="AO151" i="13"/>
  <c r="AN151" i="13"/>
  <c r="AO77" i="13"/>
  <c r="AN77" i="13"/>
  <c r="AN208" i="13"/>
  <c r="AO208" i="13"/>
  <c r="AO388" i="13"/>
  <c r="AN388" i="13"/>
  <c r="AO518" i="13"/>
  <c r="AN518" i="13"/>
  <c r="AO392" i="13"/>
  <c r="AN392" i="13"/>
  <c r="AO320" i="13"/>
  <c r="AN320" i="13"/>
  <c r="AO196" i="13"/>
  <c r="AN196" i="13"/>
  <c r="AO138" i="13"/>
  <c r="AN138" i="13"/>
  <c r="AO89" i="13"/>
  <c r="AN89" i="13"/>
  <c r="AO146" i="13"/>
  <c r="AN146" i="13"/>
  <c r="AO41" i="13"/>
  <c r="AN41" i="13"/>
  <c r="AO100" i="13"/>
  <c r="AN100" i="13"/>
  <c r="AN82" i="13"/>
  <c r="AO82" i="13"/>
  <c r="AO132" i="13"/>
  <c r="AN132" i="13"/>
  <c r="AN183" i="13"/>
  <c r="AO183" i="13"/>
  <c r="AO246" i="13"/>
  <c r="AN246" i="13"/>
  <c r="AO326" i="13"/>
  <c r="AN326" i="13"/>
  <c r="AO347" i="13"/>
  <c r="AN347" i="13"/>
  <c r="AO401" i="13"/>
  <c r="AN401" i="13"/>
  <c r="AO416" i="13"/>
  <c r="AN416" i="13"/>
  <c r="AN411" i="13"/>
  <c r="AO411" i="13"/>
  <c r="AO455" i="13"/>
  <c r="AN455" i="13"/>
  <c r="AO507" i="13"/>
  <c r="AN507" i="13"/>
  <c r="AO524" i="13"/>
  <c r="AN524" i="13"/>
  <c r="AS114" i="5"/>
  <c r="AT114" i="5" s="1"/>
  <c r="BV37" i="4"/>
  <c r="AY113" i="4"/>
  <c r="CN113" i="4" s="1"/>
  <c r="AR430" i="13"/>
  <c r="AQ430" i="13"/>
  <c r="AQ476" i="13"/>
  <c r="AR476" i="13"/>
  <c r="AR492" i="13"/>
  <c r="AQ492" i="13"/>
  <c r="AR389" i="13"/>
  <c r="AQ389" i="13"/>
  <c r="AR278" i="13"/>
  <c r="AQ278" i="13"/>
  <c r="AR244" i="13"/>
  <c r="AQ244" i="13"/>
  <c r="AR63" i="13"/>
  <c r="AQ63" i="13"/>
  <c r="AR89" i="13"/>
  <c r="AQ89" i="13"/>
  <c r="AR489" i="13"/>
  <c r="AQ489" i="13"/>
  <c r="AR411" i="13"/>
  <c r="AQ411" i="13"/>
  <c r="AR232" i="13"/>
  <c r="AQ232" i="13"/>
  <c r="AQ141" i="13"/>
  <c r="AR141" i="13"/>
  <c r="AR47" i="13"/>
  <c r="AQ47" i="13"/>
  <c r="AQ517" i="13"/>
  <c r="AR517" i="13"/>
  <c r="AR382" i="13"/>
  <c r="AQ382" i="13"/>
  <c r="AR542" i="13"/>
  <c r="AQ542" i="13"/>
  <c r="AQ354" i="13"/>
  <c r="AR354" i="13"/>
  <c r="AR100" i="13"/>
  <c r="AQ100" i="13"/>
  <c r="AR144" i="13"/>
  <c r="AQ144" i="13"/>
  <c r="AR24" i="13"/>
  <c r="AQ24" i="13"/>
  <c r="AQ362" i="13"/>
  <c r="AR362" i="13"/>
  <c r="AR241" i="13"/>
  <c r="AQ241" i="13"/>
  <c r="AR146" i="13"/>
  <c r="AQ146" i="13"/>
  <c r="AR109" i="13"/>
  <c r="AQ109" i="13"/>
  <c r="AQ504" i="13"/>
  <c r="AR504" i="13"/>
  <c r="AQ484" i="13"/>
  <c r="AR484" i="13"/>
  <c r="AR421" i="13"/>
  <c r="AQ421" i="13"/>
  <c r="AQ248" i="13"/>
  <c r="AR248" i="13"/>
  <c r="AQ143" i="13"/>
  <c r="AR143" i="13"/>
  <c r="AR85" i="13"/>
  <c r="AQ85" i="13"/>
  <c r="AQ198" i="13"/>
  <c r="AR198" i="13"/>
  <c r="AQ543" i="13"/>
  <c r="AR543" i="13"/>
  <c r="AR417" i="13"/>
  <c r="AQ417" i="13"/>
  <c r="AQ250" i="13"/>
  <c r="AR250" i="13"/>
  <c r="AR165" i="13"/>
  <c r="AQ165" i="13"/>
  <c r="AR93" i="13"/>
  <c r="AQ93" i="13"/>
  <c r="AQ38" i="13"/>
  <c r="AR38" i="13"/>
  <c r="AR31" i="13"/>
  <c r="AQ31" i="13"/>
  <c r="AR74" i="13"/>
  <c r="AQ74" i="13"/>
  <c r="AR29" i="13"/>
  <c r="AQ29" i="13"/>
  <c r="AQ65" i="13"/>
  <c r="AR65" i="13"/>
  <c r="AR136" i="13"/>
  <c r="AQ136" i="13"/>
  <c r="AR134" i="13"/>
  <c r="AQ134" i="13"/>
  <c r="AR166" i="13"/>
  <c r="AQ166" i="13"/>
  <c r="AR247" i="13"/>
  <c r="AQ247" i="13"/>
  <c r="AR219" i="13"/>
  <c r="AQ219" i="13"/>
  <c r="AR205" i="13"/>
  <c r="AQ205" i="13"/>
  <c r="AR251" i="13"/>
  <c r="AQ251" i="13"/>
  <c r="AR279" i="13"/>
  <c r="AQ279" i="13"/>
  <c r="AQ323" i="13"/>
  <c r="AR323" i="13"/>
  <c r="AR277" i="13"/>
  <c r="AQ277" i="13"/>
  <c r="AR299" i="13"/>
  <c r="AQ299" i="13"/>
  <c r="AR361" i="13"/>
  <c r="AQ361" i="13"/>
  <c r="AQ322" i="13"/>
  <c r="AR322" i="13"/>
  <c r="AR356" i="13"/>
  <c r="AQ356" i="13"/>
  <c r="AR385" i="13"/>
  <c r="AQ385" i="13"/>
  <c r="AR336" i="13"/>
  <c r="AQ336" i="13"/>
  <c r="AR399" i="13"/>
  <c r="AQ399" i="13"/>
  <c r="AQ406" i="13"/>
  <c r="AR406" i="13"/>
  <c r="AQ427" i="13"/>
  <c r="AR427" i="13"/>
  <c r="AR447" i="13"/>
  <c r="AQ447" i="13"/>
  <c r="AR474" i="13"/>
  <c r="AQ474" i="13"/>
  <c r="AR486" i="13"/>
  <c r="AQ486" i="13"/>
  <c r="AR499" i="13"/>
  <c r="AQ499" i="13"/>
  <c r="AR505" i="13"/>
  <c r="AQ505" i="13"/>
  <c r="AQ520" i="13"/>
  <c r="AR520" i="13"/>
  <c r="AR534" i="13"/>
  <c r="AQ534" i="13"/>
  <c r="AQ552" i="13"/>
  <c r="AR552" i="13"/>
  <c r="AS71" i="13"/>
  <c r="AS51" i="13"/>
  <c r="AS34" i="13"/>
  <c r="AS39" i="13"/>
  <c r="AS36" i="13"/>
  <c r="AS73" i="13"/>
  <c r="AS47" i="13"/>
  <c r="AS192" i="13"/>
  <c r="AS165" i="13"/>
  <c r="AS147" i="13"/>
  <c r="AS60" i="13"/>
  <c r="AS125" i="13"/>
  <c r="AS100" i="13"/>
  <c r="AS129" i="13"/>
  <c r="AS222" i="13"/>
  <c r="AS107" i="13"/>
  <c r="AS161" i="13"/>
  <c r="AS86" i="13"/>
  <c r="AS118" i="13"/>
  <c r="AS140" i="13"/>
  <c r="AS172" i="13"/>
  <c r="AS184" i="13"/>
  <c r="AS158" i="13"/>
  <c r="AS200" i="13"/>
  <c r="AS185" i="13"/>
  <c r="AS217" i="13"/>
  <c r="AS286" i="13"/>
  <c r="AS270" i="13"/>
  <c r="AS191" i="13"/>
  <c r="AS223" i="13"/>
  <c r="AS260" i="13"/>
  <c r="AS233" i="13"/>
  <c r="AS265" i="13"/>
  <c r="AS313" i="13"/>
  <c r="AS276" i="13"/>
  <c r="AS247" i="13"/>
  <c r="AS279" i="13"/>
  <c r="AS309" i="13"/>
  <c r="AS318" i="13"/>
  <c r="AS351" i="13"/>
  <c r="AS302" i="13"/>
  <c r="AS363" i="13"/>
  <c r="AS348" i="13"/>
  <c r="AS349" i="13"/>
  <c r="AS402" i="13"/>
  <c r="AS385" i="13"/>
  <c r="AS365" i="13"/>
  <c r="AS384" i="13"/>
  <c r="AS380" i="13"/>
  <c r="AS420" i="13"/>
  <c r="AS399" i="13"/>
  <c r="AS425" i="13"/>
  <c r="AS422" i="13"/>
  <c r="AS417" i="13"/>
  <c r="AS441" i="13"/>
  <c r="AS451" i="13"/>
  <c r="AS453" i="13"/>
  <c r="AS452" i="13"/>
  <c r="AS486" i="13"/>
  <c r="AS484" i="13"/>
  <c r="AS475" i="13"/>
  <c r="AS514" i="13"/>
  <c r="AS523" i="13"/>
  <c r="AS506" i="13"/>
  <c r="AS522" i="13"/>
  <c r="AS528" i="13"/>
  <c r="AS532" i="13"/>
  <c r="AS555" i="13"/>
  <c r="AS550" i="13"/>
  <c r="AK152" i="13"/>
  <c r="AL152" i="13"/>
  <c r="AK191" i="13"/>
  <c r="AL191" i="13"/>
  <c r="AL547" i="13"/>
  <c r="AK547" i="13"/>
  <c r="AL301" i="13"/>
  <c r="AK301" i="13"/>
  <c r="AK132" i="13"/>
  <c r="AL132" i="13"/>
  <c r="AK225" i="13"/>
  <c r="AL225" i="13"/>
  <c r="AK47" i="13"/>
  <c r="AL47" i="13"/>
  <c r="AK162" i="13"/>
  <c r="AL162" i="13"/>
  <c r="AL474" i="13"/>
  <c r="AK474" i="13"/>
  <c r="AK397" i="13"/>
  <c r="AL397" i="13"/>
  <c r="AL250" i="13"/>
  <c r="AK250" i="13"/>
  <c r="AK88" i="13"/>
  <c r="AL88" i="13"/>
  <c r="AL51" i="13"/>
  <c r="AK51" i="13"/>
  <c r="AK534" i="13"/>
  <c r="AL534" i="13"/>
  <c r="AL357" i="13"/>
  <c r="AK357" i="13"/>
  <c r="AL270" i="13"/>
  <c r="AK270" i="13"/>
  <c r="AL114" i="13"/>
  <c r="AK114" i="13"/>
  <c r="AL40" i="13"/>
  <c r="AK40" i="13"/>
  <c r="AK378" i="13"/>
  <c r="AL378" i="13"/>
  <c r="AL412" i="13"/>
  <c r="AK412" i="13"/>
  <c r="AL267" i="13"/>
  <c r="AK267" i="13"/>
  <c r="AL215" i="13"/>
  <c r="AK215" i="13"/>
  <c r="AK180" i="13"/>
  <c r="AL180" i="13"/>
  <c r="AL53" i="13"/>
  <c r="AK53" i="13"/>
  <c r="AL371" i="13"/>
  <c r="AK371" i="13"/>
  <c r="AL450" i="13"/>
  <c r="AK450" i="13"/>
  <c r="AL273" i="13"/>
  <c r="AK273" i="13"/>
  <c r="AK217" i="13"/>
  <c r="AL217" i="13"/>
  <c r="AK44" i="13"/>
  <c r="AL44" i="13"/>
  <c r="AL451" i="13"/>
  <c r="AK451" i="13"/>
  <c r="AL482" i="13"/>
  <c r="AK482" i="13"/>
  <c r="AL402" i="13"/>
  <c r="AK402" i="13"/>
  <c r="AK263" i="13"/>
  <c r="AL263" i="13"/>
  <c r="AL277" i="13"/>
  <c r="AK277" i="13"/>
  <c r="AL71" i="13"/>
  <c r="AK71" i="13"/>
  <c r="AK23" i="13"/>
  <c r="AL23" i="13"/>
  <c r="AL31" i="13"/>
  <c r="AK31" i="13"/>
  <c r="AL75" i="13"/>
  <c r="AK75" i="13"/>
  <c r="AL77" i="13"/>
  <c r="AK77" i="13"/>
  <c r="AL135" i="13"/>
  <c r="AK135" i="13"/>
  <c r="AL123" i="13"/>
  <c r="AK123" i="13"/>
  <c r="AL155" i="13"/>
  <c r="AK155" i="13"/>
  <c r="AL163" i="13"/>
  <c r="AK163" i="13"/>
  <c r="AL204" i="13"/>
  <c r="AK204" i="13"/>
  <c r="AL212" i="13"/>
  <c r="AK212" i="13"/>
  <c r="AL260" i="13"/>
  <c r="AK260" i="13"/>
  <c r="AL264" i="13"/>
  <c r="AK264" i="13"/>
  <c r="AL292" i="13"/>
  <c r="AK292" i="13"/>
  <c r="AK296" i="13"/>
  <c r="AL296" i="13"/>
  <c r="AL322" i="13"/>
  <c r="AK322" i="13"/>
  <c r="AL348" i="13"/>
  <c r="AK348" i="13"/>
  <c r="AL349" i="13"/>
  <c r="AK349" i="13"/>
  <c r="AL304" i="13"/>
  <c r="AK304" i="13"/>
  <c r="AL343" i="13"/>
  <c r="AK343" i="13"/>
  <c r="AL341" i="13"/>
  <c r="AK341" i="13"/>
  <c r="AL385" i="13"/>
  <c r="AK385" i="13"/>
  <c r="AL407" i="13"/>
  <c r="AK407" i="13"/>
  <c r="AL418" i="13"/>
  <c r="AK418" i="13"/>
  <c r="AL431" i="13"/>
  <c r="AK431" i="13"/>
  <c r="AL452" i="13"/>
  <c r="AK452" i="13"/>
  <c r="AL461" i="13"/>
  <c r="AK461" i="13"/>
  <c r="AL480" i="13"/>
  <c r="AK480" i="13"/>
  <c r="AL498" i="13"/>
  <c r="AK498" i="13"/>
  <c r="AL505" i="13"/>
  <c r="AK505" i="13"/>
  <c r="AL512" i="13"/>
  <c r="AK512" i="13"/>
  <c r="AK530" i="13"/>
  <c r="AL530" i="13"/>
  <c r="AK548" i="13"/>
  <c r="AL548" i="13"/>
  <c r="AK553" i="13"/>
  <c r="AL553" i="13"/>
  <c r="AN181" i="13"/>
  <c r="AO181" i="13"/>
  <c r="AN267" i="13"/>
  <c r="AO267" i="13"/>
  <c r="AO490" i="13"/>
  <c r="AN490" i="13"/>
  <c r="AO424" i="13"/>
  <c r="AN424" i="13"/>
  <c r="AO328" i="13"/>
  <c r="AN328" i="13"/>
  <c r="AO281" i="13"/>
  <c r="AN281" i="13"/>
  <c r="AO166" i="13"/>
  <c r="AN166" i="13"/>
  <c r="AN141" i="13"/>
  <c r="AO141" i="13"/>
  <c r="AN32" i="13"/>
  <c r="AO32" i="13"/>
  <c r="AN358" i="13"/>
  <c r="AO358" i="13"/>
  <c r="AO372" i="13"/>
  <c r="AN372" i="13"/>
  <c r="AO24" i="13"/>
  <c r="AN24" i="13"/>
  <c r="AO485" i="13"/>
  <c r="AN485" i="13"/>
  <c r="AO367" i="13"/>
  <c r="AN367" i="13"/>
  <c r="AO215" i="13"/>
  <c r="AN215" i="13"/>
  <c r="AO238" i="13"/>
  <c r="AN238" i="13"/>
  <c r="AN58" i="13"/>
  <c r="AO58" i="13"/>
  <c r="AO71" i="13"/>
  <c r="AN71" i="13"/>
  <c r="AN391" i="13"/>
  <c r="AO391" i="13"/>
  <c r="AO84" i="13"/>
  <c r="AN84" i="13"/>
  <c r="AO552" i="13"/>
  <c r="AN552" i="13"/>
  <c r="AO520" i="13"/>
  <c r="AN520" i="13"/>
  <c r="AO427" i="13"/>
  <c r="AN427" i="13"/>
  <c r="AO378" i="13"/>
  <c r="AN378" i="13"/>
  <c r="AO299" i="13"/>
  <c r="AN299" i="13"/>
  <c r="AN243" i="13"/>
  <c r="AO243" i="13"/>
  <c r="AO171" i="13"/>
  <c r="AN171" i="13"/>
  <c r="AN126" i="13"/>
  <c r="AO126" i="13"/>
  <c r="AO560" i="13"/>
  <c r="AN560" i="13"/>
  <c r="AO213" i="13"/>
  <c r="AN213" i="13"/>
  <c r="AN359" i="13"/>
  <c r="AO359" i="13"/>
  <c r="AO396" i="13"/>
  <c r="AN396" i="13"/>
  <c r="AO376" i="13"/>
  <c r="AN376" i="13"/>
  <c r="AO153" i="13"/>
  <c r="AN153" i="13"/>
  <c r="AO47" i="13"/>
  <c r="AN47" i="13"/>
  <c r="AO509" i="13"/>
  <c r="AN509" i="13"/>
  <c r="AO49" i="13"/>
  <c r="AN49" i="13"/>
  <c r="AO531" i="13"/>
  <c r="AN531" i="13"/>
  <c r="AO536" i="13"/>
  <c r="AN536" i="13"/>
  <c r="AO445" i="13"/>
  <c r="AN445" i="13"/>
  <c r="AO333" i="13"/>
  <c r="AN333" i="13"/>
  <c r="AO268" i="13"/>
  <c r="AN268" i="13"/>
  <c r="AO201" i="13"/>
  <c r="AN201" i="13"/>
  <c r="AO135" i="13"/>
  <c r="AN135" i="13"/>
  <c r="AO540" i="13"/>
  <c r="AN540" i="13"/>
  <c r="AO229" i="13"/>
  <c r="AN229" i="13"/>
  <c r="AO377" i="13"/>
  <c r="AN377" i="13"/>
  <c r="AO508" i="13"/>
  <c r="AN508" i="13"/>
  <c r="AN399" i="13"/>
  <c r="AO399" i="13"/>
  <c r="AO323" i="13"/>
  <c r="AN323" i="13"/>
  <c r="AO226" i="13"/>
  <c r="AN226" i="13"/>
  <c r="AO104" i="13"/>
  <c r="AN104" i="13"/>
  <c r="AN8" i="13"/>
  <c r="AO8" i="13"/>
  <c r="AO44" i="13"/>
  <c r="AN44" i="13"/>
  <c r="AO64" i="13"/>
  <c r="AN64" i="13"/>
  <c r="AN117" i="13"/>
  <c r="AO117" i="13"/>
  <c r="AN102" i="13"/>
  <c r="AO102" i="13"/>
  <c r="AO206" i="13"/>
  <c r="AN206" i="13"/>
  <c r="AO186" i="13"/>
  <c r="AN186" i="13"/>
  <c r="AO254" i="13"/>
  <c r="AN254" i="13"/>
  <c r="AO286" i="13"/>
  <c r="AN286" i="13"/>
  <c r="AO370" i="13"/>
  <c r="AN370" i="13"/>
  <c r="AO389" i="13"/>
  <c r="AN389" i="13"/>
  <c r="AN418" i="13"/>
  <c r="AO418" i="13"/>
  <c r="AO461" i="13"/>
  <c r="AN461" i="13"/>
  <c r="AN470" i="13"/>
  <c r="AO470" i="13"/>
  <c r="AO481" i="13"/>
  <c r="AN481" i="13"/>
  <c r="AO529" i="13"/>
  <c r="AN529" i="13"/>
  <c r="AO167" i="5"/>
  <c r="AN214" i="5"/>
  <c r="AN329" i="5"/>
  <c r="AN236" i="5"/>
  <c r="AN192" i="5"/>
  <c r="AN60" i="5"/>
  <c r="AY116" i="4"/>
  <c r="CN116" i="4" s="1"/>
  <c r="AY109" i="4"/>
  <c r="CN109" i="4" s="1"/>
  <c r="AY143" i="4"/>
  <c r="CN143" i="4" s="1"/>
  <c r="AY76" i="4"/>
  <c r="CN76" i="4" s="1"/>
  <c r="BV82" i="4"/>
  <c r="BV105" i="4"/>
  <c r="B83" i="2"/>
  <c r="N32" i="1" s="1"/>
  <c r="BV46" i="4"/>
  <c r="BV89" i="4"/>
  <c r="BV120" i="4"/>
  <c r="BV52" i="4"/>
  <c r="BV10" i="4"/>
  <c r="BV146" i="4"/>
  <c r="BV107" i="4"/>
  <c r="BV29" i="4"/>
  <c r="BV100" i="4"/>
  <c r="BV131" i="4"/>
  <c r="BV126" i="4"/>
  <c r="BV115" i="4"/>
  <c r="BV74" i="4"/>
  <c r="BV145" i="4"/>
  <c r="BV13" i="4"/>
  <c r="BV80" i="4"/>
  <c r="BV43" i="4"/>
  <c r="BV53" i="4"/>
  <c r="BV84" i="4"/>
  <c r="BV59" i="4"/>
  <c r="BV142" i="4"/>
  <c r="BV110" i="4"/>
  <c r="BV135" i="4"/>
  <c r="BV58" i="4"/>
  <c r="BV133" i="4"/>
  <c r="BV92" i="4"/>
  <c r="BV150" i="4"/>
  <c r="BV30" i="4"/>
  <c r="BV96" i="4"/>
  <c r="BV7" i="4"/>
  <c r="BV63" i="4"/>
  <c r="BV51" i="4"/>
  <c r="BV102" i="4"/>
  <c r="BV156" i="4"/>
  <c r="BV66" i="4"/>
  <c r="BV141" i="4"/>
  <c r="BV132" i="4"/>
  <c r="BV140" i="4"/>
  <c r="BV38" i="4"/>
  <c r="BV155" i="4"/>
  <c r="BV31" i="4"/>
  <c r="BV18" i="4"/>
  <c r="BV15" i="4"/>
  <c r="BV71" i="4"/>
  <c r="BV76" i="4"/>
  <c r="BV56" i="4"/>
  <c r="BV40" i="4"/>
  <c r="BV153" i="4"/>
  <c r="BV17" i="4"/>
  <c r="BV125" i="4"/>
  <c r="BV116" i="4"/>
  <c r="BV86" i="4"/>
  <c r="B45" i="2"/>
  <c r="BV22" i="4"/>
  <c r="BV104" i="4"/>
  <c r="BV119" i="4"/>
  <c r="BV55" i="4"/>
  <c r="BV122" i="4"/>
  <c r="BV129" i="4"/>
  <c r="BV78" i="4"/>
  <c r="BV41" i="4"/>
  <c r="BV24" i="4"/>
  <c r="BV47" i="4"/>
  <c r="BV42" i="4"/>
  <c r="BV144" i="4"/>
  <c r="BV57" i="4"/>
  <c r="BV118" i="4"/>
  <c r="BV106" i="4"/>
  <c r="BV20" i="4"/>
  <c r="BV32" i="4"/>
  <c r="BV35" i="4"/>
  <c r="BV36" i="4"/>
  <c r="BV149" i="4"/>
  <c r="BV75" i="4"/>
  <c r="BV69" i="4"/>
  <c r="BV147" i="4"/>
  <c r="BV68" i="4"/>
  <c r="BV19" i="4"/>
  <c r="BV72" i="4"/>
  <c r="BV152" i="4"/>
  <c r="BV138" i="4"/>
  <c r="BV139" i="4"/>
  <c r="BV124" i="4"/>
  <c r="BV87" i="4"/>
  <c r="BV45" i="4"/>
  <c r="BV148" i="4"/>
  <c r="BV94" i="4"/>
  <c r="BV90" i="4"/>
  <c r="BV8" i="4"/>
  <c r="BV136" i="4"/>
  <c r="BV114" i="4"/>
  <c r="BV27" i="4"/>
  <c r="BV157" i="4"/>
  <c r="BV113" i="4"/>
  <c r="BV154" i="4"/>
  <c r="BV12" i="4"/>
  <c r="BV81" i="4"/>
  <c r="BV70" i="4"/>
  <c r="BV151" i="4"/>
  <c r="BV14" i="4"/>
  <c r="BV99" i="4"/>
  <c r="BV25" i="4"/>
  <c r="BV16" i="4"/>
  <c r="BV101" i="4"/>
  <c r="BV49" i="4"/>
  <c r="BV117" i="4"/>
  <c r="BV34" i="4"/>
  <c r="BV108" i="4"/>
  <c r="BV112" i="4"/>
  <c r="BV60" i="4"/>
  <c r="BV73" i="4"/>
  <c r="BV123" i="4"/>
  <c r="BV48" i="4"/>
  <c r="BV77" i="4"/>
  <c r="BV26" i="4"/>
  <c r="BV103" i="4"/>
  <c r="BV23" i="4"/>
  <c r="BV95" i="4"/>
  <c r="BV127" i="4"/>
  <c r="BV50" i="4"/>
  <c r="BV79" i="4"/>
  <c r="BV44" i="4"/>
  <c r="BV93" i="4"/>
  <c r="BV9" i="4"/>
  <c r="BV83" i="4"/>
  <c r="BV128" i="4"/>
  <c r="BV109" i="4"/>
  <c r="BV111" i="4"/>
  <c r="BV21" i="4"/>
  <c r="BV97" i="4"/>
  <c r="BV39" i="4"/>
  <c r="BV85" i="4"/>
  <c r="BV134" i="4"/>
  <c r="BV137" i="4"/>
  <c r="BV62" i="4"/>
  <c r="BV91" i="4"/>
  <c r="BV67" i="4"/>
  <c r="BV143" i="4"/>
  <c r="BV130" i="4"/>
  <c r="BV88" i="4"/>
  <c r="BV64" i="4"/>
  <c r="BV65" i="4"/>
  <c r="BV61" i="4"/>
  <c r="BV28" i="4"/>
  <c r="BV11" i="4"/>
  <c r="BV121" i="4"/>
  <c r="BA150" i="4"/>
  <c r="BA86" i="4"/>
  <c r="BA44" i="4"/>
  <c r="BA113" i="4"/>
  <c r="BA121" i="4"/>
  <c r="BA123" i="4"/>
  <c r="BA82" i="4"/>
  <c r="BA53" i="4"/>
  <c r="BA104" i="4"/>
  <c r="B27" i="2"/>
  <c r="BA74" i="4"/>
  <c r="BA92" i="4"/>
  <c r="BA63" i="4"/>
  <c r="BA78" i="4"/>
  <c r="BA35" i="4"/>
  <c r="BA106" i="4"/>
  <c r="BA151" i="4"/>
  <c r="BA95" i="4"/>
  <c r="BA34" i="4"/>
  <c r="BA84" i="4"/>
  <c r="BA140" i="4"/>
  <c r="BA109" i="4"/>
  <c r="BA142" i="4"/>
  <c r="BA21" i="4"/>
  <c r="BA87" i="4"/>
  <c r="BA80" i="4"/>
  <c r="BA152" i="4"/>
  <c r="BA120" i="4"/>
  <c r="BA48" i="4"/>
  <c r="BA24" i="4"/>
  <c r="BA50" i="4"/>
  <c r="BA101" i="4"/>
  <c r="BA56" i="4"/>
  <c r="BA75" i="4"/>
  <c r="BA60" i="4"/>
  <c r="BA156" i="4"/>
  <c r="BA103" i="4"/>
  <c r="BA122" i="4"/>
  <c r="BA18" i="4"/>
  <c r="BA111" i="4"/>
  <c r="BA91" i="4"/>
  <c r="BA19" i="4"/>
  <c r="BA43" i="4"/>
  <c r="BA64" i="4"/>
  <c r="BA105" i="4"/>
  <c r="BA47" i="4"/>
  <c r="BA31" i="4"/>
  <c r="BA89" i="4"/>
  <c r="BA77" i="4"/>
  <c r="BA149" i="4"/>
  <c r="BA42" i="4"/>
  <c r="BA72" i="4"/>
  <c r="BA132" i="4"/>
  <c r="B73" i="2"/>
  <c r="N16" i="1" s="1"/>
  <c r="BA107" i="4"/>
  <c r="BA125" i="4"/>
  <c r="BA70" i="4"/>
  <c r="BA62" i="4"/>
  <c r="BA26" i="4"/>
  <c r="BA139" i="4"/>
  <c r="BA8" i="4"/>
  <c r="BA119" i="4"/>
  <c r="BA11" i="4"/>
  <c r="BA61" i="4"/>
  <c r="BA30" i="4"/>
  <c r="BA38" i="4"/>
  <c r="BA10" i="4"/>
  <c r="BA55" i="4"/>
  <c r="BA154" i="4"/>
  <c r="BA36" i="4"/>
  <c r="BA135" i="4"/>
  <c r="BA115" i="4"/>
  <c r="BA58" i="4"/>
  <c r="BA25" i="4"/>
  <c r="BA118" i="4"/>
  <c r="BA90" i="4"/>
  <c r="B14" i="4"/>
  <c r="BA65" i="4"/>
  <c r="BA67" i="4"/>
  <c r="BA52" i="4"/>
  <c r="BA155" i="4"/>
  <c r="BA133" i="4"/>
  <c r="BA23" i="4"/>
  <c r="BA59" i="4"/>
  <c r="BA12" i="4"/>
  <c r="BA93" i="4"/>
  <c r="BA146" i="4"/>
  <c r="BA143" i="4"/>
  <c r="BA69" i="4"/>
  <c r="BA144" i="4"/>
  <c r="BA85" i="4"/>
  <c r="BA41" i="4"/>
  <c r="BA7" i="4"/>
  <c r="BA117" i="4"/>
  <c r="BA141" i="4"/>
  <c r="BA94" i="4"/>
  <c r="BA20" i="4"/>
  <c r="BA83" i="4"/>
  <c r="BA22" i="4"/>
  <c r="BA110" i="4"/>
  <c r="BA33" i="4"/>
  <c r="BA88" i="4"/>
  <c r="BA29" i="4"/>
  <c r="BA46" i="4"/>
  <c r="BA99" i="4"/>
  <c r="BA102" i="4"/>
  <c r="BA138" i="4"/>
  <c r="BA37" i="4"/>
  <c r="BA68" i="4"/>
  <c r="BA81" i="4"/>
  <c r="BA129" i="4"/>
  <c r="BA16" i="4"/>
  <c r="B28" i="2"/>
  <c r="B15" i="4" s="1"/>
  <c r="AZ7" i="4" s="1"/>
  <c r="BA15" i="4"/>
  <c r="BA136" i="4"/>
  <c r="BA39" i="4"/>
  <c r="BA157" i="4"/>
  <c r="CB30" i="4"/>
  <c r="CB122" i="4"/>
  <c r="CB152" i="4"/>
  <c r="CB137" i="4"/>
  <c r="CB124" i="4"/>
  <c r="CB95" i="4"/>
  <c r="CB47" i="4"/>
  <c r="CB70" i="4"/>
  <c r="CB26" i="4"/>
  <c r="CB93" i="4"/>
  <c r="CB45" i="4"/>
  <c r="CB25" i="4"/>
  <c r="CB144" i="4"/>
  <c r="CB147" i="4"/>
  <c r="CB91" i="4"/>
  <c r="CB36" i="4"/>
  <c r="CB68" i="4"/>
  <c r="CB27" i="4"/>
  <c r="CB11" i="4"/>
  <c r="CB149" i="4"/>
  <c r="CB96" i="4"/>
  <c r="CB109" i="4"/>
  <c r="CB61" i="4"/>
  <c r="CB76" i="4"/>
  <c r="CB31" i="4"/>
  <c r="CB13" i="4"/>
  <c r="CB151" i="4"/>
  <c r="CB59" i="4"/>
  <c r="CB74" i="4"/>
  <c r="CB132" i="4"/>
  <c r="CB84" i="4"/>
  <c r="CB49" i="4"/>
  <c r="CB33" i="4"/>
  <c r="CB10" i="4"/>
  <c r="CB130" i="4"/>
  <c r="CB94" i="4"/>
  <c r="CB63" i="4"/>
  <c r="CB51" i="4"/>
  <c r="CB34" i="4"/>
  <c r="CB19" i="4"/>
  <c r="CB153" i="4"/>
  <c r="CB16" i="4"/>
  <c r="CB17" i="4"/>
  <c r="BG78" i="4"/>
  <c r="CB92" i="4"/>
  <c r="CB62" i="4"/>
  <c r="CB38" i="4"/>
  <c r="CB75" i="4"/>
  <c r="CB138" i="4"/>
  <c r="CB22" i="4"/>
  <c r="CB118" i="4"/>
  <c r="CB53" i="4"/>
  <c r="CB41" i="4"/>
  <c r="CB23" i="4"/>
  <c r="CB60" i="4"/>
  <c r="CB20" i="4"/>
  <c r="CB9" i="4"/>
  <c r="CB136" i="4"/>
  <c r="CB110" i="4"/>
  <c r="CB88" i="4"/>
  <c r="CB102" i="4"/>
  <c r="CB80" i="4"/>
  <c r="CB43" i="4"/>
  <c r="CB54" i="4"/>
  <c r="CB32" i="4"/>
  <c r="CB46" i="4"/>
  <c r="CB29" i="4"/>
  <c r="CB40" i="4"/>
  <c r="CB18" i="4"/>
  <c r="CB155" i="4"/>
  <c r="CB15" i="4"/>
  <c r="CB105" i="4"/>
  <c r="CB12" i="4"/>
  <c r="CB103" i="4"/>
  <c r="CB157" i="4"/>
  <c r="CB114" i="4"/>
  <c r="CB8" i="4"/>
  <c r="B21" i="4"/>
  <c r="CB128" i="4"/>
  <c r="CB135" i="4"/>
  <c r="CB120" i="4"/>
  <c r="CB133" i="4"/>
  <c r="CB37" i="4"/>
  <c r="CB72" i="4"/>
  <c r="CB121" i="4"/>
  <c r="CB64" i="4"/>
  <c r="CB119" i="4"/>
  <c r="CB56" i="4"/>
  <c r="CB117" i="4"/>
  <c r="CB48" i="4"/>
  <c r="CB115" i="4"/>
  <c r="CB116" i="4"/>
  <c r="CB113" i="4"/>
  <c r="CB108" i="4"/>
  <c r="CB154" i="4"/>
  <c r="CB101" i="4"/>
  <c r="B46" i="2"/>
  <c r="B22" i="4" s="1"/>
  <c r="BU106" i="4" s="1"/>
  <c r="CB145" i="4"/>
  <c r="CB66" i="4"/>
  <c r="CB143" i="4"/>
  <c r="CB58" i="4"/>
  <c r="CB112" i="4"/>
  <c r="CB131" i="4"/>
  <c r="CB24" i="4"/>
  <c r="CB129" i="4"/>
  <c r="CB21" i="4"/>
  <c r="CB127" i="4"/>
  <c r="CB14" i="4"/>
  <c r="CB125" i="4"/>
  <c r="CB156" i="4"/>
  <c r="CB107" i="4"/>
  <c r="CB148" i="4"/>
  <c r="CB57" i="4"/>
  <c r="CB111" i="4"/>
  <c r="CB100" i="4"/>
  <c r="CB139" i="4"/>
  <c r="CB106" i="4"/>
  <c r="CB89" i="4"/>
  <c r="CB98" i="4"/>
  <c r="CB87" i="4"/>
  <c r="CB141" i="4"/>
  <c r="CB50" i="4"/>
  <c r="CB123" i="4"/>
  <c r="CB42" i="4"/>
  <c r="CB73" i="4"/>
  <c r="CB39" i="4"/>
  <c r="CB71" i="4"/>
  <c r="CB35" i="4"/>
  <c r="CB69" i="4"/>
  <c r="CB28" i="4"/>
  <c r="CB67" i="4"/>
  <c r="CB86" i="4"/>
  <c r="CB140" i="4"/>
  <c r="CB55" i="4"/>
  <c r="CB146" i="4"/>
  <c r="CB99" i="4"/>
  <c r="CB52" i="4"/>
  <c r="CB97" i="4"/>
  <c r="CB44" i="4"/>
  <c r="CB90" i="4"/>
  <c r="CB85" i="4"/>
  <c r="CB82" i="4"/>
  <c r="CB83" i="4"/>
  <c r="CB150" i="4"/>
  <c r="CB81" i="4"/>
  <c r="CB142" i="4"/>
  <c r="CB79" i="4"/>
  <c r="CB134" i="4"/>
  <c r="CB77" i="4"/>
  <c r="CB126" i="4"/>
  <c r="CB104" i="4"/>
  <c r="CB65" i="4"/>
  <c r="CB78" i="4"/>
  <c r="BG72" i="4"/>
  <c r="BG132" i="4"/>
  <c r="BG59" i="4"/>
  <c r="BG48" i="4"/>
  <c r="BG111" i="4"/>
  <c r="BG146" i="4"/>
  <c r="BG101" i="4"/>
  <c r="BG79" i="4"/>
  <c r="BG96" i="4"/>
  <c r="BG16" i="4"/>
  <c r="BG11" i="4"/>
  <c r="BG157" i="4"/>
  <c r="BG71" i="4"/>
  <c r="BG75" i="4"/>
  <c r="BG28" i="4"/>
  <c r="BG57" i="4"/>
  <c r="BG156" i="4"/>
  <c r="BG12" i="4"/>
  <c r="BG109" i="4"/>
  <c r="BG95" i="4"/>
  <c r="BG14" i="4"/>
  <c r="BG26" i="4"/>
  <c r="BG69" i="4"/>
  <c r="BG134" i="4"/>
  <c r="BG103" i="4"/>
  <c r="BG99" i="4"/>
  <c r="BG140" i="4"/>
  <c r="BG114" i="4"/>
  <c r="BG120" i="4"/>
  <c r="BG36" i="4"/>
  <c r="BG94" i="4"/>
  <c r="BG152" i="4"/>
  <c r="BG142" i="4"/>
  <c r="BG131" i="4"/>
  <c r="BG129" i="4"/>
  <c r="BG74" i="4"/>
  <c r="BG102" i="4"/>
  <c r="BG76" i="4"/>
  <c r="BG155" i="4"/>
  <c r="BG89" i="4"/>
  <c r="BG118" i="4"/>
  <c r="BG53" i="4"/>
  <c r="BG55" i="4"/>
  <c r="BG154" i="4"/>
  <c r="BG128" i="4"/>
  <c r="BG38" i="4"/>
  <c r="BG86" i="4"/>
  <c r="BG84" i="4"/>
  <c r="BG70" i="4"/>
  <c r="BG87" i="4"/>
  <c r="BG147" i="4"/>
  <c r="BG113" i="4"/>
  <c r="BG32" i="4"/>
  <c r="BG77" i="4"/>
  <c r="BG88" i="4"/>
  <c r="K163" i="2"/>
  <c r="BG37" i="4"/>
  <c r="BG137" i="4"/>
  <c r="BG119" i="4"/>
  <c r="BG150" i="4"/>
  <c r="BG68" i="4"/>
  <c r="BG22" i="4"/>
  <c r="BG144" i="4"/>
  <c r="BG49" i="4"/>
  <c r="BG133" i="4"/>
  <c r="BG91" i="4"/>
  <c r="BG24" i="4"/>
  <c r="BG135" i="4"/>
  <c r="BG121" i="4"/>
  <c r="BG141" i="4"/>
  <c r="BG124" i="4"/>
  <c r="BG15" i="4"/>
  <c r="BG143" i="4"/>
  <c r="BG42" i="4"/>
  <c r="BG122" i="4"/>
  <c r="BG80" i="4"/>
  <c r="BG112" i="4"/>
  <c r="BG151" i="4"/>
  <c r="BG116" i="4"/>
  <c r="BG35" i="4"/>
  <c r="BG39" i="4"/>
  <c r="BG63" i="4"/>
  <c r="BG81" i="4"/>
  <c r="BG19" i="4"/>
  <c r="BG123" i="4"/>
  <c r="BG138" i="4"/>
  <c r="BG23" i="4"/>
  <c r="BG153" i="4"/>
  <c r="BG40" i="4"/>
  <c r="BG82" i="4"/>
  <c r="BG34" i="4"/>
  <c r="BG46" i="4"/>
  <c r="BG136" i="4"/>
  <c r="BG43" i="4"/>
  <c r="B189" i="2"/>
  <c r="BG73" i="4"/>
  <c r="BG62" i="4"/>
  <c r="BG44" i="4"/>
  <c r="BG61" i="4"/>
  <c r="BG51" i="4"/>
  <c r="BG54" i="4"/>
  <c r="BG127" i="4"/>
  <c r="BG145" i="4"/>
  <c r="BG100" i="4"/>
  <c r="BG92" i="4"/>
  <c r="BG56" i="4"/>
  <c r="BG108" i="4"/>
  <c r="BG52" i="4"/>
  <c r="BG90" i="4"/>
  <c r="BG20" i="4"/>
  <c r="BG31" i="4"/>
  <c r="BG64" i="4"/>
  <c r="BG85" i="4"/>
  <c r="BG107" i="4"/>
  <c r="BG17" i="4"/>
  <c r="BG41" i="4"/>
  <c r="BG21" i="4"/>
  <c r="BG93" i="4"/>
  <c r="BG83" i="4"/>
  <c r="BG148" i="4"/>
  <c r="BG9" i="4"/>
  <c r="BG27" i="4"/>
  <c r="BG58" i="4"/>
  <c r="BG50" i="4"/>
  <c r="BG13" i="4"/>
  <c r="BG66" i="4"/>
  <c r="BG104" i="4"/>
  <c r="BG30" i="4"/>
  <c r="BG98" i="4"/>
  <c r="BG8" i="4"/>
  <c r="BG25" i="4"/>
  <c r="BG117" i="4"/>
  <c r="BG139" i="4"/>
  <c r="BG105" i="4"/>
  <c r="BG60" i="4"/>
  <c r="BG130" i="4"/>
  <c r="BG125" i="4"/>
  <c r="BG115" i="4"/>
  <c r="BG33" i="4"/>
  <c r="BG110" i="4"/>
  <c r="BG106" i="4"/>
  <c r="BG29" i="4"/>
  <c r="BG18" i="4"/>
  <c r="BG126" i="4"/>
  <c r="BG10" i="4"/>
  <c r="BG45" i="4"/>
  <c r="BG67" i="4"/>
  <c r="BG97" i="4"/>
  <c r="BG47" i="4"/>
  <c r="BG65" i="4"/>
  <c r="BG149" i="4"/>
  <c r="BA28" i="4"/>
  <c r="AH50" i="5"/>
  <c r="AX68" i="4"/>
  <c r="AY68" i="4" s="1"/>
  <c r="CN68" i="4" s="1"/>
  <c r="AY142" i="4"/>
  <c r="CN142" i="4" s="1"/>
  <c r="AX34" i="4"/>
  <c r="AY34" i="4" s="1"/>
  <c r="CN34" i="4" s="1"/>
  <c r="B78" i="2"/>
  <c r="N24" i="1" s="1"/>
  <c r="AU113" i="4"/>
  <c r="AV113" i="4" s="1"/>
  <c r="BL14" i="4"/>
  <c r="BL81" i="4"/>
  <c r="BL154" i="4"/>
  <c r="BL109" i="4"/>
  <c r="BL64" i="4"/>
  <c r="BL142" i="4"/>
  <c r="BL131" i="4"/>
  <c r="BL104" i="4"/>
  <c r="BL101" i="4"/>
  <c r="BL80" i="4"/>
  <c r="BL94" i="4"/>
  <c r="BL129" i="4"/>
  <c r="BL52" i="4"/>
  <c r="BL95" i="4"/>
  <c r="BL38" i="4"/>
  <c r="BL74" i="4"/>
  <c r="BL40" i="4"/>
  <c r="BL69" i="4"/>
  <c r="BL11" i="4"/>
  <c r="BL7" i="4"/>
  <c r="BL34" i="4"/>
  <c r="BL23" i="4"/>
  <c r="BL133" i="4"/>
  <c r="BL73" i="4"/>
  <c r="BL85" i="4"/>
  <c r="BL118" i="4"/>
  <c r="BL16" i="4"/>
  <c r="BL13" i="4"/>
  <c r="BL48" i="4"/>
  <c r="BL21" i="4"/>
  <c r="BL35" i="4"/>
  <c r="BL54" i="4"/>
  <c r="BL128" i="4"/>
  <c r="BL27" i="4"/>
  <c r="BL12" i="4"/>
  <c r="BL61" i="4"/>
  <c r="BL115" i="4"/>
  <c r="BL150" i="4"/>
  <c r="BL60" i="4"/>
  <c r="BL26" i="4"/>
  <c r="BL134" i="4"/>
  <c r="BL98" i="4"/>
  <c r="BL113" i="4"/>
  <c r="BL65" i="4"/>
  <c r="BL28" i="4"/>
  <c r="BL138" i="4"/>
  <c r="BL155" i="4"/>
  <c r="BL33" i="4"/>
  <c r="BL49" i="4"/>
  <c r="BL51" i="4"/>
  <c r="BL70" i="4"/>
  <c r="BL102" i="4"/>
  <c r="BL145" i="4"/>
  <c r="BL58" i="4"/>
  <c r="BL122" i="4"/>
  <c r="BL123" i="4"/>
  <c r="BL119" i="4"/>
  <c r="BL146" i="4"/>
  <c r="BL20" i="4"/>
  <c r="BL66" i="4"/>
  <c r="BL17" i="4"/>
  <c r="BL105" i="4"/>
  <c r="BL100" i="4"/>
  <c r="BL149" i="4"/>
  <c r="BL140" i="4"/>
  <c r="BL87" i="4"/>
  <c r="BL139" i="4"/>
  <c r="BL41" i="4"/>
  <c r="BL18" i="4"/>
  <c r="BL148" i="4"/>
  <c r="BL22" i="4"/>
  <c r="BL127" i="4"/>
  <c r="BL114" i="4"/>
  <c r="AN382" i="5"/>
  <c r="AO113" i="5"/>
  <c r="AN253" i="5"/>
  <c r="AO205" i="5"/>
  <c r="AO31" i="5"/>
  <c r="AO375" i="5"/>
  <c r="AN35" i="5"/>
  <c r="AN407" i="5"/>
  <c r="AS8" i="5"/>
  <c r="AU8" i="5" s="1"/>
  <c r="AO69" i="5"/>
  <c r="AO522" i="5"/>
  <c r="AO345" i="5"/>
  <c r="AO8" i="5"/>
  <c r="AN540" i="5"/>
  <c r="AO540" i="5"/>
  <c r="AO304" i="5"/>
  <c r="AN304" i="5"/>
  <c r="AO303" i="5"/>
  <c r="AN303" i="5"/>
  <c r="AO535" i="5"/>
  <c r="AN535" i="5"/>
  <c r="AO355" i="5"/>
  <c r="AN355" i="5"/>
  <c r="AO195" i="5"/>
  <c r="AN195" i="5"/>
  <c r="AO405" i="5"/>
  <c r="AN405" i="5"/>
  <c r="AN336" i="5"/>
  <c r="AO336" i="5"/>
  <c r="AN315" i="5"/>
  <c r="AO315" i="5"/>
  <c r="AN210" i="5"/>
  <c r="AO210" i="5"/>
  <c r="AO90" i="5"/>
  <c r="AN90" i="5"/>
  <c r="AN456" i="5"/>
  <c r="AO456" i="5"/>
  <c r="AO397" i="5"/>
  <c r="AN397" i="5"/>
  <c r="AN334" i="5"/>
  <c r="AO334" i="5"/>
  <c r="AN278" i="5"/>
  <c r="AO278" i="5"/>
  <c r="AN143" i="5"/>
  <c r="AO143" i="5"/>
  <c r="AN26" i="5"/>
  <c r="AO26" i="5"/>
  <c r="AO482" i="5"/>
  <c r="AN482" i="5"/>
  <c r="AO400" i="5"/>
  <c r="AN400" i="5"/>
  <c r="AO224" i="5"/>
  <c r="AN224" i="5"/>
  <c r="AN231" i="5"/>
  <c r="AO231" i="5"/>
  <c r="AO120" i="5"/>
  <c r="AN120" i="5"/>
  <c r="AN534" i="5"/>
  <c r="AO534" i="5"/>
  <c r="AN446" i="5"/>
  <c r="AO446" i="5"/>
  <c r="AO365" i="5"/>
  <c r="AN365" i="5"/>
  <c r="AO326" i="5"/>
  <c r="AN326" i="5"/>
  <c r="AO173" i="5"/>
  <c r="AN173" i="5"/>
  <c r="AO50" i="5"/>
  <c r="AN50" i="5"/>
  <c r="AO473" i="5"/>
  <c r="AN473" i="5"/>
  <c r="AO388" i="5"/>
  <c r="AN388" i="5"/>
  <c r="AN206" i="5"/>
  <c r="AO206" i="5"/>
  <c r="AO200" i="5"/>
  <c r="AN200" i="5"/>
  <c r="AN85" i="5"/>
  <c r="AO85" i="5"/>
  <c r="AN433" i="5"/>
  <c r="AO433" i="5"/>
  <c r="AO474" i="5"/>
  <c r="AN474" i="5"/>
  <c r="AN390" i="5"/>
  <c r="AO390" i="5"/>
  <c r="AO249" i="5"/>
  <c r="AN249" i="5"/>
  <c r="AO165" i="5"/>
  <c r="AN165" i="5"/>
  <c r="AO63" i="5"/>
  <c r="AN63" i="5"/>
  <c r="AN509" i="5"/>
  <c r="AO509" i="5"/>
  <c r="AO471" i="5"/>
  <c r="AN471" i="5"/>
  <c r="AO404" i="5"/>
  <c r="AN404" i="5"/>
  <c r="AO279" i="5"/>
  <c r="AN279" i="5"/>
  <c r="AN145" i="5"/>
  <c r="AO145" i="5"/>
  <c r="AN501" i="5"/>
  <c r="AO501" i="5"/>
  <c r="AO451" i="5"/>
  <c r="AN451" i="5"/>
  <c r="AO406" i="5"/>
  <c r="AN406" i="5"/>
  <c r="AN320" i="5"/>
  <c r="AO320" i="5"/>
  <c r="AN174" i="5"/>
  <c r="AO174" i="5"/>
  <c r="AN55" i="5"/>
  <c r="AO55" i="5"/>
  <c r="AO57" i="5"/>
  <c r="AN57" i="5"/>
  <c r="AN74" i="5"/>
  <c r="AO74" i="5"/>
  <c r="BL57" i="4"/>
  <c r="B18" i="4"/>
  <c r="BR31" i="4"/>
  <c r="BR88" i="4"/>
  <c r="BR34" i="4"/>
  <c r="BR15" i="4"/>
  <c r="BR84" i="4"/>
  <c r="BR118" i="4"/>
  <c r="BR97" i="4"/>
  <c r="BR98" i="4"/>
  <c r="BR20" i="4"/>
  <c r="BR80" i="4"/>
  <c r="BR114" i="4"/>
  <c r="BR156" i="4"/>
  <c r="BR37" i="4"/>
  <c r="BR139" i="4"/>
  <c r="BR107" i="4"/>
  <c r="BR75" i="4"/>
  <c r="BR43" i="4"/>
  <c r="BR122" i="4"/>
  <c r="BR14" i="4"/>
  <c r="BR70" i="4"/>
  <c r="BR149" i="4"/>
  <c r="BR117" i="4"/>
  <c r="BR85" i="4"/>
  <c r="BR53" i="4"/>
  <c r="BR136" i="4"/>
  <c r="BR42" i="4"/>
  <c r="BR11" i="4"/>
  <c r="BR129" i="4"/>
  <c r="BR65" i="4"/>
  <c r="BR25" i="4"/>
  <c r="BR64" i="4"/>
  <c r="BR140" i="4"/>
  <c r="BR46" i="4"/>
  <c r="BR143" i="4"/>
  <c r="BR111" i="4"/>
  <c r="BR79" i="4"/>
  <c r="BR47" i="4"/>
  <c r="BR126" i="4"/>
  <c r="BR13" i="4"/>
  <c r="BR56" i="4"/>
  <c r="BR16" i="4"/>
  <c r="BR138" i="4"/>
  <c r="BR24" i="4"/>
  <c r="BR32" i="4"/>
  <c r="BR38" i="4"/>
  <c r="BR48" i="4"/>
  <c r="BR82" i="4"/>
  <c r="BR124" i="4"/>
  <c r="BR131" i="4"/>
  <c r="BR99" i="4"/>
  <c r="BR67" i="4"/>
  <c r="BR30" i="4"/>
  <c r="BR90" i="4"/>
  <c r="BR132" i="4"/>
  <c r="BR40" i="4"/>
  <c r="BR141" i="4"/>
  <c r="BR109" i="4"/>
  <c r="BR77" i="4"/>
  <c r="BR45" i="4"/>
  <c r="BR104" i="4"/>
  <c r="BR52" i="4"/>
  <c r="BR86" i="4"/>
  <c r="BR153" i="4"/>
  <c r="BR121" i="4"/>
  <c r="BR89" i="4"/>
  <c r="BR57" i="4"/>
  <c r="BR10" i="4"/>
  <c r="BR66" i="4"/>
  <c r="BR108" i="4"/>
  <c r="BR142" i="4"/>
  <c r="BR23" i="4"/>
  <c r="BR135" i="4"/>
  <c r="BR103" i="4"/>
  <c r="BR71" i="4"/>
  <c r="BR144" i="4"/>
  <c r="BR94" i="4"/>
  <c r="BR69" i="4"/>
  <c r="BR33" i="4"/>
  <c r="BR148" i="4"/>
  <c r="BR54" i="4"/>
  <c r="BR12" i="4"/>
  <c r="BR39" i="4"/>
  <c r="BR22" i="4"/>
  <c r="BR18" i="4"/>
  <c r="BR50" i="4"/>
  <c r="BR92" i="4"/>
  <c r="BR155" i="4"/>
  <c r="BR123" i="4"/>
  <c r="BR91" i="4"/>
  <c r="BR59" i="4"/>
  <c r="BR152" i="4"/>
  <c r="BR29" i="4"/>
  <c r="BR58" i="4"/>
  <c r="BR100" i="4"/>
  <c r="BR134" i="4"/>
  <c r="BR19" i="4"/>
  <c r="BR133" i="4"/>
  <c r="BR101" i="4"/>
  <c r="BR72" i="4"/>
  <c r="BR106" i="4"/>
  <c r="BR27" i="4"/>
  <c r="BR145" i="4"/>
  <c r="BR113" i="4"/>
  <c r="BR81" i="4"/>
  <c r="BR49" i="4"/>
  <c r="BR128" i="4"/>
  <c r="BR76" i="4"/>
  <c r="BR110" i="4"/>
  <c r="BR9" i="4"/>
  <c r="BR127" i="4"/>
  <c r="BR95" i="4"/>
  <c r="BR63" i="4"/>
  <c r="BR112" i="4"/>
  <c r="BR146" i="4"/>
  <c r="BR60" i="4"/>
  <c r="BR62" i="4"/>
  <c r="BR120" i="4"/>
  <c r="BR17" i="4"/>
  <c r="BR74" i="4"/>
  <c r="BR137" i="4"/>
  <c r="BR105" i="4"/>
  <c r="BR73" i="4"/>
  <c r="BR41" i="4"/>
  <c r="BR8" i="4"/>
  <c r="BR35" i="4"/>
  <c r="BR36" i="4"/>
  <c r="BR87" i="4"/>
  <c r="BR68" i="4"/>
  <c r="BR96" i="4"/>
  <c r="BR55" i="4"/>
  <c r="BR147" i="4"/>
  <c r="BR102" i="4"/>
  <c r="BR116" i="4"/>
  <c r="BR130" i="4"/>
  <c r="BR115" i="4"/>
  <c r="BR157" i="4"/>
  <c r="BR150" i="4"/>
  <c r="BR21" i="4"/>
  <c r="BR83" i="4"/>
  <c r="BR125" i="4"/>
  <c r="BR26" i="4"/>
  <c r="BR44" i="4"/>
  <c r="BR51" i="4"/>
  <c r="BR93" i="4"/>
  <c r="BR78" i="4"/>
  <c r="BR61" i="4"/>
  <c r="BR151" i="4"/>
  <c r="BR28" i="4"/>
  <c r="BR154" i="4"/>
  <c r="BR119" i="4"/>
  <c r="BL83" i="4"/>
  <c r="BL117" i="4"/>
  <c r="BL67" i="4"/>
  <c r="BL25" i="4"/>
  <c r="BL107" i="4"/>
  <c r="BL82" i="4"/>
  <c r="BL144" i="4"/>
  <c r="BL37" i="4"/>
  <c r="BL121" i="4"/>
  <c r="BL31" i="4"/>
  <c r="BL50" i="4"/>
  <c r="BL55" i="4"/>
  <c r="BL151" i="4"/>
  <c r="BL30" i="4"/>
  <c r="BL43" i="4"/>
  <c r="BL99" i="4"/>
  <c r="BL47" i="4"/>
  <c r="BL106" i="4"/>
  <c r="BL42" i="4"/>
  <c r="BL92" i="4"/>
  <c r="BL153" i="4"/>
  <c r="BL63" i="4"/>
  <c r="BL53" i="4"/>
  <c r="BL135" i="4"/>
  <c r="BL68" i="4"/>
  <c r="BL9" i="4"/>
  <c r="BL116" i="4"/>
  <c r="BL62" i="4"/>
  <c r="B36" i="2"/>
  <c r="BL90" i="4"/>
  <c r="BL59" i="4"/>
  <c r="BL143" i="4"/>
  <c r="BL24" i="4"/>
  <c r="BL46" i="4"/>
  <c r="B37" i="2"/>
  <c r="B19" i="4" s="1"/>
  <c r="BL156" i="4"/>
  <c r="BL126" i="4"/>
  <c r="BL91" i="4"/>
  <c r="BL76" i="4"/>
  <c r="BL120" i="4"/>
  <c r="BL75" i="4"/>
  <c r="BL89" i="4"/>
  <c r="BL32" i="4"/>
  <c r="AO242" i="5"/>
  <c r="AN242" i="5"/>
  <c r="AN106" i="5"/>
  <c r="AO106" i="5"/>
  <c r="AO339" i="5"/>
  <c r="AN339" i="5"/>
  <c r="AN545" i="5"/>
  <c r="AO545" i="5"/>
  <c r="AO444" i="5"/>
  <c r="AN444" i="5"/>
  <c r="AN172" i="5"/>
  <c r="AO172" i="5"/>
  <c r="AN427" i="5"/>
  <c r="AO427" i="5"/>
  <c r="AO193" i="5"/>
  <c r="AN193" i="5"/>
  <c r="AN366" i="5"/>
  <c r="AO366" i="5"/>
  <c r="AO300" i="5"/>
  <c r="AN300" i="5"/>
  <c r="AN292" i="5"/>
  <c r="AO292" i="5"/>
  <c r="AN486" i="5"/>
  <c r="AO486" i="5"/>
  <c r="AN53" i="5"/>
  <c r="AO53" i="5"/>
  <c r="AO235" i="5"/>
  <c r="AN235" i="5"/>
  <c r="AO552" i="5"/>
  <c r="AN552" i="5"/>
  <c r="AO359" i="5"/>
  <c r="AN359" i="5"/>
  <c r="AO354" i="5"/>
  <c r="AN354" i="5"/>
  <c r="AO187" i="5"/>
  <c r="AN187" i="5"/>
  <c r="AO178" i="5"/>
  <c r="AN178" i="5"/>
  <c r="AO265" i="5"/>
  <c r="AN265" i="5"/>
  <c r="AO377" i="5"/>
  <c r="AN377" i="5"/>
  <c r="AN115" i="5"/>
  <c r="AO115" i="5"/>
  <c r="AO450" i="5"/>
  <c r="AN450" i="5"/>
  <c r="AO415" i="5"/>
  <c r="AN415" i="5"/>
  <c r="AO238" i="5"/>
  <c r="AN238" i="5"/>
  <c r="AO560" i="5"/>
  <c r="AN560" i="5"/>
  <c r="AN465" i="5"/>
  <c r="AO465" i="5"/>
  <c r="AO384" i="5"/>
  <c r="AN384" i="5"/>
  <c r="AO232" i="5"/>
  <c r="AN232" i="5"/>
  <c r="AN118" i="5"/>
  <c r="AO118" i="5"/>
  <c r="AO68" i="5"/>
  <c r="AN68" i="5"/>
  <c r="AO505" i="5"/>
  <c r="AN505" i="5"/>
  <c r="AN458" i="5"/>
  <c r="AO458" i="5"/>
  <c r="AN385" i="5"/>
  <c r="AO385" i="5"/>
  <c r="AO274" i="5"/>
  <c r="AN274" i="5"/>
  <c r="AN127" i="5"/>
  <c r="AO127" i="5"/>
  <c r="AN491" i="5"/>
  <c r="AO491" i="5"/>
  <c r="AO347" i="5"/>
  <c r="AN347" i="5"/>
  <c r="AO280" i="5"/>
  <c r="AN280" i="5"/>
  <c r="AO310" i="5"/>
  <c r="AN310" i="5"/>
  <c r="AO194" i="5"/>
  <c r="AN194" i="5"/>
  <c r="AO82" i="5"/>
  <c r="AN82" i="5"/>
  <c r="AN523" i="5"/>
  <c r="AO523" i="5"/>
  <c r="AO490" i="5"/>
  <c r="AN490" i="5"/>
  <c r="AO414" i="5"/>
  <c r="AN414" i="5"/>
  <c r="AO291" i="5"/>
  <c r="AN291" i="5"/>
  <c r="AO160" i="5"/>
  <c r="AN160" i="5"/>
  <c r="AN424" i="5"/>
  <c r="AO424" i="5"/>
  <c r="AN519" i="5"/>
  <c r="AO519" i="5"/>
  <c r="AO267" i="5"/>
  <c r="AN267" i="5"/>
  <c r="AN302" i="5"/>
  <c r="AO302" i="5"/>
  <c r="AO243" i="5"/>
  <c r="AN243" i="5"/>
  <c r="AO47" i="5"/>
  <c r="AN47" i="5"/>
  <c r="AN297" i="5"/>
  <c r="AO297" i="5"/>
  <c r="AO531" i="5"/>
  <c r="AN531" i="5"/>
  <c r="AO250" i="5"/>
  <c r="AN250" i="5"/>
  <c r="AN157" i="5"/>
  <c r="AO157" i="5"/>
  <c r="AN159" i="5"/>
  <c r="AO159" i="5"/>
  <c r="AO546" i="5"/>
  <c r="AN546" i="5"/>
  <c r="AO463" i="5"/>
  <c r="AN463" i="5"/>
  <c r="AN378" i="5"/>
  <c r="AO378" i="5"/>
  <c r="AN357" i="5"/>
  <c r="AO357" i="5"/>
  <c r="AO184" i="5"/>
  <c r="AN184" i="5"/>
  <c r="AN131" i="5"/>
  <c r="AO131" i="5"/>
  <c r="AN557" i="5"/>
  <c r="AO557" i="5"/>
  <c r="AO511" i="5"/>
  <c r="AN511" i="5"/>
  <c r="AN419" i="5"/>
  <c r="AO419" i="5"/>
  <c r="AO251" i="5"/>
  <c r="AN251" i="5"/>
  <c r="AN181" i="5"/>
  <c r="AO181" i="5"/>
  <c r="AO65" i="5"/>
  <c r="AN65" i="5"/>
  <c r="AO38" i="5"/>
  <c r="AN38" i="5"/>
  <c r="BL96" i="4"/>
  <c r="BL137" i="4"/>
  <c r="BL124" i="4"/>
  <c r="BL110" i="4"/>
  <c r="BL97" i="4"/>
  <c r="AO260" i="5"/>
  <c r="AN260" i="5"/>
  <c r="AN512" i="5"/>
  <c r="AO512" i="5"/>
  <c r="AO431" i="5"/>
  <c r="AN431" i="5"/>
  <c r="AO86" i="5"/>
  <c r="AN86" i="5"/>
  <c r="AO434" i="5"/>
  <c r="AN434" i="5"/>
  <c r="AN527" i="5"/>
  <c r="AO527" i="5"/>
  <c r="AN492" i="5"/>
  <c r="AO492" i="5"/>
  <c r="AN387" i="5"/>
  <c r="AO387" i="5"/>
  <c r="AO211" i="5"/>
  <c r="AN211" i="5"/>
  <c r="AN188" i="5"/>
  <c r="AO188" i="5"/>
  <c r="AN36" i="5"/>
  <c r="AO36" i="5"/>
  <c r="AN503" i="5"/>
  <c r="AO503" i="5"/>
  <c r="AN258" i="5"/>
  <c r="AO258" i="5"/>
  <c r="AN110" i="5"/>
  <c r="AO110" i="5"/>
  <c r="AO485" i="5"/>
  <c r="AN485" i="5"/>
  <c r="AO403" i="5"/>
  <c r="AN403" i="5"/>
  <c r="AN350" i="5"/>
  <c r="AO350" i="5"/>
  <c r="AN284" i="5"/>
  <c r="AO284" i="5"/>
  <c r="AO152" i="5"/>
  <c r="AN152" i="5"/>
  <c r="AO37" i="5"/>
  <c r="AN37" i="5"/>
  <c r="AO487" i="5"/>
  <c r="AN487" i="5"/>
  <c r="AN416" i="5"/>
  <c r="AO416" i="5"/>
  <c r="AN319" i="5"/>
  <c r="AO319" i="5"/>
  <c r="AN237" i="5"/>
  <c r="AO237" i="5"/>
  <c r="AN125" i="5"/>
  <c r="AO125" i="5"/>
  <c r="AN524" i="5"/>
  <c r="AO524" i="5"/>
  <c r="AN484" i="5"/>
  <c r="AO484" i="5"/>
  <c r="AN408" i="5"/>
  <c r="AO408" i="5"/>
  <c r="AN263" i="5"/>
  <c r="AO263" i="5"/>
  <c r="AO208" i="5"/>
  <c r="AN208" i="5"/>
  <c r="AN61" i="5"/>
  <c r="AO61" i="5"/>
  <c r="AO499" i="5"/>
  <c r="AN499" i="5"/>
  <c r="AN422" i="5"/>
  <c r="AO422" i="5"/>
  <c r="AO367" i="5"/>
  <c r="AN367" i="5"/>
  <c r="AO246" i="5"/>
  <c r="AN246" i="5"/>
  <c r="AN154" i="5"/>
  <c r="AO154" i="5"/>
  <c r="AO437" i="5"/>
  <c r="AN437" i="5"/>
  <c r="AN477" i="5"/>
  <c r="AO477" i="5"/>
  <c r="AO392" i="5"/>
  <c r="AN392" i="5"/>
  <c r="AO255" i="5"/>
  <c r="AN255" i="5"/>
  <c r="AN171" i="5"/>
  <c r="AO171" i="5"/>
  <c r="AN24" i="5"/>
  <c r="AO24" i="5"/>
  <c r="AN510" i="5"/>
  <c r="AO510" i="5"/>
  <c r="AN472" i="5"/>
  <c r="AO472" i="5"/>
  <c r="AN409" i="5"/>
  <c r="AO409" i="5"/>
  <c r="AN282" i="5"/>
  <c r="AO282" i="5"/>
  <c r="AO104" i="5"/>
  <c r="AN104" i="5"/>
  <c r="AN542" i="5"/>
  <c r="AO542" i="5"/>
  <c r="AN430" i="5"/>
  <c r="AO430" i="5"/>
  <c r="AO340" i="5"/>
  <c r="AN340" i="5"/>
  <c r="AN322" i="5"/>
  <c r="AO322" i="5"/>
  <c r="AO212" i="5"/>
  <c r="AN212" i="5"/>
  <c r="AO95" i="5"/>
  <c r="AN95" i="5"/>
  <c r="AN517" i="5"/>
  <c r="AO517" i="5"/>
  <c r="AO467" i="5"/>
  <c r="AN467" i="5"/>
  <c r="AN389" i="5"/>
  <c r="AO389" i="5"/>
  <c r="AN321" i="5"/>
  <c r="AO321" i="5"/>
  <c r="AO137" i="5"/>
  <c r="AN137" i="5"/>
  <c r="AO70" i="5"/>
  <c r="AN70" i="5"/>
  <c r="AO40" i="5"/>
  <c r="AN40" i="5"/>
  <c r="AO162" i="5"/>
  <c r="AN162" i="5"/>
  <c r="AN180" i="5"/>
  <c r="AO180" i="5"/>
  <c r="BL86" i="4"/>
  <c r="BL45" i="4"/>
  <c r="BL39" i="4"/>
  <c r="BL78" i="4"/>
  <c r="BL56" i="4"/>
  <c r="BL130" i="4"/>
  <c r="BL132" i="4"/>
  <c r="BL71" i="4"/>
  <c r="BL88" i="4"/>
  <c r="BL72" i="4"/>
  <c r="BL152" i="4"/>
  <c r="BL36" i="4"/>
  <c r="BL103" i="4"/>
  <c r="BL112" i="4"/>
  <c r="BL108" i="4"/>
  <c r="AN92" i="5"/>
  <c r="AO92" i="5"/>
  <c r="AN59" i="5"/>
  <c r="AO59" i="5"/>
  <c r="AN272" i="5"/>
  <c r="AO272" i="5"/>
  <c r="AO283" i="5"/>
  <c r="AN283" i="5"/>
  <c r="AO438" i="5"/>
  <c r="AN438" i="5"/>
  <c r="AO325" i="5"/>
  <c r="AN325" i="5"/>
  <c r="AO222" i="5"/>
  <c r="AN222" i="5"/>
  <c r="AO20" i="5"/>
  <c r="AN20" i="5"/>
  <c r="AO295" i="5"/>
  <c r="AN295" i="5"/>
  <c r="AN202" i="5"/>
  <c r="AO202" i="5"/>
  <c r="AN72" i="5"/>
  <c r="AO72" i="5"/>
  <c r="AO198" i="5"/>
  <c r="AN198" i="5"/>
  <c r="AO537" i="5"/>
  <c r="AN537" i="5"/>
  <c r="AO457" i="5"/>
  <c r="AN457" i="5"/>
  <c r="AN234" i="5"/>
  <c r="AO234" i="5"/>
  <c r="AN549" i="5"/>
  <c r="AO549" i="5"/>
  <c r="AO554" i="5"/>
  <c r="AN554" i="5"/>
  <c r="AO525" i="5"/>
  <c r="AN525" i="5"/>
  <c r="AO435" i="5"/>
  <c r="AN435" i="5"/>
  <c r="AO318" i="5"/>
  <c r="AN318" i="5"/>
  <c r="AN141" i="5"/>
  <c r="AO141" i="5"/>
  <c r="AO483" i="5"/>
  <c r="AN483" i="5"/>
  <c r="AO454" i="5"/>
  <c r="AN454" i="5"/>
  <c r="AN371" i="5"/>
  <c r="AO371" i="5"/>
  <c r="AN343" i="5"/>
  <c r="AO343" i="5"/>
  <c r="AN244" i="5"/>
  <c r="AO244" i="5"/>
  <c r="AN114" i="5"/>
  <c r="AO114" i="5"/>
  <c r="AN536" i="5"/>
  <c r="AO536" i="5"/>
  <c r="AN447" i="5"/>
  <c r="AO447" i="5"/>
  <c r="AO370" i="5"/>
  <c r="AN370" i="5"/>
  <c r="AO331" i="5"/>
  <c r="AN331" i="5"/>
  <c r="AO197" i="5"/>
  <c r="AN197" i="5"/>
  <c r="AO32" i="5"/>
  <c r="AN32" i="5"/>
  <c r="AN476" i="5"/>
  <c r="AO476" i="5"/>
  <c r="AO395" i="5"/>
  <c r="AN395" i="5"/>
  <c r="AO218" i="5"/>
  <c r="AN218" i="5"/>
  <c r="AN215" i="5"/>
  <c r="AO215" i="5"/>
  <c r="AN111" i="5"/>
  <c r="AO111" i="5"/>
  <c r="AO529" i="5"/>
  <c r="AN529" i="5"/>
  <c r="AO439" i="5"/>
  <c r="AN439" i="5"/>
  <c r="AO363" i="5"/>
  <c r="AN363" i="5"/>
  <c r="AN305" i="5"/>
  <c r="AO305" i="5"/>
  <c r="AN168" i="5"/>
  <c r="AO168" i="5"/>
  <c r="AN30" i="5"/>
  <c r="AO30" i="5"/>
  <c r="AO493" i="5"/>
  <c r="AN493" i="5"/>
  <c r="AN362" i="5"/>
  <c r="AO362" i="5"/>
  <c r="AO352" i="5"/>
  <c r="AN352" i="5"/>
  <c r="AO220" i="5"/>
  <c r="AN220" i="5"/>
  <c r="AO147" i="5"/>
  <c r="AN147" i="5"/>
  <c r="AN550" i="5"/>
  <c r="AO550" i="5"/>
  <c r="AO514" i="5"/>
  <c r="AN514" i="5"/>
  <c r="AN209" i="5"/>
  <c r="AO209" i="5"/>
  <c r="AO287" i="5"/>
  <c r="AN287" i="5"/>
  <c r="AO225" i="5"/>
  <c r="AN225" i="5"/>
  <c r="AN79" i="5"/>
  <c r="AO79" i="5"/>
  <c r="AO556" i="5"/>
  <c r="AN556" i="5"/>
  <c r="AN426" i="5"/>
  <c r="AO426" i="5"/>
  <c r="AO361" i="5"/>
  <c r="AN361" i="5"/>
  <c r="AO256" i="5"/>
  <c r="AN256" i="5"/>
  <c r="AN133" i="5"/>
  <c r="AO133" i="5"/>
  <c r="AN21" i="5"/>
  <c r="AO21" i="5"/>
  <c r="AM12" i="5"/>
  <c r="BL8" i="4"/>
  <c r="BL19" i="4"/>
  <c r="BL125" i="4"/>
  <c r="BL136" i="4"/>
  <c r="BL147" i="4"/>
  <c r="BL111" i="4"/>
  <c r="BL141" i="4"/>
  <c r="BL77" i="4"/>
  <c r="BL79" i="4"/>
  <c r="BL44" i="4"/>
  <c r="BL29" i="4"/>
  <c r="BL157" i="4"/>
  <c r="BL10" i="4"/>
  <c r="BL15" i="4"/>
  <c r="BL84" i="4"/>
  <c r="AO91" i="5"/>
  <c r="AN91" i="5"/>
  <c r="AN548" i="5"/>
  <c r="AO548" i="5"/>
  <c r="AO461" i="5"/>
  <c r="AN461" i="5"/>
  <c r="AN418" i="5"/>
  <c r="AO418" i="5"/>
  <c r="AN313" i="5"/>
  <c r="AO313" i="5"/>
  <c r="AO349" i="5"/>
  <c r="AN349" i="5"/>
  <c r="AO277" i="5"/>
  <c r="AN277" i="5"/>
  <c r="AN330" i="5"/>
  <c r="AO330" i="5"/>
  <c r="AN158" i="5"/>
  <c r="AO158" i="5"/>
  <c r="AN543" i="5"/>
  <c r="AO543" i="5"/>
  <c r="AN138" i="5"/>
  <c r="AO138" i="5"/>
  <c r="AO538" i="5"/>
  <c r="AN538" i="5"/>
  <c r="AN56" i="5"/>
  <c r="AO56" i="5"/>
  <c r="AN539" i="5"/>
  <c r="AO539" i="5"/>
  <c r="AN383" i="5"/>
  <c r="AO383" i="5"/>
  <c r="AN123" i="5"/>
  <c r="AO123" i="5"/>
  <c r="AO381" i="5"/>
  <c r="AN381" i="5"/>
  <c r="AO508" i="5"/>
  <c r="AN508" i="5"/>
  <c r="AO459" i="5"/>
  <c r="AN459" i="5"/>
  <c r="AO393" i="5"/>
  <c r="AN393" i="5"/>
  <c r="AO276" i="5"/>
  <c r="AN276" i="5"/>
  <c r="AN139" i="5"/>
  <c r="AO139" i="5"/>
  <c r="AO533" i="5"/>
  <c r="AN533" i="5"/>
  <c r="AO396" i="5"/>
  <c r="AN396" i="5"/>
  <c r="AO289" i="5"/>
  <c r="AN289" i="5"/>
  <c r="AO314" i="5"/>
  <c r="AN314" i="5"/>
  <c r="AO196" i="5"/>
  <c r="AN196" i="5"/>
  <c r="AN83" i="5"/>
  <c r="AO83" i="5"/>
  <c r="AN425" i="5"/>
  <c r="AO425" i="5"/>
  <c r="AO391" i="5"/>
  <c r="AN391" i="5"/>
  <c r="AN293" i="5"/>
  <c r="AO293" i="5"/>
  <c r="AN262" i="5"/>
  <c r="AO262" i="5"/>
  <c r="AO176" i="5"/>
  <c r="AN176" i="5"/>
  <c r="AN559" i="5"/>
  <c r="AO559" i="5"/>
  <c r="AN443" i="5"/>
  <c r="AO443" i="5"/>
  <c r="AN348" i="5"/>
  <c r="AO348" i="5"/>
  <c r="AN332" i="5"/>
  <c r="AO332" i="5"/>
  <c r="AO226" i="5"/>
  <c r="AN226" i="5"/>
  <c r="AO108" i="5"/>
  <c r="AN108" i="5"/>
  <c r="AN328" i="5"/>
  <c r="AO328" i="5"/>
  <c r="AO270" i="5"/>
  <c r="AN270" i="5"/>
  <c r="AO252" i="5"/>
  <c r="AN252" i="5"/>
  <c r="AO207" i="5"/>
  <c r="AN207" i="5"/>
  <c r="AO170" i="5"/>
  <c r="AN170" i="5"/>
  <c r="AN19" i="5"/>
  <c r="AO19" i="5"/>
  <c r="AO469" i="5"/>
  <c r="AN469" i="5"/>
  <c r="AN379" i="5"/>
  <c r="AO379" i="5"/>
  <c r="AO358" i="5"/>
  <c r="AN358" i="5"/>
  <c r="AO199" i="5"/>
  <c r="AN199" i="5"/>
  <c r="AN81" i="5"/>
  <c r="AO81" i="5"/>
  <c r="AO558" i="5"/>
  <c r="AN558" i="5"/>
  <c r="AN470" i="5"/>
  <c r="AO470" i="5"/>
  <c r="AN386" i="5"/>
  <c r="AO386" i="5"/>
  <c r="AN248" i="5"/>
  <c r="AO248" i="5"/>
  <c r="AO130" i="5"/>
  <c r="AN130" i="5"/>
  <c r="AN39" i="5"/>
  <c r="AO39" i="5"/>
  <c r="AN518" i="5"/>
  <c r="AO518" i="5"/>
  <c r="AO532" i="5"/>
  <c r="AN532" i="5"/>
  <c r="AO376" i="5"/>
  <c r="AN376" i="5"/>
  <c r="AO271" i="5"/>
  <c r="AN271" i="5"/>
  <c r="AN151" i="5"/>
  <c r="AO151" i="5"/>
  <c r="AO46" i="5"/>
  <c r="AN46" i="5"/>
  <c r="B172" i="2"/>
  <c r="AN466" i="5"/>
  <c r="AO466" i="5"/>
  <c r="AN420" i="5"/>
  <c r="AO420" i="5"/>
  <c r="AO169" i="5"/>
  <c r="AN169" i="5"/>
  <c r="AO221" i="5"/>
  <c r="AN221" i="5"/>
  <c r="AN116" i="5"/>
  <c r="AO116" i="5"/>
  <c r="AO421" i="5"/>
  <c r="AN421" i="5"/>
  <c r="AO342" i="5"/>
  <c r="AN342" i="5"/>
  <c r="AN298" i="5"/>
  <c r="AO298" i="5"/>
  <c r="AN146" i="5"/>
  <c r="AO146" i="5"/>
  <c r="AN73" i="5"/>
  <c r="AO73" i="5"/>
  <c r="AO498" i="5"/>
  <c r="AN498" i="5"/>
  <c r="AN449" i="5"/>
  <c r="AO449" i="5"/>
  <c r="AO497" i="5"/>
  <c r="AN497" i="5"/>
  <c r="AN264" i="5"/>
  <c r="AO264" i="5"/>
  <c r="AO528" i="5"/>
  <c r="AN528" i="5"/>
  <c r="AO286" i="5"/>
  <c r="AN286" i="5"/>
  <c r="AN489" i="5"/>
  <c r="AO489" i="5"/>
  <c r="AO311" i="5"/>
  <c r="AN311" i="5"/>
  <c r="AO335" i="5"/>
  <c r="AN335" i="5"/>
  <c r="AO189" i="5"/>
  <c r="AN189" i="5"/>
  <c r="AO126" i="5"/>
  <c r="AN126" i="5"/>
  <c r="AO544" i="5"/>
  <c r="AN544" i="5"/>
  <c r="AN506" i="5"/>
  <c r="AO506" i="5"/>
  <c r="AO417" i="5"/>
  <c r="AN417" i="5"/>
  <c r="AO275" i="5"/>
  <c r="AN275" i="5"/>
  <c r="AO216" i="5"/>
  <c r="AN216" i="5"/>
  <c r="AN78" i="5"/>
  <c r="AO78" i="5"/>
  <c r="AO530" i="5"/>
  <c r="AN530" i="5"/>
  <c r="AO496" i="5"/>
  <c r="AN496" i="5"/>
  <c r="AN423" i="5"/>
  <c r="AO423" i="5"/>
  <c r="AO296" i="5"/>
  <c r="AN296" i="5"/>
  <c r="AN163" i="5"/>
  <c r="AO163" i="5"/>
  <c r="AN481" i="5"/>
  <c r="AO481" i="5"/>
  <c r="AO308" i="5"/>
  <c r="AN308" i="5"/>
  <c r="AO273" i="5"/>
  <c r="AN273" i="5"/>
  <c r="AO306" i="5"/>
  <c r="AN306" i="5"/>
  <c r="AN182" i="5"/>
  <c r="AO182" i="5"/>
  <c r="AO80" i="5"/>
  <c r="AN80" i="5"/>
  <c r="AN520" i="5"/>
  <c r="AO520" i="5"/>
  <c r="AO475" i="5"/>
  <c r="AN475" i="5"/>
  <c r="AN410" i="5"/>
  <c r="AO410" i="5"/>
  <c r="AO285" i="5"/>
  <c r="AN285" i="5"/>
  <c r="AN132" i="5"/>
  <c r="AO132" i="5"/>
  <c r="AN547" i="5"/>
  <c r="AO547" i="5"/>
  <c r="AN432" i="5"/>
  <c r="AO432" i="5"/>
  <c r="AO341" i="5"/>
  <c r="AN341" i="5"/>
  <c r="AN324" i="5"/>
  <c r="AO324" i="5"/>
  <c r="AN219" i="5"/>
  <c r="AO219" i="5"/>
  <c r="AN97" i="5"/>
  <c r="AO97" i="5"/>
  <c r="AN521" i="5"/>
  <c r="AO521" i="5"/>
  <c r="AN412" i="5"/>
  <c r="AO412" i="5"/>
  <c r="AN356" i="5"/>
  <c r="AO356" i="5"/>
  <c r="AO290" i="5"/>
  <c r="AN290" i="5"/>
  <c r="AN156" i="5"/>
  <c r="AO156" i="5"/>
  <c r="AN43" i="5"/>
  <c r="AO43" i="5"/>
  <c r="AN495" i="5"/>
  <c r="AO495" i="5"/>
  <c r="AO478" i="5"/>
  <c r="AN478" i="5"/>
  <c r="AN299" i="5"/>
  <c r="AO299" i="5"/>
  <c r="AN240" i="5"/>
  <c r="AO240" i="5"/>
  <c r="AN102" i="5"/>
  <c r="AO102" i="5"/>
  <c r="AN45" i="5"/>
  <c r="AO45" i="5"/>
  <c r="AN66" i="5"/>
  <c r="AO66" i="5"/>
  <c r="AN100" i="5"/>
  <c r="AO100" i="5"/>
  <c r="AO58" i="5"/>
  <c r="AN58" i="5"/>
  <c r="AN84" i="5"/>
  <c r="AO84" i="5"/>
  <c r="AO515" i="5"/>
  <c r="AN515" i="5"/>
  <c r="AN337" i="5"/>
  <c r="AO337" i="5"/>
  <c r="AO247" i="5"/>
  <c r="AN247" i="5"/>
  <c r="AN105" i="5"/>
  <c r="AO105" i="5"/>
  <c r="AO338" i="5"/>
  <c r="AN338" i="5"/>
  <c r="AN22" i="5"/>
  <c r="AO22" i="5"/>
  <c r="AN413" i="5"/>
  <c r="AO413" i="5"/>
  <c r="AO394" i="5"/>
  <c r="AN394" i="5"/>
  <c r="AN428" i="5"/>
  <c r="AO428" i="5"/>
  <c r="AN124" i="5"/>
  <c r="AO124" i="5"/>
  <c r="AO453" i="5"/>
  <c r="AN453" i="5"/>
  <c r="AO312" i="5"/>
  <c r="AN312" i="5"/>
  <c r="AN455" i="5"/>
  <c r="AO455" i="5"/>
  <c r="AO374" i="5"/>
  <c r="AN374" i="5"/>
  <c r="AN346" i="5"/>
  <c r="AO346" i="5"/>
  <c r="AO161" i="5"/>
  <c r="AN161" i="5"/>
  <c r="AN121" i="5"/>
  <c r="AO121" i="5"/>
  <c r="AO553" i="5"/>
  <c r="AN553" i="5"/>
  <c r="AO462" i="5"/>
  <c r="AN462" i="5"/>
  <c r="AO380" i="5"/>
  <c r="AN380" i="5"/>
  <c r="AN227" i="5"/>
  <c r="AO227" i="5"/>
  <c r="AN201" i="5"/>
  <c r="AO201" i="5"/>
  <c r="AN67" i="5"/>
  <c r="AO67" i="5"/>
  <c r="AN500" i="5"/>
  <c r="AO500" i="5"/>
  <c r="AN452" i="5"/>
  <c r="AO452" i="5"/>
  <c r="AO369" i="5"/>
  <c r="AN369" i="5"/>
  <c r="AN261" i="5"/>
  <c r="AO261" i="5"/>
  <c r="AN107" i="5"/>
  <c r="AO107" i="5"/>
  <c r="AO445" i="5"/>
  <c r="AN445" i="5"/>
  <c r="AO480" i="5"/>
  <c r="AN480" i="5"/>
  <c r="AO402" i="5"/>
  <c r="AN402" i="5"/>
  <c r="AN257" i="5"/>
  <c r="AO257" i="5"/>
  <c r="AO190" i="5"/>
  <c r="AN190" i="5"/>
  <c r="AN51" i="5"/>
  <c r="AO51" i="5"/>
  <c r="AO494" i="5"/>
  <c r="AN494" i="5"/>
  <c r="AO401" i="5"/>
  <c r="AN401" i="5"/>
  <c r="AO360" i="5"/>
  <c r="AN360" i="5"/>
  <c r="AO223" i="5"/>
  <c r="AN223" i="5"/>
  <c r="AN149" i="5"/>
  <c r="AO149" i="5"/>
  <c r="AN551" i="5"/>
  <c r="AO551" i="5"/>
  <c r="AO516" i="5"/>
  <c r="AN516" i="5"/>
  <c r="AO254" i="5"/>
  <c r="AN254" i="5"/>
  <c r="AO301" i="5"/>
  <c r="AN301" i="5"/>
  <c r="AO230" i="5"/>
  <c r="AN230" i="5"/>
  <c r="AN23" i="5"/>
  <c r="AO23" i="5"/>
  <c r="AN555" i="5"/>
  <c r="AO555" i="5"/>
  <c r="AO526" i="5"/>
  <c r="AN526" i="5"/>
  <c r="AN436" i="5"/>
  <c r="AO436" i="5"/>
  <c r="AN327" i="5"/>
  <c r="AO327" i="5"/>
  <c r="AN150" i="5"/>
  <c r="AO150" i="5"/>
  <c r="AN372" i="5"/>
  <c r="AO372" i="5"/>
  <c r="AN479" i="5"/>
  <c r="AO479" i="5"/>
  <c r="AO442" i="5"/>
  <c r="AN442" i="5"/>
  <c r="AN344" i="5"/>
  <c r="AO344" i="5"/>
  <c r="AO217" i="5"/>
  <c r="AN217" i="5"/>
  <c r="AN77" i="5"/>
  <c r="AO77" i="5"/>
  <c r="AN103" i="5"/>
  <c r="AO103" i="5"/>
  <c r="AN122" i="5"/>
  <c r="AO122" i="5"/>
  <c r="AN99" i="5"/>
  <c r="AO99" i="5"/>
  <c r="AN266" i="5"/>
  <c r="AO266" i="5"/>
  <c r="AO42" i="5"/>
  <c r="AN42" i="5"/>
  <c r="AS453" i="5"/>
  <c r="AI453" i="5"/>
  <c r="AH453" i="5"/>
  <c r="AI55" i="5"/>
  <c r="AH55" i="5"/>
  <c r="AS55" i="5"/>
  <c r="AI509" i="5"/>
  <c r="AH509" i="5"/>
  <c r="AS509" i="5"/>
  <c r="AI344" i="5"/>
  <c r="AH344" i="5"/>
  <c r="AS344" i="5"/>
  <c r="AI253" i="5"/>
  <c r="AH253" i="5"/>
  <c r="AS253" i="5"/>
  <c r="AH311" i="5"/>
  <c r="AS311" i="5"/>
  <c r="AI311" i="5"/>
  <c r="AI518" i="5"/>
  <c r="AS518" i="5"/>
  <c r="AH518" i="5"/>
  <c r="AI49" i="5"/>
  <c r="AH49" i="5"/>
  <c r="AS49" i="5"/>
  <c r="AI116" i="5"/>
  <c r="AH116" i="5"/>
  <c r="AS116" i="5"/>
  <c r="AS317" i="5"/>
  <c r="AI317" i="5"/>
  <c r="AH317" i="5"/>
  <c r="AS145" i="5"/>
  <c r="AH145" i="5"/>
  <c r="AI145" i="5"/>
  <c r="AH58" i="5"/>
  <c r="AS58" i="5"/>
  <c r="AI58" i="5"/>
  <c r="AH226" i="5"/>
  <c r="AI226" i="5"/>
  <c r="AS226" i="5"/>
  <c r="AS217" i="5"/>
  <c r="AI217" i="5"/>
  <c r="AH217" i="5"/>
  <c r="AI75" i="5"/>
  <c r="AS75" i="5"/>
  <c r="AH75" i="5"/>
  <c r="AL428" i="5"/>
  <c r="AK428" i="5"/>
  <c r="AK308" i="5"/>
  <c r="AL308" i="5"/>
  <c r="AK500" i="5"/>
  <c r="AL500" i="5"/>
  <c r="AL383" i="5"/>
  <c r="AK383" i="5"/>
  <c r="AK138" i="5"/>
  <c r="AL138" i="5"/>
  <c r="AK129" i="5"/>
  <c r="AL129" i="5"/>
  <c r="AK399" i="5"/>
  <c r="AL399" i="5"/>
  <c r="AK393" i="5"/>
  <c r="AL393" i="5"/>
  <c r="AK145" i="5"/>
  <c r="AL145" i="5"/>
  <c r="AK356" i="5"/>
  <c r="AL356" i="5"/>
  <c r="AL460" i="5"/>
  <c r="AK460" i="5"/>
  <c r="AK241" i="5"/>
  <c r="AL241" i="5"/>
  <c r="AJ13" i="5"/>
  <c r="AM13" i="5"/>
  <c r="AK278" i="5"/>
  <c r="AL278" i="5"/>
  <c r="AU57" i="4"/>
  <c r="AV57" i="4" s="1"/>
  <c r="AX57" i="4"/>
  <c r="AY57" i="4" s="1"/>
  <c r="CN57" i="4" s="1"/>
  <c r="AX122" i="4"/>
  <c r="AY122" i="4" s="1"/>
  <c r="CN122" i="4" s="1"/>
  <c r="AU122" i="4"/>
  <c r="AV122" i="4" s="1"/>
  <c r="AS495" i="5"/>
  <c r="AI495" i="5"/>
  <c r="AH495" i="5"/>
  <c r="AI417" i="5"/>
  <c r="AS417" i="5"/>
  <c r="AH417" i="5"/>
  <c r="AS323" i="5"/>
  <c r="AI323" i="5"/>
  <c r="AH323" i="5"/>
  <c r="AI222" i="5"/>
  <c r="AH222" i="5"/>
  <c r="AS222" i="5"/>
  <c r="AI92" i="5"/>
  <c r="AS92" i="5"/>
  <c r="AH92" i="5"/>
  <c r="AH446" i="5"/>
  <c r="AS446" i="5"/>
  <c r="AI446" i="5"/>
  <c r="AI452" i="5"/>
  <c r="AH452" i="5"/>
  <c r="AS452" i="5"/>
  <c r="AI360" i="5"/>
  <c r="AH360" i="5"/>
  <c r="AS360" i="5"/>
  <c r="AH271" i="5"/>
  <c r="AI271" i="5"/>
  <c r="AS271" i="5"/>
  <c r="AI232" i="5"/>
  <c r="AH232" i="5"/>
  <c r="AS232" i="5"/>
  <c r="AS100" i="5"/>
  <c r="AH100" i="5"/>
  <c r="AI100" i="5"/>
  <c r="AH430" i="5"/>
  <c r="AS430" i="5"/>
  <c r="AI430" i="5"/>
  <c r="AH497" i="5"/>
  <c r="AS497" i="5"/>
  <c r="AI497" i="5"/>
  <c r="AH396" i="5"/>
  <c r="AI396" i="5"/>
  <c r="AS396" i="5"/>
  <c r="AH325" i="5"/>
  <c r="AI325" i="5"/>
  <c r="AS325" i="5"/>
  <c r="AS245" i="5"/>
  <c r="AH245" i="5"/>
  <c r="AI245" i="5"/>
  <c r="AH74" i="5"/>
  <c r="AI74" i="5"/>
  <c r="AS74" i="5"/>
  <c r="AI444" i="5"/>
  <c r="AH444" i="5"/>
  <c r="AS444" i="5"/>
  <c r="AH357" i="5"/>
  <c r="AS357" i="5"/>
  <c r="AI357" i="5"/>
  <c r="AI437" i="5"/>
  <c r="AS437" i="5"/>
  <c r="AH437" i="5"/>
  <c r="AI210" i="5"/>
  <c r="AS210" i="5"/>
  <c r="AH210" i="5"/>
  <c r="AH160" i="5"/>
  <c r="AI160" i="5"/>
  <c r="AS160" i="5"/>
  <c r="AI57" i="5"/>
  <c r="AH57" i="5"/>
  <c r="AS57" i="5"/>
  <c r="AH557" i="5"/>
  <c r="AI557" i="5"/>
  <c r="AS557" i="5"/>
  <c r="AI438" i="5"/>
  <c r="AH438" i="5"/>
  <c r="AS438" i="5"/>
  <c r="AS310" i="5"/>
  <c r="AI310" i="5"/>
  <c r="AH310" i="5"/>
  <c r="AI260" i="5"/>
  <c r="AH260" i="5"/>
  <c r="AS260" i="5"/>
  <c r="AS153" i="5"/>
  <c r="AI153" i="5"/>
  <c r="AH153" i="5"/>
  <c r="AI12" i="5"/>
  <c r="AH12" i="5"/>
  <c r="AI512" i="5"/>
  <c r="AH512" i="5"/>
  <c r="AS512" i="5"/>
  <c r="AH275" i="5"/>
  <c r="AI275" i="5"/>
  <c r="AS275" i="5"/>
  <c r="AI343" i="5"/>
  <c r="AH343" i="5"/>
  <c r="AS343" i="5"/>
  <c r="AH235" i="5"/>
  <c r="AI235" i="5"/>
  <c r="AS235" i="5"/>
  <c r="AH118" i="5"/>
  <c r="AI118" i="5"/>
  <c r="AS118" i="5"/>
  <c r="AI523" i="5"/>
  <c r="AH523" i="5"/>
  <c r="AS523" i="5"/>
  <c r="AI272" i="5"/>
  <c r="AH272" i="5"/>
  <c r="AS272" i="5"/>
  <c r="AH202" i="5"/>
  <c r="AI202" i="5"/>
  <c r="AS202" i="5"/>
  <c r="AH237" i="5"/>
  <c r="AI237" i="5"/>
  <c r="AS237" i="5"/>
  <c r="AI207" i="5"/>
  <c r="AH207" i="5"/>
  <c r="AS207" i="5"/>
  <c r="AS107" i="5"/>
  <c r="AH107" i="5"/>
  <c r="AI107" i="5"/>
  <c r="AI519" i="5"/>
  <c r="AH519" i="5"/>
  <c r="AS519" i="5"/>
  <c r="AI425" i="5"/>
  <c r="AS425" i="5"/>
  <c r="AH425" i="5"/>
  <c r="AH298" i="5"/>
  <c r="AS298" i="5"/>
  <c r="AI298" i="5"/>
  <c r="AS258" i="5"/>
  <c r="AH258" i="5"/>
  <c r="AI258" i="5"/>
  <c r="AH186" i="5"/>
  <c r="AI186" i="5"/>
  <c r="AS186" i="5"/>
  <c r="AH67" i="5"/>
  <c r="AI67" i="5"/>
  <c r="AS67" i="5"/>
  <c r="AH71" i="5"/>
  <c r="AI71" i="5"/>
  <c r="AS71" i="5"/>
  <c r="AH53" i="5"/>
  <c r="AS53" i="5"/>
  <c r="AI53" i="5"/>
  <c r="AH555" i="5"/>
  <c r="AS555" i="5"/>
  <c r="AI555" i="5"/>
  <c r="AS399" i="5"/>
  <c r="AI399" i="5"/>
  <c r="AH399" i="5"/>
  <c r="AI334" i="5"/>
  <c r="AH334" i="5"/>
  <c r="AS334" i="5"/>
  <c r="AH366" i="5"/>
  <c r="AS366" i="5"/>
  <c r="AI366" i="5"/>
  <c r="AS241" i="5"/>
  <c r="AH241" i="5"/>
  <c r="AI241" i="5"/>
  <c r="AH247" i="5"/>
  <c r="AI247" i="5"/>
  <c r="AS247" i="5"/>
  <c r="AH152" i="5"/>
  <c r="AI152" i="5"/>
  <c r="AS152" i="5"/>
  <c r="AH60" i="5"/>
  <c r="AI60" i="5"/>
  <c r="AS60" i="5"/>
  <c r="AH178" i="5"/>
  <c r="AI178" i="5"/>
  <c r="AS178" i="5"/>
  <c r="AI97" i="5"/>
  <c r="AS97" i="5"/>
  <c r="AH97" i="5"/>
  <c r="AH30" i="5"/>
  <c r="AS30" i="5"/>
  <c r="AI30" i="5"/>
  <c r="AI463" i="5"/>
  <c r="AH463" i="5"/>
  <c r="AS463" i="5"/>
  <c r="AS422" i="5"/>
  <c r="AI422" i="5"/>
  <c r="AH422" i="5"/>
  <c r="AI409" i="5"/>
  <c r="AH409" i="5"/>
  <c r="AS409" i="5"/>
  <c r="AH335" i="5"/>
  <c r="AS335" i="5"/>
  <c r="AI335" i="5"/>
  <c r="AI280" i="5"/>
  <c r="AS280" i="5"/>
  <c r="AH280" i="5"/>
  <c r="AS189" i="5"/>
  <c r="AH189" i="5"/>
  <c r="AI189" i="5"/>
  <c r="AI126" i="5"/>
  <c r="AH126" i="5"/>
  <c r="AS126" i="5"/>
  <c r="AS64" i="5"/>
  <c r="AH64" i="5"/>
  <c r="AI64" i="5"/>
  <c r="AX127" i="4"/>
  <c r="AY127" i="4" s="1"/>
  <c r="CN127" i="4" s="1"/>
  <c r="AU127" i="4"/>
  <c r="AV127" i="4" s="1"/>
  <c r="AU78" i="4"/>
  <c r="AV78" i="4" s="1"/>
  <c r="AX78" i="4"/>
  <c r="AY78" i="4" s="1"/>
  <c r="CN78" i="4" s="1"/>
  <c r="AU105" i="4"/>
  <c r="AV105" i="4" s="1"/>
  <c r="AX105" i="4"/>
  <c r="AY105" i="4" s="1"/>
  <c r="CN105" i="4" s="1"/>
  <c r="AL559" i="5"/>
  <c r="AK559" i="5"/>
  <c r="AK380" i="5"/>
  <c r="AL380" i="5"/>
  <c r="AL174" i="5"/>
  <c r="AK174" i="5"/>
  <c r="AK425" i="5"/>
  <c r="AL425" i="5"/>
  <c r="AL343" i="5"/>
  <c r="AK343" i="5"/>
  <c r="AL190" i="5"/>
  <c r="AK190" i="5"/>
  <c r="AL261" i="5"/>
  <c r="AK261" i="5"/>
  <c r="AL506" i="5"/>
  <c r="AK506" i="5"/>
  <c r="AK379" i="5"/>
  <c r="AL379" i="5"/>
  <c r="AK321" i="5"/>
  <c r="AL321" i="5"/>
  <c r="AL119" i="5"/>
  <c r="AK119" i="5"/>
  <c r="AK78" i="5"/>
  <c r="AL78" i="5"/>
  <c r="AK447" i="5"/>
  <c r="AL447" i="5"/>
  <c r="AK494" i="5"/>
  <c r="AL494" i="5"/>
  <c r="AK388" i="5"/>
  <c r="AL388" i="5"/>
  <c r="AL322" i="5"/>
  <c r="AK322" i="5"/>
  <c r="AL238" i="5"/>
  <c r="AK238" i="5"/>
  <c r="AL146" i="5"/>
  <c r="AK146" i="5"/>
  <c r="AK48" i="5"/>
  <c r="AL48" i="5"/>
  <c r="AL456" i="5"/>
  <c r="AK456" i="5"/>
  <c r="AL338" i="5"/>
  <c r="AK338" i="5"/>
  <c r="AK340" i="5"/>
  <c r="AL340" i="5"/>
  <c r="AK229" i="5"/>
  <c r="AL229" i="5"/>
  <c r="AK133" i="5"/>
  <c r="AL133" i="5"/>
  <c r="AK50" i="5"/>
  <c r="AL50" i="5"/>
  <c r="AK452" i="5"/>
  <c r="AL452" i="5"/>
  <c r="AL288" i="5"/>
  <c r="AK288" i="5"/>
  <c r="AL408" i="5"/>
  <c r="AK408" i="5"/>
  <c r="AK225" i="5"/>
  <c r="AL225" i="5"/>
  <c r="AL184" i="5"/>
  <c r="AK184" i="5"/>
  <c r="AK104" i="5"/>
  <c r="AL104" i="5"/>
  <c r="AK504" i="5"/>
  <c r="AL504" i="5"/>
  <c r="AL513" i="5"/>
  <c r="AK513" i="5"/>
  <c r="AK420" i="5"/>
  <c r="AL420" i="5"/>
  <c r="AK250" i="5"/>
  <c r="AL250" i="5"/>
  <c r="AL202" i="5"/>
  <c r="AK202" i="5"/>
  <c r="AL116" i="5"/>
  <c r="AK116" i="5"/>
  <c r="AK44" i="5"/>
  <c r="AL44" i="5"/>
  <c r="AL538" i="5"/>
  <c r="AK538" i="5"/>
  <c r="AK480" i="5"/>
  <c r="AL480" i="5"/>
  <c r="AK357" i="5"/>
  <c r="AL357" i="5"/>
  <c r="AL290" i="5"/>
  <c r="AK290" i="5"/>
  <c r="AK185" i="5"/>
  <c r="AL185" i="5"/>
  <c r="AK83" i="5"/>
  <c r="AL83" i="5"/>
  <c r="AK546" i="5"/>
  <c r="AL546" i="5"/>
  <c r="AL473" i="5"/>
  <c r="AK473" i="5"/>
  <c r="AL349" i="5"/>
  <c r="AK349" i="5"/>
  <c r="AL306" i="5"/>
  <c r="AK306" i="5"/>
  <c r="AK217" i="5"/>
  <c r="AL217" i="5"/>
  <c r="AK118" i="5"/>
  <c r="AL118" i="5"/>
  <c r="AK23" i="5"/>
  <c r="AL23" i="5"/>
  <c r="AL285" i="5"/>
  <c r="AK285" i="5"/>
  <c r="AK469" i="5"/>
  <c r="AL469" i="5"/>
  <c r="AK362" i="5"/>
  <c r="AL362" i="5"/>
  <c r="AK246" i="5"/>
  <c r="AL246" i="5"/>
  <c r="AK329" i="5"/>
  <c r="AL329" i="5"/>
  <c r="AK214" i="5"/>
  <c r="AL214" i="5"/>
  <c r="AL141" i="5"/>
  <c r="AK141" i="5"/>
  <c r="AL36" i="5"/>
  <c r="AK36" i="5"/>
  <c r="AL462" i="5"/>
  <c r="AK462" i="5"/>
  <c r="AL510" i="5"/>
  <c r="AK510" i="5"/>
  <c r="AK405" i="5"/>
  <c r="AL405" i="5"/>
  <c r="AK359" i="5"/>
  <c r="AL359" i="5"/>
  <c r="AL265" i="5"/>
  <c r="AK265" i="5"/>
  <c r="AK199" i="5"/>
  <c r="AL199" i="5"/>
  <c r="AL121" i="5"/>
  <c r="AK121" i="5"/>
  <c r="AL88" i="5"/>
  <c r="AK88" i="5"/>
  <c r="AX24" i="4"/>
  <c r="AY24" i="4" s="1"/>
  <c r="CN24" i="4" s="1"/>
  <c r="AU24" i="4"/>
  <c r="AV24" i="4" s="1"/>
  <c r="AX65" i="4"/>
  <c r="AY65" i="4" s="1"/>
  <c r="CN65" i="4" s="1"/>
  <c r="AU65" i="4"/>
  <c r="AV65" i="4" s="1"/>
  <c r="AX95" i="4"/>
  <c r="AY95" i="4" s="1"/>
  <c r="CN95" i="4" s="1"/>
  <c r="AU95" i="4"/>
  <c r="AV95" i="4" s="1"/>
  <c r="AX22" i="4"/>
  <c r="AY22" i="4" s="1"/>
  <c r="CN22" i="4" s="1"/>
  <c r="AU22" i="4"/>
  <c r="AV22" i="4" s="1"/>
  <c r="AX42" i="4"/>
  <c r="AY42" i="4" s="1"/>
  <c r="CN42" i="4" s="1"/>
  <c r="AU42" i="4"/>
  <c r="AV42" i="4" s="1"/>
  <c r="AU31" i="4"/>
  <c r="AV31" i="4" s="1"/>
  <c r="AX31" i="4"/>
  <c r="AY31" i="4" s="1"/>
  <c r="CN31" i="4" s="1"/>
  <c r="AU69" i="4"/>
  <c r="AV69" i="4" s="1"/>
  <c r="AX69" i="4"/>
  <c r="AY69" i="4" s="1"/>
  <c r="CN69" i="4" s="1"/>
  <c r="AU144" i="4"/>
  <c r="AV144" i="4" s="1"/>
  <c r="AX144" i="4"/>
  <c r="AY144" i="4" s="1"/>
  <c r="CN144" i="4" s="1"/>
  <c r="AU49" i="4"/>
  <c r="AV49" i="4" s="1"/>
  <c r="AX49" i="4"/>
  <c r="AY49" i="4" s="1"/>
  <c r="CN49" i="4" s="1"/>
  <c r="AK7" i="5"/>
  <c r="AL7" i="5"/>
  <c r="AX45" i="4"/>
  <c r="AY45" i="4" s="1"/>
  <c r="CN45" i="4" s="1"/>
  <c r="AU45" i="4"/>
  <c r="AV45" i="4" s="1"/>
  <c r="AX79" i="4"/>
  <c r="AY79" i="4" s="1"/>
  <c r="CN79" i="4" s="1"/>
  <c r="AU79" i="4"/>
  <c r="AV79" i="4" s="1"/>
  <c r="AX118" i="4"/>
  <c r="AY118" i="4" s="1"/>
  <c r="CN118" i="4" s="1"/>
  <c r="AU118" i="4"/>
  <c r="AV118" i="4" s="1"/>
  <c r="AS175" i="5"/>
  <c r="AI175" i="5"/>
  <c r="AH175" i="5"/>
  <c r="AI347" i="5"/>
  <c r="AS347" i="5"/>
  <c r="AH347" i="5"/>
  <c r="AH35" i="5"/>
  <c r="AI35" i="5"/>
  <c r="AS35" i="5"/>
  <c r="AL209" i="5"/>
  <c r="AK209" i="5"/>
  <c r="AK377" i="5"/>
  <c r="AL377" i="5"/>
  <c r="AK43" i="5"/>
  <c r="AL43" i="5"/>
  <c r="AK101" i="5"/>
  <c r="AL101" i="5"/>
  <c r="AL398" i="5"/>
  <c r="AK398" i="5"/>
  <c r="AK26" i="5"/>
  <c r="AL26" i="5"/>
  <c r="AI498" i="5"/>
  <c r="AS498" i="5"/>
  <c r="AH498" i="5"/>
  <c r="AS408" i="5"/>
  <c r="AI408" i="5"/>
  <c r="AH408" i="5"/>
  <c r="AS361" i="5"/>
  <c r="AI361" i="5"/>
  <c r="AH361" i="5"/>
  <c r="AI281" i="5"/>
  <c r="AH281" i="5"/>
  <c r="AS281" i="5"/>
  <c r="AH242" i="5"/>
  <c r="AI242" i="5"/>
  <c r="AS242" i="5"/>
  <c r="AH121" i="5"/>
  <c r="AI121" i="5"/>
  <c r="AS121" i="5"/>
  <c r="AI454" i="5"/>
  <c r="AH454" i="5"/>
  <c r="AS454" i="5"/>
  <c r="AI515" i="5"/>
  <c r="AH515" i="5"/>
  <c r="AS515" i="5"/>
  <c r="AH405" i="5"/>
  <c r="AI405" i="5"/>
  <c r="AS405" i="5"/>
  <c r="AI328" i="5"/>
  <c r="AS328" i="5"/>
  <c r="AH328" i="5"/>
  <c r="AI248" i="5"/>
  <c r="AS248" i="5"/>
  <c r="AH248" i="5"/>
  <c r="AI96" i="5"/>
  <c r="AH96" i="5"/>
  <c r="AS96" i="5"/>
  <c r="AH536" i="5"/>
  <c r="AS536" i="5"/>
  <c r="AI536" i="5"/>
  <c r="AI456" i="5"/>
  <c r="AH456" i="5"/>
  <c r="AS456" i="5"/>
  <c r="AH355" i="5"/>
  <c r="AS355" i="5"/>
  <c r="AI355" i="5"/>
  <c r="AI286" i="5"/>
  <c r="AH286" i="5"/>
  <c r="AS286" i="5"/>
  <c r="AS206" i="5"/>
  <c r="AI206" i="5"/>
  <c r="AH206" i="5"/>
  <c r="AH80" i="5"/>
  <c r="AS80" i="5"/>
  <c r="AI80" i="5"/>
  <c r="AH506" i="5"/>
  <c r="AS506" i="5"/>
  <c r="AI506" i="5"/>
  <c r="AS494" i="5"/>
  <c r="AH494" i="5"/>
  <c r="AI494" i="5"/>
  <c r="AI401" i="5"/>
  <c r="AH401" i="5"/>
  <c r="AS401" i="5"/>
  <c r="AS306" i="5"/>
  <c r="AI306" i="5"/>
  <c r="AH306" i="5"/>
  <c r="AI165" i="5"/>
  <c r="AH165" i="5"/>
  <c r="AS165" i="5"/>
  <c r="AS45" i="5"/>
  <c r="AI45" i="5"/>
  <c r="AH45" i="5"/>
  <c r="AS514" i="5"/>
  <c r="AI514" i="5"/>
  <c r="AH514" i="5"/>
  <c r="AH305" i="5"/>
  <c r="AS305" i="5"/>
  <c r="AI305" i="5"/>
  <c r="AI345" i="5"/>
  <c r="AH345" i="5"/>
  <c r="AS345" i="5"/>
  <c r="AI236" i="5"/>
  <c r="AH236" i="5"/>
  <c r="AS236" i="5"/>
  <c r="AH130" i="5"/>
  <c r="AI130" i="5"/>
  <c r="AS130" i="5"/>
  <c r="AI521" i="5"/>
  <c r="AH521" i="5"/>
  <c r="AS521" i="5"/>
  <c r="AI471" i="5"/>
  <c r="AH471" i="5"/>
  <c r="AS471" i="5"/>
  <c r="AI383" i="5"/>
  <c r="AS383" i="5"/>
  <c r="AH383" i="5"/>
  <c r="AS296" i="5"/>
  <c r="AI296" i="5"/>
  <c r="AH296" i="5"/>
  <c r="AS191" i="5"/>
  <c r="AI191" i="5"/>
  <c r="AH191" i="5"/>
  <c r="AI141" i="5"/>
  <c r="AH141" i="5"/>
  <c r="AS141" i="5"/>
  <c r="AI389" i="5"/>
  <c r="AS389" i="5"/>
  <c r="AH389" i="5"/>
  <c r="AI483" i="5"/>
  <c r="AS483" i="5"/>
  <c r="AH483" i="5"/>
  <c r="AH376" i="5"/>
  <c r="AS376" i="5"/>
  <c r="AI376" i="5"/>
  <c r="AS304" i="5"/>
  <c r="AI304" i="5"/>
  <c r="AH304" i="5"/>
  <c r="AH218" i="5"/>
  <c r="AI218" i="5"/>
  <c r="AS218" i="5"/>
  <c r="AI76" i="5"/>
  <c r="AS76" i="5"/>
  <c r="AH76" i="5"/>
  <c r="AH541" i="5"/>
  <c r="AS541" i="5"/>
  <c r="AI541" i="5"/>
  <c r="AI513" i="5"/>
  <c r="AH513" i="5"/>
  <c r="AS513" i="5"/>
  <c r="AI421" i="5"/>
  <c r="AH421" i="5"/>
  <c r="AS421" i="5"/>
  <c r="AH322" i="5"/>
  <c r="AI322" i="5"/>
  <c r="AS322" i="5"/>
  <c r="AH111" i="5"/>
  <c r="AS111" i="5"/>
  <c r="AI111" i="5"/>
  <c r="AH48" i="5"/>
  <c r="AS48" i="5"/>
  <c r="AI48" i="5"/>
  <c r="AH115" i="5"/>
  <c r="AI115" i="5"/>
  <c r="AS115" i="5"/>
  <c r="AH43" i="5"/>
  <c r="AI43" i="5"/>
  <c r="AS43" i="5"/>
  <c r="AH465" i="5"/>
  <c r="AS465" i="5"/>
  <c r="AI465" i="5"/>
  <c r="AH501" i="5"/>
  <c r="AS501" i="5"/>
  <c r="AI501" i="5"/>
  <c r="AS411" i="5"/>
  <c r="AH411" i="5"/>
  <c r="AI411" i="5"/>
  <c r="AH174" i="5"/>
  <c r="AI174" i="5"/>
  <c r="AS174" i="5"/>
  <c r="AI320" i="5"/>
  <c r="AH320" i="5"/>
  <c r="AS320" i="5"/>
  <c r="AH208" i="5"/>
  <c r="AI208" i="5"/>
  <c r="AS208" i="5"/>
  <c r="AI120" i="5"/>
  <c r="AH120" i="5"/>
  <c r="AS120" i="5"/>
  <c r="AH40" i="5"/>
  <c r="AI40" i="5"/>
  <c r="AS40" i="5"/>
  <c r="AS144" i="5"/>
  <c r="AI144" i="5"/>
  <c r="AH144" i="5"/>
  <c r="AI81" i="5"/>
  <c r="AH81" i="5"/>
  <c r="AS81" i="5"/>
  <c r="AS503" i="5"/>
  <c r="AI503" i="5"/>
  <c r="AH503" i="5"/>
  <c r="AI551" i="5"/>
  <c r="AH551" i="5"/>
  <c r="AS551" i="5"/>
  <c r="AS522" i="5"/>
  <c r="AI522" i="5"/>
  <c r="AH522" i="5"/>
  <c r="AH381" i="5"/>
  <c r="AI381" i="5"/>
  <c r="AS381" i="5"/>
  <c r="AI291" i="5"/>
  <c r="AH291" i="5"/>
  <c r="AS291" i="5"/>
  <c r="AH255" i="5"/>
  <c r="AS255" i="5"/>
  <c r="AI255" i="5"/>
  <c r="AI157" i="5"/>
  <c r="AH157" i="5"/>
  <c r="AS157" i="5"/>
  <c r="AH136" i="5"/>
  <c r="AI136" i="5"/>
  <c r="AS136" i="5"/>
  <c r="AH51" i="5"/>
  <c r="AI51" i="5"/>
  <c r="AS51" i="5"/>
  <c r="AK431" i="5"/>
  <c r="AL431" i="5"/>
  <c r="AK326" i="5"/>
  <c r="AL326" i="5"/>
  <c r="AK73" i="5"/>
  <c r="AL73" i="5"/>
  <c r="AK397" i="5"/>
  <c r="AL397" i="5"/>
  <c r="AK276" i="5"/>
  <c r="AL276" i="5"/>
  <c r="AL244" i="5"/>
  <c r="AK244" i="5"/>
  <c r="AK527" i="5"/>
  <c r="AL527" i="5"/>
  <c r="AL470" i="5"/>
  <c r="AK470" i="5"/>
  <c r="AK346" i="5"/>
  <c r="AL346" i="5"/>
  <c r="AK269" i="5"/>
  <c r="AL269" i="5"/>
  <c r="AL168" i="5"/>
  <c r="AK168" i="5"/>
  <c r="AK68" i="5"/>
  <c r="AL68" i="5"/>
  <c r="AL530" i="5"/>
  <c r="AK530" i="5"/>
  <c r="AL454" i="5"/>
  <c r="AK454" i="5"/>
  <c r="AK336" i="5"/>
  <c r="AL336" i="5"/>
  <c r="AL287" i="5"/>
  <c r="AK287" i="5"/>
  <c r="AL195" i="5"/>
  <c r="AK195" i="5"/>
  <c r="AK106" i="5"/>
  <c r="AL106" i="5"/>
  <c r="AL553" i="5"/>
  <c r="AK553" i="5"/>
  <c r="AK417" i="5"/>
  <c r="AL417" i="5"/>
  <c r="AL386" i="5"/>
  <c r="AK386" i="5"/>
  <c r="AL299" i="5"/>
  <c r="AK299" i="5"/>
  <c r="AK193" i="5"/>
  <c r="AL193" i="5"/>
  <c r="AL80" i="5"/>
  <c r="AK80" i="5"/>
  <c r="AK51" i="5"/>
  <c r="AL51" i="5"/>
  <c r="AL544" i="5"/>
  <c r="AK544" i="5"/>
  <c r="AK484" i="5"/>
  <c r="AL484" i="5"/>
  <c r="AK365" i="5"/>
  <c r="AL365" i="5"/>
  <c r="AK302" i="5"/>
  <c r="AL302" i="5"/>
  <c r="AL156" i="5"/>
  <c r="AK156" i="5"/>
  <c r="AK67" i="5"/>
  <c r="AL67" i="5"/>
  <c r="AL548" i="5"/>
  <c r="AK548" i="5"/>
  <c r="AK487" i="5"/>
  <c r="AL487" i="5"/>
  <c r="AL364" i="5"/>
  <c r="AK364" i="5"/>
  <c r="AL314" i="5"/>
  <c r="AK314" i="5"/>
  <c r="AK222" i="5"/>
  <c r="AL222" i="5"/>
  <c r="AL126" i="5"/>
  <c r="AK126" i="5"/>
  <c r="AL31" i="5"/>
  <c r="AK31" i="5"/>
  <c r="AK485" i="5"/>
  <c r="AL485" i="5"/>
  <c r="AK440" i="5"/>
  <c r="AL440" i="5"/>
  <c r="AL296" i="5"/>
  <c r="AK296" i="5"/>
  <c r="AL233" i="5"/>
  <c r="AK233" i="5"/>
  <c r="AL154" i="5"/>
  <c r="AK154" i="5"/>
  <c r="AK75" i="5"/>
  <c r="AL75" i="5"/>
  <c r="AK556" i="5"/>
  <c r="AL556" i="5"/>
  <c r="AL438" i="5"/>
  <c r="AK438" i="5"/>
  <c r="AK432" i="5"/>
  <c r="AL432" i="5"/>
  <c r="AL257" i="5"/>
  <c r="AK257" i="5"/>
  <c r="AK124" i="5"/>
  <c r="AL124" i="5"/>
  <c r="AK96" i="5"/>
  <c r="AL96" i="5"/>
  <c r="AL8" i="5"/>
  <c r="AK8" i="5"/>
  <c r="AL540" i="5"/>
  <c r="AK540" i="5"/>
  <c r="AK443" i="5"/>
  <c r="AL443" i="5"/>
  <c r="AK415" i="5"/>
  <c r="AL415" i="5"/>
  <c r="AL328" i="5"/>
  <c r="AK328" i="5"/>
  <c r="AL294" i="5"/>
  <c r="AK294" i="5"/>
  <c r="AL148" i="5"/>
  <c r="AK148" i="5"/>
  <c r="AK115" i="5"/>
  <c r="AL115" i="5"/>
  <c r="AL32" i="5"/>
  <c r="AK32" i="5"/>
  <c r="AK459" i="5"/>
  <c r="AL459" i="5"/>
  <c r="AK489" i="5"/>
  <c r="AL489" i="5"/>
  <c r="AK382" i="5"/>
  <c r="AL382" i="5"/>
  <c r="AK327" i="5"/>
  <c r="AL327" i="5"/>
  <c r="AK230" i="5"/>
  <c r="AL230" i="5"/>
  <c r="AK228" i="5"/>
  <c r="AL228" i="5"/>
  <c r="AL64" i="5"/>
  <c r="AK64" i="5"/>
  <c r="AL60" i="5"/>
  <c r="AK60" i="5"/>
  <c r="AU72" i="4"/>
  <c r="AV72" i="4" s="1"/>
  <c r="AX72" i="4"/>
  <c r="AY72" i="4" s="1"/>
  <c r="CN72" i="4" s="1"/>
  <c r="AX71" i="4"/>
  <c r="AY71" i="4" s="1"/>
  <c r="CN71" i="4" s="1"/>
  <c r="AU71" i="4"/>
  <c r="AV71" i="4" s="1"/>
  <c r="AU12" i="4"/>
  <c r="AV12" i="4" s="1"/>
  <c r="AX12" i="4"/>
  <c r="AY12" i="4" s="1"/>
  <c r="CN12" i="4" s="1"/>
  <c r="AN7" i="5"/>
  <c r="AO7" i="5"/>
  <c r="AX50" i="4"/>
  <c r="AY50" i="4" s="1"/>
  <c r="CN50" i="4" s="1"/>
  <c r="AU50" i="4"/>
  <c r="AV50" i="4" s="1"/>
  <c r="AU106" i="4"/>
  <c r="AV106" i="4" s="1"/>
  <c r="AX106" i="4"/>
  <c r="AY106" i="4" s="1"/>
  <c r="CN106" i="4" s="1"/>
  <c r="AX107" i="4"/>
  <c r="AY107" i="4" s="1"/>
  <c r="CN107" i="4" s="1"/>
  <c r="AU107" i="4"/>
  <c r="AV107" i="4" s="1"/>
  <c r="AH368" i="5"/>
  <c r="AS368" i="5"/>
  <c r="AI368" i="5"/>
  <c r="AH262" i="5"/>
  <c r="AI262" i="5"/>
  <c r="AS262" i="5"/>
  <c r="AS403" i="5"/>
  <c r="AI403" i="5"/>
  <c r="AH403" i="5"/>
  <c r="AI348" i="5"/>
  <c r="AH348" i="5"/>
  <c r="AS348" i="5"/>
  <c r="AI216" i="5"/>
  <c r="AH216" i="5"/>
  <c r="AS216" i="5"/>
  <c r="AH223" i="5"/>
  <c r="AS223" i="5"/>
  <c r="AI223" i="5"/>
  <c r="AI324" i="5"/>
  <c r="AS324" i="5"/>
  <c r="AH324" i="5"/>
  <c r="AH252" i="5"/>
  <c r="AI252" i="5"/>
  <c r="AS252" i="5"/>
  <c r="AI303" i="5"/>
  <c r="AH303" i="5"/>
  <c r="AS303" i="5"/>
  <c r="AS119" i="5"/>
  <c r="AH119" i="5"/>
  <c r="AI119" i="5"/>
  <c r="AL424" i="5"/>
  <c r="AK424" i="5"/>
  <c r="AL105" i="5"/>
  <c r="AK105" i="5"/>
  <c r="AK310" i="5"/>
  <c r="AL310" i="5"/>
  <c r="AK378" i="5"/>
  <c r="AL378" i="5"/>
  <c r="AK409" i="5"/>
  <c r="AL409" i="5"/>
  <c r="AK49" i="5"/>
  <c r="AL49" i="5"/>
  <c r="AK372" i="5"/>
  <c r="AL372" i="5"/>
  <c r="AK479" i="5"/>
  <c r="AL479" i="5"/>
  <c r="AK74" i="5"/>
  <c r="AL74" i="5"/>
  <c r="AK270" i="5"/>
  <c r="AL270" i="5"/>
  <c r="AK111" i="5"/>
  <c r="AL111" i="5"/>
  <c r="AK316" i="5"/>
  <c r="AL316" i="5"/>
  <c r="AX81" i="4"/>
  <c r="AY81" i="4" s="1"/>
  <c r="CN81" i="4" s="1"/>
  <c r="AU81" i="4"/>
  <c r="AV81" i="4" s="1"/>
  <c r="AU125" i="4"/>
  <c r="AV125" i="4" s="1"/>
  <c r="AX125" i="4"/>
  <c r="AY125" i="4" s="1"/>
  <c r="CN125" i="4" s="1"/>
  <c r="AU77" i="4"/>
  <c r="AV77" i="4" s="1"/>
  <c r="AX77" i="4"/>
  <c r="AY77" i="4" s="1"/>
  <c r="CN77" i="4" s="1"/>
  <c r="AI449" i="5"/>
  <c r="AH449" i="5"/>
  <c r="AS449" i="5"/>
  <c r="AI535" i="5"/>
  <c r="AH535" i="5"/>
  <c r="AS535" i="5"/>
  <c r="AH407" i="5"/>
  <c r="AI407" i="5"/>
  <c r="AS407" i="5"/>
  <c r="AS117" i="5"/>
  <c r="AH117" i="5"/>
  <c r="AI117" i="5"/>
  <c r="AH164" i="5"/>
  <c r="AI164" i="5"/>
  <c r="AS164" i="5"/>
  <c r="AH103" i="5"/>
  <c r="AI103" i="5"/>
  <c r="AS103" i="5"/>
  <c r="AS540" i="5"/>
  <c r="AI540" i="5"/>
  <c r="AH540" i="5"/>
  <c r="AI460" i="5"/>
  <c r="AS460" i="5"/>
  <c r="AH460" i="5"/>
  <c r="AI367" i="5"/>
  <c r="AH367" i="5"/>
  <c r="AS367" i="5"/>
  <c r="AH289" i="5"/>
  <c r="AS289" i="5"/>
  <c r="AI289" i="5"/>
  <c r="AH176" i="5"/>
  <c r="AI176" i="5"/>
  <c r="AS176" i="5"/>
  <c r="AS69" i="5"/>
  <c r="AH69" i="5"/>
  <c r="AI69" i="5"/>
  <c r="AH455" i="5"/>
  <c r="AS455" i="5"/>
  <c r="AI455" i="5"/>
  <c r="AH370" i="5"/>
  <c r="AI370" i="5"/>
  <c r="AS370" i="5"/>
  <c r="AH180" i="5"/>
  <c r="AI180" i="5"/>
  <c r="AS180" i="5"/>
  <c r="AI219" i="5"/>
  <c r="AS219" i="5"/>
  <c r="AH219" i="5"/>
  <c r="AH172" i="5"/>
  <c r="AI172" i="5"/>
  <c r="AS172" i="5"/>
  <c r="AH61" i="5"/>
  <c r="AI61" i="5"/>
  <c r="AS61" i="5"/>
  <c r="AH204" i="5"/>
  <c r="AI204" i="5"/>
  <c r="AS204" i="5"/>
  <c r="AS443" i="5"/>
  <c r="AI443" i="5"/>
  <c r="AH443" i="5"/>
  <c r="AS341" i="5"/>
  <c r="AH341" i="5"/>
  <c r="AI341" i="5"/>
  <c r="AH265" i="5"/>
  <c r="AS265" i="5"/>
  <c r="AI265" i="5"/>
  <c r="AH158" i="5"/>
  <c r="AS158" i="5"/>
  <c r="AI158" i="5"/>
  <c r="AI527" i="5"/>
  <c r="AH527" i="5"/>
  <c r="AS527" i="5"/>
  <c r="AS474" i="5"/>
  <c r="AI474" i="5"/>
  <c r="AH474" i="5"/>
  <c r="AI385" i="5"/>
  <c r="AS385" i="5"/>
  <c r="AH385" i="5"/>
  <c r="AS300" i="5"/>
  <c r="AH300" i="5"/>
  <c r="AI300" i="5"/>
  <c r="AI195" i="5"/>
  <c r="AH195" i="5"/>
  <c r="AS195" i="5"/>
  <c r="AI89" i="5"/>
  <c r="AH89" i="5"/>
  <c r="AS89" i="5"/>
  <c r="AI529" i="5"/>
  <c r="AH529" i="5"/>
  <c r="AS529" i="5"/>
  <c r="AI337" i="5"/>
  <c r="AH337" i="5"/>
  <c r="AS337" i="5"/>
  <c r="AS339" i="5"/>
  <c r="AI339" i="5"/>
  <c r="AH339" i="5"/>
  <c r="AH244" i="5"/>
  <c r="AI244" i="5"/>
  <c r="AS244" i="5"/>
  <c r="AI211" i="5"/>
  <c r="AH211" i="5"/>
  <c r="AS211" i="5"/>
  <c r="AI79" i="5"/>
  <c r="AH79" i="5"/>
  <c r="AS79" i="5"/>
  <c r="AI526" i="5"/>
  <c r="AS526" i="5"/>
  <c r="AH526" i="5"/>
  <c r="AS434" i="5"/>
  <c r="AI434" i="5"/>
  <c r="AH434" i="5"/>
  <c r="AH321" i="5"/>
  <c r="AS321" i="5"/>
  <c r="AI321" i="5"/>
  <c r="AI266" i="5"/>
  <c r="AH266" i="5"/>
  <c r="AS266" i="5"/>
  <c r="AH190" i="5"/>
  <c r="AI190" i="5"/>
  <c r="AS190" i="5"/>
  <c r="AS68" i="5"/>
  <c r="AH68" i="5"/>
  <c r="AI68" i="5"/>
  <c r="AI473" i="5"/>
  <c r="AH473" i="5"/>
  <c r="AS473" i="5"/>
  <c r="AS481" i="5"/>
  <c r="AH481" i="5"/>
  <c r="AI481" i="5"/>
  <c r="AI382" i="5"/>
  <c r="AH382" i="5"/>
  <c r="AS382" i="5"/>
  <c r="AS283" i="5"/>
  <c r="AH283" i="5"/>
  <c r="AI283" i="5"/>
  <c r="AS112" i="5"/>
  <c r="AH112" i="5"/>
  <c r="AI112" i="5"/>
  <c r="AS44" i="5"/>
  <c r="AH44" i="5"/>
  <c r="AI44" i="5"/>
  <c r="AH88" i="5"/>
  <c r="AI88" i="5"/>
  <c r="AS88" i="5"/>
  <c r="AI39" i="5"/>
  <c r="AH39" i="5"/>
  <c r="AS39" i="5"/>
  <c r="AS539" i="5"/>
  <c r="AI539" i="5"/>
  <c r="AH539" i="5"/>
  <c r="AI472" i="5"/>
  <c r="AH472" i="5"/>
  <c r="AS472" i="5"/>
  <c r="AI369" i="5"/>
  <c r="AH369" i="5"/>
  <c r="AS369" i="5"/>
  <c r="AI342" i="5"/>
  <c r="AH342" i="5"/>
  <c r="AS342" i="5"/>
  <c r="AH293" i="5"/>
  <c r="AS293" i="5"/>
  <c r="AI293" i="5"/>
  <c r="AI197" i="5"/>
  <c r="AH197" i="5"/>
  <c r="AS197" i="5"/>
  <c r="AI151" i="5"/>
  <c r="AH151" i="5"/>
  <c r="AS151" i="5"/>
  <c r="AI32" i="5"/>
  <c r="AS32" i="5"/>
  <c r="AH32" i="5"/>
  <c r="AH146" i="5"/>
  <c r="AI146" i="5"/>
  <c r="AS146" i="5"/>
  <c r="AI70" i="5"/>
  <c r="AS70" i="5"/>
  <c r="AH70" i="5"/>
  <c r="AH556" i="5"/>
  <c r="AI556" i="5"/>
  <c r="AS556" i="5"/>
  <c r="AH524" i="5"/>
  <c r="AS524" i="5"/>
  <c r="AI524" i="5"/>
  <c r="AI493" i="5"/>
  <c r="AH493" i="5"/>
  <c r="AS493" i="5"/>
  <c r="AI333" i="5"/>
  <c r="AH333" i="5"/>
  <c r="AS333" i="5"/>
  <c r="AI259" i="5"/>
  <c r="AH259" i="5"/>
  <c r="AS259" i="5"/>
  <c r="AH238" i="5"/>
  <c r="AI238" i="5"/>
  <c r="AS238" i="5"/>
  <c r="AI181" i="5"/>
  <c r="AH181" i="5"/>
  <c r="AS181" i="5"/>
  <c r="AI83" i="5"/>
  <c r="AH83" i="5"/>
  <c r="AS83" i="5"/>
  <c r="AI31" i="5"/>
  <c r="AH31" i="5"/>
  <c r="AS31" i="5"/>
  <c r="AU151" i="4"/>
  <c r="AV151" i="4" s="1"/>
  <c r="AX151" i="4"/>
  <c r="AY151" i="4" s="1"/>
  <c r="CN151" i="4" s="1"/>
  <c r="AU47" i="4"/>
  <c r="AV47" i="4" s="1"/>
  <c r="AX47" i="4"/>
  <c r="AY47" i="4" s="1"/>
  <c r="CN47" i="4" s="1"/>
  <c r="AX17" i="4"/>
  <c r="AY17" i="4" s="1"/>
  <c r="CN17" i="4" s="1"/>
  <c r="AU17" i="4"/>
  <c r="AV17" i="4" s="1"/>
  <c r="AL539" i="5"/>
  <c r="AK539" i="5"/>
  <c r="AK426" i="5"/>
  <c r="AL426" i="5"/>
  <c r="AK137" i="5"/>
  <c r="AL137" i="5"/>
  <c r="AK472" i="5"/>
  <c r="AL472" i="5"/>
  <c r="AL311" i="5"/>
  <c r="AK311" i="5"/>
  <c r="AK169" i="5"/>
  <c r="AL169" i="5"/>
  <c r="AL152" i="5"/>
  <c r="AK152" i="5"/>
  <c r="AK464" i="5"/>
  <c r="AL464" i="5"/>
  <c r="AK385" i="5"/>
  <c r="AL385" i="5"/>
  <c r="AK355" i="5"/>
  <c r="AL355" i="5"/>
  <c r="AL163" i="5"/>
  <c r="AK163" i="5"/>
  <c r="AL144" i="5"/>
  <c r="AK144" i="5"/>
  <c r="AK57" i="5"/>
  <c r="AL57" i="5"/>
  <c r="AK532" i="5"/>
  <c r="AL532" i="5"/>
  <c r="AK373" i="5"/>
  <c r="AL373" i="5"/>
  <c r="AK413" i="5"/>
  <c r="AL413" i="5"/>
  <c r="AL249" i="5"/>
  <c r="AK249" i="5"/>
  <c r="AK196" i="5"/>
  <c r="AL196" i="5"/>
  <c r="AK84" i="5"/>
  <c r="AL84" i="5"/>
  <c r="AK531" i="5"/>
  <c r="AL531" i="5"/>
  <c r="AK521" i="5"/>
  <c r="AL521" i="5"/>
  <c r="AK264" i="5"/>
  <c r="AL264" i="5"/>
  <c r="AK260" i="5"/>
  <c r="AL260" i="5"/>
  <c r="AL234" i="5"/>
  <c r="AK234" i="5"/>
  <c r="AK127" i="5"/>
  <c r="AL127" i="5"/>
  <c r="AL24" i="5"/>
  <c r="AK24" i="5"/>
  <c r="AL496" i="5"/>
  <c r="AK496" i="5"/>
  <c r="AK453" i="5"/>
  <c r="AL453" i="5"/>
  <c r="AK313" i="5"/>
  <c r="AL313" i="5"/>
  <c r="AL247" i="5"/>
  <c r="AK247" i="5"/>
  <c r="AL139" i="5"/>
  <c r="AK139" i="5"/>
  <c r="AK40" i="5"/>
  <c r="AL40" i="5"/>
  <c r="AK468" i="5"/>
  <c r="AL468" i="5"/>
  <c r="AK449" i="5"/>
  <c r="AL449" i="5"/>
  <c r="AK439" i="5"/>
  <c r="AL439" i="5"/>
  <c r="AK268" i="5"/>
  <c r="AL268" i="5"/>
  <c r="AL160" i="5"/>
  <c r="AK160" i="5"/>
  <c r="AK100" i="5"/>
  <c r="AL100" i="5"/>
  <c r="AK437" i="5"/>
  <c r="AL437" i="5"/>
  <c r="AK403" i="5"/>
  <c r="AL403" i="5"/>
  <c r="AK325" i="5"/>
  <c r="AL325" i="5"/>
  <c r="AK220" i="5"/>
  <c r="AL220" i="5"/>
  <c r="AK114" i="5"/>
  <c r="AL114" i="5"/>
  <c r="AK27" i="5"/>
  <c r="AL27" i="5"/>
  <c r="AL291" i="5"/>
  <c r="AK291" i="5"/>
  <c r="AL512" i="5"/>
  <c r="AK512" i="5"/>
  <c r="AK389" i="5"/>
  <c r="AL389" i="5"/>
  <c r="AK330" i="5"/>
  <c r="AL330" i="5"/>
  <c r="AK165" i="5"/>
  <c r="AL165" i="5"/>
  <c r="AK93" i="5"/>
  <c r="AL93" i="5"/>
  <c r="AL545" i="5"/>
  <c r="AK545" i="5"/>
  <c r="AL501" i="5"/>
  <c r="AK501" i="5"/>
  <c r="AK361" i="5"/>
  <c r="AL361" i="5"/>
  <c r="AK374" i="5"/>
  <c r="AL374" i="5"/>
  <c r="AL297" i="5"/>
  <c r="AK297" i="5"/>
  <c r="AK253" i="5"/>
  <c r="AL253" i="5"/>
  <c r="AL188" i="5"/>
  <c r="AK188" i="5"/>
  <c r="AL135" i="5"/>
  <c r="AK135" i="5"/>
  <c r="AL33" i="5"/>
  <c r="AK33" i="5"/>
  <c r="AL558" i="5"/>
  <c r="AK558" i="5"/>
  <c r="AK455" i="5"/>
  <c r="AL455" i="5"/>
  <c r="AL303" i="5"/>
  <c r="AK303" i="5"/>
  <c r="AL353" i="5"/>
  <c r="AK353" i="5"/>
  <c r="AL317" i="5"/>
  <c r="AK317" i="5"/>
  <c r="AK203" i="5"/>
  <c r="AL203" i="5"/>
  <c r="AK132" i="5"/>
  <c r="AL132" i="5"/>
  <c r="AK56" i="5"/>
  <c r="AL56" i="5"/>
  <c r="AU55" i="4"/>
  <c r="AV55" i="4" s="1"/>
  <c r="AX55" i="4"/>
  <c r="AY55" i="4" s="1"/>
  <c r="CN55" i="4" s="1"/>
  <c r="AX40" i="4"/>
  <c r="AY40" i="4" s="1"/>
  <c r="CN40" i="4" s="1"/>
  <c r="AU40" i="4"/>
  <c r="AV40" i="4" s="1"/>
  <c r="AU43" i="4"/>
  <c r="AV43" i="4" s="1"/>
  <c r="AX43" i="4"/>
  <c r="AY43" i="4" s="1"/>
  <c r="CN43" i="4" s="1"/>
  <c r="AU124" i="4"/>
  <c r="AV124" i="4" s="1"/>
  <c r="AX124" i="4"/>
  <c r="AY124" i="4" s="1"/>
  <c r="CN124" i="4" s="1"/>
  <c r="AX53" i="4"/>
  <c r="AY53" i="4" s="1"/>
  <c r="CN53" i="4" s="1"/>
  <c r="AU53" i="4"/>
  <c r="AV53" i="4" s="1"/>
  <c r="AU126" i="4"/>
  <c r="AV126" i="4" s="1"/>
  <c r="AX126" i="4"/>
  <c r="AY126" i="4" s="1"/>
  <c r="CN126" i="4" s="1"/>
  <c r="AX73" i="4"/>
  <c r="AY73" i="4" s="1"/>
  <c r="CN73" i="4" s="1"/>
  <c r="AU73" i="4"/>
  <c r="AV73" i="4" s="1"/>
  <c r="AU51" i="4"/>
  <c r="AV51" i="4" s="1"/>
  <c r="AX51" i="4"/>
  <c r="AY51" i="4" s="1"/>
  <c r="CN51" i="4" s="1"/>
  <c r="AX87" i="4"/>
  <c r="AY87" i="4" s="1"/>
  <c r="CN87" i="4" s="1"/>
  <c r="AU87" i="4"/>
  <c r="AV87" i="4" s="1"/>
  <c r="AX149" i="4"/>
  <c r="AY149" i="4" s="1"/>
  <c r="CN149" i="4" s="1"/>
  <c r="AU149" i="4"/>
  <c r="AV149" i="4" s="1"/>
  <c r="AX30" i="4"/>
  <c r="AY30" i="4" s="1"/>
  <c r="CN30" i="4" s="1"/>
  <c r="AU30" i="4"/>
  <c r="AV30" i="4" s="1"/>
  <c r="AH416" i="5"/>
  <c r="AS416" i="5"/>
  <c r="AI416" i="5"/>
  <c r="AH384" i="5"/>
  <c r="AI384" i="5"/>
  <c r="AS384" i="5"/>
  <c r="AI309" i="5"/>
  <c r="AH309" i="5"/>
  <c r="AS309" i="5"/>
  <c r="AI363" i="5"/>
  <c r="AH363" i="5"/>
  <c r="AS363" i="5"/>
  <c r="AS386" i="5"/>
  <c r="AI386" i="5"/>
  <c r="AH386" i="5"/>
  <c r="AI549" i="5"/>
  <c r="AH549" i="5"/>
  <c r="AS549" i="5"/>
  <c r="AS263" i="5"/>
  <c r="AI263" i="5"/>
  <c r="AH263" i="5"/>
  <c r="AS450" i="5"/>
  <c r="AI450" i="5"/>
  <c r="AH450" i="5"/>
  <c r="AH21" i="5"/>
  <c r="AS21" i="5"/>
  <c r="AI21" i="5"/>
  <c r="AK136" i="5"/>
  <c r="AL136" i="5"/>
  <c r="AK206" i="5"/>
  <c r="AL206" i="5"/>
  <c r="AL493" i="5"/>
  <c r="AK493" i="5"/>
  <c r="AK445" i="5"/>
  <c r="AL445" i="5"/>
  <c r="AK182" i="5"/>
  <c r="AL182" i="5"/>
  <c r="AK45" i="5"/>
  <c r="AL45" i="5"/>
  <c r="AL557" i="5"/>
  <c r="AK557" i="5"/>
  <c r="AK183" i="5"/>
  <c r="AL183" i="5"/>
  <c r="AL207" i="5"/>
  <c r="AK207" i="5"/>
  <c r="AX140" i="4"/>
  <c r="AY140" i="4" s="1"/>
  <c r="CN140" i="4" s="1"/>
  <c r="AU140" i="4"/>
  <c r="AV140" i="4" s="1"/>
  <c r="AU70" i="4"/>
  <c r="AV70" i="4" s="1"/>
  <c r="AX70" i="4"/>
  <c r="AY70" i="4" s="1"/>
  <c r="CN70" i="4" s="1"/>
  <c r="AU135" i="4"/>
  <c r="AV135" i="4" s="1"/>
  <c r="AX135" i="4"/>
  <c r="AY135" i="4" s="1"/>
  <c r="CN135" i="4" s="1"/>
  <c r="AH292" i="5"/>
  <c r="AS292" i="5"/>
  <c r="AI292" i="5"/>
  <c r="AH246" i="5"/>
  <c r="AI246" i="5"/>
  <c r="AS246" i="5"/>
  <c r="AI169" i="5"/>
  <c r="AH169" i="5"/>
  <c r="AS169" i="5"/>
  <c r="AH240" i="5"/>
  <c r="AS240" i="5"/>
  <c r="AI240" i="5"/>
  <c r="AI91" i="5"/>
  <c r="AH91" i="5"/>
  <c r="AS91" i="5"/>
  <c r="AH78" i="5"/>
  <c r="AI78" i="5"/>
  <c r="AS78" i="5"/>
  <c r="AI424" i="5"/>
  <c r="AH424" i="5"/>
  <c r="AS424" i="5"/>
  <c r="AI231" i="5"/>
  <c r="AS231" i="5"/>
  <c r="AH231" i="5"/>
  <c r="AI183" i="5"/>
  <c r="AH183" i="5"/>
  <c r="AS183" i="5"/>
  <c r="AI435" i="5"/>
  <c r="AS435" i="5"/>
  <c r="AH435" i="5"/>
  <c r="AI33" i="5"/>
  <c r="AH33" i="5"/>
  <c r="AS33" i="5"/>
  <c r="AI480" i="5"/>
  <c r="AH480" i="5"/>
  <c r="AS480" i="5"/>
  <c r="AI327" i="5"/>
  <c r="AH327" i="5"/>
  <c r="AS327" i="5"/>
  <c r="AK81" i="5"/>
  <c r="AL81" i="5"/>
  <c r="AK396" i="5"/>
  <c r="AL396" i="5"/>
  <c r="AK552" i="5"/>
  <c r="AL552" i="5"/>
  <c r="AL82" i="5"/>
  <c r="AK82" i="5"/>
  <c r="AK235" i="5"/>
  <c r="AL235" i="5"/>
  <c r="AL334" i="5"/>
  <c r="AK334" i="5"/>
  <c r="AK423" i="5"/>
  <c r="AL423" i="5"/>
  <c r="AL507" i="5"/>
  <c r="AK507" i="5"/>
  <c r="AK181" i="5"/>
  <c r="AL181" i="5"/>
  <c r="AK284" i="5"/>
  <c r="AL284" i="5"/>
  <c r="AK505" i="5"/>
  <c r="AL505" i="5"/>
  <c r="AK534" i="5"/>
  <c r="AL534" i="5"/>
  <c r="AK158" i="5"/>
  <c r="AL158" i="5"/>
  <c r="AU20" i="4"/>
  <c r="AV20" i="4" s="1"/>
  <c r="AX20" i="4"/>
  <c r="AY20" i="4" s="1"/>
  <c r="CN20" i="4" s="1"/>
  <c r="AX138" i="4"/>
  <c r="AY138" i="4" s="1"/>
  <c r="CN138" i="4" s="1"/>
  <c r="AU138" i="4"/>
  <c r="AV138" i="4" s="1"/>
  <c r="AU44" i="4"/>
  <c r="AV44" i="4" s="1"/>
  <c r="AX44" i="4"/>
  <c r="AY44" i="4" s="1"/>
  <c r="CN44" i="4" s="1"/>
  <c r="AX155" i="4"/>
  <c r="AY155" i="4" s="1"/>
  <c r="CN155" i="4" s="1"/>
  <c r="AU155" i="4"/>
  <c r="AV155" i="4" s="1"/>
  <c r="AH362" i="5"/>
  <c r="AS362" i="5"/>
  <c r="AI362" i="5"/>
  <c r="AI461" i="5"/>
  <c r="AH461" i="5"/>
  <c r="AS461" i="5"/>
  <c r="AI548" i="5"/>
  <c r="AH548" i="5"/>
  <c r="AS548" i="5"/>
  <c r="AH267" i="5"/>
  <c r="AI267" i="5"/>
  <c r="AS267" i="5"/>
  <c r="AH250" i="5"/>
  <c r="AI250" i="5"/>
  <c r="AS250" i="5"/>
  <c r="AH185" i="5"/>
  <c r="AI185" i="5"/>
  <c r="AS185" i="5"/>
  <c r="AI65" i="5"/>
  <c r="AS65" i="5"/>
  <c r="AH65" i="5"/>
  <c r="AI528" i="5"/>
  <c r="AH528" i="5"/>
  <c r="AS528" i="5"/>
  <c r="AS508" i="5"/>
  <c r="AI508" i="5"/>
  <c r="AH508" i="5"/>
  <c r="AS406" i="5"/>
  <c r="AI406" i="5"/>
  <c r="AH406" i="5"/>
  <c r="AI314" i="5"/>
  <c r="AH314" i="5"/>
  <c r="AS314" i="5"/>
  <c r="AH170" i="5"/>
  <c r="AI170" i="5"/>
  <c r="AS170" i="5"/>
  <c r="AS34" i="5"/>
  <c r="AH34" i="5"/>
  <c r="AI34" i="5"/>
  <c r="AI380" i="5"/>
  <c r="AS380" i="5"/>
  <c r="AH380" i="5"/>
  <c r="AI445" i="5"/>
  <c r="AH445" i="5"/>
  <c r="AS445" i="5"/>
  <c r="AS364" i="5"/>
  <c r="AH364" i="5"/>
  <c r="AI364" i="5"/>
  <c r="AS273" i="5"/>
  <c r="AI273" i="5"/>
  <c r="AH273" i="5"/>
  <c r="AI171" i="5"/>
  <c r="AH171" i="5"/>
  <c r="AS171" i="5"/>
  <c r="AI538" i="5"/>
  <c r="AS538" i="5"/>
  <c r="AH538" i="5"/>
  <c r="AI477" i="5"/>
  <c r="AH477" i="5"/>
  <c r="AS477" i="5"/>
  <c r="AH402" i="5"/>
  <c r="AS402" i="5"/>
  <c r="AI402" i="5"/>
  <c r="AH307" i="5"/>
  <c r="AS307" i="5"/>
  <c r="AI307" i="5"/>
  <c r="AI212" i="5"/>
  <c r="AS212" i="5"/>
  <c r="AH212" i="5"/>
  <c r="AI104" i="5"/>
  <c r="AH104" i="5"/>
  <c r="AS104" i="5"/>
  <c r="AS426" i="5"/>
  <c r="AI426" i="5"/>
  <c r="AH426" i="5"/>
  <c r="AI490" i="5"/>
  <c r="AS490" i="5"/>
  <c r="AH490" i="5"/>
  <c r="AI387" i="5"/>
  <c r="AS387" i="5"/>
  <c r="AH387" i="5"/>
  <c r="AH316" i="5"/>
  <c r="AI316" i="5"/>
  <c r="AS316" i="5"/>
  <c r="AI227" i="5"/>
  <c r="AH227" i="5"/>
  <c r="AS227" i="5"/>
  <c r="AI93" i="5"/>
  <c r="AH93" i="5"/>
  <c r="AS93" i="5"/>
  <c r="AS545" i="5"/>
  <c r="AH545" i="5"/>
  <c r="AI545" i="5"/>
  <c r="AS442" i="5"/>
  <c r="AI442" i="5"/>
  <c r="AH442" i="5"/>
  <c r="AI326" i="5"/>
  <c r="AH326" i="5"/>
  <c r="AS326" i="5"/>
  <c r="AH276" i="5"/>
  <c r="AI276" i="5"/>
  <c r="AS276" i="5"/>
  <c r="AH198" i="5"/>
  <c r="AI198" i="5"/>
  <c r="AS198" i="5"/>
  <c r="AS23" i="5"/>
  <c r="AH23" i="5"/>
  <c r="AI23" i="5"/>
  <c r="AI476" i="5"/>
  <c r="AS476" i="5"/>
  <c r="AH476" i="5"/>
  <c r="AI487" i="5"/>
  <c r="AH487" i="5"/>
  <c r="AS487" i="5"/>
  <c r="AI388" i="5"/>
  <c r="AS388" i="5"/>
  <c r="AH388" i="5"/>
  <c r="AS287" i="5"/>
  <c r="AH287" i="5"/>
  <c r="AI287" i="5"/>
  <c r="AS125" i="5"/>
  <c r="AH125" i="5"/>
  <c r="AI125" i="5"/>
  <c r="AH46" i="5"/>
  <c r="AI46" i="5"/>
  <c r="AS46" i="5"/>
  <c r="AH505" i="5"/>
  <c r="AS505" i="5"/>
  <c r="AI505" i="5"/>
  <c r="AS418" i="5"/>
  <c r="AI418" i="5"/>
  <c r="AH418" i="5"/>
  <c r="AI336" i="5"/>
  <c r="AH336" i="5"/>
  <c r="AS336" i="5"/>
  <c r="AS230" i="5"/>
  <c r="AH230" i="5"/>
  <c r="AI230" i="5"/>
  <c r="AS99" i="5"/>
  <c r="AH99" i="5"/>
  <c r="AI99" i="5"/>
  <c r="AH150" i="5"/>
  <c r="AS150" i="5"/>
  <c r="AI150" i="5"/>
  <c r="AH90" i="5"/>
  <c r="AI90" i="5"/>
  <c r="AS90" i="5"/>
  <c r="AI534" i="5"/>
  <c r="AS534" i="5"/>
  <c r="AH534" i="5"/>
  <c r="AH559" i="5"/>
  <c r="AS559" i="5"/>
  <c r="AI559" i="5"/>
  <c r="AH331" i="5"/>
  <c r="AS331" i="5"/>
  <c r="AI331" i="5"/>
  <c r="AI391" i="5"/>
  <c r="AH391" i="5"/>
  <c r="AS391" i="5"/>
  <c r="AI269" i="5"/>
  <c r="AS269" i="5"/>
  <c r="AH269" i="5"/>
  <c r="AI228" i="5"/>
  <c r="AH228" i="5"/>
  <c r="AS228" i="5"/>
  <c r="AI95" i="5"/>
  <c r="AH95" i="5"/>
  <c r="AS95" i="5"/>
  <c r="AI85" i="5"/>
  <c r="AH85" i="5"/>
  <c r="AS85" i="5"/>
  <c r="AH194" i="5"/>
  <c r="AI194" i="5"/>
  <c r="AS194" i="5"/>
  <c r="AH148" i="5"/>
  <c r="AI148" i="5"/>
  <c r="AS148" i="5"/>
  <c r="AI56" i="5"/>
  <c r="AS56" i="5"/>
  <c r="AH56" i="5"/>
  <c r="AH365" i="5"/>
  <c r="AI365" i="5"/>
  <c r="AS365" i="5"/>
  <c r="AI457" i="5"/>
  <c r="AS457" i="5"/>
  <c r="AH457" i="5"/>
  <c r="AI379" i="5"/>
  <c r="AH379" i="5"/>
  <c r="AS379" i="5"/>
  <c r="AI420" i="5"/>
  <c r="AS420" i="5"/>
  <c r="AH420" i="5"/>
  <c r="AH297" i="5"/>
  <c r="AS297" i="5"/>
  <c r="AI297" i="5"/>
  <c r="AS243" i="5"/>
  <c r="AH243" i="5"/>
  <c r="AI243" i="5"/>
  <c r="AH173" i="5"/>
  <c r="AI173" i="5"/>
  <c r="AS173" i="5"/>
  <c r="AH87" i="5"/>
  <c r="AI87" i="5"/>
  <c r="AS87" i="5"/>
  <c r="AU88" i="4"/>
  <c r="AV88" i="4" s="1"/>
  <c r="AX88" i="4"/>
  <c r="AY88" i="4" s="1"/>
  <c r="CN88" i="4" s="1"/>
  <c r="AU85" i="4"/>
  <c r="AV85" i="4" s="1"/>
  <c r="AX85" i="4"/>
  <c r="AY85" i="4" s="1"/>
  <c r="CN85" i="4" s="1"/>
  <c r="AK348" i="5"/>
  <c r="AL348" i="5"/>
  <c r="AL205" i="5"/>
  <c r="AK205" i="5"/>
  <c r="AL533" i="5"/>
  <c r="AK533" i="5"/>
  <c r="AK212" i="5"/>
  <c r="AL212" i="5"/>
  <c r="AK108" i="5"/>
  <c r="AL108" i="5"/>
  <c r="AK39" i="5"/>
  <c r="AL39" i="5"/>
  <c r="AL360" i="5"/>
  <c r="AK360" i="5"/>
  <c r="AK335" i="5"/>
  <c r="AL335" i="5"/>
  <c r="AK323" i="5"/>
  <c r="AL323" i="5"/>
  <c r="AL273" i="5"/>
  <c r="AK273" i="5"/>
  <c r="AK239" i="5"/>
  <c r="AL239" i="5"/>
  <c r="AK134" i="5"/>
  <c r="AL134" i="5"/>
  <c r="AL35" i="5"/>
  <c r="AK35" i="5"/>
  <c r="AK526" i="5"/>
  <c r="AL526" i="5"/>
  <c r="AL465" i="5"/>
  <c r="AK465" i="5"/>
  <c r="AK344" i="5"/>
  <c r="AL344" i="5"/>
  <c r="AK262" i="5"/>
  <c r="AL262" i="5"/>
  <c r="AL164" i="5"/>
  <c r="AK164" i="5"/>
  <c r="AK77" i="5"/>
  <c r="AL77" i="5"/>
  <c r="AL528" i="5"/>
  <c r="AK528" i="5"/>
  <c r="AK451" i="5"/>
  <c r="AL451" i="5"/>
  <c r="AL318" i="5"/>
  <c r="AK318" i="5"/>
  <c r="AL283" i="5"/>
  <c r="AK283" i="5"/>
  <c r="AK194" i="5"/>
  <c r="AL194" i="5"/>
  <c r="AK103" i="5"/>
  <c r="AL103" i="5"/>
  <c r="AL543" i="5"/>
  <c r="AK543" i="5"/>
  <c r="AK414" i="5"/>
  <c r="AL414" i="5"/>
  <c r="AL381" i="5"/>
  <c r="AK381" i="5"/>
  <c r="AL292" i="5"/>
  <c r="AK292" i="5"/>
  <c r="AK192" i="5"/>
  <c r="AL192" i="5"/>
  <c r="AK157" i="5"/>
  <c r="AL157" i="5"/>
  <c r="AK69" i="5"/>
  <c r="AL69" i="5"/>
  <c r="AL542" i="5"/>
  <c r="AK542" i="5"/>
  <c r="AK482" i="5"/>
  <c r="AL482" i="5"/>
  <c r="AK363" i="5"/>
  <c r="AL363" i="5"/>
  <c r="AL298" i="5"/>
  <c r="AK298" i="5"/>
  <c r="AL186" i="5"/>
  <c r="AK186" i="5"/>
  <c r="AL91" i="5"/>
  <c r="AK91" i="5"/>
  <c r="AK498" i="5"/>
  <c r="AL498" i="5"/>
  <c r="AK509" i="5"/>
  <c r="AL509" i="5"/>
  <c r="AK406" i="5"/>
  <c r="AL406" i="5"/>
  <c r="AK245" i="5"/>
  <c r="AL245" i="5"/>
  <c r="AL197" i="5"/>
  <c r="AK197" i="5"/>
  <c r="AK87" i="5"/>
  <c r="AL87" i="5"/>
  <c r="AK41" i="5"/>
  <c r="AL41" i="5"/>
  <c r="AK483" i="5"/>
  <c r="AL483" i="5"/>
  <c r="AK430" i="5"/>
  <c r="AL430" i="5"/>
  <c r="AK281" i="5"/>
  <c r="AL281" i="5"/>
  <c r="AK211" i="5"/>
  <c r="AL211" i="5"/>
  <c r="AK151" i="5"/>
  <c r="AL151" i="5"/>
  <c r="AK71" i="5"/>
  <c r="AL71" i="5"/>
  <c r="AL478" i="5"/>
  <c r="AK478" i="5"/>
  <c r="AK433" i="5"/>
  <c r="AL433" i="5"/>
  <c r="AK477" i="5"/>
  <c r="AL477" i="5"/>
  <c r="AK427" i="5"/>
  <c r="AL427" i="5"/>
  <c r="AL213" i="5"/>
  <c r="AK213" i="5"/>
  <c r="AK216" i="5"/>
  <c r="AL216" i="5"/>
  <c r="AL176" i="5"/>
  <c r="AK176" i="5"/>
  <c r="AK95" i="5"/>
  <c r="AL95" i="5"/>
  <c r="AK514" i="5"/>
  <c r="AL514" i="5"/>
  <c r="AK490" i="5"/>
  <c r="AL490" i="5"/>
  <c r="AK523" i="5"/>
  <c r="AL523" i="5"/>
  <c r="AK358" i="5"/>
  <c r="AL358" i="5"/>
  <c r="AL286" i="5"/>
  <c r="AK286" i="5"/>
  <c r="AK236" i="5"/>
  <c r="AL236" i="5"/>
  <c r="AK171" i="5"/>
  <c r="AL171" i="5"/>
  <c r="AK125" i="5"/>
  <c r="AL125" i="5"/>
  <c r="AL52" i="5"/>
  <c r="AK52" i="5"/>
  <c r="AU8" i="4"/>
  <c r="AV8" i="4" s="1"/>
  <c r="AX8" i="4"/>
  <c r="AY8" i="4" s="1"/>
  <c r="CN8" i="4" s="1"/>
  <c r="AU141" i="4"/>
  <c r="AV141" i="4" s="1"/>
  <c r="AX141" i="4"/>
  <c r="AY141" i="4" s="1"/>
  <c r="CN141" i="4" s="1"/>
  <c r="AU38" i="4"/>
  <c r="AV38" i="4" s="1"/>
  <c r="AX38" i="4"/>
  <c r="AY38" i="4" s="1"/>
  <c r="CN38" i="4" s="1"/>
  <c r="AX66" i="4"/>
  <c r="AY66" i="4" s="1"/>
  <c r="CN66" i="4" s="1"/>
  <c r="AU66" i="4"/>
  <c r="AV66" i="4" s="1"/>
  <c r="AX139" i="4"/>
  <c r="AY139" i="4" s="1"/>
  <c r="CN139" i="4" s="1"/>
  <c r="AU139" i="4"/>
  <c r="AV139" i="4" s="1"/>
  <c r="AX83" i="4"/>
  <c r="AY83" i="4" s="1"/>
  <c r="CN83" i="4" s="1"/>
  <c r="AU83" i="4"/>
  <c r="AV83" i="4" s="1"/>
  <c r="AU75" i="4"/>
  <c r="AV75" i="4" s="1"/>
  <c r="AX75" i="4"/>
  <c r="AY75" i="4" s="1"/>
  <c r="CN75" i="4" s="1"/>
  <c r="AU93" i="4"/>
  <c r="AV93" i="4" s="1"/>
  <c r="AX93" i="4"/>
  <c r="AY93" i="4" s="1"/>
  <c r="CN93" i="4" s="1"/>
  <c r="AU156" i="4"/>
  <c r="AV156" i="4" s="1"/>
  <c r="AX156" i="4"/>
  <c r="AY156" i="4" s="1"/>
  <c r="CN156" i="4" s="1"/>
  <c r="AU145" i="4"/>
  <c r="AV145" i="4" s="1"/>
  <c r="AX145" i="4"/>
  <c r="AY145" i="4" s="1"/>
  <c r="CN145" i="4" s="1"/>
  <c r="AX98" i="4"/>
  <c r="AY98" i="4" s="1"/>
  <c r="CN98" i="4" s="1"/>
  <c r="AU98" i="4"/>
  <c r="AV98" i="4" s="1"/>
  <c r="AX16" i="4"/>
  <c r="AY16" i="4" s="1"/>
  <c r="CN16" i="4" s="1"/>
  <c r="AU16" i="4"/>
  <c r="AV16" i="4" s="1"/>
  <c r="AI525" i="5"/>
  <c r="AH525" i="5"/>
  <c r="AS525" i="5"/>
  <c r="AK255" i="5"/>
  <c r="AL255" i="5"/>
  <c r="AI516" i="5"/>
  <c r="AH516" i="5"/>
  <c r="AS516" i="5"/>
  <c r="AI510" i="5"/>
  <c r="AS510" i="5"/>
  <c r="AH510" i="5"/>
  <c r="AH415" i="5"/>
  <c r="AI415" i="5"/>
  <c r="AS415" i="5"/>
  <c r="AS315" i="5"/>
  <c r="AH315" i="5"/>
  <c r="AI315" i="5"/>
  <c r="AH182" i="5"/>
  <c r="AS182" i="5"/>
  <c r="AI182" i="5"/>
  <c r="AI47" i="5"/>
  <c r="AH47" i="5"/>
  <c r="AS47" i="5"/>
  <c r="AH392" i="5"/>
  <c r="AI392" i="5"/>
  <c r="AS392" i="5"/>
  <c r="AI451" i="5"/>
  <c r="AS451" i="5"/>
  <c r="AH451" i="5"/>
  <c r="AI374" i="5"/>
  <c r="AH374" i="5"/>
  <c r="AS374" i="5"/>
  <c r="AH274" i="5"/>
  <c r="AI274" i="5"/>
  <c r="AS274" i="5"/>
  <c r="AH177" i="5"/>
  <c r="AI177" i="5"/>
  <c r="AS177" i="5"/>
  <c r="AS29" i="5"/>
  <c r="AI29" i="5"/>
  <c r="AH29" i="5"/>
  <c r="AH531" i="5"/>
  <c r="AS531" i="5"/>
  <c r="AI531" i="5"/>
  <c r="AH346" i="5"/>
  <c r="AI346" i="5"/>
  <c r="AS346" i="5"/>
  <c r="AS349" i="5"/>
  <c r="AH349" i="5"/>
  <c r="AI349" i="5"/>
  <c r="AS214" i="5"/>
  <c r="AH214" i="5"/>
  <c r="AI214" i="5"/>
  <c r="AH137" i="5"/>
  <c r="AI137" i="5"/>
  <c r="AS137" i="5"/>
  <c r="AH558" i="5"/>
  <c r="AI558" i="5"/>
  <c r="AS558" i="5"/>
  <c r="AI423" i="5"/>
  <c r="AS423" i="5"/>
  <c r="AH423" i="5"/>
  <c r="AI351" i="5"/>
  <c r="AS351" i="5"/>
  <c r="AH351" i="5"/>
  <c r="AI261" i="5"/>
  <c r="AS261" i="5"/>
  <c r="AH261" i="5"/>
  <c r="AI224" i="5"/>
  <c r="AH224" i="5"/>
  <c r="AS224" i="5"/>
  <c r="AS101" i="5"/>
  <c r="AI101" i="5"/>
  <c r="AH101" i="5"/>
  <c r="AH552" i="5"/>
  <c r="AI552" i="5"/>
  <c r="AS552" i="5"/>
  <c r="AI447" i="5"/>
  <c r="AH447" i="5"/>
  <c r="AS447" i="5"/>
  <c r="AS329" i="5"/>
  <c r="AI329" i="5"/>
  <c r="AH329" i="5"/>
  <c r="AH278" i="5"/>
  <c r="AI278" i="5"/>
  <c r="AS278" i="5"/>
  <c r="AH199" i="5"/>
  <c r="AI199" i="5"/>
  <c r="AS199" i="5"/>
  <c r="AI66" i="5"/>
  <c r="AH66" i="5"/>
  <c r="AS66" i="5"/>
  <c r="AS547" i="5"/>
  <c r="AI547" i="5"/>
  <c r="AH547" i="5"/>
  <c r="AI530" i="5"/>
  <c r="AH530" i="5"/>
  <c r="AS530" i="5"/>
  <c r="AI433" i="5"/>
  <c r="AH433" i="5"/>
  <c r="AS433" i="5"/>
  <c r="AI332" i="5"/>
  <c r="AS332" i="5"/>
  <c r="AH332" i="5"/>
  <c r="AS140" i="5"/>
  <c r="AH140" i="5"/>
  <c r="AI140" i="5"/>
  <c r="AI25" i="5"/>
  <c r="AH25" i="5"/>
  <c r="AS25" i="5"/>
  <c r="AH550" i="5"/>
  <c r="AS550" i="5"/>
  <c r="AI550" i="5"/>
  <c r="AI419" i="5"/>
  <c r="AS419" i="5"/>
  <c r="AH419" i="5"/>
  <c r="AH284" i="5"/>
  <c r="AS284" i="5"/>
  <c r="AI284" i="5"/>
  <c r="AI254" i="5"/>
  <c r="AH254" i="5"/>
  <c r="AS254" i="5"/>
  <c r="AI123" i="5"/>
  <c r="AH123" i="5"/>
  <c r="AS123" i="5"/>
  <c r="AI470" i="5"/>
  <c r="AH470" i="5"/>
  <c r="AS470" i="5"/>
  <c r="AI459" i="5"/>
  <c r="AH459" i="5"/>
  <c r="AS459" i="5"/>
  <c r="AS373" i="5"/>
  <c r="AH373" i="5"/>
  <c r="AI373" i="5"/>
  <c r="AS285" i="5"/>
  <c r="AI285" i="5"/>
  <c r="AH285" i="5"/>
  <c r="AI159" i="5"/>
  <c r="AH159" i="5"/>
  <c r="AS159" i="5"/>
  <c r="AH127" i="5"/>
  <c r="AI127" i="5"/>
  <c r="AS127" i="5"/>
  <c r="AS84" i="5"/>
  <c r="AI84" i="5"/>
  <c r="AH84" i="5"/>
  <c r="AI52" i="5"/>
  <c r="AS52" i="5"/>
  <c r="AH52" i="5"/>
  <c r="AI440" i="5"/>
  <c r="AH440" i="5"/>
  <c r="AS440" i="5"/>
  <c r="AS543" i="5"/>
  <c r="AI543" i="5"/>
  <c r="AH543" i="5"/>
  <c r="AS502" i="5"/>
  <c r="AH502" i="5"/>
  <c r="AI502" i="5"/>
  <c r="AI268" i="5"/>
  <c r="AH268" i="5"/>
  <c r="AS268" i="5"/>
  <c r="AH196" i="5"/>
  <c r="AI196" i="5"/>
  <c r="AS196" i="5"/>
  <c r="AI225" i="5"/>
  <c r="AH225" i="5"/>
  <c r="AS225" i="5"/>
  <c r="AH161" i="5"/>
  <c r="AI161" i="5"/>
  <c r="AS161" i="5"/>
  <c r="AS86" i="5"/>
  <c r="AI86" i="5"/>
  <c r="AH86" i="5"/>
  <c r="AI162" i="5"/>
  <c r="AS162" i="5"/>
  <c r="AH162" i="5"/>
  <c r="AS143" i="5"/>
  <c r="AH143" i="5"/>
  <c r="AI143" i="5"/>
  <c r="AH37" i="5"/>
  <c r="AI37" i="5"/>
  <c r="AS37" i="5"/>
  <c r="AH533" i="5"/>
  <c r="AI533" i="5"/>
  <c r="AS533" i="5"/>
  <c r="AI302" i="5"/>
  <c r="AH302" i="5"/>
  <c r="AS302" i="5"/>
  <c r="AS256" i="5"/>
  <c r="AH256" i="5"/>
  <c r="AI256" i="5"/>
  <c r="AH394" i="5"/>
  <c r="AI394" i="5"/>
  <c r="AS394" i="5"/>
  <c r="AH270" i="5"/>
  <c r="AI270" i="5"/>
  <c r="AS270" i="5"/>
  <c r="AH209" i="5"/>
  <c r="AI209" i="5"/>
  <c r="AS209" i="5"/>
  <c r="AI129" i="5"/>
  <c r="AH129" i="5"/>
  <c r="AS129" i="5"/>
  <c r="AI77" i="5"/>
  <c r="AH77" i="5"/>
  <c r="AS77" i="5"/>
  <c r="AL295" i="5"/>
  <c r="AK295" i="5"/>
  <c r="AK92" i="5"/>
  <c r="AL92" i="5"/>
  <c r="AK476" i="5"/>
  <c r="AL476" i="5"/>
  <c r="AK208" i="5"/>
  <c r="AL208" i="5"/>
  <c r="AK59" i="5"/>
  <c r="AL59" i="5"/>
  <c r="AL475" i="5"/>
  <c r="AK475" i="5"/>
  <c r="AK471" i="5"/>
  <c r="AL471" i="5"/>
  <c r="AL502" i="5"/>
  <c r="AK502" i="5"/>
  <c r="AK394" i="5"/>
  <c r="AL394" i="5"/>
  <c r="AK332" i="5"/>
  <c r="AL332" i="5"/>
  <c r="AK242" i="5"/>
  <c r="AL242" i="5"/>
  <c r="AK149" i="5"/>
  <c r="AL149" i="5"/>
  <c r="AL29" i="5"/>
  <c r="AK29" i="5"/>
  <c r="AL458" i="5"/>
  <c r="AK458" i="5"/>
  <c r="AK352" i="5"/>
  <c r="AL352" i="5"/>
  <c r="AL347" i="5"/>
  <c r="AK347" i="5"/>
  <c r="AK232" i="5"/>
  <c r="AL232" i="5"/>
  <c r="AK140" i="5"/>
  <c r="AL140" i="5"/>
  <c r="AK54" i="5"/>
  <c r="AL54" i="5"/>
  <c r="AL524" i="5"/>
  <c r="AK524" i="5"/>
  <c r="AK367" i="5"/>
  <c r="AL367" i="5"/>
  <c r="AK412" i="5"/>
  <c r="AL412" i="5"/>
  <c r="AK248" i="5"/>
  <c r="AL248" i="5"/>
  <c r="AK191" i="5"/>
  <c r="AL191" i="5"/>
  <c r="AK109" i="5"/>
  <c r="AL109" i="5"/>
  <c r="AK515" i="5"/>
  <c r="AL515" i="5"/>
  <c r="AL518" i="5"/>
  <c r="AK518" i="5"/>
  <c r="AL259" i="5"/>
  <c r="AK259" i="5"/>
  <c r="AL252" i="5"/>
  <c r="AK252" i="5"/>
  <c r="AK215" i="5"/>
  <c r="AL215" i="5"/>
  <c r="AK122" i="5"/>
  <c r="AL122" i="5"/>
  <c r="AK46" i="5"/>
  <c r="AL46" i="5"/>
  <c r="AK491" i="5"/>
  <c r="AL491" i="5"/>
  <c r="AL446" i="5"/>
  <c r="AK446" i="5"/>
  <c r="AL307" i="5"/>
  <c r="AK307" i="5"/>
  <c r="AK243" i="5"/>
  <c r="AL243" i="5"/>
  <c r="AK113" i="5"/>
  <c r="AL113" i="5"/>
  <c r="AK79" i="5"/>
  <c r="AL79" i="5"/>
  <c r="AL551" i="5"/>
  <c r="AK551" i="5"/>
  <c r="AK481" i="5"/>
  <c r="AL481" i="5"/>
  <c r="AL354" i="5"/>
  <c r="AK354" i="5"/>
  <c r="AL309" i="5"/>
  <c r="AK309" i="5"/>
  <c r="AL219" i="5"/>
  <c r="AK219" i="5"/>
  <c r="AK120" i="5"/>
  <c r="AL120" i="5"/>
  <c r="AL25" i="5"/>
  <c r="AK25" i="5"/>
  <c r="AK435" i="5"/>
  <c r="AL435" i="5"/>
  <c r="AK401" i="5"/>
  <c r="AL401" i="5"/>
  <c r="AK319" i="5"/>
  <c r="AL319" i="5"/>
  <c r="AL218" i="5"/>
  <c r="AK218" i="5"/>
  <c r="AK110" i="5"/>
  <c r="AL110" i="5"/>
  <c r="AK66" i="5"/>
  <c r="AL66" i="5"/>
  <c r="AL554" i="5"/>
  <c r="AK554" i="5"/>
  <c r="AK402" i="5"/>
  <c r="AL402" i="5"/>
  <c r="AK444" i="5"/>
  <c r="AL444" i="5"/>
  <c r="AK392" i="5"/>
  <c r="AL392" i="5"/>
  <c r="AL312" i="5"/>
  <c r="AK312" i="5"/>
  <c r="AK187" i="5"/>
  <c r="AL187" i="5"/>
  <c r="AK155" i="5"/>
  <c r="AL155" i="5"/>
  <c r="AK99" i="5"/>
  <c r="AL99" i="5"/>
  <c r="AK525" i="5"/>
  <c r="AL525" i="5"/>
  <c r="AK448" i="5"/>
  <c r="AL448" i="5"/>
  <c r="AK492" i="5"/>
  <c r="AL492" i="5"/>
  <c r="AK274" i="5"/>
  <c r="AL274" i="5"/>
  <c r="AL258" i="5"/>
  <c r="AK258" i="5"/>
  <c r="AK227" i="5"/>
  <c r="AL227" i="5"/>
  <c r="AK173" i="5"/>
  <c r="AL173" i="5"/>
  <c r="AK97" i="5"/>
  <c r="AL97" i="5"/>
  <c r="AK21" i="5"/>
  <c r="AL21" i="5"/>
  <c r="AU147" i="4"/>
  <c r="AV147" i="4" s="1"/>
  <c r="AX147" i="4"/>
  <c r="AY147" i="4" s="1"/>
  <c r="CN147" i="4" s="1"/>
  <c r="AU62" i="4"/>
  <c r="AV62" i="4" s="1"/>
  <c r="AX62" i="4"/>
  <c r="AY62" i="4" s="1"/>
  <c r="CN62" i="4" s="1"/>
  <c r="AX26" i="4"/>
  <c r="AY26" i="4" s="1"/>
  <c r="CN26" i="4" s="1"/>
  <c r="AU26" i="4"/>
  <c r="AV26" i="4" s="1"/>
  <c r="AB7" i="5"/>
  <c r="AA7" i="5"/>
  <c r="AS50" i="5"/>
  <c r="AU133" i="4"/>
  <c r="AV133" i="4" s="1"/>
  <c r="AX133" i="4"/>
  <c r="AY133" i="4" s="1"/>
  <c r="CN133" i="4" s="1"/>
  <c r="AX120" i="4"/>
  <c r="AY120" i="4" s="1"/>
  <c r="CN120" i="4" s="1"/>
  <c r="AU120" i="4"/>
  <c r="AV120" i="4" s="1"/>
  <c r="AX121" i="4"/>
  <c r="AY121" i="4" s="1"/>
  <c r="CN121" i="4" s="1"/>
  <c r="AU121" i="4"/>
  <c r="AV121" i="4" s="1"/>
  <c r="AS193" i="5"/>
  <c r="AI193" i="5"/>
  <c r="AH193" i="5"/>
  <c r="AI41" i="5"/>
  <c r="AH41" i="5"/>
  <c r="AS41" i="5"/>
  <c r="AS27" i="5"/>
  <c r="AI27" i="5"/>
  <c r="AH27" i="5"/>
  <c r="AI537" i="5"/>
  <c r="AH537" i="5"/>
  <c r="AS537" i="5"/>
  <c r="AI413" i="5"/>
  <c r="AH413" i="5"/>
  <c r="AS413" i="5"/>
  <c r="AI542" i="5"/>
  <c r="AH542" i="5"/>
  <c r="AS542" i="5"/>
  <c r="AH133" i="5"/>
  <c r="AS133" i="5"/>
  <c r="AI133" i="5"/>
  <c r="AI102" i="5"/>
  <c r="AH102" i="5"/>
  <c r="AS102" i="5"/>
  <c r="AI479" i="5"/>
  <c r="AH479" i="5"/>
  <c r="AS479" i="5"/>
  <c r="AI167" i="5"/>
  <c r="AS167" i="5"/>
  <c r="AH167" i="5"/>
  <c r="AS432" i="5"/>
  <c r="AI432" i="5"/>
  <c r="AH432" i="5"/>
  <c r="AH128" i="5"/>
  <c r="AI128" i="5"/>
  <c r="AS128" i="5"/>
  <c r="AK466" i="5"/>
  <c r="AL466" i="5"/>
  <c r="AK30" i="5"/>
  <c r="AL30" i="5"/>
  <c r="AK55" i="5"/>
  <c r="AL55" i="5"/>
  <c r="AK179" i="5"/>
  <c r="AL179" i="5"/>
  <c r="AL320" i="5"/>
  <c r="AK320" i="5"/>
  <c r="AK224" i="5"/>
  <c r="AL224" i="5"/>
  <c r="AK177" i="5"/>
  <c r="AL177" i="5"/>
  <c r="AK282" i="5"/>
  <c r="AL282" i="5"/>
  <c r="AK536" i="5"/>
  <c r="AL536" i="5"/>
  <c r="AL180" i="5"/>
  <c r="AK180" i="5"/>
  <c r="AL341" i="5"/>
  <c r="AK341" i="5"/>
  <c r="AK436" i="5"/>
  <c r="AL436" i="5"/>
  <c r="AK61" i="5"/>
  <c r="AL61" i="5"/>
  <c r="AX80" i="4"/>
  <c r="AY80" i="4" s="1"/>
  <c r="CN80" i="4" s="1"/>
  <c r="AU80" i="4"/>
  <c r="AV80" i="4" s="1"/>
  <c r="AX84" i="4"/>
  <c r="AY84" i="4" s="1"/>
  <c r="CN84" i="4" s="1"/>
  <c r="AU84" i="4"/>
  <c r="AV84" i="4" s="1"/>
  <c r="AU94" i="4"/>
  <c r="AV94" i="4" s="1"/>
  <c r="AX94" i="4"/>
  <c r="AY94" i="4" s="1"/>
  <c r="CN94" i="4" s="1"/>
  <c r="AS358" i="5"/>
  <c r="AI358" i="5"/>
  <c r="AH358" i="5"/>
  <c r="AI466" i="5"/>
  <c r="AS466" i="5"/>
  <c r="AH466" i="5"/>
  <c r="AI378" i="5"/>
  <c r="AH378" i="5"/>
  <c r="AS378" i="5"/>
  <c r="AI277" i="5"/>
  <c r="AH277" i="5"/>
  <c r="AS277" i="5"/>
  <c r="AI187" i="5"/>
  <c r="AH187" i="5"/>
  <c r="AS187" i="5"/>
  <c r="AS38" i="5"/>
  <c r="AI38" i="5"/>
  <c r="AH38" i="5"/>
  <c r="AI546" i="5"/>
  <c r="AH546" i="5"/>
  <c r="AS546" i="5"/>
  <c r="AS350" i="5"/>
  <c r="AI350" i="5"/>
  <c r="AH350" i="5"/>
  <c r="AI356" i="5"/>
  <c r="AH356" i="5"/>
  <c r="AS356" i="5"/>
  <c r="AH249" i="5"/>
  <c r="AI249" i="5"/>
  <c r="AS249" i="5"/>
  <c r="AI139" i="5"/>
  <c r="AS139" i="5"/>
  <c r="AH139" i="5"/>
  <c r="AH544" i="5"/>
  <c r="AI544" i="5"/>
  <c r="AS544" i="5"/>
  <c r="AI478" i="5"/>
  <c r="AS478" i="5"/>
  <c r="AH478" i="5"/>
  <c r="AH404" i="5"/>
  <c r="AS404" i="5"/>
  <c r="AI404" i="5"/>
  <c r="AS313" i="5"/>
  <c r="AI313" i="5"/>
  <c r="AH313" i="5"/>
  <c r="AI213" i="5"/>
  <c r="AH213" i="5"/>
  <c r="AS213" i="5"/>
  <c r="AH124" i="5"/>
  <c r="AI124" i="5"/>
  <c r="AS124" i="5"/>
  <c r="AS428" i="5"/>
  <c r="AI428" i="5"/>
  <c r="AH428" i="5"/>
  <c r="AH496" i="5"/>
  <c r="AS496" i="5"/>
  <c r="AI496" i="5"/>
  <c r="AI393" i="5"/>
  <c r="AH393" i="5"/>
  <c r="AS393" i="5"/>
  <c r="AI319" i="5"/>
  <c r="AH319" i="5"/>
  <c r="AS319" i="5"/>
  <c r="AI239" i="5"/>
  <c r="AS239" i="5"/>
  <c r="AH239" i="5"/>
  <c r="AI94" i="5"/>
  <c r="AH94" i="5"/>
  <c r="AS94" i="5"/>
  <c r="AH554" i="5"/>
  <c r="AS554" i="5"/>
  <c r="AI554" i="5"/>
  <c r="AS294" i="5"/>
  <c r="AI294" i="5"/>
  <c r="AH294" i="5"/>
  <c r="AS436" i="5"/>
  <c r="AI436" i="5"/>
  <c r="AH436" i="5"/>
  <c r="AS203" i="5"/>
  <c r="AH203" i="5"/>
  <c r="AI203" i="5"/>
  <c r="AI155" i="5"/>
  <c r="AH155" i="5"/>
  <c r="AS155" i="5"/>
  <c r="AH54" i="5"/>
  <c r="AI54" i="5"/>
  <c r="AS54" i="5"/>
  <c r="AI482" i="5"/>
  <c r="AS482" i="5"/>
  <c r="AH482" i="5"/>
  <c r="AH488" i="5"/>
  <c r="AS488" i="5"/>
  <c r="AI488" i="5"/>
  <c r="AI397" i="5"/>
  <c r="AH397" i="5"/>
  <c r="AS397" i="5"/>
  <c r="AI295" i="5"/>
  <c r="AH295" i="5"/>
  <c r="AS295" i="5"/>
  <c r="AH131" i="5"/>
  <c r="AI131" i="5"/>
  <c r="AS131" i="5"/>
  <c r="AI24" i="5"/>
  <c r="AH24" i="5"/>
  <c r="AS24" i="5"/>
  <c r="AI507" i="5"/>
  <c r="AS507" i="5"/>
  <c r="AH507" i="5"/>
  <c r="AH168" i="5"/>
  <c r="AI168" i="5"/>
  <c r="AS168" i="5"/>
  <c r="AI338" i="5"/>
  <c r="AH338" i="5"/>
  <c r="AS338" i="5"/>
  <c r="AS233" i="5"/>
  <c r="AH233" i="5"/>
  <c r="AI233" i="5"/>
  <c r="AS106" i="5"/>
  <c r="AI106" i="5"/>
  <c r="AH106" i="5"/>
  <c r="AS511" i="5"/>
  <c r="AI511" i="5"/>
  <c r="AH511" i="5"/>
  <c r="AI517" i="5"/>
  <c r="AH517" i="5"/>
  <c r="AS517" i="5"/>
  <c r="AS410" i="5"/>
  <c r="AI410" i="5"/>
  <c r="AH410" i="5"/>
  <c r="AS200" i="5"/>
  <c r="AH200" i="5"/>
  <c r="AI200" i="5"/>
  <c r="AH192" i="5"/>
  <c r="AI192" i="5"/>
  <c r="AS192" i="5"/>
  <c r="AI105" i="5"/>
  <c r="AH105" i="5"/>
  <c r="AS105" i="5"/>
  <c r="AI122" i="5"/>
  <c r="AH122" i="5"/>
  <c r="AS122" i="5"/>
  <c r="AI63" i="5"/>
  <c r="AH63" i="5"/>
  <c r="AS63" i="5"/>
  <c r="AH467" i="5"/>
  <c r="AS467" i="5"/>
  <c r="AI467" i="5"/>
  <c r="AI504" i="5"/>
  <c r="AS504" i="5"/>
  <c r="AH504" i="5"/>
  <c r="AI469" i="5"/>
  <c r="AH469" i="5"/>
  <c r="AS469" i="5"/>
  <c r="AI429" i="5"/>
  <c r="AH429" i="5"/>
  <c r="AS429" i="5"/>
  <c r="AI308" i="5"/>
  <c r="AH308" i="5"/>
  <c r="AS308" i="5"/>
  <c r="AH188" i="5"/>
  <c r="AI188" i="5"/>
  <c r="AS188" i="5"/>
  <c r="AI179" i="5"/>
  <c r="AH179" i="5"/>
  <c r="AS179" i="5"/>
  <c r="AH73" i="5"/>
  <c r="AI73" i="5"/>
  <c r="AS73" i="5"/>
  <c r="AH184" i="5"/>
  <c r="AI184" i="5"/>
  <c r="AS184" i="5"/>
  <c r="AI113" i="5"/>
  <c r="AH113" i="5"/>
  <c r="AS113" i="5"/>
  <c r="AH36" i="5"/>
  <c r="AI36" i="5"/>
  <c r="AS36" i="5"/>
  <c r="AI441" i="5"/>
  <c r="AH441" i="5"/>
  <c r="AS441" i="5"/>
  <c r="AI491" i="5"/>
  <c r="AH491" i="5"/>
  <c r="AS491" i="5"/>
  <c r="AI390" i="5"/>
  <c r="AH390" i="5"/>
  <c r="AS390" i="5"/>
  <c r="AI330" i="5"/>
  <c r="AS330" i="5"/>
  <c r="AH330" i="5"/>
  <c r="AI205" i="5"/>
  <c r="AS205" i="5"/>
  <c r="AH205" i="5"/>
  <c r="AI234" i="5"/>
  <c r="AS234" i="5"/>
  <c r="AH234" i="5"/>
  <c r="AH138" i="5"/>
  <c r="AS138" i="5"/>
  <c r="AI138" i="5"/>
  <c r="AS22" i="5"/>
  <c r="AI22" i="5"/>
  <c r="AH22" i="5"/>
  <c r="AU36" i="4"/>
  <c r="AV36" i="4" s="1"/>
  <c r="AX36" i="4"/>
  <c r="AY36" i="4" s="1"/>
  <c r="CN36" i="4" s="1"/>
  <c r="AX90" i="4"/>
  <c r="AY90" i="4" s="1"/>
  <c r="CN90" i="4" s="1"/>
  <c r="AU90" i="4"/>
  <c r="AV90" i="4" s="1"/>
  <c r="AK210" i="5"/>
  <c r="AL210" i="5"/>
  <c r="AL279" i="5"/>
  <c r="AK279" i="5"/>
  <c r="AK350" i="5"/>
  <c r="AL350" i="5"/>
  <c r="AK147" i="5"/>
  <c r="AL147" i="5"/>
  <c r="AK474" i="5"/>
  <c r="AL474" i="5"/>
  <c r="AK503" i="5"/>
  <c r="AL503" i="5"/>
  <c r="AK535" i="5"/>
  <c r="AL535" i="5"/>
  <c r="AK463" i="5"/>
  <c r="AL463" i="5"/>
  <c r="AK342" i="5"/>
  <c r="AL342" i="5"/>
  <c r="AL293" i="5"/>
  <c r="AK293" i="5"/>
  <c r="AK204" i="5"/>
  <c r="AL204" i="5"/>
  <c r="AL112" i="5"/>
  <c r="AK112" i="5"/>
  <c r="AL19" i="5"/>
  <c r="AK19" i="5"/>
  <c r="AK421" i="5"/>
  <c r="AL421" i="5"/>
  <c r="AK387" i="5"/>
  <c r="AL387" i="5"/>
  <c r="AL304" i="5"/>
  <c r="AK304" i="5"/>
  <c r="AK198" i="5"/>
  <c r="AL198" i="5"/>
  <c r="AK86" i="5"/>
  <c r="AL86" i="5"/>
  <c r="AK53" i="5"/>
  <c r="AL53" i="5"/>
  <c r="AL547" i="5"/>
  <c r="AK547" i="5"/>
  <c r="AK495" i="5"/>
  <c r="AL495" i="5"/>
  <c r="AK371" i="5"/>
  <c r="AL371" i="5"/>
  <c r="AL305" i="5"/>
  <c r="AK305" i="5"/>
  <c r="AL178" i="5"/>
  <c r="AK178" i="5"/>
  <c r="AK72" i="5"/>
  <c r="AL72" i="5"/>
  <c r="AL560" i="5"/>
  <c r="AK560" i="5"/>
  <c r="AK488" i="5"/>
  <c r="AL488" i="5"/>
  <c r="AK366" i="5"/>
  <c r="AL366" i="5"/>
  <c r="AK315" i="5"/>
  <c r="AL315" i="5"/>
  <c r="AK226" i="5"/>
  <c r="AL226" i="5"/>
  <c r="AK128" i="5"/>
  <c r="AL128" i="5"/>
  <c r="AL37" i="5"/>
  <c r="AK37" i="5"/>
  <c r="AK442" i="5"/>
  <c r="AL442" i="5"/>
  <c r="AK407" i="5"/>
  <c r="AL407" i="5"/>
  <c r="AK333" i="5"/>
  <c r="AL333" i="5"/>
  <c r="AK223" i="5"/>
  <c r="AL223" i="5"/>
  <c r="AK123" i="5"/>
  <c r="AL123" i="5"/>
  <c r="AL47" i="5"/>
  <c r="AK47" i="5"/>
  <c r="AL369" i="5"/>
  <c r="AK369" i="5"/>
  <c r="AK441" i="5"/>
  <c r="AL441" i="5"/>
  <c r="AL434" i="5"/>
  <c r="AK434" i="5"/>
  <c r="AL263" i="5"/>
  <c r="AK263" i="5"/>
  <c r="AK142" i="5"/>
  <c r="AL142" i="5"/>
  <c r="AK98" i="5"/>
  <c r="AL98" i="5"/>
  <c r="AL497" i="5"/>
  <c r="AK497" i="5"/>
  <c r="AK375" i="5"/>
  <c r="AL375" i="5"/>
  <c r="AK368" i="5"/>
  <c r="AL368" i="5"/>
  <c r="AK277" i="5"/>
  <c r="AL277" i="5"/>
  <c r="AK175" i="5"/>
  <c r="AL175" i="5"/>
  <c r="AK143" i="5"/>
  <c r="AL143" i="5"/>
  <c r="AK42" i="5"/>
  <c r="AL42" i="5"/>
  <c r="AK522" i="5"/>
  <c r="AL522" i="5"/>
  <c r="AL520" i="5"/>
  <c r="AK520" i="5"/>
  <c r="AL410" i="5"/>
  <c r="AK410" i="5"/>
  <c r="AK370" i="5"/>
  <c r="AL370" i="5"/>
  <c r="AK280" i="5"/>
  <c r="AL280" i="5"/>
  <c r="AK231" i="5"/>
  <c r="AL231" i="5"/>
  <c r="AK131" i="5"/>
  <c r="AL131" i="5"/>
  <c r="AL70" i="5"/>
  <c r="AK70" i="5"/>
  <c r="AK457" i="5"/>
  <c r="AL457" i="5"/>
  <c r="AK422" i="5"/>
  <c r="AL422" i="5"/>
  <c r="AK467" i="5"/>
  <c r="AL467" i="5"/>
  <c r="AK416" i="5"/>
  <c r="AL416" i="5"/>
  <c r="AL324" i="5"/>
  <c r="AK324" i="5"/>
  <c r="AL201" i="5"/>
  <c r="AK201" i="5"/>
  <c r="AK166" i="5"/>
  <c r="AL166" i="5"/>
  <c r="AL89" i="5"/>
  <c r="AK89" i="5"/>
  <c r="AK20" i="5"/>
  <c r="AL20" i="5"/>
  <c r="AU46" i="4"/>
  <c r="AV46" i="4" s="1"/>
  <c r="AX46" i="4"/>
  <c r="AY46" i="4" s="1"/>
  <c r="CN46" i="4" s="1"/>
  <c r="AX146" i="4"/>
  <c r="AY146" i="4" s="1"/>
  <c r="CN146" i="4" s="1"/>
  <c r="AU146" i="4"/>
  <c r="AV146" i="4" s="1"/>
  <c r="AX64" i="4"/>
  <c r="AY64" i="4" s="1"/>
  <c r="CN64" i="4" s="1"/>
  <c r="AU64" i="4"/>
  <c r="AV64" i="4" s="1"/>
  <c r="AU99" i="4"/>
  <c r="AV99" i="4" s="1"/>
  <c r="AX99" i="4"/>
  <c r="AY99" i="4" s="1"/>
  <c r="CN99" i="4" s="1"/>
  <c r="AU134" i="4"/>
  <c r="AV134" i="4" s="1"/>
  <c r="AX134" i="4"/>
  <c r="AY134" i="4" s="1"/>
  <c r="CN134" i="4" s="1"/>
  <c r="AU14" i="4"/>
  <c r="AV14" i="4" s="1"/>
  <c r="AX14" i="4"/>
  <c r="AY14" i="4" s="1"/>
  <c r="CN14" i="4" s="1"/>
  <c r="AX157" i="4"/>
  <c r="AY157" i="4" s="1"/>
  <c r="CN157" i="4" s="1"/>
  <c r="AU157" i="4"/>
  <c r="AV157" i="4" s="1"/>
  <c r="AX108" i="4"/>
  <c r="AY108" i="4" s="1"/>
  <c r="CN108" i="4" s="1"/>
  <c r="AU108" i="4"/>
  <c r="AV108" i="4" s="1"/>
  <c r="AU9" i="4"/>
  <c r="AV9" i="4" s="1"/>
  <c r="AX9" i="4"/>
  <c r="AY9" i="4" s="1"/>
  <c r="CN9" i="4" s="1"/>
  <c r="AX89" i="4"/>
  <c r="AY89" i="4" s="1"/>
  <c r="CN89" i="4" s="1"/>
  <c r="AU89" i="4"/>
  <c r="AV89" i="4" s="1"/>
  <c r="AU153" i="4"/>
  <c r="AV153" i="4" s="1"/>
  <c r="AX153" i="4"/>
  <c r="AY153" i="4" s="1"/>
  <c r="CN153" i="4" s="1"/>
  <c r="AX74" i="4"/>
  <c r="AY74" i="4" s="1"/>
  <c r="CN74" i="4" s="1"/>
  <c r="AU74" i="4"/>
  <c r="AV74" i="4" s="1"/>
  <c r="AI484" i="5"/>
  <c r="AS484" i="5"/>
  <c r="AH484" i="5"/>
  <c r="AS499" i="5"/>
  <c r="AI499" i="5"/>
  <c r="AH499" i="5"/>
  <c r="AH134" i="5"/>
  <c r="AS134" i="5"/>
  <c r="AI134" i="5"/>
  <c r="AI485" i="5"/>
  <c r="AH485" i="5"/>
  <c r="AS485" i="5"/>
  <c r="AI412" i="5"/>
  <c r="AH412" i="5"/>
  <c r="AS412" i="5"/>
  <c r="AL537" i="5"/>
  <c r="AK537" i="5"/>
  <c r="AU150" i="4"/>
  <c r="AV150" i="4" s="1"/>
  <c r="AX150" i="4"/>
  <c r="AY150" i="4" s="1"/>
  <c r="CN150" i="4" s="1"/>
  <c r="AI464" i="5"/>
  <c r="AS464" i="5"/>
  <c r="AH464" i="5"/>
  <c r="AS371" i="5"/>
  <c r="AI371" i="5"/>
  <c r="AH371" i="5"/>
  <c r="AI359" i="5"/>
  <c r="AS359" i="5"/>
  <c r="AH359" i="5"/>
  <c r="AS251" i="5"/>
  <c r="AH251" i="5"/>
  <c r="AI251" i="5"/>
  <c r="AH110" i="5"/>
  <c r="AI110" i="5"/>
  <c r="AS110" i="5"/>
  <c r="AS19" i="5"/>
  <c r="AH19" i="5"/>
  <c r="AI19" i="5"/>
  <c r="AI486" i="5"/>
  <c r="AH486" i="5"/>
  <c r="AS486" i="5"/>
  <c r="AI414" i="5"/>
  <c r="AH414" i="5"/>
  <c r="AS414" i="5"/>
  <c r="AI318" i="5"/>
  <c r="AH318" i="5"/>
  <c r="AS318" i="5"/>
  <c r="AI221" i="5"/>
  <c r="AH221" i="5"/>
  <c r="AS221" i="5"/>
  <c r="AH142" i="5"/>
  <c r="AS142" i="5"/>
  <c r="AI142" i="5"/>
  <c r="AI560" i="5"/>
  <c r="AS560" i="5"/>
  <c r="AH560" i="5"/>
  <c r="AI439" i="5"/>
  <c r="AH439" i="5"/>
  <c r="AS439" i="5"/>
  <c r="AI352" i="5"/>
  <c r="AH352" i="5"/>
  <c r="AS352" i="5"/>
  <c r="AH264" i="5"/>
  <c r="AS264" i="5"/>
  <c r="AI264" i="5"/>
  <c r="AS229" i="5"/>
  <c r="AH229" i="5"/>
  <c r="AI229" i="5"/>
  <c r="AI108" i="5"/>
  <c r="AH108" i="5"/>
  <c r="AS108" i="5"/>
  <c r="AI532" i="5"/>
  <c r="AH532" i="5"/>
  <c r="AS532" i="5"/>
  <c r="AS448" i="5"/>
  <c r="AI448" i="5"/>
  <c r="AH448" i="5"/>
  <c r="AH340" i="5"/>
  <c r="AS340" i="5"/>
  <c r="AI340" i="5"/>
  <c r="AI282" i="5"/>
  <c r="AH282" i="5"/>
  <c r="AS282" i="5"/>
  <c r="AI201" i="5"/>
  <c r="AH201" i="5"/>
  <c r="AS201" i="5"/>
  <c r="AS26" i="5"/>
  <c r="AI26" i="5"/>
  <c r="AH26" i="5"/>
  <c r="AI492" i="5"/>
  <c r="AS492" i="5"/>
  <c r="AH492" i="5"/>
  <c r="AI489" i="5"/>
  <c r="AS489" i="5"/>
  <c r="AH489" i="5"/>
  <c r="AI398" i="5"/>
  <c r="AH398" i="5"/>
  <c r="AS398" i="5"/>
  <c r="AS301" i="5"/>
  <c r="AI301" i="5"/>
  <c r="AH301" i="5"/>
  <c r="AI163" i="5"/>
  <c r="AH163" i="5"/>
  <c r="AS163" i="5"/>
  <c r="AH42" i="5"/>
  <c r="AI42" i="5"/>
  <c r="AS42" i="5"/>
  <c r="AS553" i="5"/>
  <c r="AH553" i="5"/>
  <c r="AI553" i="5"/>
  <c r="AI431" i="5"/>
  <c r="AH431" i="5"/>
  <c r="AS431" i="5"/>
  <c r="AH290" i="5"/>
  <c r="AS290" i="5"/>
  <c r="AI290" i="5"/>
  <c r="AS257" i="5"/>
  <c r="AH257" i="5"/>
  <c r="AI257" i="5"/>
  <c r="AH135" i="5"/>
  <c r="AI135" i="5"/>
  <c r="AS135" i="5"/>
  <c r="AI500" i="5"/>
  <c r="AH500" i="5"/>
  <c r="AS500" i="5"/>
  <c r="AI462" i="5"/>
  <c r="AH462" i="5"/>
  <c r="AS462" i="5"/>
  <c r="AH375" i="5"/>
  <c r="AS375" i="5"/>
  <c r="AI375" i="5"/>
  <c r="AH288" i="5"/>
  <c r="AS288" i="5"/>
  <c r="AI288" i="5"/>
  <c r="AH166" i="5"/>
  <c r="AI166" i="5"/>
  <c r="AS166" i="5"/>
  <c r="AH132" i="5"/>
  <c r="AS132" i="5"/>
  <c r="AI132" i="5"/>
  <c r="AS377" i="5"/>
  <c r="AI377" i="5"/>
  <c r="AH377" i="5"/>
  <c r="AH475" i="5"/>
  <c r="AS475" i="5"/>
  <c r="AI475" i="5"/>
  <c r="AI372" i="5"/>
  <c r="AH372" i="5"/>
  <c r="AS372" i="5"/>
  <c r="AI299" i="5"/>
  <c r="AS299" i="5"/>
  <c r="AH299" i="5"/>
  <c r="AI215" i="5"/>
  <c r="AS215" i="5"/>
  <c r="AH215" i="5"/>
  <c r="AH72" i="5"/>
  <c r="AI72" i="5"/>
  <c r="AS72" i="5"/>
  <c r="AH156" i="5"/>
  <c r="AI156" i="5"/>
  <c r="AS156" i="5"/>
  <c r="AH62" i="5"/>
  <c r="AI62" i="5"/>
  <c r="AS62" i="5"/>
  <c r="AI395" i="5"/>
  <c r="AH395" i="5"/>
  <c r="AS395" i="5"/>
  <c r="AI468" i="5"/>
  <c r="AS468" i="5"/>
  <c r="AH468" i="5"/>
  <c r="AI427" i="5"/>
  <c r="AS427" i="5"/>
  <c r="AH427" i="5"/>
  <c r="AI400" i="5"/>
  <c r="AS400" i="5"/>
  <c r="AH400" i="5"/>
  <c r="AH279" i="5"/>
  <c r="AI279" i="5"/>
  <c r="AS279" i="5"/>
  <c r="AI220" i="5"/>
  <c r="AS220" i="5"/>
  <c r="AH220" i="5"/>
  <c r="AH147" i="5"/>
  <c r="AS147" i="5"/>
  <c r="AI147" i="5"/>
  <c r="AI59" i="5"/>
  <c r="AH59" i="5"/>
  <c r="AS59" i="5"/>
  <c r="AI149" i="5"/>
  <c r="AH149" i="5"/>
  <c r="AS149" i="5"/>
  <c r="AI82" i="5"/>
  <c r="AS82" i="5"/>
  <c r="AH82" i="5"/>
  <c r="AS28" i="5"/>
  <c r="AI28" i="5"/>
  <c r="AH28" i="5"/>
  <c r="AI520" i="5"/>
  <c r="AH520" i="5"/>
  <c r="AS520" i="5"/>
  <c r="AI458" i="5"/>
  <c r="AH458" i="5"/>
  <c r="AS458" i="5"/>
  <c r="AS353" i="5"/>
  <c r="AI353" i="5"/>
  <c r="AH353" i="5"/>
  <c r="AH354" i="5"/>
  <c r="AI354" i="5"/>
  <c r="AS354" i="5"/>
  <c r="AH312" i="5"/>
  <c r="AS312" i="5"/>
  <c r="AI312" i="5"/>
  <c r="AH154" i="5"/>
  <c r="AI154" i="5"/>
  <c r="AS154" i="5"/>
  <c r="AH109" i="5"/>
  <c r="AI109" i="5"/>
  <c r="AS109" i="5"/>
  <c r="AH20" i="5"/>
  <c r="AS20" i="5"/>
  <c r="AI20" i="5"/>
  <c r="AK117" i="5"/>
  <c r="AL117" i="5"/>
  <c r="AL511" i="5"/>
  <c r="AK511" i="5"/>
  <c r="AK272" i="5"/>
  <c r="AL272" i="5"/>
  <c r="AL62" i="5"/>
  <c r="AK62" i="5"/>
  <c r="AK339" i="5"/>
  <c r="AL339" i="5"/>
  <c r="AK395" i="5"/>
  <c r="AL395" i="5"/>
  <c r="AK550" i="5"/>
  <c r="AL550" i="5"/>
  <c r="AL418" i="5"/>
  <c r="AK418" i="5"/>
  <c r="AK419" i="5"/>
  <c r="AL419" i="5"/>
  <c r="AK254" i="5"/>
  <c r="AL254" i="5"/>
  <c r="AK200" i="5"/>
  <c r="AL200" i="5"/>
  <c r="AK90" i="5"/>
  <c r="AL90" i="5"/>
  <c r="AL555" i="5"/>
  <c r="AK555" i="5"/>
  <c r="AL266" i="5"/>
  <c r="AK266" i="5"/>
  <c r="AK300" i="5"/>
  <c r="AL300" i="5"/>
  <c r="AK267" i="5"/>
  <c r="AL267" i="5"/>
  <c r="AK237" i="5"/>
  <c r="AL237" i="5"/>
  <c r="AL130" i="5"/>
  <c r="AK130" i="5"/>
  <c r="AL28" i="5"/>
  <c r="AK28" i="5"/>
  <c r="AK517" i="5"/>
  <c r="AL517" i="5"/>
  <c r="AK461" i="5"/>
  <c r="AL461" i="5"/>
  <c r="AL337" i="5"/>
  <c r="AK337" i="5"/>
  <c r="AK256" i="5"/>
  <c r="AL256" i="5"/>
  <c r="AK159" i="5"/>
  <c r="AL159" i="5"/>
  <c r="AL76" i="5"/>
  <c r="AK76" i="5"/>
  <c r="AK516" i="5"/>
  <c r="AL516" i="5"/>
  <c r="AK450" i="5"/>
  <c r="AL450" i="5"/>
  <c r="AK271" i="5"/>
  <c r="AL271" i="5"/>
  <c r="AK275" i="5"/>
  <c r="AL275" i="5"/>
  <c r="AK162" i="5"/>
  <c r="AL162" i="5"/>
  <c r="AK107" i="5"/>
  <c r="AL107" i="5"/>
  <c r="AK529" i="5"/>
  <c r="AL529" i="5"/>
  <c r="AK411" i="5"/>
  <c r="AL411" i="5"/>
  <c r="AK376" i="5"/>
  <c r="AL376" i="5"/>
  <c r="AK289" i="5"/>
  <c r="AL289" i="5"/>
  <c r="AK189" i="5"/>
  <c r="AL189" i="5"/>
  <c r="AK153" i="5"/>
  <c r="AL153" i="5"/>
  <c r="AK63" i="5"/>
  <c r="AL63" i="5"/>
  <c r="AK404" i="5"/>
  <c r="AL404" i="5"/>
  <c r="AL519" i="5"/>
  <c r="AK519" i="5"/>
  <c r="AK390" i="5"/>
  <c r="AL390" i="5"/>
  <c r="AK331" i="5"/>
  <c r="AL331" i="5"/>
  <c r="AL170" i="5"/>
  <c r="AK170" i="5"/>
  <c r="AK94" i="5"/>
  <c r="AL94" i="5"/>
  <c r="AK486" i="5"/>
  <c r="AL486" i="5"/>
  <c r="AK508" i="5"/>
  <c r="AL508" i="5"/>
  <c r="AK400" i="5"/>
  <c r="AL400" i="5"/>
  <c r="AK221" i="5"/>
  <c r="AL221" i="5"/>
  <c r="AK167" i="5"/>
  <c r="AL167" i="5"/>
  <c r="AK161" i="5"/>
  <c r="AL161" i="5"/>
  <c r="AK38" i="5"/>
  <c r="AL38" i="5"/>
  <c r="AL549" i="5"/>
  <c r="AK549" i="5"/>
  <c r="AK499" i="5"/>
  <c r="AL499" i="5"/>
  <c r="AK391" i="5"/>
  <c r="AL391" i="5"/>
  <c r="AK345" i="5"/>
  <c r="AL345" i="5"/>
  <c r="AL251" i="5"/>
  <c r="AK251" i="5"/>
  <c r="AK240" i="5"/>
  <c r="AL240" i="5"/>
  <c r="AK102" i="5"/>
  <c r="AL102" i="5"/>
  <c r="AK65" i="5"/>
  <c r="AL65" i="5"/>
  <c r="AL541" i="5"/>
  <c r="AK541" i="5"/>
  <c r="AK351" i="5"/>
  <c r="AL351" i="5"/>
  <c r="AK429" i="5"/>
  <c r="AL429" i="5"/>
  <c r="AK384" i="5"/>
  <c r="AL384" i="5"/>
  <c r="AL301" i="5"/>
  <c r="AK301" i="5"/>
  <c r="AL172" i="5"/>
  <c r="AK172" i="5"/>
  <c r="AK150" i="5"/>
  <c r="AL150" i="5"/>
  <c r="AK85" i="5"/>
  <c r="AL85" i="5"/>
  <c r="AK22" i="5"/>
  <c r="AL22" i="5"/>
  <c r="AU101" i="4"/>
  <c r="AV101" i="4" s="1"/>
  <c r="AX101" i="4"/>
  <c r="AY101" i="4" s="1"/>
  <c r="CN101" i="4" s="1"/>
  <c r="AX61" i="4"/>
  <c r="AY61" i="4" s="1"/>
  <c r="CN61" i="4" s="1"/>
  <c r="AU61" i="4"/>
  <c r="AV61" i="4" s="1"/>
  <c r="AH7" i="5"/>
  <c r="AI7" i="5"/>
  <c r="AS7" i="5"/>
  <c r="AU132" i="4"/>
  <c r="AV132" i="4" s="1"/>
  <c r="AX132" i="4"/>
  <c r="AY132" i="4" s="1"/>
  <c r="CN132" i="4" s="1"/>
  <c r="AX97" i="4"/>
  <c r="AY97" i="4" s="1"/>
  <c r="CN97" i="4" s="1"/>
  <c r="AU97" i="4"/>
  <c r="AV97" i="4" s="1"/>
  <c r="AU92" i="4"/>
  <c r="AV92" i="4" s="1"/>
  <c r="AX92" i="4"/>
  <c r="AY92" i="4" s="1"/>
  <c r="CN92" i="4" s="1"/>
  <c r="Z12" i="5" l="1"/>
  <c r="Z13" i="13"/>
  <c r="Z12" i="13"/>
  <c r="AA12" i="13" s="1"/>
  <c r="AT556" i="13"/>
  <c r="BU12" i="4"/>
  <c r="BW12" i="4" s="1"/>
  <c r="BU32" i="4"/>
  <c r="BW32" i="4" s="1"/>
  <c r="BU87" i="4"/>
  <c r="BU128" i="4"/>
  <c r="BW128" i="4" s="1"/>
  <c r="CC128" i="4" s="1"/>
  <c r="CD128" i="4" s="1"/>
  <c r="CQ128" i="4" s="1"/>
  <c r="BU123" i="4"/>
  <c r="BW123" i="4" s="1"/>
  <c r="BZ123" i="4" s="1"/>
  <c r="CA123" i="4" s="1"/>
  <c r="BU100" i="4"/>
  <c r="BW100" i="4" s="1"/>
  <c r="CC100" i="4" s="1"/>
  <c r="CD100" i="4" s="1"/>
  <c r="CQ100" i="4" s="1"/>
  <c r="AU8" i="13"/>
  <c r="BU113" i="4"/>
  <c r="BW113" i="4" s="1"/>
  <c r="BU33" i="4"/>
  <c r="BW33" i="4" s="1"/>
  <c r="BU129" i="4"/>
  <c r="BW129" i="4" s="1"/>
  <c r="CC129" i="4" s="1"/>
  <c r="CD129" i="4" s="1"/>
  <c r="CQ129" i="4" s="1"/>
  <c r="AS12" i="13"/>
  <c r="BU102" i="4"/>
  <c r="BW102" i="4" s="1"/>
  <c r="CC102" i="4" s="1"/>
  <c r="CD102" i="4" s="1"/>
  <c r="CQ102" i="4" s="1"/>
  <c r="AS13" i="13"/>
  <c r="BU38" i="4"/>
  <c r="BU37" i="4"/>
  <c r="BU139" i="4"/>
  <c r="BU157" i="4"/>
  <c r="BU82" i="4"/>
  <c r="BW82" i="4" s="1"/>
  <c r="CC82" i="4" s="1"/>
  <c r="CD82" i="4" s="1"/>
  <c r="CQ82" i="4" s="1"/>
  <c r="BU89" i="4"/>
  <c r="BU130" i="4"/>
  <c r="BW130" i="4" s="1"/>
  <c r="BU117" i="4"/>
  <c r="Z523" i="13"/>
  <c r="Z399" i="13"/>
  <c r="Z295" i="13"/>
  <c r="Z132" i="13"/>
  <c r="Z107" i="13"/>
  <c r="Z28" i="13"/>
  <c r="Z127" i="13"/>
  <c r="Z379" i="13"/>
  <c r="Z214" i="13"/>
  <c r="Z449" i="13"/>
  <c r="Z390" i="13"/>
  <c r="Z215" i="13"/>
  <c r="Z48" i="13"/>
  <c r="Z306" i="13"/>
  <c r="Z424" i="13"/>
  <c r="Z521" i="13"/>
  <c r="Z145" i="13"/>
  <c r="Z512" i="13"/>
  <c r="Z360" i="13"/>
  <c r="Z283" i="13"/>
  <c r="Z136" i="13"/>
  <c r="Z289" i="13"/>
  <c r="Z382" i="13"/>
  <c r="Z153" i="13"/>
  <c r="Z426" i="13"/>
  <c r="Z409" i="13"/>
  <c r="Z464" i="13"/>
  <c r="Z329" i="13"/>
  <c r="Z189" i="13"/>
  <c r="Z33" i="13"/>
  <c r="Z264" i="13"/>
  <c r="Z402" i="13"/>
  <c r="Z128" i="13"/>
  <c r="Z232" i="13"/>
  <c r="Z532" i="13"/>
  <c r="Z344" i="13"/>
  <c r="Z275" i="13"/>
  <c r="Z77" i="13"/>
  <c r="Z138" i="13"/>
  <c r="Z38" i="13"/>
  <c r="Z169" i="13"/>
  <c r="Z503" i="13"/>
  <c r="Z404" i="13"/>
  <c r="Z456" i="13"/>
  <c r="Z308" i="13"/>
  <c r="Z185" i="13"/>
  <c r="Z113" i="13"/>
  <c r="Z293" i="13"/>
  <c r="Z462" i="13"/>
  <c r="Z266" i="13"/>
  <c r="Z256" i="13"/>
  <c r="Z515" i="13"/>
  <c r="Z336" i="13"/>
  <c r="Z251" i="13"/>
  <c r="Z65" i="13"/>
  <c r="Z173" i="13"/>
  <c r="Z85" i="13"/>
  <c r="Z238" i="13"/>
  <c r="Z488" i="13"/>
  <c r="Z544" i="13"/>
  <c r="Z440" i="13"/>
  <c r="Z349" i="13"/>
  <c r="Z290" i="13"/>
  <c r="Z89" i="13"/>
  <c r="Z420" i="13"/>
  <c r="Z472" i="13"/>
  <c r="Z318" i="13"/>
  <c r="Z285" i="13"/>
  <c r="Z513" i="13"/>
  <c r="Z394" i="13"/>
  <c r="Z271" i="13"/>
  <c r="Z74" i="13"/>
  <c r="Z244" i="13"/>
  <c r="Z108" i="13"/>
  <c r="Z218" i="13"/>
  <c r="Z110" i="13"/>
  <c r="Z556" i="13"/>
  <c r="Z447" i="13"/>
  <c r="Z335" i="13"/>
  <c r="Z178" i="13"/>
  <c r="Z203" i="13"/>
  <c r="Z438" i="13"/>
  <c r="Z194" i="13"/>
  <c r="Z260" i="13"/>
  <c r="Z411" i="13"/>
  <c r="Z505" i="13"/>
  <c r="Z364" i="13"/>
  <c r="Z261" i="13"/>
  <c r="Z60" i="13"/>
  <c r="Z36" i="13"/>
  <c r="Z105" i="13"/>
  <c r="Z234" i="13"/>
  <c r="Z212" i="13"/>
  <c r="Z559" i="13"/>
  <c r="Z443" i="13"/>
  <c r="Z327" i="13"/>
  <c r="Z140" i="13"/>
  <c r="Z115" i="13"/>
  <c r="Z457" i="13"/>
  <c r="Z206" i="13"/>
  <c r="Z492" i="13"/>
  <c r="Z419" i="13"/>
  <c r="Z509" i="13"/>
  <c r="Z352" i="13"/>
  <c r="Z245" i="13"/>
  <c r="Z67" i="13"/>
  <c r="Z79" i="13"/>
  <c r="Z130" i="13"/>
  <c r="Z242" i="13"/>
  <c r="Z410" i="13"/>
  <c r="Z549" i="13"/>
  <c r="Z437" i="13"/>
  <c r="Z312" i="13"/>
  <c r="Z174" i="13"/>
  <c r="Z210" i="13"/>
  <c r="Z476" i="13"/>
  <c r="Z415" i="13"/>
  <c r="Z34" i="13"/>
  <c r="Z412" i="13"/>
  <c r="Z495" i="13"/>
  <c r="Z341" i="13"/>
  <c r="Z231" i="13"/>
  <c r="Z37" i="13"/>
  <c r="Z61" i="13"/>
  <c r="Z91" i="13"/>
  <c r="Z297" i="13"/>
  <c r="Z525" i="13"/>
  <c r="Z557" i="13"/>
  <c r="Z436" i="13"/>
  <c r="Z296" i="13"/>
  <c r="Z170" i="13"/>
  <c r="Z147" i="13"/>
  <c r="Z496" i="13"/>
  <c r="Z41" i="13"/>
  <c r="Z116" i="13"/>
  <c r="Z453" i="13"/>
  <c r="Z289" i="5"/>
  <c r="Z184" i="5"/>
  <c r="Z409" i="5"/>
  <c r="Z434" i="5"/>
  <c r="Z313" i="5"/>
  <c r="Z173" i="5"/>
  <c r="Z391" i="5"/>
  <c r="Z333" i="5"/>
  <c r="Z24" i="5"/>
  <c r="Z141" i="5"/>
  <c r="Z55" i="5"/>
  <c r="Z81" i="5"/>
  <c r="Z96" i="5"/>
  <c r="Z411" i="5"/>
  <c r="Z499" i="13"/>
  <c r="Z333" i="13"/>
  <c r="Z225" i="13"/>
  <c r="Z29" i="13"/>
  <c r="Z72" i="13"/>
  <c r="Z151" i="13"/>
  <c r="Z252" i="13"/>
  <c r="Z541" i="13"/>
  <c r="Z545" i="13"/>
  <c r="Z429" i="13"/>
  <c r="Z291" i="13"/>
  <c r="Z199" i="13"/>
  <c r="Z179" i="13"/>
  <c r="Z498" i="13"/>
  <c r="Z224" i="13"/>
  <c r="Z106" i="13"/>
  <c r="Z493" i="13"/>
  <c r="Z510" i="13"/>
  <c r="Z389" i="13"/>
  <c r="Z217" i="13"/>
  <c r="Z32" i="13"/>
  <c r="Z93" i="13"/>
  <c r="Z241" i="13"/>
  <c r="Z322" i="13"/>
  <c r="Z88" i="13"/>
  <c r="Z546" i="13"/>
  <c r="Z392" i="13"/>
  <c r="Z277" i="13"/>
  <c r="Z164" i="13"/>
  <c r="Z200" i="13"/>
  <c r="Z207" i="13"/>
  <c r="Z76" i="13"/>
  <c r="Z118" i="13"/>
  <c r="Z511" i="13"/>
  <c r="Z517" i="13"/>
  <c r="Z372" i="13"/>
  <c r="Z209" i="13"/>
  <c r="Z56" i="13"/>
  <c r="Z172" i="13"/>
  <c r="Z204" i="13"/>
  <c r="Z370" i="13"/>
  <c r="Z222" i="13"/>
  <c r="Z548" i="13"/>
  <c r="Z444" i="13"/>
  <c r="Z269" i="13"/>
  <c r="Z75" i="13"/>
  <c r="Z315" i="13"/>
  <c r="Z148" i="13"/>
  <c r="Z30" i="13"/>
  <c r="Z131" i="13"/>
  <c r="Z536" i="13"/>
  <c r="Z486" i="13"/>
  <c r="Z307" i="13"/>
  <c r="Z320" i="13"/>
  <c r="Z152" i="13"/>
  <c r="Z119" i="13"/>
  <c r="Z254" i="13"/>
  <c r="Z423" i="13"/>
  <c r="Z386" i="13"/>
  <c r="Z534" i="13"/>
  <c r="Z474" i="13"/>
  <c r="Z325" i="13"/>
  <c r="Z52" i="13"/>
  <c r="Z309" i="13"/>
  <c r="Z196" i="13"/>
  <c r="Z71" i="13"/>
  <c r="Z171" i="13"/>
  <c r="Z70" i="13"/>
  <c r="Z319" i="5"/>
  <c r="Z475" i="5"/>
  <c r="Z346" i="5"/>
  <c r="Z336" i="5"/>
  <c r="Z160" i="5"/>
  <c r="Z188" i="5"/>
  <c r="Z445" i="5"/>
  <c r="Z416" i="5"/>
  <c r="Z39" i="5"/>
  <c r="Z59" i="5"/>
  <c r="Z78" i="5"/>
  <c r="Z484" i="5"/>
  <c r="Z235" i="5"/>
  <c r="Z272" i="5"/>
  <c r="Z279" i="5"/>
  <c r="Z220" i="5"/>
  <c r="Z490" i="13"/>
  <c r="Z334" i="13"/>
  <c r="Z263" i="13"/>
  <c r="Z90" i="13"/>
  <c r="Z137" i="13"/>
  <c r="Z351" i="13"/>
  <c r="Z430" i="13"/>
  <c r="Z463" i="13"/>
  <c r="Z535" i="13"/>
  <c r="Z387" i="13"/>
  <c r="Z294" i="13"/>
  <c r="Z193" i="13"/>
  <c r="Z371" i="13"/>
  <c r="Z367" i="13"/>
  <c r="Z78" i="13"/>
  <c r="Z192" i="13"/>
  <c r="Z350" i="13"/>
  <c r="Z478" i="13"/>
  <c r="Z323" i="13"/>
  <c r="Z247" i="13"/>
  <c r="Z31" i="13"/>
  <c r="Z182" i="13"/>
  <c r="Z361" i="13"/>
  <c r="Z455" i="13"/>
  <c r="Z55" i="13"/>
  <c r="Z555" i="13"/>
  <c r="Z381" i="13"/>
  <c r="Z368" i="13"/>
  <c r="Z82" i="13"/>
  <c r="Z451" i="13"/>
  <c r="Z422" i="13"/>
  <c r="Z47" i="13"/>
  <c r="Z220" i="13"/>
  <c r="Z397" i="13"/>
  <c r="Z471" i="13"/>
  <c r="Z331" i="13"/>
  <c r="Z257" i="13"/>
  <c r="Z21" i="13"/>
  <c r="Z250" i="13"/>
  <c r="Z374" i="13"/>
  <c r="Z484" i="13"/>
  <c r="Z40" i="13"/>
  <c r="Z516" i="13"/>
  <c r="Z373" i="13"/>
  <c r="Z284" i="13"/>
  <c r="Z62" i="13"/>
  <c r="Z485" i="13"/>
  <c r="Z468" i="13"/>
  <c r="Z121" i="13"/>
  <c r="Z345" i="13"/>
  <c r="Z180" i="13"/>
  <c r="Z448" i="13"/>
  <c r="Z393" i="13"/>
  <c r="Z227" i="13"/>
  <c r="Z53" i="13"/>
  <c r="Z216" i="13"/>
  <c r="Z375" i="13"/>
  <c r="Z507" i="13"/>
  <c r="Z102" i="13"/>
  <c r="Z526" i="13"/>
  <c r="Z401" i="13"/>
  <c r="Z300" i="13"/>
  <c r="Z162" i="13"/>
  <c r="Z538" i="13"/>
  <c r="Z25" i="13"/>
  <c r="Z95" i="13"/>
  <c r="Z363" i="13"/>
  <c r="Z143" i="13"/>
  <c r="Z398" i="5"/>
  <c r="Z424" i="5"/>
  <c r="Z288" i="5"/>
  <c r="Z540" i="5"/>
  <c r="Z202" i="5"/>
  <c r="Z280" i="5"/>
  <c r="Z102" i="5"/>
  <c r="Z345" i="5"/>
  <c r="Z192" i="5"/>
  <c r="Z506" i="5"/>
  <c r="Z223" i="5"/>
  <c r="Z72" i="5"/>
  <c r="Z142" i="5"/>
  <c r="Z35" i="5"/>
  <c r="Z305" i="5"/>
  <c r="Z335" i="5"/>
  <c r="Z7" i="13"/>
  <c r="Z482" i="13"/>
  <c r="Z316" i="13"/>
  <c r="Z219" i="13"/>
  <c r="Z160" i="13"/>
  <c r="Z405" i="13"/>
  <c r="Z421" i="13"/>
  <c r="Z543" i="13"/>
  <c r="Z129" i="13"/>
  <c r="Z522" i="13"/>
  <c r="Z391" i="13"/>
  <c r="Z287" i="13"/>
  <c r="Z154" i="13"/>
  <c r="Z159" i="13"/>
  <c r="Z133" i="13"/>
  <c r="Z141" i="13"/>
  <c r="Z406" i="13"/>
  <c r="Z237" i="13"/>
  <c r="Z445" i="13"/>
  <c r="Z355" i="13"/>
  <c r="Z211" i="13"/>
  <c r="Z19" i="13"/>
  <c r="Z248" i="13"/>
  <c r="Z365" i="13"/>
  <c r="Z57" i="13"/>
  <c r="Z135" i="13"/>
  <c r="Z514" i="13"/>
  <c r="Z348" i="13"/>
  <c r="Z279" i="13"/>
  <c r="Z80" i="13"/>
  <c r="Z400" i="13"/>
  <c r="Z425" i="13"/>
  <c r="Z161" i="13"/>
  <c r="Z450" i="13"/>
  <c r="Z408" i="13"/>
  <c r="Z460" i="13"/>
  <c r="Z319" i="13"/>
  <c r="Z187" i="13"/>
  <c r="Z92" i="13"/>
  <c r="Z280" i="13"/>
  <c r="Z414" i="13"/>
  <c r="Z96" i="13"/>
  <c r="Z246" i="13"/>
  <c r="Z518" i="13"/>
  <c r="Z340" i="13"/>
  <c r="Z259" i="13"/>
  <c r="Z73" i="13"/>
  <c r="Z111" i="13"/>
  <c r="Z45" i="13"/>
  <c r="Z177" i="13"/>
  <c r="Z481" i="13"/>
  <c r="Z465" i="13"/>
  <c r="Z452" i="13"/>
  <c r="Z384" i="13"/>
  <c r="Z183" i="13"/>
  <c r="Z101" i="13"/>
  <c r="Z398" i="13"/>
  <c r="Z446" i="13"/>
  <c r="Z270" i="13"/>
  <c r="Z272" i="13"/>
  <c r="Z524" i="13"/>
  <c r="Z332" i="13"/>
  <c r="Z243" i="13"/>
  <c r="Z49" i="13"/>
  <c r="Z262" i="13"/>
  <c r="Z86" i="13"/>
  <c r="Z202" i="13"/>
  <c r="Z120" i="13"/>
  <c r="Z187" i="5"/>
  <c r="Z560" i="13"/>
  <c r="Z433" i="13"/>
  <c r="Z354" i="13"/>
  <c r="Z249" i="13"/>
  <c r="Z126" i="13"/>
  <c r="Z418" i="13"/>
  <c r="Z550" i="13"/>
  <c r="Z149" i="13"/>
  <c r="Z314" i="13"/>
  <c r="Z506" i="13"/>
  <c r="Z380" i="13"/>
  <c r="Z267" i="13"/>
  <c r="Z66" i="13"/>
  <c r="Z305" i="13"/>
  <c r="Z125" i="13"/>
  <c r="Z226" i="13"/>
  <c r="Z122" i="13"/>
  <c r="Z558" i="13"/>
  <c r="Z431" i="13"/>
  <c r="Z328" i="13"/>
  <c r="Z195" i="13"/>
  <c r="Z83" i="13"/>
  <c r="Z454" i="13"/>
  <c r="Z139" i="13"/>
  <c r="Z359" i="13"/>
  <c r="Z416" i="13"/>
  <c r="Z519" i="13"/>
  <c r="Z395" i="13"/>
  <c r="Z253" i="13"/>
  <c r="Z39" i="13"/>
  <c r="Z51" i="13"/>
  <c r="Z114" i="13"/>
  <c r="Z282" i="13"/>
  <c r="Z338" i="13"/>
  <c r="Z554" i="13"/>
  <c r="Z439" i="13"/>
  <c r="Z317" i="13"/>
  <c r="Z181" i="13"/>
  <c r="Z184" i="13"/>
  <c r="Z473" i="13"/>
  <c r="Z278" i="13"/>
  <c r="Z23" i="13"/>
  <c r="Z396" i="13"/>
  <c r="Z508" i="13"/>
  <c r="Z347" i="13"/>
  <c r="Z235" i="13"/>
  <c r="Z43" i="13"/>
  <c r="Z50" i="13"/>
  <c r="Z146" i="13"/>
  <c r="Z302" i="13"/>
  <c r="Z466" i="13"/>
  <c r="Z552" i="13"/>
  <c r="Z441" i="13"/>
  <c r="Z299" i="13"/>
  <c r="Z158" i="13"/>
  <c r="Z186" i="13"/>
  <c r="Z527" i="13"/>
  <c r="Z459" i="13"/>
  <c r="Z104" i="13"/>
  <c r="Z428" i="13"/>
  <c r="Z491" i="13"/>
  <c r="Z337" i="13"/>
  <c r="Z229" i="13"/>
  <c r="Z22" i="13"/>
  <c r="Z59" i="13"/>
  <c r="Z123" i="13"/>
  <c r="Z301" i="13"/>
  <c r="Z542" i="13"/>
  <c r="Z340" i="5"/>
  <c r="Z92" i="5"/>
  <c r="Z320" i="5"/>
  <c r="Z326" i="5"/>
  <c r="Z179" i="5"/>
  <c r="Z98" i="5"/>
  <c r="Z284" i="5"/>
  <c r="Z181" i="5"/>
  <c r="Z139" i="5"/>
  <c r="Z374" i="5"/>
  <c r="Z77" i="5"/>
  <c r="Z140" i="5"/>
  <c r="Z199" i="5"/>
  <c r="Z432" i="5"/>
  <c r="Z238" i="5"/>
  <c r="Z267" i="5"/>
  <c r="Z551" i="13"/>
  <c r="Z435" i="13"/>
  <c r="Z288" i="13"/>
  <c r="Z150" i="13"/>
  <c r="Z163" i="13"/>
  <c r="Z497" i="13"/>
  <c r="Z157" i="13"/>
  <c r="Z176" i="13"/>
  <c r="Z461" i="13"/>
  <c r="Z520" i="13"/>
  <c r="Z376" i="13"/>
  <c r="Z221" i="13"/>
  <c r="Z44" i="13"/>
  <c r="Z117" i="13"/>
  <c r="Z167" i="13"/>
  <c r="Z268" i="13"/>
  <c r="Z124" i="13"/>
  <c r="Z540" i="13"/>
  <c r="Z434" i="13"/>
  <c r="Z281" i="13"/>
  <c r="Z166" i="13"/>
  <c r="Z198" i="13"/>
  <c r="Z97" i="13"/>
  <c r="Z537" i="13"/>
  <c r="Z100" i="13"/>
  <c r="Z504" i="13"/>
  <c r="Z501" i="13"/>
  <c r="Z356" i="13"/>
  <c r="Z213" i="13"/>
  <c r="Z27" i="13"/>
  <c r="Z168" i="13"/>
  <c r="Z188" i="13"/>
  <c r="Z362" i="13"/>
  <c r="Z142" i="13"/>
  <c r="Z553" i="13"/>
  <c r="Z388" i="13"/>
  <c r="Z273" i="13"/>
  <c r="Z134" i="13"/>
  <c r="Z311" i="13"/>
  <c r="Z144" i="13"/>
  <c r="Z109" i="13"/>
  <c r="Z99" i="13"/>
  <c r="Z533" i="13"/>
  <c r="Z483" i="13"/>
  <c r="Z343" i="13"/>
  <c r="Z205" i="13"/>
  <c r="Z54" i="13"/>
  <c r="Z87" i="13"/>
  <c r="Z228" i="13"/>
  <c r="Z385" i="13"/>
  <c r="Z276" i="13"/>
  <c r="Z539" i="13"/>
  <c r="Z427" i="13"/>
  <c r="Z265" i="13"/>
  <c r="Z68" i="13"/>
  <c r="Z366" i="13"/>
  <c r="Z258" i="13"/>
  <c r="Z20" i="13"/>
  <c r="Z155" i="13"/>
  <c r="Z8" i="13"/>
  <c r="Z494" i="13"/>
  <c r="Z303" i="13"/>
  <c r="Z298" i="13"/>
  <c r="Z81" i="13"/>
  <c r="Z156" i="13"/>
  <c r="Z330" i="13"/>
  <c r="Z432" i="13"/>
  <c r="Z469" i="13"/>
  <c r="Z263" i="5"/>
  <c r="Z407" i="5"/>
  <c r="Z293" i="5"/>
  <c r="Z547" i="5"/>
  <c r="Z402" i="5"/>
  <c r="Z418" i="5"/>
  <c r="Z372" i="5"/>
  <c r="Z159" i="5"/>
  <c r="Z121" i="5"/>
  <c r="Z420" i="5"/>
  <c r="Z419" i="5"/>
  <c r="Z548" i="5"/>
  <c r="Z358" i="13"/>
  <c r="Z191" i="13"/>
  <c r="Z413" i="13"/>
  <c r="Z26" i="13"/>
  <c r="Z69" i="13"/>
  <c r="Z201" i="13"/>
  <c r="Z326" i="13"/>
  <c r="Z339" i="13"/>
  <c r="Z314" i="5"/>
  <c r="Z403" i="5"/>
  <c r="Z330" i="5"/>
  <c r="Z331" i="5"/>
  <c r="Z258" i="5"/>
  <c r="Z307" i="5"/>
  <c r="Z101" i="5"/>
  <c r="Z176" i="5"/>
  <c r="Z553" i="5"/>
  <c r="Z535" i="5"/>
  <c r="Z489" i="5"/>
  <c r="Z430" i="5"/>
  <c r="Z153" i="5"/>
  <c r="Z105" i="5"/>
  <c r="Z224" i="5"/>
  <c r="Z492" i="5"/>
  <c r="Z70" i="5"/>
  <c r="Z104" i="5"/>
  <c r="Z436" i="5"/>
  <c r="Z394" i="5"/>
  <c r="Z270" i="5"/>
  <c r="Z467" i="5"/>
  <c r="Z354" i="5"/>
  <c r="Z168" i="5"/>
  <c r="Z151" i="5"/>
  <c r="Z311" i="5"/>
  <c r="Z341" i="5"/>
  <c r="Z392" i="5"/>
  <c r="Z508" i="5"/>
  <c r="Z204" i="5"/>
  <c r="Z452" i="5"/>
  <c r="Z169" i="5"/>
  <c r="Z406" i="5"/>
  <c r="Z324" i="5"/>
  <c r="Z86" i="5"/>
  <c r="Z251" i="5"/>
  <c r="Z541" i="5"/>
  <c r="Z494" i="5"/>
  <c r="Z387" i="5"/>
  <c r="Z36" i="5"/>
  <c r="Z156" i="5"/>
  <c r="Z459" i="5"/>
  <c r="Z61" i="5"/>
  <c r="Z128" i="5"/>
  <c r="Z154" i="5"/>
  <c r="Z264" i="5"/>
  <c r="Z25" i="5"/>
  <c r="Z321" i="5"/>
  <c r="Z355" i="5"/>
  <c r="Z510" i="5"/>
  <c r="Z498" i="5"/>
  <c r="Z483" i="5"/>
  <c r="Z283" i="5"/>
  <c r="Z91" i="5"/>
  <c r="Z414" i="5"/>
  <c r="Z429" i="5"/>
  <c r="Z446" i="5"/>
  <c r="Z84" i="13"/>
  <c r="Z313" i="13"/>
  <c r="Z383" i="13"/>
  <c r="Z274" i="13"/>
  <c r="Z467" i="13"/>
  <c r="Z63" i="13"/>
  <c r="Z197" i="13"/>
  <c r="Z223" i="13"/>
  <c r="Z66" i="5"/>
  <c r="Z259" i="5"/>
  <c r="Z242" i="5"/>
  <c r="Z440" i="5"/>
  <c r="Z530" i="5"/>
  <c r="Z211" i="5"/>
  <c r="Z328" i="5"/>
  <c r="Z519" i="5"/>
  <c r="Z427" i="5"/>
  <c r="Z486" i="5"/>
  <c r="Z94" i="5"/>
  <c r="Z520" i="5"/>
  <c r="Z523" i="5"/>
  <c r="Z69" i="5"/>
  <c r="Z299" i="5"/>
  <c r="Z58" i="5"/>
  <c r="Z443" i="5"/>
  <c r="Z536" i="5"/>
  <c r="Z152" i="5"/>
  <c r="Z228" i="5"/>
  <c r="Z332" i="5"/>
  <c r="Z482" i="5"/>
  <c r="Z327" i="5"/>
  <c r="Z400" i="5"/>
  <c r="Z20" i="5"/>
  <c r="Z294" i="5"/>
  <c r="Z444" i="5"/>
  <c r="Z546" i="5"/>
  <c r="Z322" i="5"/>
  <c r="Z84" i="5"/>
  <c r="Z370" i="5"/>
  <c r="Z111" i="5"/>
  <c r="Z338" i="5"/>
  <c r="Z481" i="5"/>
  <c r="Z353" i="5"/>
  <c r="Z350" i="5"/>
  <c r="Z45" i="5"/>
  <c r="Z195" i="5"/>
  <c r="Z454" i="5"/>
  <c r="Z161" i="5"/>
  <c r="Z239" i="5"/>
  <c r="Z103" i="5"/>
  <c r="Z442" i="5"/>
  <c r="Z451" i="5"/>
  <c r="Z473" i="5"/>
  <c r="Z109" i="5"/>
  <c r="Z250" i="5"/>
  <c r="Z558" i="5"/>
  <c r="Z479" i="5"/>
  <c r="Z544" i="5"/>
  <c r="Z148" i="5"/>
  <c r="Z133" i="5"/>
  <c r="Z344" i="5"/>
  <c r="Z316" i="5"/>
  <c r="Z118" i="5"/>
  <c r="Z522" i="5"/>
  <c r="Z241" i="5"/>
  <c r="Z462" i="5"/>
  <c r="Z542" i="5"/>
  <c r="Z378" i="5"/>
  <c r="Z42" i="5"/>
  <c r="Z123" i="5"/>
  <c r="Z94" i="13"/>
  <c r="Z321" i="13"/>
  <c r="Z33" i="5"/>
  <c r="Z297" i="5"/>
  <c r="Z236" i="13"/>
  <c r="Z442" i="13"/>
  <c r="Z112" i="13"/>
  <c r="Z357" i="13"/>
  <c r="Z458" i="13"/>
  <c r="Z233" i="13"/>
  <c r="Z480" i="13"/>
  <c r="Z64" i="13"/>
  <c r="Z37" i="5"/>
  <c r="Z106" i="5"/>
  <c r="Z318" i="5"/>
  <c r="Z278" i="5"/>
  <c r="Z189" i="5"/>
  <c r="Z125" i="5"/>
  <c r="Z469" i="5"/>
  <c r="Z457" i="5"/>
  <c r="Z205" i="5"/>
  <c r="Z182" i="5"/>
  <c r="Z57" i="5"/>
  <c r="Z389" i="5"/>
  <c r="Z412" i="5"/>
  <c r="Z550" i="5"/>
  <c r="Z359" i="5"/>
  <c r="Z532" i="5"/>
  <c r="Z342" i="5"/>
  <c r="Z433" i="5"/>
  <c r="Z51" i="5"/>
  <c r="Z393" i="5"/>
  <c r="Z53" i="5"/>
  <c r="Z215" i="5"/>
  <c r="Z145" i="5"/>
  <c r="Z366" i="5"/>
  <c r="Z458" i="5"/>
  <c r="Z502" i="5"/>
  <c r="Z186" i="5"/>
  <c r="Z509" i="5"/>
  <c r="Z271" i="5"/>
  <c r="Z120" i="5"/>
  <c r="Z266" i="5"/>
  <c r="Z88" i="5"/>
  <c r="Z269" i="5"/>
  <c r="Z49" i="5"/>
  <c r="Z368" i="5"/>
  <c r="Z364" i="5"/>
  <c r="Z30" i="5"/>
  <c r="Z248" i="5"/>
  <c r="Z408" i="5"/>
  <c r="Z247" i="5"/>
  <c r="Z505" i="5"/>
  <c r="Z83" i="5"/>
  <c r="Z385" i="5"/>
  <c r="Z501" i="5"/>
  <c r="Z560" i="5"/>
  <c r="Z177" i="5"/>
  <c r="Z29" i="5"/>
  <c r="Z212" i="5"/>
  <c r="Z455" i="5"/>
  <c r="Z516" i="5"/>
  <c r="Z273" i="5"/>
  <c r="Z100" i="5"/>
  <c r="Z281" i="5"/>
  <c r="Z131" i="5"/>
  <c r="Z377" i="5"/>
  <c r="Z493" i="5"/>
  <c r="Z132" i="5"/>
  <c r="Z401" i="5"/>
  <c r="Z216" i="5"/>
  <c r="Z292" i="13"/>
  <c r="Z339" i="5"/>
  <c r="Z530" i="13"/>
  <c r="Z175" i="13"/>
  <c r="Z477" i="13"/>
  <c r="Z208" i="13"/>
  <c r="Z489" i="13"/>
  <c r="Z98" i="13"/>
  <c r="Z378" i="13"/>
  <c r="Z547" i="13"/>
  <c r="Z230" i="13"/>
  <c r="Z60" i="5"/>
  <c r="Z234" i="5"/>
  <c r="Z472" i="5"/>
  <c r="Z201" i="5"/>
  <c r="Z225" i="5"/>
  <c r="Z383" i="5"/>
  <c r="Z196" i="5"/>
  <c r="Z68" i="5"/>
  <c r="Z367" i="5"/>
  <c r="Z237" i="5"/>
  <c r="Z528" i="5"/>
  <c r="Z390" i="5"/>
  <c r="Z476" i="5"/>
  <c r="Z67" i="5"/>
  <c r="Z240" i="5"/>
  <c r="Z343" i="5"/>
  <c r="Z512" i="5"/>
  <c r="Z44" i="5"/>
  <c r="Z112" i="5"/>
  <c r="Z295" i="5"/>
  <c r="Z19" i="5"/>
  <c r="Z460" i="5"/>
  <c r="Z323" i="5"/>
  <c r="Z99" i="5"/>
  <c r="Z315" i="5"/>
  <c r="Z556" i="5"/>
  <c r="Z229" i="5"/>
  <c r="Z559" i="5"/>
  <c r="Z162" i="5"/>
  <c r="Z334" i="5"/>
  <c r="Z178" i="5"/>
  <c r="Z379" i="5"/>
  <c r="Z503" i="5"/>
  <c r="Z167" i="5"/>
  <c r="Z325" i="5"/>
  <c r="Z453" i="5"/>
  <c r="Z521" i="5"/>
  <c r="Z423" i="5"/>
  <c r="Z499" i="5"/>
  <c r="Z144" i="5"/>
  <c r="Z200" i="5"/>
  <c r="Z477" i="5"/>
  <c r="Z79" i="5"/>
  <c r="Z549" i="5"/>
  <c r="Z337" i="5"/>
  <c r="Z193" i="5"/>
  <c r="Z388" i="5"/>
  <c r="Z31" i="5"/>
  <c r="Z268" i="5"/>
  <c r="Z150" i="5"/>
  <c r="Z456" i="5"/>
  <c r="Z466" i="5"/>
  <c r="Z76" i="5"/>
  <c r="Z399" i="5"/>
  <c r="Z97" i="5"/>
  <c r="Z435" i="5"/>
  <c r="Z244" i="5"/>
  <c r="Z249" i="5"/>
  <c r="Z58" i="13"/>
  <c r="Z470" i="13"/>
  <c r="Z533" i="5"/>
  <c r="Z274" i="5"/>
  <c r="Z417" i="13"/>
  <c r="Z487" i="13"/>
  <c r="Z529" i="13"/>
  <c r="Z240" i="13"/>
  <c r="Z24" i="13"/>
  <c r="Z342" i="13"/>
  <c r="Z500" i="13"/>
  <c r="Z190" i="13"/>
  <c r="Z407" i="13"/>
  <c r="Z363" i="5"/>
  <c r="Z8" i="5"/>
  <c r="Z275" i="5"/>
  <c r="Z113" i="5"/>
  <c r="Z361" i="5"/>
  <c r="Z27" i="5"/>
  <c r="Z190" i="5"/>
  <c r="Z80" i="5"/>
  <c r="Z130" i="5"/>
  <c r="Z500" i="5"/>
  <c r="Z511" i="5"/>
  <c r="Z107" i="5"/>
  <c r="Z85" i="5"/>
  <c r="Z54" i="5"/>
  <c r="Z129" i="5"/>
  <c r="Z164" i="5"/>
  <c r="Z329" i="5"/>
  <c r="Z62" i="5"/>
  <c r="Z217" i="5"/>
  <c r="Z410" i="5"/>
  <c r="Z386" i="5"/>
  <c r="Z381" i="5"/>
  <c r="Z428" i="5"/>
  <c r="Z382" i="5"/>
  <c r="Z52" i="5"/>
  <c r="Z527" i="5"/>
  <c r="Z40" i="5"/>
  <c r="Z286" i="5"/>
  <c r="Z158" i="5"/>
  <c r="Z310" i="5"/>
  <c r="Z426" i="5"/>
  <c r="Z296" i="5"/>
  <c r="Z50" i="5"/>
  <c r="Z46" i="5"/>
  <c r="Z260" i="5"/>
  <c r="Z465" i="5"/>
  <c r="Z496" i="5"/>
  <c r="Z448" i="5"/>
  <c r="Z226" i="5"/>
  <c r="Z464" i="5"/>
  <c r="Z513" i="5"/>
  <c r="Z557" i="5"/>
  <c r="Z172" i="5"/>
  <c r="Z170" i="5"/>
  <c r="Z468" i="5"/>
  <c r="Z545" i="5"/>
  <c r="Z261" i="5"/>
  <c r="Z174" i="5"/>
  <c r="Z356" i="5"/>
  <c r="Z276" i="5"/>
  <c r="Z413" i="5"/>
  <c r="Z529" i="5"/>
  <c r="Z64" i="5"/>
  <c r="Z317" i="5"/>
  <c r="Z137" i="5"/>
  <c r="Z348" i="5"/>
  <c r="Z149" i="5"/>
  <c r="Z136" i="5"/>
  <c r="Z353" i="13"/>
  <c r="Z369" i="13"/>
  <c r="Z222" i="5"/>
  <c r="Z552" i="5"/>
  <c r="Z304" i="13"/>
  <c r="Z324" i="13"/>
  <c r="Z403" i="13"/>
  <c r="Z475" i="13"/>
  <c r="Z528" i="13"/>
  <c r="Z35" i="13"/>
  <c r="Z42" i="13"/>
  <c r="Z346" i="13"/>
  <c r="Z502" i="13"/>
  <c r="Z93" i="5"/>
  <c r="Z358" i="5"/>
  <c r="Z352" i="5"/>
  <c r="Z515" i="5"/>
  <c r="Z236" i="5"/>
  <c r="Z312" i="5"/>
  <c r="Z514" i="5"/>
  <c r="Z213" i="5"/>
  <c r="Z218" i="5"/>
  <c r="Z157" i="5"/>
  <c r="Z191" i="5"/>
  <c r="Z117" i="5"/>
  <c r="Z287" i="5"/>
  <c r="Z301" i="5"/>
  <c r="Z357" i="5"/>
  <c r="Z538" i="5"/>
  <c r="Z531" i="5"/>
  <c r="Z48" i="5"/>
  <c r="Z175" i="5"/>
  <c r="Z290" i="5"/>
  <c r="Z65" i="5"/>
  <c r="Z351" i="5"/>
  <c r="Z28" i="5"/>
  <c r="Z127" i="5"/>
  <c r="Z265" i="5"/>
  <c r="Z551" i="5"/>
  <c r="Z495" i="5"/>
  <c r="Z116" i="5"/>
  <c r="Z74" i="5"/>
  <c r="Z231" i="5"/>
  <c r="Z425" i="5"/>
  <c r="Z119" i="5"/>
  <c r="Z376" i="5"/>
  <c r="Z517" i="5"/>
  <c r="Z384" i="5"/>
  <c r="Z405" i="5"/>
  <c r="Z47" i="5"/>
  <c r="Z219" i="5"/>
  <c r="Z308" i="5"/>
  <c r="Z369" i="5"/>
  <c r="Z470" i="5"/>
  <c r="Z485" i="5"/>
  <c r="Z555" i="5"/>
  <c r="Z262" i="5"/>
  <c r="Z474" i="5"/>
  <c r="Z371" i="5"/>
  <c r="Z43" i="5"/>
  <c r="Z490" i="5"/>
  <c r="Z298" i="5"/>
  <c r="Z185" i="5"/>
  <c r="Z124" i="5"/>
  <c r="Z165" i="5"/>
  <c r="Z232" i="5"/>
  <c r="Z210" i="5"/>
  <c r="Z431" i="5"/>
  <c r="Z252" i="5"/>
  <c r="Z46" i="13"/>
  <c r="Z255" i="13"/>
  <c r="Z286" i="13"/>
  <c r="Z310" i="13"/>
  <c r="Z377" i="13"/>
  <c r="Z479" i="13"/>
  <c r="Z531" i="13"/>
  <c r="Z165" i="13"/>
  <c r="Z103" i="13"/>
  <c r="Z365" i="5"/>
  <c r="Z183" i="5"/>
  <c r="Z554" i="5"/>
  <c r="Z135" i="5"/>
  <c r="Z395" i="5"/>
  <c r="Z461" i="5"/>
  <c r="Z126" i="5"/>
  <c r="Z73" i="5"/>
  <c r="Z306" i="5"/>
  <c r="Z373" i="5"/>
  <c r="Z404" i="5"/>
  <c r="Z463" i="5"/>
  <c r="Z171" i="5"/>
  <c r="Z203" i="5"/>
  <c r="Z63" i="5"/>
  <c r="Z198" i="5"/>
  <c r="Z525" i="5"/>
  <c r="Z507" i="5"/>
  <c r="Z360" i="5"/>
  <c r="Z487" i="5"/>
  <c r="Z449" i="5"/>
  <c r="Z26" i="5"/>
  <c r="Z194" i="5"/>
  <c r="Z437" i="5"/>
  <c r="Z114" i="5"/>
  <c r="Z285" i="5"/>
  <c r="Z41" i="5"/>
  <c r="Z166" i="5"/>
  <c r="Z396" i="5"/>
  <c r="Z471" i="5"/>
  <c r="Z438" i="5"/>
  <c r="Z303" i="5"/>
  <c r="Z90" i="5"/>
  <c r="Z197" i="5"/>
  <c r="Z450" i="5"/>
  <c r="Z206" i="5"/>
  <c r="Z543" i="5"/>
  <c r="Z246" i="5"/>
  <c r="Z397" i="5"/>
  <c r="Z282" i="5"/>
  <c r="Z254" i="5"/>
  <c r="Z75" i="5"/>
  <c r="Z230" i="5"/>
  <c r="Z243" i="5"/>
  <c r="Z534" i="5"/>
  <c r="Z56" i="5"/>
  <c r="Z34" i="5"/>
  <c r="Z277" i="5"/>
  <c r="Z491" i="5"/>
  <c r="Z504" i="5"/>
  <c r="Z95" i="5"/>
  <c r="Z227" i="5"/>
  <c r="Z163" i="5"/>
  <c r="Z439" i="5"/>
  <c r="Z138" i="5"/>
  <c r="Z302" i="5"/>
  <c r="Z497" i="5"/>
  <c r="Z304" i="5"/>
  <c r="Z22" i="5"/>
  <c r="Z71" i="5"/>
  <c r="Z239" i="13"/>
  <c r="Z415" i="5"/>
  <c r="Z155" i="5"/>
  <c r="Z447" i="5"/>
  <c r="Z146" i="5"/>
  <c r="Z253" i="5"/>
  <c r="Z478" i="5"/>
  <c r="Z21" i="5"/>
  <c r="Z347" i="5"/>
  <c r="Z180" i="5"/>
  <c r="Z89" i="5"/>
  <c r="Z539" i="5"/>
  <c r="Z362" i="5"/>
  <c r="Z524" i="5"/>
  <c r="Z349" i="5"/>
  <c r="Z255" i="5"/>
  <c r="Z214" i="5"/>
  <c r="Z537" i="5"/>
  <c r="Z291" i="5"/>
  <c r="Z257" i="5"/>
  <c r="Z110" i="5"/>
  <c r="Z417" i="5"/>
  <c r="Z256" i="5"/>
  <c r="Z134" i="5"/>
  <c r="Z488" i="5"/>
  <c r="Z108" i="5"/>
  <c r="Z87" i="5"/>
  <c r="Z221" i="5"/>
  <c r="Z233" i="5"/>
  <c r="Z422" i="5"/>
  <c r="Z375" i="5"/>
  <c r="Z23" i="5"/>
  <c r="Z421" i="5"/>
  <c r="Z441" i="5"/>
  <c r="Z518" i="5"/>
  <c r="Z208" i="5"/>
  <c r="Z115" i="5"/>
  <c r="Z82" i="5"/>
  <c r="Z526" i="5"/>
  <c r="Z122" i="5"/>
  <c r="Z380" i="5"/>
  <c r="Z292" i="5"/>
  <c r="Z309" i="5"/>
  <c r="Z300" i="5"/>
  <c r="Z143" i="5"/>
  <c r="Z207" i="5"/>
  <c r="Z147" i="5"/>
  <c r="Z209" i="5"/>
  <c r="Z480" i="5"/>
  <c r="Z32" i="5"/>
  <c r="Z38" i="5"/>
  <c r="Z245" i="5"/>
  <c r="BU29" i="4"/>
  <c r="BW29" i="4" s="1"/>
  <c r="CC29" i="4" s="1"/>
  <c r="CD29" i="4" s="1"/>
  <c r="CQ29" i="4" s="1"/>
  <c r="BU133" i="4"/>
  <c r="BW133" i="4" s="1"/>
  <c r="BZ133" i="4" s="1"/>
  <c r="CA133" i="4" s="1"/>
  <c r="BU149" i="4"/>
  <c r="BW149" i="4" s="1"/>
  <c r="CC149" i="4" s="1"/>
  <c r="CD149" i="4" s="1"/>
  <c r="CQ149" i="4" s="1"/>
  <c r="BU15" i="4"/>
  <c r="BU138" i="4"/>
  <c r="BW138" i="4" s="1"/>
  <c r="BW139" i="4"/>
  <c r="BZ139" i="4" s="1"/>
  <c r="CA139" i="4" s="1"/>
  <c r="BU60" i="4"/>
  <c r="BW60" i="4" s="1"/>
  <c r="CC60" i="4" s="1"/>
  <c r="CD60" i="4" s="1"/>
  <c r="CQ60" i="4" s="1"/>
  <c r="BU61" i="4"/>
  <c r="BW61" i="4" s="1"/>
  <c r="CC61" i="4" s="1"/>
  <c r="CD61" i="4" s="1"/>
  <c r="CQ61" i="4" s="1"/>
  <c r="BU126" i="4"/>
  <c r="BW126" i="4" s="1"/>
  <c r="BU127" i="4"/>
  <c r="BW127" i="4" s="1"/>
  <c r="BZ127" i="4" s="1"/>
  <c r="CA127" i="4" s="1"/>
  <c r="BU91" i="4"/>
  <c r="BW91" i="4" s="1"/>
  <c r="CC91" i="4" s="1"/>
  <c r="CD91" i="4" s="1"/>
  <c r="CQ91" i="4" s="1"/>
  <c r="AT306" i="13"/>
  <c r="BU23" i="4"/>
  <c r="BW23" i="4" s="1"/>
  <c r="BZ23" i="4" s="1"/>
  <c r="CA23" i="4" s="1"/>
  <c r="BU46" i="4"/>
  <c r="BW46" i="4" s="1"/>
  <c r="CC46" i="4" s="1"/>
  <c r="CD46" i="4" s="1"/>
  <c r="CQ46" i="4" s="1"/>
  <c r="BU111" i="4"/>
  <c r="BW111" i="4" s="1"/>
  <c r="BU49" i="4"/>
  <c r="BU55" i="4"/>
  <c r="BW89" i="4"/>
  <c r="CC89" i="4" s="1"/>
  <c r="CD89" i="4" s="1"/>
  <c r="CQ89" i="4" s="1"/>
  <c r="BU137" i="4"/>
  <c r="BW137" i="4" s="1"/>
  <c r="CC137" i="4" s="1"/>
  <c r="CD137" i="4" s="1"/>
  <c r="CQ137" i="4" s="1"/>
  <c r="BU31" i="4"/>
  <c r="BW31" i="4" s="1"/>
  <c r="CC31" i="4" s="1"/>
  <c r="CD31" i="4" s="1"/>
  <c r="CQ31" i="4" s="1"/>
  <c r="BU90" i="4"/>
  <c r="BW90" i="4" s="1"/>
  <c r="BU52" i="4"/>
  <c r="BW52" i="4" s="1"/>
  <c r="BZ52" i="4" s="1"/>
  <c r="CA52" i="4" s="1"/>
  <c r="AU54" i="13"/>
  <c r="BW117" i="4"/>
  <c r="CC117" i="4" s="1"/>
  <c r="CD117" i="4" s="1"/>
  <c r="CQ117" i="4" s="1"/>
  <c r="BU71" i="4"/>
  <c r="BW71" i="4" s="1"/>
  <c r="BZ71" i="4" s="1"/>
  <c r="CA71" i="4" s="1"/>
  <c r="BU107" i="4"/>
  <c r="BW107" i="4" s="1"/>
  <c r="BZ107" i="4" s="1"/>
  <c r="CA107" i="4" s="1"/>
  <c r="BU50" i="4"/>
  <c r="BW50" i="4" s="1"/>
  <c r="BZ50" i="4" s="1"/>
  <c r="CA50" i="4" s="1"/>
  <c r="BU51" i="4"/>
  <c r="BW51" i="4" s="1"/>
  <c r="BU134" i="4"/>
  <c r="BU19" i="4"/>
  <c r="BW19" i="4" s="1"/>
  <c r="BZ19" i="4" s="1"/>
  <c r="CA19" i="4" s="1"/>
  <c r="BU144" i="4"/>
  <c r="BU96" i="4"/>
  <c r="BW96" i="4" s="1"/>
  <c r="BZ96" i="4" s="1"/>
  <c r="CA96" i="4" s="1"/>
  <c r="BU28" i="4"/>
  <c r="BW28" i="4" s="1"/>
  <c r="BU110" i="4"/>
  <c r="BW110" i="4" s="1"/>
  <c r="BZ110" i="4" s="1"/>
  <c r="CA110" i="4" s="1"/>
  <c r="BU14" i="4"/>
  <c r="BW14" i="4" s="1"/>
  <c r="BZ14" i="4" s="1"/>
  <c r="CA14" i="4" s="1"/>
  <c r="BU59" i="4"/>
  <c r="BU10" i="4"/>
  <c r="BW10" i="4" s="1"/>
  <c r="CC10" i="4" s="1"/>
  <c r="CD10" i="4" s="1"/>
  <c r="CQ10" i="4" s="1"/>
  <c r="BU77" i="4"/>
  <c r="BW77" i="4" s="1"/>
  <c r="BZ77" i="4" s="1"/>
  <c r="CA77" i="4" s="1"/>
  <c r="BU73" i="4"/>
  <c r="BU142" i="4"/>
  <c r="BW142" i="4" s="1"/>
  <c r="CC142" i="4" s="1"/>
  <c r="CD142" i="4" s="1"/>
  <c r="CQ142" i="4" s="1"/>
  <c r="BU41" i="4"/>
  <c r="BU8" i="4"/>
  <c r="BW8" i="4" s="1"/>
  <c r="CC8" i="4" s="1"/>
  <c r="CD8" i="4" s="1"/>
  <c r="CQ8" i="4" s="1"/>
  <c r="BU112" i="4"/>
  <c r="BW112" i="4" s="1"/>
  <c r="BZ112" i="4" s="1"/>
  <c r="CA112" i="4" s="1"/>
  <c r="BU95" i="4"/>
  <c r="BW95" i="4" s="1"/>
  <c r="BZ95" i="4" s="1"/>
  <c r="CA95" i="4" s="1"/>
  <c r="BU118" i="4"/>
  <c r="BU124" i="4"/>
  <c r="BW124" i="4" s="1"/>
  <c r="CC124" i="4" s="1"/>
  <c r="CD124" i="4" s="1"/>
  <c r="CQ124" i="4" s="1"/>
  <c r="BU104" i="4"/>
  <c r="BW104" i="4" s="1"/>
  <c r="BU109" i="4"/>
  <c r="BW109" i="4" s="1"/>
  <c r="CC109" i="4" s="1"/>
  <c r="CD109" i="4" s="1"/>
  <c r="CQ109" i="4" s="1"/>
  <c r="BU68" i="4"/>
  <c r="BW68" i="4" s="1"/>
  <c r="CC68" i="4" s="1"/>
  <c r="CD68" i="4" s="1"/>
  <c r="CQ68" i="4" s="1"/>
  <c r="BU40" i="4"/>
  <c r="BW40" i="4" s="1"/>
  <c r="CC40" i="4" s="1"/>
  <c r="CD40" i="4" s="1"/>
  <c r="CQ40" i="4" s="1"/>
  <c r="BU121" i="4"/>
  <c r="BW121" i="4" s="1"/>
  <c r="CC121" i="4" s="1"/>
  <c r="CD121" i="4" s="1"/>
  <c r="CQ121" i="4" s="1"/>
  <c r="BU115" i="4"/>
  <c r="BU36" i="4"/>
  <c r="BW36" i="4" s="1"/>
  <c r="BU103" i="4"/>
  <c r="BU148" i="4"/>
  <c r="BW148" i="4" s="1"/>
  <c r="BZ148" i="4" s="1"/>
  <c r="CA148" i="4" s="1"/>
  <c r="BU27" i="4"/>
  <c r="BW27" i="4" s="1"/>
  <c r="CC27" i="4" s="1"/>
  <c r="CD27" i="4" s="1"/>
  <c r="CQ27" i="4" s="1"/>
  <c r="BU94" i="4"/>
  <c r="BU76" i="4"/>
  <c r="BW76" i="4" s="1"/>
  <c r="BZ76" i="4" s="1"/>
  <c r="CA76" i="4" s="1"/>
  <c r="BU24" i="4"/>
  <c r="BW24" i="4" s="1"/>
  <c r="CC24" i="4" s="1"/>
  <c r="CD24" i="4" s="1"/>
  <c r="CQ24" i="4" s="1"/>
  <c r="BU108" i="4"/>
  <c r="AT507" i="13"/>
  <c r="AU352" i="13"/>
  <c r="AT74" i="13"/>
  <c r="AT429" i="13"/>
  <c r="AU325" i="13"/>
  <c r="AT111" i="13"/>
  <c r="AU114" i="5"/>
  <c r="AT488" i="13"/>
  <c r="AT403" i="13"/>
  <c r="AT536" i="13"/>
  <c r="AT501" i="13"/>
  <c r="AT153" i="13"/>
  <c r="AT227" i="13"/>
  <c r="AT440" i="13"/>
  <c r="AU431" i="13"/>
  <c r="BU21" i="4"/>
  <c r="BW21" i="4" s="1"/>
  <c r="BZ21" i="4" s="1"/>
  <c r="CA21" i="4" s="1"/>
  <c r="BU97" i="4"/>
  <c r="BW97" i="4" s="1"/>
  <c r="BU152" i="4"/>
  <c r="BW152" i="4" s="1"/>
  <c r="BZ152" i="4" s="1"/>
  <c r="CA152" i="4" s="1"/>
  <c r="J42" i="13"/>
  <c r="BW106" i="4"/>
  <c r="BZ106" i="4" s="1"/>
  <c r="CA106" i="4" s="1"/>
  <c r="AT392" i="13"/>
  <c r="AT535" i="13"/>
  <c r="AT98" i="5"/>
  <c r="AT457" i="13"/>
  <c r="AU338" i="13"/>
  <c r="AT204" i="13"/>
  <c r="BW37" i="4"/>
  <c r="BU116" i="4"/>
  <c r="BW116" i="4" s="1"/>
  <c r="BZ116" i="4" s="1"/>
  <c r="CA116" i="4" s="1"/>
  <c r="BU83" i="4"/>
  <c r="BW83" i="4" s="1"/>
  <c r="CC83" i="4" s="1"/>
  <c r="CD83" i="4" s="1"/>
  <c r="CQ83" i="4" s="1"/>
  <c r="BU42" i="4"/>
  <c r="BW42" i="4" s="1"/>
  <c r="BZ42" i="4" s="1"/>
  <c r="CA42" i="4" s="1"/>
  <c r="BU143" i="4"/>
  <c r="BW143" i="4" s="1"/>
  <c r="BZ143" i="4" s="1"/>
  <c r="CA143" i="4" s="1"/>
  <c r="BU140" i="4"/>
  <c r="BW140" i="4" s="1"/>
  <c r="CC140" i="4" s="1"/>
  <c r="CD140" i="4" s="1"/>
  <c r="CQ140" i="4" s="1"/>
  <c r="BU44" i="4"/>
  <c r="BW44" i="4" s="1"/>
  <c r="BU7" i="4"/>
  <c r="BW7" i="4" s="1"/>
  <c r="BU58" i="4"/>
  <c r="BW58" i="4" s="1"/>
  <c r="BU81" i="4"/>
  <c r="BW81" i="4" s="1"/>
  <c r="BZ81" i="4" s="1"/>
  <c r="CA81" i="4" s="1"/>
  <c r="BU54" i="4"/>
  <c r="BW54" i="4" s="1"/>
  <c r="CC54" i="4" s="1"/>
  <c r="CD54" i="4" s="1"/>
  <c r="CQ54" i="4" s="1"/>
  <c r="BU18" i="4"/>
  <c r="BW18" i="4" s="1"/>
  <c r="CC18" i="4" s="1"/>
  <c r="CD18" i="4" s="1"/>
  <c r="CQ18" i="4" s="1"/>
  <c r="BU65" i="4"/>
  <c r="BW65" i="4" s="1"/>
  <c r="CC65" i="4" s="1"/>
  <c r="CD65" i="4" s="1"/>
  <c r="CQ65" i="4" s="1"/>
  <c r="BU85" i="4"/>
  <c r="BW85" i="4" s="1"/>
  <c r="CC85" i="4" s="1"/>
  <c r="CD85" i="4" s="1"/>
  <c r="CQ85" i="4" s="1"/>
  <c r="BU119" i="4"/>
  <c r="BW119" i="4" s="1"/>
  <c r="BU92" i="4"/>
  <c r="BW92" i="4" s="1"/>
  <c r="BZ92" i="4" s="1"/>
  <c r="CA92" i="4" s="1"/>
  <c r="BU45" i="4"/>
  <c r="BW45" i="4" s="1"/>
  <c r="CC45" i="4" s="1"/>
  <c r="CD45" i="4" s="1"/>
  <c r="CQ45" i="4" s="1"/>
  <c r="BU150" i="4"/>
  <c r="BW150" i="4" s="1"/>
  <c r="BZ150" i="4" s="1"/>
  <c r="CA150" i="4" s="1"/>
  <c r="BU114" i="4"/>
  <c r="BW114" i="4" s="1"/>
  <c r="CC114" i="4" s="1"/>
  <c r="CD114" i="4" s="1"/>
  <c r="CQ114" i="4" s="1"/>
  <c r="BU56" i="4"/>
  <c r="BW56" i="4" s="1"/>
  <c r="BZ56" i="4" s="1"/>
  <c r="CA56" i="4" s="1"/>
  <c r="BU131" i="4"/>
  <c r="BW131" i="4" s="1"/>
  <c r="CC131" i="4" s="1"/>
  <c r="CD131" i="4" s="1"/>
  <c r="CQ131" i="4" s="1"/>
  <c r="BU34" i="4"/>
  <c r="BW34" i="4" s="1"/>
  <c r="BZ34" i="4" s="1"/>
  <c r="CA34" i="4" s="1"/>
  <c r="BU125" i="4"/>
  <c r="BW125" i="4" s="1"/>
  <c r="BZ125" i="4" s="1"/>
  <c r="CA125" i="4" s="1"/>
  <c r="BU156" i="4"/>
  <c r="BW156" i="4" s="1"/>
  <c r="CC156" i="4" s="1"/>
  <c r="CD156" i="4" s="1"/>
  <c r="CQ156" i="4" s="1"/>
  <c r="BU80" i="4"/>
  <c r="BW80" i="4" s="1"/>
  <c r="BU11" i="4"/>
  <c r="BW11" i="4" s="1"/>
  <c r="BZ11" i="4" s="1"/>
  <c r="CA11" i="4" s="1"/>
  <c r="BU101" i="4"/>
  <c r="BW101" i="4" s="1"/>
  <c r="CC101" i="4" s="1"/>
  <c r="CD101" i="4" s="1"/>
  <c r="CQ101" i="4" s="1"/>
  <c r="BU136" i="4"/>
  <c r="BW136" i="4" s="1"/>
  <c r="BZ136" i="4" s="1"/>
  <c r="CA136" i="4" s="1"/>
  <c r="BU145" i="4"/>
  <c r="BW145" i="4" s="1"/>
  <c r="BZ145" i="4" s="1"/>
  <c r="CA145" i="4" s="1"/>
  <c r="BU67" i="4"/>
  <c r="BW67" i="4" s="1"/>
  <c r="BZ67" i="4" s="1"/>
  <c r="CA67" i="4" s="1"/>
  <c r="BU16" i="4"/>
  <c r="BU66" i="4"/>
  <c r="BW66" i="4" s="1"/>
  <c r="BZ66" i="4" s="1"/>
  <c r="CA66" i="4" s="1"/>
  <c r="BU99" i="4"/>
  <c r="BW99" i="4" s="1"/>
  <c r="BU62" i="4"/>
  <c r="BW62" i="4" s="1"/>
  <c r="CC62" i="4" s="1"/>
  <c r="CD62" i="4" s="1"/>
  <c r="CQ62" i="4" s="1"/>
  <c r="BU26" i="4"/>
  <c r="BW26" i="4" s="1"/>
  <c r="BZ26" i="4" s="1"/>
  <c r="CA26" i="4" s="1"/>
  <c r="BU84" i="4"/>
  <c r="BW84" i="4" s="1"/>
  <c r="CC84" i="4" s="1"/>
  <c r="CD84" i="4" s="1"/>
  <c r="CQ84" i="4" s="1"/>
  <c r="BU93" i="4"/>
  <c r="BW93" i="4" s="1"/>
  <c r="CC93" i="4" s="1"/>
  <c r="CD93" i="4" s="1"/>
  <c r="CQ93" i="4" s="1"/>
  <c r="BU63" i="4"/>
  <c r="BW63" i="4" s="1"/>
  <c r="CC63" i="4" s="1"/>
  <c r="CD63" i="4" s="1"/>
  <c r="CQ63" i="4" s="1"/>
  <c r="BU53" i="4"/>
  <c r="BW53" i="4" s="1"/>
  <c r="BU74" i="4"/>
  <c r="BW74" i="4" s="1"/>
  <c r="BZ74" i="4" s="1"/>
  <c r="CA74" i="4" s="1"/>
  <c r="BU64" i="4"/>
  <c r="BW64" i="4" s="1"/>
  <c r="CC64" i="4" s="1"/>
  <c r="CD64" i="4" s="1"/>
  <c r="CQ64" i="4" s="1"/>
  <c r="BU147" i="4"/>
  <c r="BW147" i="4" s="1"/>
  <c r="BZ147" i="4" s="1"/>
  <c r="CA147" i="4" s="1"/>
  <c r="BU25" i="4"/>
  <c r="BW25" i="4" s="1"/>
  <c r="BZ25" i="4" s="1"/>
  <c r="CA25" i="4" s="1"/>
  <c r="BU35" i="4"/>
  <c r="BW35" i="4" s="1"/>
  <c r="BU48" i="4"/>
  <c r="BW48" i="4" s="1"/>
  <c r="BU79" i="4"/>
  <c r="BW79" i="4" s="1"/>
  <c r="BZ79" i="4" s="1"/>
  <c r="CA79" i="4" s="1"/>
  <c r="BU43" i="4"/>
  <c r="BU69" i="4"/>
  <c r="BW69" i="4" s="1"/>
  <c r="CC69" i="4" s="1"/>
  <c r="CD69" i="4" s="1"/>
  <c r="CQ69" i="4" s="1"/>
  <c r="BU39" i="4"/>
  <c r="BW39" i="4" s="1"/>
  <c r="BU132" i="4"/>
  <c r="BW132" i="4" s="1"/>
  <c r="BZ132" i="4" s="1"/>
  <c r="CA132" i="4" s="1"/>
  <c r="BU105" i="4"/>
  <c r="BW105" i="4" s="1"/>
  <c r="BU70" i="4"/>
  <c r="BW70" i="4" s="1"/>
  <c r="CC70" i="4" s="1"/>
  <c r="CD70" i="4" s="1"/>
  <c r="CQ70" i="4" s="1"/>
  <c r="BU98" i="4"/>
  <c r="BW98" i="4" s="1"/>
  <c r="BZ98" i="4" s="1"/>
  <c r="CA98" i="4" s="1"/>
  <c r="BU17" i="4"/>
  <c r="BW17" i="4" s="1"/>
  <c r="CC17" i="4" s="1"/>
  <c r="CD17" i="4" s="1"/>
  <c r="CQ17" i="4" s="1"/>
  <c r="BU30" i="4"/>
  <c r="BW30" i="4" s="1"/>
  <c r="BZ30" i="4" s="1"/>
  <c r="CA30" i="4" s="1"/>
  <c r="BU135" i="4"/>
  <c r="BW135" i="4" s="1"/>
  <c r="CC135" i="4" s="1"/>
  <c r="CD135" i="4" s="1"/>
  <c r="CQ135" i="4" s="1"/>
  <c r="BU75" i="4"/>
  <c r="BW75" i="4" s="1"/>
  <c r="BU122" i="4"/>
  <c r="BW122" i="4" s="1"/>
  <c r="BZ122" i="4" s="1"/>
  <c r="CA122" i="4" s="1"/>
  <c r="BU141" i="4"/>
  <c r="BW141" i="4" s="1"/>
  <c r="BZ141" i="4" s="1"/>
  <c r="CA141" i="4" s="1"/>
  <c r="BU146" i="4"/>
  <c r="BW146" i="4" s="1"/>
  <c r="CC146" i="4" s="1"/>
  <c r="CD146" i="4" s="1"/>
  <c r="CQ146" i="4" s="1"/>
  <c r="BU88" i="4"/>
  <c r="BW88" i="4" s="1"/>
  <c r="CC88" i="4" s="1"/>
  <c r="CD88" i="4" s="1"/>
  <c r="CQ88" i="4" s="1"/>
  <c r="BU86" i="4"/>
  <c r="BW86" i="4" s="1"/>
  <c r="CC86" i="4" s="1"/>
  <c r="CD86" i="4" s="1"/>
  <c r="CQ86" i="4" s="1"/>
  <c r="BU154" i="4"/>
  <c r="BU153" i="4"/>
  <c r="BW153" i="4" s="1"/>
  <c r="BZ153" i="4" s="1"/>
  <c r="CA153" i="4" s="1"/>
  <c r="BU22" i="4"/>
  <c r="BW22" i="4" s="1"/>
  <c r="BZ22" i="4" s="1"/>
  <c r="CA22" i="4" s="1"/>
  <c r="BU120" i="4"/>
  <c r="BW120" i="4" s="1"/>
  <c r="CC120" i="4" s="1"/>
  <c r="CD120" i="4" s="1"/>
  <c r="CQ120" i="4" s="1"/>
  <c r="BU57" i="4"/>
  <c r="BW57" i="4" s="1"/>
  <c r="BZ57" i="4" s="1"/>
  <c r="CA57" i="4" s="1"/>
  <c r="BU72" i="4"/>
  <c r="BW72" i="4" s="1"/>
  <c r="BZ72" i="4" s="1"/>
  <c r="CA72" i="4" s="1"/>
  <c r="BU151" i="4"/>
  <c r="BW151" i="4" s="1"/>
  <c r="BZ151" i="4" s="1"/>
  <c r="CA151" i="4" s="1"/>
  <c r="BU9" i="4"/>
  <c r="BW9" i="4" s="1"/>
  <c r="CC9" i="4" s="1"/>
  <c r="CD9" i="4" s="1"/>
  <c r="CQ9" i="4" s="1"/>
  <c r="BU13" i="4"/>
  <c r="BU47" i="4"/>
  <c r="BW47" i="4" s="1"/>
  <c r="CC47" i="4" s="1"/>
  <c r="CD47" i="4" s="1"/>
  <c r="CQ47" i="4" s="1"/>
  <c r="BU155" i="4"/>
  <c r="BW155" i="4" s="1"/>
  <c r="BU20" i="4"/>
  <c r="BU78" i="4"/>
  <c r="BW78" i="4" s="1"/>
  <c r="BZ78" i="4" s="1"/>
  <c r="CA78" i="4" s="1"/>
  <c r="AT430" i="13"/>
  <c r="AT89" i="13"/>
  <c r="AT139" i="13"/>
  <c r="AU273" i="13"/>
  <c r="AU94" i="13"/>
  <c r="AT479" i="13"/>
  <c r="AU55" i="13"/>
  <c r="AT115" i="13"/>
  <c r="AU424" i="13"/>
  <c r="AT237" i="13"/>
  <c r="AU176" i="13"/>
  <c r="AT214" i="13"/>
  <c r="AT517" i="13"/>
  <c r="AT324" i="13"/>
  <c r="AT347" i="13"/>
  <c r="AT91" i="13"/>
  <c r="AT241" i="13"/>
  <c r="AT364" i="13"/>
  <c r="AT166" i="13"/>
  <c r="AU443" i="13"/>
  <c r="AT284" i="13"/>
  <c r="AU190" i="13"/>
  <c r="AU101" i="13"/>
  <c r="AU405" i="13"/>
  <c r="AT45" i="13"/>
  <c r="AT510" i="13"/>
  <c r="AT433" i="13"/>
  <c r="AT353" i="13"/>
  <c r="AT196" i="13"/>
  <c r="AU406" i="13"/>
  <c r="AU494" i="13"/>
  <c r="AU64" i="13"/>
  <c r="AT38" i="13"/>
  <c r="AT493" i="13"/>
  <c r="AT104" i="13"/>
  <c r="AT373" i="13"/>
  <c r="AT208" i="13"/>
  <c r="AT251" i="13"/>
  <c r="AT248" i="13"/>
  <c r="AT534" i="13"/>
  <c r="AT362" i="13"/>
  <c r="AT108" i="13"/>
  <c r="AT75" i="13"/>
  <c r="AT445" i="13"/>
  <c r="AT189" i="13"/>
  <c r="AU386" i="13"/>
  <c r="AT454" i="13"/>
  <c r="AT393" i="13"/>
  <c r="AU169" i="13"/>
  <c r="AT557" i="13"/>
  <c r="AT199" i="13"/>
  <c r="AT492" i="13"/>
  <c r="AU542" i="13"/>
  <c r="AU456" i="13"/>
  <c r="AT133" i="13"/>
  <c r="AU225" i="13"/>
  <c r="AT63" i="13"/>
  <c r="AU421" i="13"/>
  <c r="AT314" i="13"/>
  <c r="AT335" i="13"/>
  <c r="AT246" i="13"/>
  <c r="AU358" i="13"/>
  <c r="AT269" i="13"/>
  <c r="AU130" i="13"/>
  <c r="AT201" i="13"/>
  <c r="AU102" i="13"/>
  <c r="AT255" i="13"/>
  <c r="AT460" i="13"/>
  <c r="AT497" i="13"/>
  <c r="AT427" i="13"/>
  <c r="AU206" i="13"/>
  <c r="AU59" i="13"/>
  <c r="AT22" i="13"/>
  <c r="AT134" i="13"/>
  <c r="AT44" i="13"/>
  <c r="AT411" i="13"/>
  <c r="AT332" i="13"/>
  <c r="AU449" i="13"/>
  <c r="AT490" i="13"/>
  <c r="AT316" i="13"/>
  <c r="AT560" i="13"/>
  <c r="AT322" i="13"/>
  <c r="AT489" i="13"/>
  <c r="AT356" i="13"/>
  <c r="AT396" i="13"/>
  <c r="AT195" i="13"/>
  <c r="AT122" i="13"/>
  <c r="AT530" i="13"/>
  <c r="AU84" i="13"/>
  <c r="AU461" i="13"/>
  <c r="AU90" i="13"/>
  <c r="AT72" i="13"/>
  <c r="AU321" i="13"/>
  <c r="AU145" i="13"/>
  <c r="AU78" i="13"/>
  <c r="AT221" i="13"/>
  <c r="AU234" i="13"/>
  <c r="AU455" i="13"/>
  <c r="AT369" i="13"/>
  <c r="AU232" i="13"/>
  <c r="AL12" i="5"/>
  <c r="AS12" i="5"/>
  <c r="BW115" i="4"/>
  <c r="CC115" i="4" s="1"/>
  <c r="CD115" i="4" s="1"/>
  <c r="CQ115" i="4" s="1"/>
  <c r="BW103" i="4"/>
  <c r="BZ103" i="4" s="1"/>
  <c r="CA103" i="4" s="1"/>
  <c r="BW59" i="4"/>
  <c r="CC59" i="4" s="1"/>
  <c r="CD59" i="4" s="1"/>
  <c r="CQ59" i="4" s="1"/>
  <c r="BW87" i="4"/>
  <c r="BW108" i="4"/>
  <c r="BZ108" i="4" s="1"/>
  <c r="CA108" i="4" s="1"/>
  <c r="AU522" i="13"/>
  <c r="AT522" i="13"/>
  <c r="AU165" i="13"/>
  <c r="AT165" i="13"/>
  <c r="AU275" i="13"/>
  <c r="AT275" i="13"/>
  <c r="AT544" i="13"/>
  <c r="AU544" i="13"/>
  <c r="AU23" i="13"/>
  <c r="AT23" i="13"/>
  <c r="AU437" i="13"/>
  <c r="AT437" i="13"/>
  <c r="AU163" i="13"/>
  <c r="AT163" i="13"/>
  <c r="AU340" i="13"/>
  <c r="AT340" i="13"/>
  <c r="AU532" i="13"/>
  <c r="AT532" i="13"/>
  <c r="AU486" i="13"/>
  <c r="AT486" i="13"/>
  <c r="AU399" i="13"/>
  <c r="AT399" i="13"/>
  <c r="AU348" i="13"/>
  <c r="AT348" i="13"/>
  <c r="AU276" i="13"/>
  <c r="AT276" i="13"/>
  <c r="AU286" i="13"/>
  <c r="AT286" i="13"/>
  <c r="AU118" i="13"/>
  <c r="AT118" i="13"/>
  <c r="AU60" i="13"/>
  <c r="AT60" i="13"/>
  <c r="AT34" i="13"/>
  <c r="AU34" i="13"/>
  <c r="AU503" i="13"/>
  <c r="AT503" i="13"/>
  <c r="AU473" i="13"/>
  <c r="AT473" i="13"/>
  <c r="AT361" i="13"/>
  <c r="AU361" i="13"/>
  <c r="AU315" i="13"/>
  <c r="AT315" i="13"/>
  <c r="AU252" i="13"/>
  <c r="AT252" i="13"/>
  <c r="AU154" i="13"/>
  <c r="AT154" i="13"/>
  <c r="AT198" i="13"/>
  <c r="AU198" i="13"/>
  <c r="AU80" i="13"/>
  <c r="AT80" i="13"/>
  <c r="AU504" i="13"/>
  <c r="AT504" i="13"/>
  <c r="AU439" i="13"/>
  <c r="AT439" i="13"/>
  <c r="AU378" i="13"/>
  <c r="AT378" i="13"/>
  <c r="AT305" i="13"/>
  <c r="AU305" i="13"/>
  <c r="AU215" i="13"/>
  <c r="AT215" i="13"/>
  <c r="AU179" i="13"/>
  <c r="AT179" i="13"/>
  <c r="AT124" i="13"/>
  <c r="AU124" i="13"/>
  <c r="AT48" i="13"/>
  <c r="AU48" i="13"/>
  <c r="AU513" i="13"/>
  <c r="AT513" i="13"/>
  <c r="AU458" i="13"/>
  <c r="AT458" i="13"/>
  <c r="AU368" i="13"/>
  <c r="AT368" i="13"/>
  <c r="AU317" i="13"/>
  <c r="AT317" i="13"/>
  <c r="AU253" i="13"/>
  <c r="AT253" i="13"/>
  <c r="AU240" i="13"/>
  <c r="AT240" i="13"/>
  <c r="AU127" i="13"/>
  <c r="AT127" i="13"/>
  <c r="AU62" i="13"/>
  <c r="AT62" i="13"/>
  <c r="AI13" i="13"/>
  <c r="AH13" i="13"/>
  <c r="AT416" i="13"/>
  <c r="AU416" i="13"/>
  <c r="AU291" i="13"/>
  <c r="AT291" i="13"/>
  <c r="AT116" i="13"/>
  <c r="AU116" i="13"/>
  <c r="AU58" i="13"/>
  <c r="AT58" i="13"/>
  <c r="AU77" i="13"/>
  <c r="AT77" i="13"/>
  <c r="AT548" i="13"/>
  <c r="AU548" i="13"/>
  <c r="AT496" i="13"/>
  <c r="AU496" i="13"/>
  <c r="AT446" i="13"/>
  <c r="AU446" i="13"/>
  <c r="AU339" i="13"/>
  <c r="AT339" i="13"/>
  <c r="AU259" i="13"/>
  <c r="AT259" i="13"/>
  <c r="AT254" i="13"/>
  <c r="AU254" i="13"/>
  <c r="AT152" i="13"/>
  <c r="AU152" i="13"/>
  <c r="AT194" i="13"/>
  <c r="AU194" i="13"/>
  <c r="AU31" i="13"/>
  <c r="AT31" i="13"/>
  <c r="AT459" i="13"/>
  <c r="AU459" i="13"/>
  <c r="AU483" i="13"/>
  <c r="AT483" i="13"/>
  <c r="AU285" i="13"/>
  <c r="AT285" i="13"/>
  <c r="AU355" i="13"/>
  <c r="AT355" i="13"/>
  <c r="AU280" i="13"/>
  <c r="AT280" i="13"/>
  <c r="AU226" i="13"/>
  <c r="AT226" i="13"/>
  <c r="AU35" i="13"/>
  <c r="AT35" i="13"/>
  <c r="AU380" i="13"/>
  <c r="AT380" i="13"/>
  <c r="AU161" i="13"/>
  <c r="AT161" i="13"/>
  <c r="AT418" i="13"/>
  <c r="AU418" i="13"/>
  <c r="AT33" i="13"/>
  <c r="AU33" i="13"/>
  <c r="AU476" i="13"/>
  <c r="AT476" i="13"/>
  <c r="AU239" i="13"/>
  <c r="AT239" i="13"/>
  <c r="AU408" i="13"/>
  <c r="AT408" i="13"/>
  <c r="AU146" i="13"/>
  <c r="AT146" i="13"/>
  <c r="AU442" i="13"/>
  <c r="AT442" i="13"/>
  <c r="BW16" i="4"/>
  <c r="CC16" i="4" s="1"/>
  <c r="CD16" i="4" s="1"/>
  <c r="CQ16" i="4" s="1"/>
  <c r="AU528" i="13"/>
  <c r="AT528" i="13"/>
  <c r="AU452" i="13"/>
  <c r="AT452" i="13"/>
  <c r="AT420" i="13"/>
  <c r="AU420" i="13"/>
  <c r="AT363" i="13"/>
  <c r="AU363" i="13"/>
  <c r="AT313" i="13"/>
  <c r="AU313" i="13"/>
  <c r="AU217" i="13"/>
  <c r="AT217" i="13"/>
  <c r="AT86" i="13"/>
  <c r="AU86" i="13"/>
  <c r="AU147" i="13"/>
  <c r="AT147" i="13"/>
  <c r="AT51" i="13"/>
  <c r="AU51" i="13"/>
  <c r="AU512" i="13"/>
  <c r="AT512" i="13"/>
  <c r="AT413" i="13"/>
  <c r="AU413" i="13"/>
  <c r="AU382" i="13"/>
  <c r="AT382" i="13"/>
  <c r="AU323" i="13"/>
  <c r="AT323" i="13"/>
  <c r="AU219" i="13"/>
  <c r="AT219" i="13"/>
  <c r="AU181" i="13"/>
  <c r="AT181" i="13"/>
  <c r="AT128" i="13"/>
  <c r="AU128" i="13"/>
  <c r="AU52" i="13"/>
  <c r="AT52" i="13"/>
  <c r="AT558" i="13"/>
  <c r="AU558" i="13"/>
  <c r="AU515" i="13"/>
  <c r="AT515" i="13"/>
  <c r="AT414" i="13"/>
  <c r="AU414" i="13"/>
  <c r="AU367" i="13"/>
  <c r="AT367" i="13"/>
  <c r="AU271" i="13"/>
  <c r="AT271" i="13"/>
  <c r="AU183" i="13"/>
  <c r="AT183" i="13"/>
  <c r="AU164" i="13"/>
  <c r="AT164" i="13"/>
  <c r="AU92" i="13"/>
  <c r="AT92" i="13"/>
  <c r="AU509" i="13"/>
  <c r="AT509" i="13"/>
  <c r="AT469" i="13"/>
  <c r="AU469" i="13"/>
  <c r="AU388" i="13"/>
  <c r="AT388" i="13"/>
  <c r="AU326" i="13"/>
  <c r="AT326" i="13"/>
  <c r="AU299" i="13"/>
  <c r="AT299" i="13"/>
  <c r="AU178" i="13"/>
  <c r="AT178" i="13"/>
  <c r="AU95" i="13"/>
  <c r="AT95" i="13"/>
  <c r="AT79" i="13"/>
  <c r="AU79" i="13"/>
  <c r="AI12" i="13"/>
  <c r="AH12" i="13"/>
  <c r="AB13" i="13"/>
  <c r="AA13" i="13"/>
  <c r="AU485" i="13"/>
  <c r="AT485" i="13"/>
  <c r="AU300" i="13"/>
  <c r="AT300" i="13"/>
  <c r="AT76" i="13"/>
  <c r="AU76" i="13"/>
  <c r="AT24" i="13"/>
  <c r="AU24" i="13"/>
  <c r="AU554" i="13"/>
  <c r="AT554" i="13"/>
  <c r="AU462" i="13"/>
  <c r="AT462" i="13"/>
  <c r="AU407" i="13"/>
  <c r="AT407" i="13"/>
  <c r="AU336" i="13"/>
  <c r="AT336" i="13"/>
  <c r="AU295" i="13"/>
  <c r="AT295" i="13"/>
  <c r="AU212" i="13"/>
  <c r="AT212" i="13"/>
  <c r="AU137" i="13"/>
  <c r="AT137" i="13"/>
  <c r="AT105" i="13"/>
  <c r="AU105" i="13"/>
  <c r="AU21" i="13"/>
  <c r="AT21" i="13"/>
  <c r="AU193" i="13"/>
  <c r="AT193" i="13"/>
  <c r="AU185" i="13"/>
  <c r="AT185" i="13"/>
  <c r="AU187" i="13"/>
  <c r="AT187" i="13"/>
  <c r="AU224" i="13"/>
  <c r="AT224" i="13"/>
  <c r="AU304" i="13"/>
  <c r="AT304" i="13"/>
  <c r="AR13" i="13"/>
  <c r="AQ13" i="13"/>
  <c r="AT238" i="13"/>
  <c r="AU238" i="13"/>
  <c r="AU464" i="13"/>
  <c r="AT464" i="13"/>
  <c r="AU359" i="13"/>
  <c r="AT359" i="13"/>
  <c r="AU229" i="13"/>
  <c r="AT229" i="13"/>
  <c r="AU67" i="13"/>
  <c r="AT67" i="13"/>
  <c r="AU302" i="13"/>
  <c r="AT302" i="13"/>
  <c r="AT546" i="13"/>
  <c r="AU546" i="13"/>
  <c r="AU168" i="13"/>
  <c r="AT168" i="13"/>
  <c r="AU132" i="13"/>
  <c r="AT132" i="13"/>
  <c r="AT242" i="13"/>
  <c r="AU242" i="13"/>
  <c r="AU303" i="13"/>
  <c r="AT303" i="13"/>
  <c r="AU177" i="13"/>
  <c r="AT177" i="13"/>
  <c r="AU529" i="13"/>
  <c r="AT529" i="13"/>
  <c r="AT409" i="13"/>
  <c r="AU409" i="13"/>
  <c r="AU290" i="13"/>
  <c r="AT290" i="13"/>
  <c r="AT98" i="13"/>
  <c r="AU98" i="13"/>
  <c r="AU26" i="13"/>
  <c r="AT26" i="13"/>
  <c r="AU83" i="13"/>
  <c r="AT83" i="13"/>
  <c r="AU506" i="13"/>
  <c r="AT506" i="13"/>
  <c r="AT451" i="13"/>
  <c r="AU451" i="13"/>
  <c r="AU384" i="13"/>
  <c r="AT384" i="13"/>
  <c r="AU351" i="13"/>
  <c r="AT351" i="13"/>
  <c r="AU233" i="13"/>
  <c r="AT233" i="13"/>
  <c r="AU200" i="13"/>
  <c r="AT200" i="13"/>
  <c r="AU107" i="13"/>
  <c r="AT107" i="13"/>
  <c r="AU192" i="13"/>
  <c r="AT192" i="13"/>
  <c r="AU551" i="13"/>
  <c r="AT551" i="13"/>
  <c r="AU480" i="13"/>
  <c r="AT480" i="13"/>
  <c r="AU423" i="13"/>
  <c r="AT423" i="13"/>
  <c r="AU379" i="13"/>
  <c r="AT379" i="13"/>
  <c r="AU243" i="13"/>
  <c r="AT243" i="13"/>
  <c r="AU228" i="13"/>
  <c r="AT228" i="13"/>
  <c r="AU136" i="13"/>
  <c r="AT136" i="13"/>
  <c r="AT121" i="13"/>
  <c r="AU121" i="13"/>
  <c r="AU28" i="13"/>
  <c r="AT28" i="13"/>
  <c r="AU552" i="13"/>
  <c r="AT552" i="13"/>
  <c r="AU478" i="13"/>
  <c r="AT478" i="13"/>
  <c r="AU391" i="13"/>
  <c r="AT391" i="13"/>
  <c r="AU341" i="13"/>
  <c r="AT341" i="13"/>
  <c r="AU268" i="13"/>
  <c r="AT268" i="13"/>
  <c r="AU264" i="13"/>
  <c r="AT264" i="13"/>
  <c r="AT110" i="13"/>
  <c r="AU110" i="13"/>
  <c r="AU131" i="13"/>
  <c r="AT131" i="13"/>
  <c r="AU65" i="13"/>
  <c r="AT65" i="13"/>
  <c r="AU495" i="13"/>
  <c r="AT495" i="13"/>
  <c r="AU435" i="13"/>
  <c r="AT435" i="13"/>
  <c r="AU374" i="13"/>
  <c r="AT374" i="13"/>
  <c r="AT301" i="13"/>
  <c r="AU301" i="13"/>
  <c r="AU211" i="13"/>
  <c r="AT211" i="13"/>
  <c r="AU175" i="13"/>
  <c r="AT175" i="13"/>
  <c r="AT120" i="13"/>
  <c r="AU120" i="13"/>
  <c r="AU27" i="13"/>
  <c r="AT27" i="13"/>
  <c r="AQ12" i="13"/>
  <c r="AR12" i="13"/>
  <c r="AO13" i="13"/>
  <c r="AN13" i="13"/>
  <c r="AU533" i="13"/>
  <c r="AT533" i="13"/>
  <c r="AU498" i="13"/>
  <c r="AT498" i="13"/>
  <c r="AU434" i="13"/>
  <c r="AT434" i="13"/>
  <c r="AU360" i="13"/>
  <c r="AT360" i="13"/>
  <c r="AU263" i="13"/>
  <c r="AT263" i="13"/>
  <c r="AT207" i="13"/>
  <c r="AU207" i="13"/>
  <c r="AU174" i="13"/>
  <c r="AT174" i="13"/>
  <c r="AU123" i="13"/>
  <c r="AT123" i="13"/>
  <c r="AT109" i="13"/>
  <c r="AU109" i="13"/>
  <c r="AU524" i="13"/>
  <c r="AT524" i="13"/>
  <c r="AT465" i="13"/>
  <c r="AU465" i="13"/>
  <c r="AU401" i="13"/>
  <c r="AT401" i="13"/>
  <c r="AU319" i="13"/>
  <c r="AT319" i="13"/>
  <c r="AU277" i="13"/>
  <c r="AT277" i="13"/>
  <c r="AU197" i="13"/>
  <c r="AT197" i="13"/>
  <c r="AU149" i="13"/>
  <c r="AT149" i="13"/>
  <c r="AU157" i="13"/>
  <c r="AT157" i="13"/>
  <c r="AT20" i="13"/>
  <c r="AU20" i="13"/>
  <c r="AU545" i="13"/>
  <c r="AT545" i="13"/>
  <c r="AU397" i="13"/>
  <c r="AT397" i="13"/>
  <c r="AU328" i="13"/>
  <c r="AT328" i="13"/>
  <c r="AT278" i="13"/>
  <c r="AU278" i="13"/>
  <c r="AU66" i="13"/>
  <c r="AT66" i="13"/>
  <c r="AT71" i="13"/>
  <c r="AU71" i="13"/>
  <c r="AU471" i="13"/>
  <c r="AT471" i="13"/>
  <c r="AU354" i="13"/>
  <c r="AT354" i="13"/>
  <c r="AT511" i="13"/>
  <c r="AU511" i="13"/>
  <c r="AU41" i="13"/>
  <c r="AT41" i="13"/>
  <c r="AU543" i="13"/>
  <c r="AT543" i="13"/>
  <c r="AU523" i="13"/>
  <c r="AT523" i="13"/>
  <c r="AU441" i="13"/>
  <c r="AT441" i="13"/>
  <c r="AU365" i="13"/>
  <c r="AT365" i="13"/>
  <c r="AU318" i="13"/>
  <c r="AT318" i="13"/>
  <c r="AU260" i="13"/>
  <c r="AT260" i="13"/>
  <c r="AU158" i="13"/>
  <c r="AT158" i="13"/>
  <c r="AU222" i="13"/>
  <c r="AT222" i="13"/>
  <c r="AT47" i="13"/>
  <c r="AU47" i="13"/>
  <c r="AU553" i="13"/>
  <c r="AT553" i="13"/>
  <c r="AU477" i="13"/>
  <c r="AT477" i="13"/>
  <c r="AU395" i="13"/>
  <c r="AT395" i="13"/>
  <c r="AU375" i="13"/>
  <c r="AT375" i="13"/>
  <c r="AU272" i="13"/>
  <c r="AT272" i="13"/>
  <c r="AT266" i="13"/>
  <c r="AU266" i="13"/>
  <c r="AU114" i="13"/>
  <c r="AT114" i="13"/>
  <c r="AU56" i="13"/>
  <c r="AT56" i="13"/>
  <c r="AT29" i="13"/>
  <c r="AU29" i="13"/>
  <c r="AU531" i="13"/>
  <c r="AT531" i="13"/>
  <c r="AU482" i="13"/>
  <c r="AT482" i="13"/>
  <c r="AU412" i="13"/>
  <c r="AT412" i="13"/>
  <c r="AU331" i="13"/>
  <c r="AT331" i="13"/>
  <c r="AU296" i="13"/>
  <c r="AT296" i="13"/>
  <c r="AU209" i="13"/>
  <c r="AT209" i="13"/>
  <c r="AT236" i="13"/>
  <c r="AU236" i="13"/>
  <c r="AT93" i="13"/>
  <c r="AU93" i="13"/>
  <c r="AU43" i="13"/>
  <c r="AT43" i="13"/>
  <c r="AU540" i="13"/>
  <c r="AT540" i="13"/>
  <c r="AU520" i="13"/>
  <c r="AT520" i="13"/>
  <c r="AT410" i="13"/>
  <c r="AU410" i="13"/>
  <c r="AU350" i="13"/>
  <c r="AT350" i="13"/>
  <c r="AU267" i="13"/>
  <c r="AT267" i="13"/>
  <c r="AT274" i="13"/>
  <c r="AU274" i="13"/>
  <c r="AU160" i="13"/>
  <c r="AT160" i="13"/>
  <c r="AU88" i="13"/>
  <c r="AT88" i="13"/>
  <c r="AU7" i="13"/>
  <c r="AT7" i="13"/>
  <c r="AU525" i="13"/>
  <c r="AT525" i="13"/>
  <c r="AU466" i="13"/>
  <c r="AT466" i="13"/>
  <c r="AU231" i="13"/>
  <c r="AT231" i="13"/>
  <c r="AT262" i="13"/>
  <c r="AU262" i="13"/>
  <c r="AT142" i="13"/>
  <c r="AU142" i="13"/>
  <c r="AU518" i="13"/>
  <c r="AT518" i="13"/>
  <c r="AU450" i="13"/>
  <c r="AT450" i="13"/>
  <c r="AT398" i="13"/>
  <c r="AU398" i="13"/>
  <c r="AU345" i="13"/>
  <c r="AT345" i="13"/>
  <c r="AU245" i="13"/>
  <c r="AT245" i="13"/>
  <c r="AT202" i="13"/>
  <c r="AU202" i="13"/>
  <c r="AU119" i="13"/>
  <c r="AT119" i="13"/>
  <c r="AU53" i="13"/>
  <c r="AT53" i="13"/>
  <c r="AU50" i="13"/>
  <c r="AT50" i="13"/>
  <c r="AU539" i="13"/>
  <c r="AT539" i="13"/>
  <c r="AU311" i="13"/>
  <c r="AT311" i="13"/>
  <c r="AU289" i="13"/>
  <c r="AT289" i="13"/>
  <c r="AT453" i="13"/>
  <c r="AU453" i="13"/>
  <c r="AU265" i="13"/>
  <c r="AT265" i="13"/>
  <c r="AU383" i="13"/>
  <c r="AT383" i="13"/>
  <c r="AU96" i="13"/>
  <c r="AT96" i="13"/>
  <c r="AU419" i="13"/>
  <c r="AT419" i="13"/>
  <c r="AT117" i="13"/>
  <c r="AU117" i="13"/>
  <c r="AB12" i="13"/>
  <c r="AU491" i="13"/>
  <c r="AT491" i="13"/>
  <c r="BW154" i="4"/>
  <c r="CC154" i="4" s="1"/>
  <c r="CD154" i="4" s="1"/>
  <c r="CQ154" i="4" s="1"/>
  <c r="BW13" i="4"/>
  <c r="BZ13" i="4" s="1"/>
  <c r="CA13" i="4" s="1"/>
  <c r="AT8" i="5"/>
  <c r="G10" i="4"/>
  <c r="AU514" i="13"/>
  <c r="AT514" i="13"/>
  <c r="AT417" i="13"/>
  <c r="AU417" i="13"/>
  <c r="AU385" i="13"/>
  <c r="AT385" i="13"/>
  <c r="AU309" i="13"/>
  <c r="AT309" i="13"/>
  <c r="AU223" i="13"/>
  <c r="AT223" i="13"/>
  <c r="AT184" i="13"/>
  <c r="AU184" i="13"/>
  <c r="AU129" i="13"/>
  <c r="AT129" i="13"/>
  <c r="AU73" i="13"/>
  <c r="AT73" i="13"/>
  <c r="AU547" i="13"/>
  <c r="AT547" i="13"/>
  <c r="AT474" i="13"/>
  <c r="AU474" i="13"/>
  <c r="AU404" i="13"/>
  <c r="AT404" i="13"/>
  <c r="AU346" i="13"/>
  <c r="AT346" i="13"/>
  <c r="AU298" i="13"/>
  <c r="AT298" i="13"/>
  <c r="AU213" i="13"/>
  <c r="AT213" i="13"/>
  <c r="AT82" i="13"/>
  <c r="AU82" i="13"/>
  <c r="AU135" i="13"/>
  <c r="AT135" i="13"/>
  <c r="AU49" i="13"/>
  <c r="AT49" i="13"/>
  <c r="AU519" i="13"/>
  <c r="AT519" i="13"/>
  <c r="AU447" i="13"/>
  <c r="AT447" i="13"/>
  <c r="AU372" i="13"/>
  <c r="AT372" i="13"/>
  <c r="AT342" i="13"/>
  <c r="AU342" i="13"/>
  <c r="AU257" i="13"/>
  <c r="AT257" i="13"/>
  <c r="AT250" i="13"/>
  <c r="AU250" i="13"/>
  <c r="AU141" i="13"/>
  <c r="AT141" i="13"/>
  <c r="AU69" i="13"/>
  <c r="AT69" i="13"/>
  <c r="AU549" i="13"/>
  <c r="AT549" i="13"/>
  <c r="AU500" i="13"/>
  <c r="AT500" i="13"/>
  <c r="AU415" i="13"/>
  <c r="AT415" i="13"/>
  <c r="AU344" i="13"/>
  <c r="AT344" i="13"/>
  <c r="AU235" i="13"/>
  <c r="AT235" i="13"/>
  <c r="AU220" i="13"/>
  <c r="AT220" i="13"/>
  <c r="AT210" i="13"/>
  <c r="AU210" i="13"/>
  <c r="AT113" i="13"/>
  <c r="AU113" i="13"/>
  <c r="AU19" i="13"/>
  <c r="AT19" i="13"/>
  <c r="AK12" i="13"/>
  <c r="AL12" i="13"/>
  <c r="AK13" i="13"/>
  <c r="AL13" i="13"/>
  <c r="AU472" i="13"/>
  <c r="AT472" i="13"/>
  <c r="AU381" i="13"/>
  <c r="AT381" i="13"/>
  <c r="AU293" i="13"/>
  <c r="AT293" i="13"/>
  <c r="AU216" i="13"/>
  <c r="AT216" i="13"/>
  <c r="AU171" i="13"/>
  <c r="AT171" i="13"/>
  <c r="AU505" i="13"/>
  <c r="AT505" i="13"/>
  <c r="AU467" i="13"/>
  <c r="AT467" i="13"/>
  <c r="AU377" i="13"/>
  <c r="AT377" i="13"/>
  <c r="AU320" i="13"/>
  <c r="AT320" i="13"/>
  <c r="AT282" i="13"/>
  <c r="AU282" i="13"/>
  <c r="AU170" i="13"/>
  <c r="AT170" i="13"/>
  <c r="AU87" i="13"/>
  <c r="AT87" i="13"/>
  <c r="AU70" i="13"/>
  <c r="AT70" i="13"/>
  <c r="AU40" i="13"/>
  <c r="AT40" i="13"/>
  <c r="AT538" i="13"/>
  <c r="AU538" i="13"/>
  <c r="AU188" i="13"/>
  <c r="AT188" i="13"/>
  <c r="AU283" i="13"/>
  <c r="AT283" i="13"/>
  <c r="AU162" i="13"/>
  <c r="AT162" i="13"/>
  <c r="BW94" i="4"/>
  <c r="BZ94" i="4" s="1"/>
  <c r="CA94" i="4" s="1"/>
  <c r="AU550" i="13"/>
  <c r="AT550" i="13"/>
  <c r="AU475" i="13"/>
  <c r="AT475" i="13"/>
  <c r="AU422" i="13"/>
  <c r="AT422" i="13"/>
  <c r="AT402" i="13"/>
  <c r="AU402" i="13"/>
  <c r="AU279" i="13"/>
  <c r="AT279" i="13"/>
  <c r="AU191" i="13"/>
  <c r="AT191" i="13"/>
  <c r="AU172" i="13"/>
  <c r="AT172" i="13"/>
  <c r="AT100" i="13"/>
  <c r="AU100" i="13"/>
  <c r="AT36" i="13"/>
  <c r="AU36" i="13"/>
  <c r="AT521" i="13"/>
  <c r="AU521" i="13"/>
  <c r="AU463" i="13"/>
  <c r="AT463" i="13"/>
  <c r="AU376" i="13"/>
  <c r="AT376" i="13"/>
  <c r="AU371" i="13"/>
  <c r="AT371" i="13"/>
  <c r="AU261" i="13"/>
  <c r="AT261" i="13"/>
  <c r="AT258" i="13"/>
  <c r="AU258" i="13"/>
  <c r="AU151" i="13"/>
  <c r="AT151" i="13"/>
  <c r="AT85" i="13"/>
  <c r="AU85" i="13"/>
  <c r="AT57" i="13"/>
  <c r="AU57" i="13"/>
  <c r="AU527" i="13"/>
  <c r="AT527" i="13"/>
  <c r="AU444" i="13"/>
  <c r="AT444" i="13"/>
  <c r="AU389" i="13"/>
  <c r="AT389" i="13"/>
  <c r="AU327" i="13"/>
  <c r="AT327" i="13"/>
  <c r="AU308" i="13"/>
  <c r="AT308" i="13"/>
  <c r="AT182" i="13"/>
  <c r="AU182" i="13"/>
  <c r="AU99" i="13"/>
  <c r="AT99" i="13"/>
  <c r="AT97" i="13"/>
  <c r="AU97" i="13"/>
  <c r="AU541" i="13"/>
  <c r="AT541" i="13"/>
  <c r="AT481" i="13"/>
  <c r="AU481" i="13"/>
  <c r="AU387" i="13"/>
  <c r="AT387" i="13"/>
  <c r="AU337" i="13"/>
  <c r="AT337" i="13"/>
  <c r="AT334" i="13"/>
  <c r="AU334" i="13"/>
  <c r="AU256" i="13"/>
  <c r="AT256" i="13"/>
  <c r="AT106" i="13"/>
  <c r="AU106" i="13"/>
  <c r="AU81" i="13"/>
  <c r="AT81" i="13"/>
  <c r="AT30" i="13"/>
  <c r="AU30" i="13"/>
  <c r="AU468" i="13"/>
  <c r="AT468" i="13"/>
  <c r="AT390" i="13"/>
  <c r="AU390" i="13"/>
  <c r="AU312" i="13"/>
  <c r="AT312" i="13"/>
  <c r="AU281" i="13"/>
  <c r="AT281" i="13"/>
  <c r="AU156" i="13"/>
  <c r="AT156" i="13"/>
  <c r="AU68" i="13"/>
  <c r="AT68" i="13"/>
  <c r="AU502" i="13"/>
  <c r="AT502" i="13"/>
  <c r="AU436" i="13"/>
  <c r="AT436" i="13"/>
  <c r="AU426" i="13"/>
  <c r="AT426" i="13"/>
  <c r="AU333" i="13"/>
  <c r="AT333" i="13"/>
  <c r="AT230" i="13"/>
  <c r="AU230" i="13"/>
  <c r="AT138" i="13"/>
  <c r="AU138" i="13"/>
  <c r="AU218" i="13"/>
  <c r="AT218" i="13"/>
  <c r="AU32" i="13"/>
  <c r="AT32" i="13"/>
  <c r="AU400" i="13"/>
  <c r="AT400" i="13"/>
  <c r="AU148" i="13"/>
  <c r="AT148" i="13"/>
  <c r="BW38" i="4"/>
  <c r="BZ38" i="4" s="1"/>
  <c r="CA38" i="4" s="1"/>
  <c r="BW73" i="4"/>
  <c r="CC73" i="4" s="1"/>
  <c r="CD73" i="4" s="1"/>
  <c r="CQ73" i="4" s="1"/>
  <c r="B18" i="5"/>
  <c r="B48" i="13"/>
  <c r="B18" i="13"/>
  <c r="AU555" i="13"/>
  <c r="AT555" i="13"/>
  <c r="AU484" i="13"/>
  <c r="AT484" i="13"/>
  <c r="AU425" i="13"/>
  <c r="AT425" i="13"/>
  <c r="AU349" i="13"/>
  <c r="AT349" i="13"/>
  <c r="AU247" i="13"/>
  <c r="AT247" i="13"/>
  <c r="AT270" i="13"/>
  <c r="AU270" i="13"/>
  <c r="AU140" i="13"/>
  <c r="AT140" i="13"/>
  <c r="AT125" i="13"/>
  <c r="AU125" i="13"/>
  <c r="AU39" i="13"/>
  <c r="AT39" i="13"/>
  <c r="AU516" i="13"/>
  <c r="AT516" i="13"/>
  <c r="AU448" i="13"/>
  <c r="AT448" i="13"/>
  <c r="AT394" i="13"/>
  <c r="AU394" i="13"/>
  <c r="AU330" i="13"/>
  <c r="AT330" i="13"/>
  <c r="AU307" i="13"/>
  <c r="AT307" i="13"/>
  <c r="AT186" i="13"/>
  <c r="AU186" i="13"/>
  <c r="AU103" i="13"/>
  <c r="AT103" i="13"/>
  <c r="AU155" i="13"/>
  <c r="AT155" i="13"/>
  <c r="AU499" i="13"/>
  <c r="AT499" i="13"/>
  <c r="AT438" i="13"/>
  <c r="AU438" i="13"/>
  <c r="AT357" i="13"/>
  <c r="AU357" i="13"/>
  <c r="AT310" i="13"/>
  <c r="AU310" i="13"/>
  <c r="AU244" i="13"/>
  <c r="AT244" i="13"/>
  <c r="AU150" i="13"/>
  <c r="AT150" i="13"/>
  <c r="AU173" i="13"/>
  <c r="AT173" i="13"/>
  <c r="AU46" i="13"/>
  <c r="AT46" i="13"/>
  <c r="AU526" i="13"/>
  <c r="AT526" i="13"/>
  <c r="AT470" i="13"/>
  <c r="AU470" i="13"/>
  <c r="AU428" i="13"/>
  <c r="AT428" i="13"/>
  <c r="AU329" i="13"/>
  <c r="AT329" i="13"/>
  <c r="AU288" i="13"/>
  <c r="AT288" i="13"/>
  <c r="AU205" i="13"/>
  <c r="AT205" i="13"/>
  <c r="AU180" i="13"/>
  <c r="AT180" i="13"/>
  <c r="AT61" i="13"/>
  <c r="AU61" i="13"/>
  <c r="AU37" i="13"/>
  <c r="AT37" i="13"/>
  <c r="AO12" i="13"/>
  <c r="AN12" i="13"/>
  <c r="AT508" i="13"/>
  <c r="AU508" i="13"/>
  <c r="AU370" i="13"/>
  <c r="AT370" i="13"/>
  <c r="AU249" i="13"/>
  <c r="AT249" i="13"/>
  <c r="AU159" i="13"/>
  <c r="AT159" i="13"/>
  <c r="AU559" i="13"/>
  <c r="AT559" i="13"/>
  <c r="AU487" i="13"/>
  <c r="AT487" i="13"/>
  <c r="AU432" i="13"/>
  <c r="AT432" i="13"/>
  <c r="AU366" i="13"/>
  <c r="AT366" i="13"/>
  <c r="AU292" i="13"/>
  <c r="AT292" i="13"/>
  <c r="AT203" i="13"/>
  <c r="AU203" i="13"/>
  <c r="AU167" i="13"/>
  <c r="AT167" i="13"/>
  <c r="AT112" i="13"/>
  <c r="AU112" i="13"/>
  <c r="AT25" i="13"/>
  <c r="AU25" i="13"/>
  <c r="AU537" i="13"/>
  <c r="AT537" i="13"/>
  <c r="AU287" i="13"/>
  <c r="AT287" i="13"/>
  <c r="AU126" i="13"/>
  <c r="AT126" i="13"/>
  <c r="AU297" i="13"/>
  <c r="AT297" i="13"/>
  <c r="AT42" i="13"/>
  <c r="AU42" i="13"/>
  <c r="AZ90" i="4"/>
  <c r="BB90" i="4" s="1"/>
  <c r="AZ81" i="4"/>
  <c r="BB81" i="4" s="1"/>
  <c r="AZ30" i="4"/>
  <c r="BB30" i="4" s="1"/>
  <c r="AZ56" i="4"/>
  <c r="BB56" i="4" s="1"/>
  <c r="AZ41" i="4"/>
  <c r="BB41" i="4" s="1"/>
  <c r="BW118" i="4"/>
  <c r="BZ118" i="4" s="1"/>
  <c r="CA118" i="4" s="1"/>
  <c r="BW15" i="4"/>
  <c r="BZ15" i="4" s="1"/>
  <c r="CA15" i="4" s="1"/>
  <c r="AZ63" i="4"/>
  <c r="BB63" i="4" s="1"/>
  <c r="AZ14" i="4"/>
  <c r="BB14" i="4" s="1"/>
  <c r="AZ83" i="4"/>
  <c r="BB83" i="4" s="1"/>
  <c r="BW157" i="4"/>
  <c r="CC157" i="4" s="1"/>
  <c r="CD157" i="4" s="1"/>
  <c r="CQ157" i="4" s="1"/>
  <c r="AZ12" i="4"/>
  <c r="BB12" i="4" s="1"/>
  <c r="AZ123" i="4"/>
  <c r="BB123" i="4" s="1"/>
  <c r="BW20" i="4"/>
  <c r="CC20" i="4" s="1"/>
  <c r="CD20" i="4" s="1"/>
  <c r="CQ20" i="4" s="1"/>
  <c r="AZ134" i="4"/>
  <c r="BB134" i="4" s="1"/>
  <c r="AZ140" i="4"/>
  <c r="BB140" i="4" s="1"/>
  <c r="BW134" i="4"/>
  <c r="BZ134" i="4" s="1"/>
  <c r="CA134" i="4" s="1"/>
  <c r="AZ44" i="4"/>
  <c r="BB44" i="4" s="1"/>
  <c r="AZ9" i="4"/>
  <c r="BB9" i="4" s="1"/>
  <c r="BW41" i="4"/>
  <c r="CC41" i="4" s="1"/>
  <c r="CD41" i="4" s="1"/>
  <c r="CQ41" i="4" s="1"/>
  <c r="AZ156" i="4"/>
  <c r="BB156" i="4" s="1"/>
  <c r="AZ43" i="4"/>
  <c r="BB43" i="4" s="1"/>
  <c r="AZ95" i="4"/>
  <c r="BB95" i="4" s="1"/>
  <c r="AZ144" i="4"/>
  <c r="BB144" i="4" s="1"/>
  <c r="AZ19" i="4"/>
  <c r="BB19" i="4" s="1"/>
  <c r="AZ48" i="4"/>
  <c r="BB48" i="4" s="1"/>
  <c r="AZ105" i="4"/>
  <c r="BB105" i="4" s="1"/>
  <c r="AZ64" i="4"/>
  <c r="BB64" i="4" s="1"/>
  <c r="AZ61" i="4"/>
  <c r="BB61" i="4" s="1"/>
  <c r="AZ146" i="4"/>
  <c r="BB146" i="4" s="1"/>
  <c r="AZ27" i="4"/>
  <c r="BB27" i="4" s="1"/>
  <c r="AZ82" i="4"/>
  <c r="BB82" i="4" s="1"/>
  <c r="AZ101" i="4"/>
  <c r="BB101" i="4" s="1"/>
  <c r="AZ18" i="4"/>
  <c r="BB18" i="4" s="1"/>
  <c r="AZ50" i="4"/>
  <c r="BB50" i="4" s="1"/>
  <c r="AZ20" i="4"/>
  <c r="AZ152" i="4"/>
  <c r="BB152" i="4" s="1"/>
  <c r="AZ98" i="4"/>
  <c r="BB98" i="4" s="1"/>
  <c r="AZ149" i="4"/>
  <c r="BB149" i="4" s="1"/>
  <c r="AZ37" i="4"/>
  <c r="BB37" i="4" s="1"/>
  <c r="AZ100" i="4"/>
  <c r="BB100" i="4" s="1"/>
  <c r="AZ49" i="4"/>
  <c r="BB49" i="4" s="1"/>
  <c r="AZ117" i="4"/>
  <c r="BB117" i="4" s="1"/>
  <c r="AZ74" i="4"/>
  <c r="BB74" i="4" s="1"/>
  <c r="AZ53" i="4"/>
  <c r="BB53" i="4" s="1"/>
  <c r="AZ138" i="4"/>
  <c r="BB138" i="4" s="1"/>
  <c r="AZ93" i="4"/>
  <c r="BB93" i="4" s="1"/>
  <c r="AZ122" i="4"/>
  <c r="BB122" i="4" s="1"/>
  <c r="AZ67" i="4"/>
  <c r="BB67" i="4" s="1"/>
  <c r="AZ26" i="4"/>
  <c r="BB26" i="4" s="1"/>
  <c r="AZ102" i="4"/>
  <c r="BB102" i="4" s="1"/>
  <c r="AZ111" i="4"/>
  <c r="BB111" i="4" s="1"/>
  <c r="AZ145" i="4"/>
  <c r="BB145" i="4" s="1"/>
  <c r="AZ76" i="4"/>
  <c r="BB76" i="4" s="1"/>
  <c r="AZ32" i="4"/>
  <c r="BB32" i="4" s="1"/>
  <c r="AZ71" i="4"/>
  <c r="BB71" i="4" s="1"/>
  <c r="AZ85" i="4"/>
  <c r="BB85" i="4" s="1"/>
  <c r="AZ129" i="4"/>
  <c r="BB129" i="4" s="1"/>
  <c r="AZ124" i="4"/>
  <c r="BB124" i="4" s="1"/>
  <c r="AZ15" i="4"/>
  <c r="BB15" i="4" s="1"/>
  <c r="AZ141" i="4"/>
  <c r="BB141" i="4" s="1"/>
  <c r="AZ89" i="4"/>
  <c r="BB89" i="4" s="1"/>
  <c r="AZ120" i="4"/>
  <c r="BB120" i="4" s="1"/>
  <c r="AZ143" i="4"/>
  <c r="BB143" i="4" s="1"/>
  <c r="AZ42" i="4"/>
  <c r="BB42" i="4" s="1"/>
  <c r="AZ10" i="4"/>
  <c r="BB10" i="4" s="1"/>
  <c r="AZ135" i="4"/>
  <c r="BB135" i="4" s="1"/>
  <c r="AZ79" i="4"/>
  <c r="BB79" i="4" s="1"/>
  <c r="AZ106" i="4"/>
  <c r="BB106" i="4" s="1"/>
  <c r="AZ45" i="4"/>
  <c r="BB45" i="4" s="1"/>
  <c r="AZ130" i="4"/>
  <c r="BB130" i="4" s="1"/>
  <c r="AZ121" i="4"/>
  <c r="BB121" i="4" s="1"/>
  <c r="AZ142" i="4"/>
  <c r="BB142" i="4" s="1"/>
  <c r="AZ86" i="4"/>
  <c r="BB86" i="4" s="1"/>
  <c r="AZ139" i="4"/>
  <c r="BB139" i="4" s="1"/>
  <c r="AZ147" i="4"/>
  <c r="BB147" i="4" s="1"/>
  <c r="AZ11" i="4"/>
  <c r="BB11" i="4" s="1"/>
  <c r="AZ77" i="4"/>
  <c r="BB77" i="4" s="1"/>
  <c r="AZ40" i="4"/>
  <c r="BB40" i="4" s="1"/>
  <c r="AZ38" i="4"/>
  <c r="BB38" i="4" s="1"/>
  <c r="AZ65" i="4"/>
  <c r="BB65" i="4" s="1"/>
  <c r="AZ55" i="4"/>
  <c r="BB55" i="4" s="1"/>
  <c r="AZ131" i="4"/>
  <c r="BB131" i="4" s="1"/>
  <c r="AZ97" i="4"/>
  <c r="BB97" i="4" s="1"/>
  <c r="AZ73" i="4"/>
  <c r="BB73" i="4" s="1"/>
  <c r="AZ107" i="4"/>
  <c r="BB107" i="4" s="1"/>
  <c r="AZ157" i="4"/>
  <c r="BB157" i="4" s="1"/>
  <c r="AZ35" i="4"/>
  <c r="BB35" i="4" s="1"/>
  <c r="AZ94" i="4"/>
  <c r="BB94" i="4" s="1"/>
  <c r="AZ87" i="4"/>
  <c r="BB87" i="4" s="1"/>
  <c r="AZ109" i="4"/>
  <c r="BB109" i="4" s="1"/>
  <c r="AZ39" i="4"/>
  <c r="BB39" i="4" s="1"/>
  <c r="AZ88" i="4"/>
  <c r="BB88" i="4" s="1"/>
  <c r="AZ31" i="4"/>
  <c r="BB31" i="4" s="1"/>
  <c r="AZ72" i="4"/>
  <c r="BB72" i="4" s="1"/>
  <c r="AZ75" i="4"/>
  <c r="BB75" i="4" s="1"/>
  <c r="AZ70" i="4"/>
  <c r="BB70" i="4" s="1"/>
  <c r="AZ154" i="4"/>
  <c r="BB154" i="4" s="1"/>
  <c r="AZ137" i="4"/>
  <c r="BB137" i="4" s="1"/>
  <c r="AZ127" i="4"/>
  <c r="AZ62" i="4"/>
  <c r="BB62" i="4" s="1"/>
  <c r="AZ29" i="4"/>
  <c r="BB29" i="4" s="1"/>
  <c r="AZ132" i="4"/>
  <c r="BB132" i="4" s="1"/>
  <c r="AZ66" i="4"/>
  <c r="BB66" i="4" s="1"/>
  <c r="AZ16" i="4"/>
  <c r="BB16" i="4" s="1"/>
  <c r="AZ51" i="4"/>
  <c r="BB51" i="4" s="1"/>
  <c r="AZ128" i="4"/>
  <c r="BB128" i="4" s="1"/>
  <c r="AZ80" i="4"/>
  <c r="BB80" i="4" s="1"/>
  <c r="AZ47" i="4"/>
  <c r="BB47" i="4" s="1"/>
  <c r="AZ103" i="4"/>
  <c r="BB103" i="4" s="1"/>
  <c r="AZ57" i="4"/>
  <c r="BB57" i="4" s="1"/>
  <c r="AZ150" i="4"/>
  <c r="BB150" i="4" s="1"/>
  <c r="AZ136" i="4"/>
  <c r="BB136" i="4" s="1"/>
  <c r="AZ119" i="4"/>
  <c r="BB119" i="4" s="1"/>
  <c r="AZ23" i="4"/>
  <c r="BB23" i="4" s="1"/>
  <c r="AZ133" i="4"/>
  <c r="BB133" i="4" s="1"/>
  <c r="AZ114" i="4"/>
  <c r="BB114" i="4" s="1"/>
  <c r="AZ34" i="4"/>
  <c r="BB34" i="4" s="1"/>
  <c r="AZ113" i="4"/>
  <c r="BB113" i="4" s="1"/>
  <c r="AZ17" i="4"/>
  <c r="BB17" i="4" s="1"/>
  <c r="AZ58" i="4"/>
  <c r="BB58" i="4" s="1"/>
  <c r="AZ22" i="4"/>
  <c r="BB22" i="4" s="1"/>
  <c r="AZ13" i="4"/>
  <c r="BB13" i="4" s="1"/>
  <c r="AZ21" i="4"/>
  <c r="BB21" i="4" s="1"/>
  <c r="AZ116" i="4"/>
  <c r="BB116" i="4" s="1"/>
  <c r="AZ60" i="4"/>
  <c r="BB60" i="4" s="1"/>
  <c r="AZ92" i="4"/>
  <c r="BB92" i="4" s="1"/>
  <c r="AZ69" i="4"/>
  <c r="BB69" i="4" s="1"/>
  <c r="AZ151" i="4"/>
  <c r="BB151" i="4" s="1"/>
  <c r="AZ52" i="4"/>
  <c r="BB52" i="4" s="1"/>
  <c r="AZ78" i="4"/>
  <c r="BB78" i="4" s="1"/>
  <c r="AZ84" i="4"/>
  <c r="BB84" i="4" s="1"/>
  <c r="AZ104" i="4"/>
  <c r="BB104" i="4" s="1"/>
  <c r="AZ153" i="4"/>
  <c r="BB153" i="4" s="1"/>
  <c r="AZ68" i="4"/>
  <c r="BB68" i="4" s="1"/>
  <c r="AZ125" i="4"/>
  <c r="BB125" i="4" s="1"/>
  <c r="AZ112" i="4"/>
  <c r="BB112" i="4" s="1"/>
  <c r="AZ25" i="4"/>
  <c r="BB25" i="4" s="1"/>
  <c r="AZ33" i="4"/>
  <c r="BB33" i="4" s="1"/>
  <c r="AZ24" i="4"/>
  <c r="BB24" i="4" s="1"/>
  <c r="AZ59" i="4"/>
  <c r="BB59" i="4" s="1"/>
  <c r="AZ54" i="4"/>
  <c r="BB54" i="4" s="1"/>
  <c r="AZ46" i="4"/>
  <c r="BB46" i="4" s="1"/>
  <c r="AZ36" i="4"/>
  <c r="BB36" i="4" s="1"/>
  <c r="AZ99" i="4"/>
  <c r="BB99" i="4" s="1"/>
  <c r="AZ91" i="4"/>
  <c r="BB91" i="4" s="1"/>
  <c r="AZ155" i="4"/>
  <c r="BB155" i="4" s="1"/>
  <c r="AZ28" i="4"/>
  <c r="BB28" i="4" s="1"/>
  <c r="AZ110" i="4"/>
  <c r="BB110" i="4" s="1"/>
  <c r="AZ96" i="4"/>
  <c r="BB96" i="4" s="1"/>
  <c r="AZ108" i="4"/>
  <c r="BB108" i="4" s="1"/>
  <c r="AZ148" i="4"/>
  <c r="BB148" i="4" s="1"/>
  <c r="AZ8" i="4"/>
  <c r="BB8" i="4" s="1"/>
  <c r="AZ115" i="4"/>
  <c r="BB115" i="4" s="1"/>
  <c r="AZ118" i="4"/>
  <c r="BB118" i="4" s="1"/>
  <c r="AZ126" i="4"/>
  <c r="BB126" i="4" s="1"/>
  <c r="BW43" i="4"/>
  <c r="CC43" i="4" s="1"/>
  <c r="CD43" i="4" s="1"/>
  <c r="CQ43" i="4" s="1"/>
  <c r="BW144" i="4"/>
  <c r="BZ144" i="4" s="1"/>
  <c r="CA144" i="4" s="1"/>
  <c r="BW55" i="4"/>
  <c r="BZ55" i="4" s="1"/>
  <c r="CA55" i="4" s="1"/>
  <c r="BW49" i="4"/>
  <c r="BZ49" i="4" s="1"/>
  <c r="CA49" i="4" s="1"/>
  <c r="B48" i="5"/>
  <c r="B306" i="2"/>
  <c r="B267" i="2"/>
  <c r="B50" i="2"/>
  <c r="B19" i="5"/>
  <c r="B222" i="2"/>
  <c r="AN12" i="5"/>
  <c r="AO12" i="5"/>
  <c r="AB12" i="5"/>
  <c r="AA12" i="5"/>
  <c r="BK149" i="4"/>
  <c r="BM149" i="4" s="1"/>
  <c r="BK69" i="4"/>
  <c r="BM69" i="4" s="1"/>
  <c r="BK146" i="4"/>
  <c r="BM146" i="4" s="1"/>
  <c r="BK58" i="4"/>
  <c r="BM58" i="4" s="1"/>
  <c r="BK87" i="4"/>
  <c r="BM87" i="4" s="1"/>
  <c r="BK137" i="4"/>
  <c r="BM137" i="4" s="1"/>
  <c r="BK62" i="4"/>
  <c r="BM62" i="4" s="1"/>
  <c r="BK97" i="4"/>
  <c r="BM97" i="4" s="1"/>
  <c r="BK118" i="4"/>
  <c r="BM118" i="4" s="1"/>
  <c r="BK44" i="4"/>
  <c r="BM44" i="4" s="1"/>
  <c r="BK138" i="4"/>
  <c r="BM138" i="4" s="1"/>
  <c r="BK155" i="4"/>
  <c r="BM155" i="4" s="1"/>
  <c r="BK34" i="4"/>
  <c r="BM34" i="4" s="1"/>
  <c r="BK31" i="4"/>
  <c r="BM31" i="4" s="1"/>
  <c r="BK109" i="4"/>
  <c r="BM109" i="4" s="1"/>
  <c r="BK144" i="4"/>
  <c r="BM144" i="4" s="1"/>
  <c r="BK50" i="4"/>
  <c r="BM50" i="4" s="1"/>
  <c r="BK122" i="4"/>
  <c r="BM122" i="4" s="1"/>
  <c r="BK56" i="4"/>
  <c r="BM56" i="4" s="1"/>
  <c r="BK108" i="4"/>
  <c r="BM108" i="4" s="1"/>
  <c r="BK134" i="4"/>
  <c r="BM134" i="4" s="1"/>
  <c r="BK86" i="4"/>
  <c r="BM86" i="4" s="1"/>
  <c r="BK94" i="4"/>
  <c r="BM94" i="4" s="1"/>
  <c r="BK30" i="4"/>
  <c r="BM30" i="4" s="1"/>
  <c r="BK20" i="4"/>
  <c r="BM20" i="4" s="1"/>
  <c r="BK110" i="4"/>
  <c r="BM110" i="4" s="1"/>
  <c r="BK37" i="4"/>
  <c r="BM37" i="4" s="1"/>
  <c r="BK41" i="4"/>
  <c r="BM41" i="4" s="1"/>
  <c r="BK46" i="4"/>
  <c r="BM46" i="4" s="1"/>
  <c r="BK29" i="4"/>
  <c r="BM29" i="4" s="1"/>
  <c r="BK57" i="4"/>
  <c r="BM57" i="4" s="1"/>
  <c r="BK71" i="4"/>
  <c r="BM71" i="4" s="1"/>
  <c r="BK82" i="4"/>
  <c r="BM82" i="4" s="1"/>
  <c r="BK157" i="4"/>
  <c r="BM157" i="4" s="1"/>
  <c r="BK104" i="4"/>
  <c r="BM104" i="4" s="1"/>
  <c r="BK103" i="4"/>
  <c r="BM103" i="4" s="1"/>
  <c r="BK145" i="4"/>
  <c r="BM145" i="4" s="1"/>
  <c r="BK10" i="4"/>
  <c r="BM10" i="4" s="1"/>
  <c r="BK12" i="4"/>
  <c r="BM12" i="4" s="1"/>
  <c r="BK33" i="4"/>
  <c r="BM33" i="4" s="1"/>
  <c r="BK76" i="4"/>
  <c r="BM76" i="4" s="1"/>
  <c r="BK154" i="4"/>
  <c r="BM154" i="4" s="1"/>
  <c r="BK106" i="4"/>
  <c r="BM106" i="4" s="1"/>
  <c r="BK153" i="4"/>
  <c r="BM153" i="4" s="1"/>
  <c r="BK19" i="4"/>
  <c r="BM19" i="4" s="1"/>
  <c r="BK84" i="4"/>
  <c r="BM84" i="4" s="1"/>
  <c r="BK111" i="4"/>
  <c r="BM111" i="4" s="1"/>
  <c r="BK150" i="4"/>
  <c r="BM150" i="4" s="1"/>
  <c r="BK112" i="4"/>
  <c r="BM112" i="4" s="1"/>
  <c r="BK38" i="4"/>
  <c r="BM38" i="4" s="1"/>
  <c r="BK93" i="4"/>
  <c r="BM93" i="4" s="1"/>
  <c r="BK114" i="4"/>
  <c r="BM114" i="4" s="1"/>
  <c r="BK75" i="4"/>
  <c r="BM75" i="4" s="1"/>
  <c r="BK39" i="4"/>
  <c r="BM39" i="4" s="1"/>
  <c r="BK139" i="4"/>
  <c r="BM139" i="4" s="1"/>
  <c r="BK116" i="4"/>
  <c r="BM116" i="4" s="1"/>
  <c r="BK133" i="4"/>
  <c r="BM133" i="4" s="1"/>
  <c r="BK96" i="4"/>
  <c r="BM96" i="4" s="1"/>
  <c r="BK35" i="4"/>
  <c r="BM35" i="4" s="1"/>
  <c r="BK21" i="4"/>
  <c r="BM21" i="4" s="1"/>
  <c r="BK66" i="4"/>
  <c r="BM66" i="4" s="1"/>
  <c r="BK49" i="4"/>
  <c r="BM49" i="4" s="1"/>
  <c r="BK47" i="4"/>
  <c r="BM47" i="4" s="1"/>
  <c r="BK99" i="4"/>
  <c r="BM99" i="4" s="1"/>
  <c r="BK67" i="4"/>
  <c r="BM67" i="4" s="1"/>
  <c r="BK59" i="4"/>
  <c r="BM59" i="4" s="1"/>
  <c r="BK25" i="4"/>
  <c r="BM25" i="4" s="1"/>
  <c r="BK14" i="4"/>
  <c r="BM14" i="4" s="1"/>
  <c r="BK120" i="4"/>
  <c r="BM120" i="4" s="1"/>
  <c r="BK156" i="4"/>
  <c r="BM156" i="4" s="1"/>
  <c r="BK123" i="4"/>
  <c r="BM123" i="4" s="1"/>
  <c r="BK36" i="4"/>
  <c r="BM36" i="4" s="1"/>
  <c r="BK27" i="4"/>
  <c r="BM27" i="4" s="1"/>
  <c r="BK63" i="4"/>
  <c r="BM63" i="4" s="1"/>
  <c r="BK128" i="4"/>
  <c r="BM128" i="4" s="1"/>
  <c r="BK119" i="4"/>
  <c r="BM119" i="4" s="1"/>
  <c r="BK85" i="4"/>
  <c r="BM85" i="4" s="1"/>
  <c r="BK105" i="4"/>
  <c r="BM105" i="4" s="1"/>
  <c r="BK129" i="4"/>
  <c r="BM129" i="4" s="1"/>
  <c r="BK28" i="4"/>
  <c r="BM28" i="4" s="1"/>
  <c r="BK15" i="4"/>
  <c r="BM15" i="4" s="1"/>
  <c r="BK130" i="4"/>
  <c r="BM130" i="4" s="1"/>
  <c r="BK115" i="4"/>
  <c r="BM115" i="4" s="1"/>
  <c r="BK43" i="4"/>
  <c r="BM43" i="4" s="1"/>
  <c r="BK54" i="4"/>
  <c r="BM54" i="4" s="1"/>
  <c r="BK126" i="4"/>
  <c r="BM126" i="4" s="1"/>
  <c r="BK89" i="4"/>
  <c r="BM89" i="4" s="1"/>
  <c r="BK55" i="4"/>
  <c r="BM55" i="4" s="1"/>
  <c r="BK13" i="4"/>
  <c r="BM13" i="4" s="1"/>
  <c r="BK77" i="4"/>
  <c r="BM77" i="4" s="1"/>
  <c r="BK52" i="4"/>
  <c r="BM52" i="4" s="1"/>
  <c r="BK53" i="4"/>
  <c r="BM53" i="4" s="1"/>
  <c r="BK147" i="4"/>
  <c r="BM147" i="4" s="1"/>
  <c r="BK143" i="4"/>
  <c r="BM143" i="4" s="1"/>
  <c r="BK11" i="4"/>
  <c r="BM11" i="4" s="1"/>
  <c r="BK68" i="4"/>
  <c r="BM68" i="4" s="1"/>
  <c r="BK51" i="4"/>
  <c r="BM51" i="4" s="1"/>
  <c r="BK90" i="4"/>
  <c r="BM90" i="4" s="1"/>
  <c r="BK142" i="4"/>
  <c r="BM142" i="4" s="1"/>
  <c r="BK26" i="4"/>
  <c r="BM26" i="4" s="1"/>
  <c r="BK7" i="4"/>
  <c r="BM7" i="4" s="1"/>
  <c r="BK141" i="4"/>
  <c r="BM141" i="4" s="1"/>
  <c r="BK72" i="4"/>
  <c r="BM72" i="4" s="1"/>
  <c r="BK40" i="4"/>
  <c r="BM40" i="4" s="1"/>
  <c r="BK140" i="4"/>
  <c r="BM140" i="4" s="1"/>
  <c r="BK70" i="4"/>
  <c r="BM70" i="4" s="1"/>
  <c r="BK91" i="4"/>
  <c r="BM91" i="4" s="1"/>
  <c r="BK22" i="4"/>
  <c r="BM22" i="4" s="1"/>
  <c r="BK9" i="4"/>
  <c r="BM9" i="4" s="1"/>
  <c r="BK125" i="4"/>
  <c r="BM125" i="4" s="1"/>
  <c r="BK17" i="4"/>
  <c r="BM17" i="4" s="1"/>
  <c r="BK113" i="4"/>
  <c r="BM113" i="4" s="1"/>
  <c r="BK107" i="4"/>
  <c r="BM107" i="4" s="1"/>
  <c r="BK135" i="4"/>
  <c r="BM135" i="4" s="1"/>
  <c r="BK100" i="4"/>
  <c r="BM100" i="4" s="1"/>
  <c r="BK83" i="4"/>
  <c r="BM83" i="4" s="1"/>
  <c r="BK101" i="4"/>
  <c r="BM101" i="4" s="1"/>
  <c r="BK61" i="4"/>
  <c r="BM61" i="4" s="1"/>
  <c r="BK131" i="4"/>
  <c r="BM131" i="4" s="1"/>
  <c r="BK121" i="4"/>
  <c r="BM121" i="4" s="1"/>
  <c r="BK32" i="4"/>
  <c r="BM32" i="4" s="1"/>
  <c r="BK124" i="4"/>
  <c r="BM124" i="4" s="1"/>
  <c r="BK64" i="4"/>
  <c r="BM64" i="4" s="1"/>
  <c r="BK151" i="4"/>
  <c r="BM151" i="4" s="1"/>
  <c r="BK78" i="4"/>
  <c r="BM78" i="4" s="1"/>
  <c r="BK117" i="4"/>
  <c r="BM117" i="4" s="1"/>
  <c r="BK98" i="4"/>
  <c r="BM98" i="4" s="1"/>
  <c r="BK48" i="4"/>
  <c r="BM48" i="4" s="1"/>
  <c r="BK136" i="4"/>
  <c r="BM136" i="4" s="1"/>
  <c r="BK81" i="4"/>
  <c r="BM81" i="4" s="1"/>
  <c r="BK8" i="4"/>
  <c r="BM8" i="4" s="1"/>
  <c r="BK16" i="4"/>
  <c r="BM16" i="4" s="1"/>
  <c r="BK74" i="4"/>
  <c r="BM74" i="4" s="1"/>
  <c r="BK88" i="4"/>
  <c r="BM88" i="4" s="1"/>
  <c r="BK60" i="4"/>
  <c r="BM60" i="4" s="1"/>
  <c r="BK65" i="4"/>
  <c r="BM65" i="4" s="1"/>
  <c r="BK152" i="4"/>
  <c r="BM152" i="4" s="1"/>
  <c r="BK24" i="4"/>
  <c r="BM24" i="4" s="1"/>
  <c r="BK23" i="4"/>
  <c r="BM23" i="4" s="1"/>
  <c r="BK80" i="4"/>
  <c r="BM80" i="4" s="1"/>
  <c r="BK45" i="4"/>
  <c r="BM45" i="4" s="1"/>
  <c r="BK148" i="4"/>
  <c r="BM148" i="4" s="1"/>
  <c r="BK42" i="4"/>
  <c r="BM42" i="4" s="1"/>
  <c r="BK92" i="4"/>
  <c r="BM92" i="4" s="1"/>
  <c r="BK132" i="4"/>
  <c r="BM132" i="4" s="1"/>
  <c r="BK102" i="4"/>
  <c r="BM102" i="4" s="1"/>
  <c r="BK95" i="4"/>
  <c r="BM95" i="4" s="1"/>
  <c r="BK127" i="4"/>
  <c r="BM127" i="4" s="1"/>
  <c r="BK18" i="4"/>
  <c r="BM18" i="4" s="1"/>
  <c r="BK79" i="4"/>
  <c r="BM79" i="4" s="1"/>
  <c r="BK73" i="4"/>
  <c r="BM73" i="4" s="1"/>
  <c r="AU312" i="5"/>
  <c r="AT312" i="5"/>
  <c r="AT492" i="5"/>
  <c r="AU492" i="5"/>
  <c r="AU215" i="5"/>
  <c r="AT215" i="5"/>
  <c r="AU221" i="5"/>
  <c r="AT221" i="5"/>
  <c r="AT390" i="5"/>
  <c r="AU390" i="5"/>
  <c r="AT200" i="5"/>
  <c r="AU200" i="5"/>
  <c r="AU133" i="5"/>
  <c r="AT133" i="5"/>
  <c r="AT129" i="5"/>
  <c r="AU129" i="5"/>
  <c r="AU86" i="5"/>
  <c r="AT86" i="5"/>
  <c r="AU459" i="5"/>
  <c r="AT459" i="5"/>
  <c r="AT419" i="5"/>
  <c r="AU419" i="5"/>
  <c r="AT261" i="5"/>
  <c r="AU261" i="5"/>
  <c r="AT558" i="5"/>
  <c r="AU558" i="5"/>
  <c r="AU214" i="5"/>
  <c r="AT214" i="5"/>
  <c r="AT531" i="5"/>
  <c r="AU531" i="5"/>
  <c r="AT274" i="5"/>
  <c r="AU274" i="5"/>
  <c r="AU182" i="5"/>
  <c r="AT182" i="5"/>
  <c r="AT297" i="5"/>
  <c r="AU297" i="5"/>
  <c r="AT418" i="5"/>
  <c r="AU418" i="5"/>
  <c r="AU487" i="5"/>
  <c r="AT487" i="5"/>
  <c r="AT23" i="5"/>
  <c r="AU23" i="5"/>
  <c r="AT93" i="5"/>
  <c r="AU93" i="5"/>
  <c r="AU185" i="5"/>
  <c r="AT185" i="5"/>
  <c r="AT362" i="5"/>
  <c r="AU362" i="5"/>
  <c r="AT183" i="5"/>
  <c r="AU183" i="5"/>
  <c r="AU240" i="5"/>
  <c r="AT240" i="5"/>
  <c r="AU309" i="5"/>
  <c r="AT309" i="5"/>
  <c r="AU31" i="5"/>
  <c r="AT31" i="5"/>
  <c r="AT556" i="5"/>
  <c r="AU556" i="5"/>
  <c r="AT369" i="5"/>
  <c r="AU369" i="5"/>
  <c r="AT539" i="5"/>
  <c r="AU539" i="5"/>
  <c r="AT382" i="5"/>
  <c r="AU382" i="5"/>
  <c r="AU195" i="5"/>
  <c r="AT195" i="5"/>
  <c r="AU158" i="5"/>
  <c r="AT158" i="5"/>
  <c r="AT368" i="5"/>
  <c r="AU368" i="5"/>
  <c r="BZ111" i="4"/>
  <c r="CA111" i="4" s="1"/>
  <c r="CC111" i="4"/>
  <c r="CD111" i="4" s="1"/>
  <c r="CQ111" i="4" s="1"/>
  <c r="CC37" i="4"/>
  <c r="CD37" i="4" s="1"/>
  <c r="CQ37" i="4" s="1"/>
  <c r="BZ37" i="4"/>
  <c r="CA37" i="4" s="1"/>
  <c r="CC97" i="4"/>
  <c r="CD97" i="4" s="1"/>
  <c r="CQ97" i="4" s="1"/>
  <c r="BZ97" i="4"/>
  <c r="CA97" i="4" s="1"/>
  <c r="BZ128" i="4"/>
  <c r="CA128" i="4" s="1"/>
  <c r="AT381" i="5"/>
  <c r="AU381" i="5"/>
  <c r="AT208" i="5"/>
  <c r="AU208" i="5"/>
  <c r="AT465" i="5"/>
  <c r="AU465" i="5"/>
  <c r="AT541" i="5"/>
  <c r="AU541" i="5"/>
  <c r="AU471" i="5"/>
  <c r="AT471" i="5"/>
  <c r="AT305" i="5"/>
  <c r="AU305" i="5"/>
  <c r="AU165" i="5"/>
  <c r="AT165" i="5"/>
  <c r="AU80" i="5"/>
  <c r="AT80" i="5"/>
  <c r="AU328" i="5"/>
  <c r="AT328" i="5"/>
  <c r="AT454" i="5"/>
  <c r="AU454" i="5"/>
  <c r="AU422" i="5"/>
  <c r="AT422" i="5"/>
  <c r="AT97" i="5"/>
  <c r="AU97" i="5"/>
  <c r="AT152" i="5"/>
  <c r="AU152" i="5"/>
  <c r="AT241" i="5"/>
  <c r="AU241" i="5"/>
  <c r="AU71" i="5"/>
  <c r="AT71" i="5"/>
  <c r="AU425" i="5"/>
  <c r="AT425" i="5"/>
  <c r="AT207" i="5"/>
  <c r="AU207" i="5"/>
  <c r="AU275" i="5"/>
  <c r="AT275" i="5"/>
  <c r="AU57" i="5"/>
  <c r="AT57" i="5"/>
  <c r="AT325" i="5"/>
  <c r="AU325" i="5"/>
  <c r="AT452" i="5"/>
  <c r="AU452" i="5"/>
  <c r="AT417" i="5"/>
  <c r="AU417" i="5"/>
  <c r="AI13" i="5"/>
  <c r="AH13" i="5"/>
  <c r="AS13" i="5"/>
  <c r="AT75" i="5"/>
  <c r="AU75" i="5"/>
  <c r="AU317" i="5"/>
  <c r="AT317" i="5"/>
  <c r="AT518" i="5"/>
  <c r="AU518" i="5"/>
  <c r="AT344" i="5"/>
  <c r="AU344" i="5"/>
  <c r="AU28" i="5"/>
  <c r="AT28" i="5"/>
  <c r="AT290" i="5"/>
  <c r="AU290" i="5"/>
  <c r="AT282" i="5"/>
  <c r="AU282" i="5"/>
  <c r="AU532" i="5"/>
  <c r="AT532" i="5"/>
  <c r="AU188" i="5"/>
  <c r="AT188" i="5"/>
  <c r="AT338" i="5"/>
  <c r="AU338" i="5"/>
  <c r="AU128" i="5"/>
  <c r="AT128" i="5"/>
  <c r="AT537" i="5"/>
  <c r="AU537" i="5"/>
  <c r="AT354" i="5"/>
  <c r="AU354" i="5"/>
  <c r="AU82" i="5"/>
  <c r="AT82" i="5"/>
  <c r="AT468" i="5"/>
  <c r="AU468" i="5"/>
  <c r="AT156" i="5"/>
  <c r="AU156" i="5"/>
  <c r="AT475" i="5"/>
  <c r="AU475" i="5"/>
  <c r="AT166" i="5"/>
  <c r="AU166" i="5"/>
  <c r="AT431" i="5"/>
  <c r="AU431" i="5"/>
  <c r="AT486" i="5"/>
  <c r="AU486" i="5"/>
  <c r="AT485" i="5"/>
  <c r="AU485" i="5"/>
  <c r="AT499" i="5"/>
  <c r="AU499" i="5"/>
  <c r="AT36" i="5"/>
  <c r="AU36" i="5"/>
  <c r="AT469" i="5"/>
  <c r="AU469" i="5"/>
  <c r="AT511" i="5"/>
  <c r="AU511" i="5"/>
  <c r="AU24" i="5"/>
  <c r="AT24" i="5"/>
  <c r="AU482" i="5"/>
  <c r="AT482" i="5"/>
  <c r="AT294" i="5"/>
  <c r="AU294" i="5"/>
  <c r="AU239" i="5"/>
  <c r="AT239" i="5"/>
  <c r="AT404" i="5"/>
  <c r="AU404" i="5"/>
  <c r="AT378" i="5"/>
  <c r="AU378" i="5"/>
  <c r="AT358" i="5"/>
  <c r="AU358" i="5"/>
  <c r="AU479" i="5"/>
  <c r="AT479" i="5"/>
  <c r="AT394" i="5"/>
  <c r="AU394" i="5"/>
  <c r="AT161" i="5"/>
  <c r="AU161" i="5"/>
  <c r="AT254" i="5"/>
  <c r="AU254" i="5"/>
  <c r="AT530" i="5"/>
  <c r="AU530" i="5"/>
  <c r="AU392" i="5"/>
  <c r="AT392" i="5"/>
  <c r="AT510" i="5"/>
  <c r="AU510" i="5"/>
  <c r="AU173" i="5"/>
  <c r="AT173" i="5"/>
  <c r="AT457" i="5"/>
  <c r="AU457" i="5"/>
  <c r="AT148" i="5"/>
  <c r="AU148" i="5"/>
  <c r="AT269" i="5"/>
  <c r="AU269" i="5"/>
  <c r="AU125" i="5"/>
  <c r="AT125" i="5"/>
  <c r="AU198" i="5"/>
  <c r="AT198" i="5"/>
  <c r="AU426" i="5"/>
  <c r="AT426" i="5"/>
  <c r="AU307" i="5"/>
  <c r="AT307" i="5"/>
  <c r="AU273" i="5"/>
  <c r="AT273" i="5"/>
  <c r="AT380" i="5"/>
  <c r="AU380" i="5"/>
  <c r="AT314" i="5"/>
  <c r="AU314" i="5"/>
  <c r="AU508" i="5"/>
  <c r="AT508" i="5"/>
  <c r="AU548" i="5"/>
  <c r="AT548" i="5"/>
  <c r="AT78" i="5"/>
  <c r="AU78" i="5"/>
  <c r="AT292" i="5"/>
  <c r="AU292" i="5"/>
  <c r="AT238" i="5"/>
  <c r="AU238" i="5"/>
  <c r="AU39" i="5"/>
  <c r="AT39" i="5"/>
  <c r="AU44" i="5"/>
  <c r="AT44" i="5"/>
  <c r="AT526" i="5"/>
  <c r="AU526" i="5"/>
  <c r="AU244" i="5"/>
  <c r="AT244" i="5"/>
  <c r="AT172" i="5"/>
  <c r="AU172" i="5"/>
  <c r="AT367" i="5"/>
  <c r="AU367" i="5"/>
  <c r="AU540" i="5"/>
  <c r="AT540" i="5"/>
  <c r="AT449" i="5"/>
  <c r="AU449" i="5"/>
  <c r="AT223" i="5"/>
  <c r="AU223" i="5"/>
  <c r="BZ44" i="4"/>
  <c r="CA44" i="4" s="1"/>
  <c r="CC44" i="4"/>
  <c r="CD44" i="4" s="1"/>
  <c r="CQ44" i="4" s="1"/>
  <c r="BZ58" i="4"/>
  <c r="CA58" i="4" s="1"/>
  <c r="CC58" i="4"/>
  <c r="CD58" i="4" s="1"/>
  <c r="CQ58" i="4" s="1"/>
  <c r="BZ119" i="4"/>
  <c r="CA119" i="4" s="1"/>
  <c r="CC119" i="4"/>
  <c r="CD119" i="4" s="1"/>
  <c r="CQ119" i="4" s="1"/>
  <c r="AT51" i="5"/>
  <c r="AU51" i="5"/>
  <c r="AT144" i="5"/>
  <c r="AU144" i="5"/>
  <c r="AU48" i="5"/>
  <c r="AT48" i="5"/>
  <c r="AU421" i="5"/>
  <c r="AT421" i="5"/>
  <c r="AT191" i="5"/>
  <c r="AU191" i="5"/>
  <c r="AT236" i="5"/>
  <c r="AU236" i="5"/>
  <c r="AU355" i="5"/>
  <c r="AT355" i="5"/>
  <c r="AT96" i="5"/>
  <c r="AU96" i="5"/>
  <c r="AU281" i="5"/>
  <c r="AT281" i="5"/>
  <c r="AU408" i="5"/>
  <c r="AT408" i="5"/>
  <c r="AU335" i="5"/>
  <c r="AT335" i="5"/>
  <c r="AT463" i="5"/>
  <c r="AU463" i="5"/>
  <c r="AT399" i="5"/>
  <c r="AU399" i="5"/>
  <c r="AT272" i="5"/>
  <c r="AU272" i="5"/>
  <c r="AT310" i="5"/>
  <c r="AU310" i="5"/>
  <c r="AT222" i="5"/>
  <c r="AU222" i="5"/>
  <c r="AK13" i="5"/>
  <c r="AL13" i="5"/>
  <c r="AU58" i="5"/>
  <c r="AT58" i="5"/>
  <c r="AU116" i="5"/>
  <c r="AT116" i="5"/>
  <c r="AT132" i="5"/>
  <c r="AU132" i="5"/>
  <c r="AU448" i="5"/>
  <c r="AT448" i="5"/>
  <c r="AU109" i="5"/>
  <c r="AT109" i="5"/>
  <c r="AT398" i="5"/>
  <c r="AU398" i="5"/>
  <c r="AT467" i="5"/>
  <c r="AU467" i="5"/>
  <c r="AT520" i="5"/>
  <c r="AU520" i="5"/>
  <c r="AU147" i="5"/>
  <c r="AT147" i="5"/>
  <c r="AT462" i="5"/>
  <c r="AU462" i="5"/>
  <c r="AU163" i="5"/>
  <c r="AT163" i="5"/>
  <c r="AT264" i="5"/>
  <c r="AU264" i="5"/>
  <c r="AT371" i="5"/>
  <c r="AU371" i="5"/>
  <c r="AT73" i="5"/>
  <c r="AU73" i="5"/>
  <c r="AU63" i="5"/>
  <c r="AT63" i="5"/>
  <c r="AU397" i="5"/>
  <c r="AT397" i="5"/>
  <c r="AU496" i="5"/>
  <c r="AT496" i="5"/>
  <c r="AT213" i="5"/>
  <c r="AU213" i="5"/>
  <c r="AT139" i="5"/>
  <c r="AU139" i="5"/>
  <c r="AU38" i="5"/>
  <c r="AT38" i="5"/>
  <c r="AU542" i="5"/>
  <c r="AT542" i="5"/>
  <c r="AT50" i="5"/>
  <c r="AU50" i="5"/>
  <c r="AT533" i="5"/>
  <c r="AU533" i="5"/>
  <c r="AT143" i="5"/>
  <c r="AU143" i="5"/>
  <c r="AT268" i="5"/>
  <c r="AU268" i="5"/>
  <c r="AU543" i="5"/>
  <c r="AT543" i="5"/>
  <c r="AT140" i="5"/>
  <c r="AU140" i="5"/>
  <c r="AT199" i="5"/>
  <c r="AU199" i="5"/>
  <c r="AT329" i="5"/>
  <c r="AU329" i="5"/>
  <c r="AU525" i="5"/>
  <c r="AT525" i="5"/>
  <c r="AT95" i="5"/>
  <c r="AU95" i="5"/>
  <c r="AU559" i="5"/>
  <c r="AT559" i="5"/>
  <c r="AT230" i="5"/>
  <c r="AU230" i="5"/>
  <c r="AT505" i="5"/>
  <c r="AU505" i="5"/>
  <c r="AU387" i="5"/>
  <c r="AT387" i="5"/>
  <c r="AU104" i="5"/>
  <c r="AT104" i="5"/>
  <c r="AT538" i="5"/>
  <c r="AU538" i="5"/>
  <c r="AU528" i="5"/>
  <c r="AT528" i="5"/>
  <c r="AT33" i="5"/>
  <c r="AU33" i="5"/>
  <c r="AT169" i="5"/>
  <c r="AU169" i="5"/>
  <c r="AT493" i="5"/>
  <c r="AU493" i="5"/>
  <c r="AT32" i="5"/>
  <c r="AU32" i="5"/>
  <c r="AT529" i="5"/>
  <c r="AU529" i="5"/>
  <c r="AU443" i="5"/>
  <c r="AT443" i="5"/>
  <c r="AU370" i="5"/>
  <c r="AT370" i="5"/>
  <c r="AT69" i="5"/>
  <c r="AU69" i="5"/>
  <c r="AT103" i="5"/>
  <c r="AU103" i="5"/>
  <c r="AT117" i="5"/>
  <c r="AU117" i="5"/>
  <c r="AT252" i="5"/>
  <c r="AU252" i="5"/>
  <c r="CC80" i="4"/>
  <c r="CD80" i="4" s="1"/>
  <c r="CQ80" i="4" s="1"/>
  <c r="BZ80" i="4"/>
  <c r="CA80" i="4" s="1"/>
  <c r="AU40" i="5"/>
  <c r="AT40" i="5"/>
  <c r="AU43" i="5"/>
  <c r="AT43" i="5"/>
  <c r="AU304" i="5"/>
  <c r="AT304" i="5"/>
  <c r="AU389" i="5"/>
  <c r="AT389" i="5"/>
  <c r="AU405" i="5"/>
  <c r="AT405" i="5"/>
  <c r="AT35" i="5"/>
  <c r="AU35" i="5"/>
  <c r="AT175" i="5"/>
  <c r="AU175" i="5"/>
  <c r="BB7" i="4"/>
  <c r="AU178" i="5"/>
  <c r="AT178" i="5"/>
  <c r="AU366" i="5"/>
  <c r="AT366" i="5"/>
  <c r="AT519" i="5"/>
  <c r="AU519" i="5"/>
  <c r="AU235" i="5"/>
  <c r="AT235" i="5"/>
  <c r="AU438" i="5"/>
  <c r="AT438" i="5"/>
  <c r="AT437" i="5"/>
  <c r="AU437" i="5"/>
  <c r="AT74" i="5"/>
  <c r="AU74" i="5"/>
  <c r="AT430" i="5"/>
  <c r="AU430" i="5"/>
  <c r="AT271" i="5"/>
  <c r="AU271" i="5"/>
  <c r="AT458" i="5"/>
  <c r="AU458" i="5"/>
  <c r="AU301" i="5"/>
  <c r="AT301" i="5"/>
  <c r="AT110" i="5"/>
  <c r="AU110" i="5"/>
  <c r="AU135" i="5"/>
  <c r="AT135" i="5"/>
  <c r="AT105" i="5"/>
  <c r="AU105" i="5"/>
  <c r="AU154" i="5"/>
  <c r="AT154" i="5"/>
  <c r="AU149" i="5"/>
  <c r="AT149" i="5"/>
  <c r="AT400" i="5"/>
  <c r="AU400" i="5"/>
  <c r="AT395" i="5"/>
  <c r="AU395" i="5"/>
  <c r="AU299" i="5"/>
  <c r="AT299" i="5"/>
  <c r="AU26" i="5"/>
  <c r="AT26" i="5"/>
  <c r="AT340" i="5"/>
  <c r="AU340" i="5"/>
  <c r="AT108" i="5"/>
  <c r="AU108" i="5"/>
  <c r="AT560" i="5"/>
  <c r="AU560" i="5"/>
  <c r="AT318" i="5"/>
  <c r="AU318" i="5"/>
  <c r="AT484" i="5"/>
  <c r="AU484" i="5"/>
  <c r="AT22" i="5"/>
  <c r="AU22" i="5"/>
  <c r="AT205" i="5"/>
  <c r="AU205" i="5"/>
  <c r="AU491" i="5"/>
  <c r="AT491" i="5"/>
  <c r="AU308" i="5"/>
  <c r="AT308" i="5"/>
  <c r="AU192" i="5"/>
  <c r="AT192" i="5"/>
  <c r="AT410" i="5"/>
  <c r="AU410" i="5"/>
  <c r="AU168" i="5"/>
  <c r="AT168" i="5"/>
  <c r="AT54" i="5"/>
  <c r="AU54" i="5"/>
  <c r="AT203" i="5"/>
  <c r="AU203" i="5"/>
  <c r="AT554" i="5"/>
  <c r="AU554" i="5"/>
  <c r="AU319" i="5"/>
  <c r="AT319" i="5"/>
  <c r="AU187" i="5"/>
  <c r="AT187" i="5"/>
  <c r="AU193" i="5"/>
  <c r="AT193" i="5"/>
  <c r="AU209" i="5"/>
  <c r="AT209" i="5"/>
  <c r="AT440" i="5"/>
  <c r="AU440" i="5"/>
  <c r="AT84" i="5"/>
  <c r="AU84" i="5"/>
  <c r="AT470" i="5"/>
  <c r="AU470" i="5"/>
  <c r="AU550" i="5"/>
  <c r="AT550" i="5"/>
  <c r="AT447" i="5"/>
  <c r="AU447" i="5"/>
  <c r="AT101" i="5"/>
  <c r="AU101" i="5"/>
  <c r="AT351" i="5"/>
  <c r="AU351" i="5"/>
  <c r="AT137" i="5"/>
  <c r="AU137" i="5"/>
  <c r="AT349" i="5"/>
  <c r="AU349" i="5"/>
  <c r="AU374" i="5"/>
  <c r="AT374" i="5"/>
  <c r="AT516" i="5"/>
  <c r="AU516" i="5"/>
  <c r="AU420" i="5"/>
  <c r="AT420" i="5"/>
  <c r="AT365" i="5"/>
  <c r="AU365" i="5"/>
  <c r="AU391" i="5"/>
  <c r="AT391" i="5"/>
  <c r="AU150" i="5"/>
  <c r="AT150" i="5"/>
  <c r="AT336" i="5"/>
  <c r="AU336" i="5"/>
  <c r="AU227" i="5"/>
  <c r="AT227" i="5"/>
  <c r="AU250" i="5"/>
  <c r="AT250" i="5"/>
  <c r="AU450" i="5"/>
  <c r="AT450" i="5"/>
  <c r="AT384" i="5"/>
  <c r="AU384" i="5"/>
  <c r="AU83" i="5"/>
  <c r="AT83" i="5"/>
  <c r="AT293" i="5"/>
  <c r="AU293" i="5"/>
  <c r="AT472" i="5"/>
  <c r="AU472" i="5"/>
  <c r="AU68" i="5"/>
  <c r="AT68" i="5"/>
  <c r="AU321" i="5"/>
  <c r="AT321" i="5"/>
  <c r="AT79" i="5"/>
  <c r="AU79" i="5"/>
  <c r="AU474" i="5"/>
  <c r="AT474" i="5"/>
  <c r="AU265" i="5"/>
  <c r="AT265" i="5"/>
  <c r="AT204" i="5"/>
  <c r="AU204" i="5"/>
  <c r="AT176" i="5"/>
  <c r="AU176" i="5"/>
  <c r="AT407" i="5"/>
  <c r="AU407" i="5"/>
  <c r="AT216" i="5"/>
  <c r="AU216" i="5"/>
  <c r="AT403" i="5"/>
  <c r="AU403" i="5"/>
  <c r="BZ32" i="4"/>
  <c r="CA32" i="4" s="1"/>
  <c r="CC32" i="4"/>
  <c r="CD32" i="4" s="1"/>
  <c r="CQ32" i="4" s="1"/>
  <c r="CC104" i="4"/>
  <c r="CD104" i="4" s="1"/>
  <c r="CQ104" i="4" s="1"/>
  <c r="BZ104" i="4"/>
  <c r="CA104" i="4" s="1"/>
  <c r="CC33" i="4"/>
  <c r="CD33" i="4" s="1"/>
  <c r="CQ33" i="4" s="1"/>
  <c r="BZ33" i="4"/>
  <c r="CA33" i="4" s="1"/>
  <c r="BZ138" i="4"/>
  <c r="CA138" i="4" s="1"/>
  <c r="CC138" i="4"/>
  <c r="CD138" i="4" s="1"/>
  <c r="CQ138" i="4" s="1"/>
  <c r="CC152" i="4"/>
  <c r="CD152" i="4" s="1"/>
  <c r="CQ152" i="4" s="1"/>
  <c r="AT255" i="5"/>
  <c r="AU255" i="5"/>
  <c r="AU503" i="5"/>
  <c r="AT503" i="5"/>
  <c r="AT320" i="5"/>
  <c r="AU320" i="5"/>
  <c r="AU411" i="5"/>
  <c r="AT411" i="5"/>
  <c r="AT76" i="5"/>
  <c r="AU76" i="5"/>
  <c r="AU521" i="5"/>
  <c r="AT521" i="5"/>
  <c r="AT494" i="5"/>
  <c r="AU494" i="5"/>
  <c r="AT456" i="5"/>
  <c r="AU456" i="5"/>
  <c r="AU121" i="5"/>
  <c r="AT121" i="5"/>
  <c r="AT498" i="5"/>
  <c r="AU498" i="5"/>
  <c r="AU409" i="5"/>
  <c r="AT409" i="5"/>
  <c r="AU247" i="5"/>
  <c r="AT247" i="5"/>
  <c r="AU555" i="5"/>
  <c r="AT555" i="5"/>
  <c r="AT67" i="5"/>
  <c r="AU67" i="5"/>
  <c r="AT258" i="5"/>
  <c r="AU258" i="5"/>
  <c r="AU237" i="5"/>
  <c r="AT237" i="5"/>
  <c r="AT512" i="5"/>
  <c r="AU512" i="5"/>
  <c r="AU153" i="5"/>
  <c r="AT153" i="5"/>
  <c r="AT160" i="5"/>
  <c r="AU160" i="5"/>
  <c r="AU396" i="5"/>
  <c r="AT396" i="5"/>
  <c r="AU311" i="5"/>
  <c r="AT311" i="5"/>
  <c r="AT509" i="5"/>
  <c r="AU509" i="5"/>
  <c r="AT453" i="5"/>
  <c r="AU453" i="5"/>
  <c r="AU279" i="5"/>
  <c r="AT279" i="5"/>
  <c r="AU42" i="5"/>
  <c r="AT42" i="5"/>
  <c r="AT439" i="5"/>
  <c r="AU439" i="5"/>
  <c r="AU375" i="5"/>
  <c r="AT375" i="5"/>
  <c r="AU229" i="5"/>
  <c r="AT229" i="5"/>
  <c r="AU234" i="5"/>
  <c r="AT234" i="5"/>
  <c r="AU7" i="5"/>
  <c r="AT7" i="5"/>
  <c r="AU72" i="5"/>
  <c r="AT72" i="5"/>
  <c r="AT489" i="5"/>
  <c r="AU489" i="5"/>
  <c r="AT201" i="5"/>
  <c r="AU201" i="5"/>
  <c r="AU352" i="5"/>
  <c r="AT352" i="5"/>
  <c r="AT251" i="5"/>
  <c r="AU251" i="5"/>
  <c r="AU464" i="5"/>
  <c r="AT464" i="5"/>
  <c r="AU113" i="5"/>
  <c r="AT113" i="5"/>
  <c r="AT517" i="5"/>
  <c r="AU517" i="5"/>
  <c r="AT106" i="5"/>
  <c r="AU106" i="5"/>
  <c r="AU131" i="5"/>
  <c r="AT131" i="5"/>
  <c r="AT478" i="5"/>
  <c r="AU478" i="5"/>
  <c r="AT249" i="5"/>
  <c r="AU249" i="5"/>
  <c r="AU350" i="5"/>
  <c r="AT350" i="5"/>
  <c r="AU102" i="5"/>
  <c r="AT102" i="5"/>
  <c r="AU162" i="5"/>
  <c r="AT162" i="5"/>
  <c r="AU225" i="5"/>
  <c r="AT225" i="5"/>
  <c r="AU127" i="5"/>
  <c r="AT127" i="5"/>
  <c r="AU285" i="5"/>
  <c r="AT285" i="5"/>
  <c r="AT332" i="5"/>
  <c r="AU332" i="5"/>
  <c r="AU224" i="5"/>
  <c r="AT224" i="5"/>
  <c r="AT346" i="5"/>
  <c r="AU346" i="5"/>
  <c r="AT29" i="5"/>
  <c r="AU29" i="5"/>
  <c r="AU47" i="5"/>
  <c r="AT47" i="5"/>
  <c r="AU315" i="5"/>
  <c r="AT315" i="5"/>
  <c r="AT194" i="5"/>
  <c r="AU194" i="5"/>
  <c r="AT46" i="5"/>
  <c r="AU46" i="5"/>
  <c r="AU287" i="5"/>
  <c r="AT287" i="5"/>
  <c r="AU476" i="5"/>
  <c r="AT476" i="5"/>
  <c r="AT276" i="5"/>
  <c r="AU276" i="5"/>
  <c r="AU442" i="5"/>
  <c r="AT442" i="5"/>
  <c r="AT402" i="5"/>
  <c r="AU402" i="5"/>
  <c r="AT171" i="5"/>
  <c r="AU171" i="5"/>
  <c r="AU364" i="5"/>
  <c r="AT364" i="5"/>
  <c r="AT461" i="5"/>
  <c r="AU461" i="5"/>
  <c r="AU327" i="5"/>
  <c r="AT327" i="5"/>
  <c r="AT231" i="5"/>
  <c r="AU231" i="5"/>
  <c r="AU91" i="5"/>
  <c r="AT91" i="5"/>
  <c r="AT386" i="5"/>
  <c r="AU386" i="5"/>
  <c r="AU259" i="5"/>
  <c r="AT259" i="5"/>
  <c r="AU70" i="5"/>
  <c r="AT70" i="5"/>
  <c r="AU151" i="5"/>
  <c r="AT151" i="5"/>
  <c r="AU88" i="5"/>
  <c r="AT88" i="5"/>
  <c r="AU112" i="5"/>
  <c r="AT112" i="5"/>
  <c r="AU190" i="5"/>
  <c r="AT190" i="5"/>
  <c r="AU527" i="5"/>
  <c r="AT527" i="5"/>
  <c r="AU262" i="5"/>
  <c r="AT262" i="5"/>
  <c r="CC12" i="4"/>
  <c r="CD12" i="4" s="1"/>
  <c r="CQ12" i="4" s="1"/>
  <c r="BZ12" i="4"/>
  <c r="CA12" i="4" s="1"/>
  <c r="CC113" i="4"/>
  <c r="CD113" i="4" s="1"/>
  <c r="CQ113" i="4" s="1"/>
  <c r="BZ113" i="4"/>
  <c r="CA113" i="4" s="1"/>
  <c r="BZ130" i="4"/>
  <c r="CA130" i="4" s="1"/>
  <c r="CC130" i="4"/>
  <c r="CD130" i="4" s="1"/>
  <c r="CQ130" i="4" s="1"/>
  <c r="BZ126" i="4"/>
  <c r="CA126" i="4" s="1"/>
  <c r="CC126" i="4"/>
  <c r="CD126" i="4" s="1"/>
  <c r="CQ126" i="4" s="1"/>
  <c r="BZ90" i="4"/>
  <c r="CA90" i="4" s="1"/>
  <c r="CC90" i="4"/>
  <c r="CD90" i="4" s="1"/>
  <c r="CQ90" i="4" s="1"/>
  <c r="BZ129" i="4"/>
  <c r="CA129" i="4" s="1"/>
  <c r="BZ87" i="4"/>
  <c r="CA87" i="4" s="1"/>
  <c r="CC87" i="4"/>
  <c r="CD87" i="4" s="1"/>
  <c r="CQ87" i="4" s="1"/>
  <c r="BZ91" i="4"/>
  <c r="CA91" i="4" s="1"/>
  <c r="CC108" i="4"/>
  <c r="CD108" i="4" s="1"/>
  <c r="CQ108" i="4" s="1"/>
  <c r="AT136" i="5"/>
  <c r="AU136" i="5"/>
  <c r="AT81" i="5"/>
  <c r="AU81" i="5"/>
  <c r="AU111" i="5"/>
  <c r="AT111" i="5"/>
  <c r="AT513" i="5"/>
  <c r="AU513" i="5"/>
  <c r="AU376" i="5"/>
  <c r="AT376" i="5"/>
  <c r="AU141" i="5"/>
  <c r="AT141" i="5"/>
  <c r="AT296" i="5"/>
  <c r="AU296" i="5"/>
  <c r="AT345" i="5"/>
  <c r="AU345" i="5"/>
  <c r="AU514" i="5"/>
  <c r="AT514" i="5"/>
  <c r="AT206" i="5"/>
  <c r="AU206" i="5"/>
  <c r="BB20" i="4"/>
  <c r="AT189" i="5"/>
  <c r="AU189" i="5"/>
  <c r="AU334" i="5"/>
  <c r="AT334" i="5"/>
  <c r="AU523" i="5"/>
  <c r="AT523" i="5"/>
  <c r="AT260" i="5"/>
  <c r="AU260" i="5"/>
  <c r="AT446" i="5"/>
  <c r="AU446" i="5"/>
  <c r="AT495" i="5"/>
  <c r="AU495" i="5"/>
  <c r="AT217" i="5"/>
  <c r="AU217" i="5"/>
  <c r="AU49" i="5"/>
  <c r="AT49" i="5"/>
  <c r="AT220" i="5"/>
  <c r="AU220" i="5"/>
  <c r="AU377" i="5"/>
  <c r="AT377" i="5"/>
  <c r="AU257" i="5"/>
  <c r="AT257" i="5"/>
  <c r="AT134" i="5"/>
  <c r="AU134" i="5"/>
  <c r="AU138" i="5"/>
  <c r="AT138" i="5"/>
  <c r="AU179" i="5"/>
  <c r="AT179" i="5"/>
  <c r="AT504" i="5"/>
  <c r="AU504" i="5"/>
  <c r="AT122" i="5"/>
  <c r="AU122" i="5"/>
  <c r="AT94" i="5"/>
  <c r="AU94" i="5"/>
  <c r="AU546" i="5"/>
  <c r="AT546" i="5"/>
  <c r="AT466" i="5"/>
  <c r="AU466" i="5"/>
  <c r="AU432" i="5"/>
  <c r="AT432" i="5"/>
  <c r="AU413" i="5"/>
  <c r="AT413" i="5"/>
  <c r="AU27" i="5"/>
  <c r="AT27" i="5"/>
  <c r="AU77" i="5"/>
  <c r="AT77" i="5"/>
  <c r="AU37" i="5"/>
  <c r="AT37" i="5"/>
  <c r="AU284" i="5"/>
  <c r="AT284" i="5"/>
  <c r="AU25" i="5"/>
  <c r="AT25" i="5"/>
  <c r="AT278" i="5"/>
  <c r="AU278" i="5"/>
  <c r="AU177" i="5"/>
  <c r="AT177" i="5"/>
  <c r="AT415" i="5"/>
  <c r="AU415" i="5"/>
  <c r="AT379" i="5"/>
  <c r="AU379" i="5"/>
  <c r="AT228" i="5"/>
  <c r="AU228" i="5"/>
  <c r="AT534" i="5"/>
  <c r="AU534" i="5"/>
  <c r="AT490" i="5"/>
  <c r="AU490" i="5"/>
  <c r="AT445" i="5"/>
  <c r="AU445" i="5"/>
  <c r="AU34" i="5"/>
  <c r="AT34" i="5"/>
  <c r="AU246" i="5"/>
  <c r="AT246" i="5"/>
  <c r="AU363" i="5"/>
  <c r="AT363" i="5"/>
  <c r="AU342" i="5"/>
  <c r="AT342" i="5"/>
  <c r="AT481" i="5"/>
  <c r="AU481" i="5"/>
  <c r="AU89" i="5"/>
  <c r="AT89" i="5"/>
  <c r="AT300" i="5"/>
  <c r="AU300" i="5"/>
  <c r="AU219" i="5"/>
  <c r="AT219" i="5"/>
  <c r="AT460" i="5"/>
  <c r="AU460" i="5"/>
  <c r="AU164" i="5"/>
  <c r="AT164" i="5"/>
  <c r="BZ53" i="4"/>
  <c r="CA53" i="4" s="1"/>
  <c r="CC53" i="4"/>
  <c r="CD53" i="4" s="1"/>
  <c r="CQ53" i="4" s="1"/>
  <c r="CC39" i="4"/>
  <c r="CD39" i="4" s="1"/>
  <c r="CQ39" i="4" s="1"/>
  <c r="BZ39" i="4"/>
  <c r="CA39" i="4" s="1"/>
  <c r="CC75" i="4"/>
  <c r="CD75" i="4" s="1"/>
  <c r="CQ75" i="4" s="1"/>
  <c r="BZ75" i="4"/>
  <c r="CA75" i="4" s="1"/>
  <c r="AT291" i="5"/>
  <c r="AU291" i="5"/>
  <c r="AU522" i="5"/>
  <c r="AT522" i="5"/>
  <c r="AU120" i="5"/>
  <c r="AT120" i="5"/>
  <c r="AU501" i="5"/>
  <c r="AT501" i="5"/>
  <c r="AU115" i="5"/>
  <c r="AT115" i="5"/>
  <c r="AT218" i="5"/>
  <c r="AU218" i="5"/>
  <c r="AU306" i="5"/>
  <c r="AT306" i="5"/>
  <c r="AT506" i="5"/>
  <c r="AU506" i="5"/>
  <c r="AU286" i="5"/>
  <c r="AT286" i="5"/>
  <c r="AT248" i="5"/>
  <c r="AU248" i="5"/>
  <c r="AU515" i="5"/>
  <c r="AT515" i="5"/>
  <c r="AU30" i="5"/>
  <c r="AT30" i="5"/>
  <c r="AT60" i="5"/>
  <c r="AU60" i="5"/>
  <c r="AU298" i="5"/>
  <c r="AT298" i="5"/>
  <c r="AT343" i="5"/>
  <c r="AU343" i="5"/>
  <c r="AT557" i="5"/>
  <c r="AU557" i="5"/>
  <c r="AT357" i="5"/>
  <c r="AU357" i="5"/>
  <c r="AT360" i="5"/>
  <c r="AU360" i="5"/>
  <c r="AB13" i="5"/>
  <c r="AA13" i="5"/>
  <c r="AT226" i="5"/>
  <c r="AU226" i="5"/>
  <c r="AU145" i="5"/>
  <c r="AT145" i="5"/>
  <c r="AU253" i="5"/>
  <c r="AT253" i="5"/>
  <c r="AT372" i="5"/>
  <c r="AU372" i="5"/>
  <c r="AU288" i="5"/>
  <c r="AT288" i="5"/>
  <c r="AU500" i="5"/>
  <c r="AT500" i="5"/>
  <c r="AT20" i="5"/>
  <c r="AU20" i="5"/>
  <c r="AU353" i="5"/>
  <c r="AT353" i="5"/>
  <c r="AT59" i="5"/>
  <c r="AU59" i="5"/>
  <c r="AU427" i="5"/>
  <c r="AT427" i="5"/>
  <c r="AT62" i="5"/>
  <c r="AU62" i="5"/>
  <c r="AU553" i="5"/>
  <c r="AT553" i="5"/>
  <c r="AU142" i="5"/>
  <c r="AT142" i="5"/>
  <c r="AT414" i="5"/>
  <c r="AU414" i="5"/>
  <c r="AU19" i="5"/>
  <c r="AT19" i="5"/>
  <c r="AT359" i="5"/>
  <c r="AU359" i="5"/>
  <c r="AT412" i="5"/>
  <c r="AU412" i="5"/>
  <c r="AT330" i="5"/>
  <c r="AU330" i="5"/>
  <c r="AT441" i="5"/>
  <c r="AU441" i="5"/>
  <c r="AT429" i="5"/>
  <c r="AU429" i="5"/>
  <c r="AT488" i="5"/>
  <c r="AU488" i="5"/>
  <c r="AT155" i="5"/>
  <c r="AU155" i="5"/>
  <c r="AU436" i="5"/>
  <c r="AT436" i="5"/>
  <c r="AU393" i="5"/>
  <c r="AT393" i="5"/>
  <c r="AT428" i="5"/>
  <c r="AU428" i="5"/>
  <c r="AT544" i="5"/>
  <c r="AU544" i="5"/>
  <c r="AU277" i="5"/>
  <c r="AT277" i="5"/>
  <c r="AT41" i="5"/>
  <c r="AU41" i="5"/>
  <c r="AT270" i="5"/>
  <c r="AU270" i="5"/>
  <c r="AT256" i="5"/>
  <c r="AU256" i="5"/>
  <c r="AT123" i="5"/>
  <c r="AU123" i="5"/>
  <c r="AU433" i="5"/>
  <c r="AT433" i="5"/>
  <c r="AU547" i="5"/>
  <c r="AT547" i="5"/>
  <c r="AU552" i="5"/>
  <c r="AT552" i="5"/>
  <c r="AT423" i="5"/>
  <c r="AU423" i="5"/>
  <c r="AU87" i="5"/>
  <c r="AT87" i="5"/>
  <c r="AU243" i="5"/>
  <c r="AT243" i="5"/>
  <c r="AT388" i="5"/>
  <c r="AU388" i="5"/>
  <c r="AT316" i="5"/>
  <c r="AU316" i="5"/>
  <c r="AU212" i="5"/>
  <c r="AT212" i="5"/>
  <c r="AU477" i="5"/>
  <c r="AT477" i="5"/>
  <c r="AT170" i="5"/>
  <c r="AU170" i="5"/>
  <c r="AU406" i="5"/>
  <c r="AT406" i="5"/>
  <c r="AT65" i="5"/>
  <c r="AU65" i="5"/>
  <c r="AU267" i="5"/>
  <c r="AT267" i="5"/>
  <c r="AU435" i="5"/>
  <c r="AT435" i="5"/>
  <c r="AT424" i="5"/>
  <c r="AU424" i="5"/>
  <c r="AU263" i="5"/>
  <c r="AT263" i="5"/>
  <c r="AU181" i="5"/>
  <c r="AT181" i="5"/>
  <c r="AT524" i="5"/>
  <c r="AU524" i="5"/>
  <c r="AT146" i="5"/>
  <c r="AU146" i="5"/>
  <c r="AT473" i="5"/>
  <c r="AU473" i="5"/>
  <c r="AU211" i="5"/>
  <c r="AT211" i="5"/>
  <c r="AT339" i="5"/>
  <c r="AU339" i="5"/>
  <c r="AU61" i="5"/>
  <c r="AT61" i="5"/>
  <c r="AT455" i="5"/>
  <c r="AU455" i="5"/>
  <c r="AT535" i="5"/>
  <c r="AU535" i="5"/>
  <c r="AU119" i="5"/>
  <c r="AT119" i="5"/>
  <c r="AT324" i="5"/>
  <c r="AU324" i="5"/>
  <c r="AT348" i="5"/>
  <c r="AU348" i="5"/>
  <c r="BZ155" i="4"/>
  <c r="CA155" i="4" s="1"/>
  <c r="CC155" i="4"/>
  <c r="CD155" i="4" s="1"/>
  <c r="CQ155" i="4" s="1"/>
  <c r="AU551" i="5"/>
  <c r="AT551" i="5"/>
  <c r="AU174" i="5"/>
  <c r="AT174" i="5"/>
  <c r="AT322" i="5"/>
  <c r="AU322" i="5"/>
  <c r="AT383" i="5"/>
  <c r="AU383" i="5"/>
  <c r="AT130" i="5"/>
  <c r="AU130" i="5"/>
  <c r="AT401" i="5"/>
  <c r="AU401" i="5"/>
  <c r="AU242" i="5"/>
  <c r="AT242" i="5"/>
  <c r="AT361" i="5"/>
  <c r="AU361" i="5"/>
  <c r="AU347" i="5"/>
  <c r="AT347" i="5"/>
  <c r="AT64" i="5"/>
  <c r="AU64" i="5"/>
  <c r="AT280" i="5"/>
  <c r="AU280" i="5"/>
  <c r="AT53" i="5"/>
  <c r="AU53" i="5"/>
  <c r="AU186" i="5"/>
  <c r="AT186" i="5"/>
  <c r="AT202" i="5"/>
  <c r="AU202" i="5"/>
  <c r="AU12" i="5"/>
  <c r="AT12" i="5"/>
  <c r="AU100" i="5"/>
  <c r="AT100" i="5"/>
  <c r="AT323" i="5"/>
  <c r="AU323" i="5"/>
  <c r="AT55" i="5"/>
  <c r="AU55" i="5"/>
  <c r="AU184" i="5"/>
  <c r="AT184" i="5"/>
  <c r="AT233" i="5"/>
  <c r="AU233" i="5"/>
  <c r="AT507" i="5"/>
  <c r="AU507" i="5"/>
  <c r="AU295" i="5"/>
  <c r="AT295" i="5"/>
  <c r="AT124" i="5"/>
  <c r="AU124" i="5"/>
  <c r="AT313" i="5"/>
  <c r="AU313" i="5"/>
  <c r="AU356" i="5"/>
  <c r="AT356" i="5"/>
  <c r="AT167" i="5"/>
  <c r="AU167" i="5"/>
  <c r="AU302" i="5"/>
  <c r="AT302" i="5"/>
  <c r="AU196" i="5"/>
  <c r="AT196" i="5"/>
  <c r="AU502" i="5"/>
  <c r="AT502" i="5"/>
  <c r="AU52" i="5"/>
  <c r="AT52" i="5"/>
  <c r="AU159" i="5"/>
  <c r="AT159" i="5"/>
  <c r="AT373" i="5"/>
  <c r="AU373" i="5"/>
  <c r="AU66" i="5"/>
  <c r="AT66" i="5"/>
  <c r="AT451" i="5"/>
  <c r="AU451" i="5"/>
  <c r="AU56" i="5"/>
  <c r="AT56" i="5"/>
  <c r="AU85" i="5"/>
  <c r="AT85" i="5"/>
  <c r="AU331" i="5"/>
  <c r="AT331" i="5"/>
  <c r="AU90" i="5"/>
  <c r="AT90" i="5"/>
  <c r="AU99" i="5"/>
  <c r="AT99" i="5"/>
  <c r="AT326" i="5"/>
  <c r="AU326" i="5"/>
  <c r="AU545" i="5"/>
  <c r="AT545" i="5"/>
  <c r="AT480" i="5"/>
  <c r="AU480" i="5"/>
  <c r="AT21" i="5"/>
  <c r="AU21" i="5"/>
  <c r="AT549" i="5"/>
  <c r="AU549" i="5"/>
  <c r="AU416" i="5"/>
  <c r="AT416" i="5"/>
  <c r="AT333" i="5"/>
  <c r="AU333" i="5"/>
  <c r="AU197" i="5"/>
  <c r="AT197" i="5"/>
  <c r="AT283" i="5"/>
  <c r="AU283" i="5"/>
  <c r="AU266" i="5"/>
  <c r="AT266" i="5"/>
  <c r="AT434" i="5"/>
  <c r="AU434" i="5"/>
  <c r="AT337" i="5"/>
  <c r="AU337" i="5"/>
  <c r="AU385" i="5"/>
  <c r="AT385" i="5"/>
  <c r="AT341" i="5"/>
  <c r="AU341" i="5"/>
  <c r="AT180" i="5"/>
  <c r="AU180" i="5"/>
  <c r="AT289" i="5"/>
  <c r="AU289" i="5"/>
  <c r="AU303" i="5"/>
  <c r="AT303" i="5"/>
  <c r="CC36" i="4"/>
  <c r="CD36" i="4" s="1"/>
  <c r="CQ36" i="4" s="1"/>
  <c r="BZ36" i="4"/>
  <c r="CA36" i="4" s="1"/>
  <c r="CC50" i="4"/>
  <c r="CD50" i="4" s="1"/>
  <c r="CQ50" i="4" s="1"/>
  <c r="BZ51" i="4"/>
  <c r="CA51" i="4" s="1"/>
  <c r="CC51" i="4"/>
  <c r="CD51" i="4" s="1"/>
  <c r="CQ51" i="4" s="1"/>
  <c r="BZ24" i="4"/>
  <c r="CA24" i="4" s="1"/>
  <c r="BZ28" i="4"/>
  <c r="CA28" i="4" s="1"/>
  <c r="CC28" i="4"/>
  <c r="CD28" i="4" s="1"/>
  <c r="CQ28" i="4" s="1"/>
  <c r="AT157" i="5"/>
  <c r="AU157" i="5"/>
  <c r="AU483" i="5"/>
  <c r="AT483" i="5"/>
  <c r="AT45" i="5"/>
  <c r="AU45" i="5"/>
  <c r="AT536" i="5"/>
  <c r="AU536" i="5"/>
  <c r="BB127" i="4"/>
  <c r="AU126" i="5"/>
  <c r="AT126" i="5"/>
  <c r="AT107" i="5"/>
  <c r="AU107" i="5"/>
  <c r="AT118" i="5"/>
  <c r="AU118" i="5"/>
  <c r="AU210" i="5"/>
  <c r="AT210" i="5"/>
  <c r="AU444" i="5"/>
  <c r="AT444" i="5"/>
  <c r="AT245" i="5"/>
  <c r="AU245" i="5"/>
  <c r="AT497" i="5"/>
  <c r="AU497" i="5"/>
  <c r="AT232" i="5"/>
  <c r="AU232" i="5"/>
  <c r="AT92" i="5"/>
  <c r="AU92" i="5"/>
  <c r="AO13" i="5"/>
  <c r="AN13" i="5"/>
  <c r="BZ117" i="4" l="1"/>
  <c r="CA117" i="4" s="1"/>
  <c r="BZ109" i="4"/>
  <c r="CA109" i="4" s="1"/>
  <c r="CC95" i="4"/>
  <c r="CD95" i="4" s="1"/>
  <c r="CQ95" i="4" s="1"/>
  <c r="CC125" i="4"/>
  <c r="CD125" i="4" s="1"/>
  <c r="CQ125" i="4" s="1"/>
  <c r="CC148" i="4"/>
  <c r="CD148" i="4" s="1"/>
  <c r="CQ148" i="4" s="1"/>
  <c r="BZ100" i="4"/>
  <c r="CA100" i="4" s="1"/>
  <c r="BZ60" i="4"/>
  <c r="CA60" i="4" s="1"/>
  <c r="CC22" i="4"/>
  <c r="CD22" i="4" s="1"/>
  <c r="CQ22" i="4" s="1"/>
  <c r="BZ82" i="4"/>
  <c r="CA82" i="4" s="1"/>
  <c r="BZ29" i="4"/>
  <c r="CA29" i="4" s="1"/>
  <c r="CC123" i="4"/>
  <c r="CD123" i="4" s="1"/>
  <c r="CQ123" i="4" s="1"/>
  <c r="CC141" i="4"/>
  <c r="CD141" i="4" s="1"/>
  <c r="CQ141" i="4" s="1"/>
  <c r="CC71" i="4"/>
  <c r="CD71" i="4" s="1"/>
  <c r="CQ71" i="4" s="1"/>
  <c r="CC153" i="4"/>
  <c r="CD153" i="4" s="1"/>
  <c r="CQ153" i="4" s="1"/>
  <c r="BZ121" i="4"/>
  <c r="CA121" i="4" s="1"/>
  <c r="CC106" i="4"/>
  <c r="CD106" i="4" s="1"/>
  <c r="CQ106" i="4" s="1"/>
  <c r="CC122" i="4"/>
  <c r="CD122" i="4" s="1"/>
  <c r="CQ122" i="4" s="1"/>
  <c r="BZ137" i="4"/>
  <c r="CA137" i="4" s="1"/>
  <c r="BZ149" i="4"/>
  <c r="CA149" i="4" s="1"/>
  <c r="BZ59" i="4"/>
  <c r="CA59" i="4" s="1"/>
  <c r="BZ69" i="4"/>
  <c r="CA69" i="4" s="1"/>
  <c r="CC139" i="4"/>
  <c r="CD139" i="4" s="1"/>
  <c r="CQ139" i="4" s="1"/>
  <c r="BZ40" i="4"/>
  <c r="CA40" i="4" s="1"/>
  <c r="BZ156" i="4"/>
  <c r="CA156" i="4" s="1"/>
  <c r="CC92" i="4"/>
  <c r="CD92" i="4" s="1"/>
  <c r="CQ92" i="4" s="1"/>
  <c r="CC77" i="4"/>
  <c r="CD77" i="4" s="1"/>
  <c r="CQ77" i="4" s="1"/>
  <c r="CC110" i="4"/>
  <c r="CD110" i="4" s="1"/>
  <c r="CQ110" i="4" s="1"/>
  <c r="CC133" i="4"/>
  <c r="CD133" i="4" s="1"/>
  <c r="CQ133" i="4" s="1"/>
  <c r="BZ84" i="4"/>
  <c r="CA84" i="4" s="1"/>
  <c r="BZ46" i="4"/>
  <c r="CA46" i="4" s="1"/>
  <c r="CC19" i="4"/>
  <c r="CD19" i="4" s="1"/>
  <c r="CQ19" i="4" s="1"/>
  <c r="CC66" i="4"/>
  <c r="CD66" i="4" s="1"/>
  <c r="CQ66" i="4" s="1"/>
  <c r="AB143" i="5"/>
  <c r="AA143" i="5"/>
  <c r="AB115" i="5"/>
  <c r="AA115" i="5"/>
  <c r="AA233" i="5"/>
  <c r="AB233" i="5"/>
  <c r="AB110" i="5"/>
  <c r="AA110" i="5"/>
  <c r="AB362" i="5"/>
  <c r="AA362" i="5"/>
  <c r="AB146" i="5"/>
  <c r="AA146" i="5"/>
  <c r="AB497" i="5"/>
  <c r="AA497" i="5"/>
  <c r="AB491" i="5"/>
  <c r="AA491" i="5"/>
  <c r="AB254" i="5"/>
  <c r="AA254" i="5"/>
  <c r="AB90" i="5"/>
  <c r="AA90" i="5"/>
  <c r="AA114" i="5"/>
  <c r="AB114" i="5"/>
  <c r="AB525" i="5"/>
  <c r="AA525" i="5"/>
  <c r="AB306" i="5"/>
  <c r="AA306" i="5"/>
  <c r="AA365" i="5"/>
  <c r="AB365" i="5"/>
  <c r="AB255" i="13"/>
  <c r="AA255" i="13"/>
  <c r="AA185" i="5"/>
  <c r="AB185" i="5"/>
  <c r="AA485" i="5"/>
  <c r="AB485" i="5"/>
  <c r="AA517" i="5"/>
  <c r="AB517" i="5"/>
  <c r="AB551" i="5"/>
  <c r="AA551" i="5"/>
  <c r="AB48" i="5"/>
  <c r="AA48" i="5"/>
  <c r="AA157" i="5"/>
  <c r="AB157" i="5"/>
  <c r="AB358" i="5"/>
  <c r="AA358" i="5"/>
  <c r="AB403" i="13"/>
  <c r="AA403" i="13"/>
  <c r="AB149" i="5"/>
  <c r="AA149" i="5"/>
  <c r="AA356" i="5"/>
  <c r="AB356" i="5"/>
  <c r="AB513" i="5"/>
  <c r="AA513" i="5"/>
  <c r="AA50" i="5"/>
  <c r="AB50" i="5"/>
  <c r="AB52" i="5"/>
  <c r="AA52" i="5"/>
  <c r="AB329" i="5"/>
  <c r="AA329" i="5"/>
  <c r="AB130" i="5"/>
  <c r="AA130" i="5"/>
  <c r="AA363" i="5"/>
  <c r="AB363" i="5"/>
  <c r="AB487" i="13"/>
  <c r="AA487" i="13"/>
  <c r="AB435" i="5"/>
  <c r="AA435" i="5"/>
  <c r="AA31" i="5"/>
  <c r="AB31" i="5"/>
  <c r="AA144" i="5"/>
  <c r="AB144" i="5"/>
  <c r="AB379" i="5"/>
  <c r="AA379" i="5"/>
  <c r="AB99" i="5"/>
  <c r="AA99" i="5"/>
  <c r="AA343" i="5"/>
  <c r="AB343" i="5"/>
  <c r="AA68" i="5"/>
  <c r="AB68" i="5"/>
  <c r="AB230" i="13"/>
  <c r="AA230" i="13"/>
  <c r="AA530" i="13"/>
  <c r="AB530" i="13"/>
  <c r="AB131" i="5"/>
  <c r="AA131" i="5"/>
  <c r="AA177" i="5"/>
  <c r="AB177" i="5"/>
  <c r="AB248" i="5"/>
  <c r="AA248" i="5"/>
  <c r="AA120" i="5"/>
  <c r="AB120" i="5"/>
  <c r="AB215" i="5"/>
  <c r="AA215" i="5"/>
  <c r="AA550" i="5"/>
  <c r="AB550" i="5"/>
  <c r="AA125" i="5"/>
  <c r="AB125" i="5"/>
  <c r="AB233" i="13"/>
  <c r="AA233" i="13"/>
  <c r="AB321" i="13"/>
  <c r="AA321" i="13"/>
  <c r="AA522" i="5"/>
  <c r="AB522" i="5"/>
  <c r="AB558" i="5"/>
  <c r="AA558" i="5"/>
  <c r="AA161" i="5"/>
  <c r="AB161" i="5"/>
  <c r="AB111" i="5"/>
  <c r="AA111" i="5"/>
  <c r="AA400" i="5"/>
  <c r="AB400" i="5"/>
  <c r="AA58" i="5"/>
  <c r="AB58" i="5"/>
  <c r="AB519" i="5"/>
  <c r="AA519" i="5"/>
  <c r="AA223" i="13"/>
  <c r="AB223" i="13"/>
  <c r="AB446" i="5"/>
  <c r="AA446" i="5"/>
  <c r="AA355" i="5"/>
  <c r="AB355" i="5"/>
  <c r="AB156" i="5"/>
  <c r="AA156" i="5"/>
  <c r="AA406" i="5"/>
  <c r="AB406" i="5"/>
  <c r="AB151" i="5"/>
  <c r="AA151" i="5"/>
  <c r="AB70" i="5"/>
  <c r="AA70" i="5"/>
  <c r="AA553" i="5"/>
  <c r="AB553" i="5"/>
  <c r="AA314" i="5"/>
  <c r="AB314" i="5"/>
  <c r="AA358" i="13"/>
  <c r="AB358" i="13"/>
  <c r="AB402" i="5"/>
  <c r="AA402" i="5"/>
  <c r="AB156" i="13"/>
  <c r="AA156" i="13"/>
  <c r="AA258" i="13"/>
  <c r="AB258" i="13"/>
  <c r="AA228" i="13"/>
  <c r="AB228" i="13"/>
  <c r="AB109" i="13"/>
  <c r="AA109" i="13"/>
  <c r="AA362" i="13"/>
  <c r="AB362" i="13"/>
  <c r="AA100" i="13"/>
  <c r="AB100" i="13"/>
  <c r="AA124" i="13"/>
  <c r="AB124" i="13"/>
  <c r="AA461" i="13"/>
  <c r="AB461" i="13"/>
  <c r="AB551" i="13"/>
  <c r="AA551" i="13"/>
  <c r="AA139" i="5"/>
  <c r="AB139" i="5"/>
  <c r="AA340" i="5"/>
  <c r="AB340" i="5"/>
  <c r="AA491" i="13"/>
  <c r="AB491" i="13"/>
  <c r="AB441" i="13"/>
  <c r="AA441" i="13"/>
  <c r="AA347" i="13"/>
  <c r="AB347" i="13"/>
  <c r="AA317" i="13"/>
  <c r="AB317" i="13"/>
  <c r="AA253" i="13"/>
  <c r="AB253" i="13"/>
  <c r="AA195" i="13"/>
  <c r="AB195" i="13"/>
  <c r="AB66" i="13"/>
  <c r="AA66" i="13"/>
  <c r="AB126" i="13"/>
  <c r="AA126" i="13"/>
  <c r="AB86" i="13"/>
  <c r="AA86" i="13"/>
  <c r="AB446" i="13"/>
  <c r="AA446" i="13"/>
  <c r="AB177" i="13"/>
  <c r="AA177" i="13"/>
  <c r="AA96" i="13"/>
  <c r="AB96" i="13"/>
  <c r="AB450" i="13"/>
  <c r="AA450" i="13"/>
  <c r="AA135" i="13"/>
  <c r="AB135" i="13"/>
  <c r="AB237" i="13"/>
  <c r="AA237" i="13"/>
  <c r="AA522" i="13"/>
  <c r="AB522" i="13"/>
  <c r="AB482" i="13"/>
  <c r="AA482" i="13"/>
  <c r="AB506" i="5"/>
  <c r="AA506" i="5"/>
  <c r="AA424" i="5"/>
  <c r="AB424" i="5"/>
  <c r="AB300" i="13"/>
  <c r="AA300" i="13"/>
  <c r="AB227" i="13"/>
  <c r="AA227" i="13"/>
  <c r="AB62" i="13"/>
  <c r="AA62" i="13"/>
  <c r="AB21" i="13"/>
  <c r="AA21" i="13"/>
  <c r="AB451" i="13"/>
  <c r="AA451" i="13"/>
  <c r="AA182" i="13"/>
  <c r="AB182" i="13"/>
  <c r="AB367" i="13"/>
  <c r="AA367" i="13"/>
  <c r="AB351" i="13"/>
  <c r="AA351" i="13"/>
  <c r="AA272" i="5"/>
  <c r="AB272" i="5"/>
  <c r="AB188" i="5"/>
  <c r="AA188" i="5"/>
  <c r="AA71" i="13"/>
  <c r="AB71" i="13"/>
  <c r="AB423" i="13"/>
  <c r="AA423" i="13"/>
  <c r="AA131" i="13"/>
  <c r="AB131" i="13"/>
  <c r="AB222" i="13"/>
  <c r="AA222" i="13"/>
  <c r="AB511" i="13"/>
  <c r="AA511" i="13"/>
  <c r="AA546" i="13"/>
  <c r="AB546" i="13"/>
  <c r="AB510" i="13"/>
  <c r="AA510" i="13"/>
  <c r="AA429" i="13"/>
  <c r="AB429" i="13"/>
  <c r="AB333" i="13"/>
  <c r="AA333" i="13"/>
  <c r="AA333" i="5"/>
  <c r="AB333" i="5"/>
  <c r="AB453" i="13"/>
  <c r="AA453" i="13"/>
  <c r="AB557" i="13"/>
  <c r="AA557" i="13"/>
  <c r="AA495" i="13"/>
  <c r="AB495" i="13"/>
  <c r="AA437" i="13"/>
  <c r="AB437" i="13"/>
  <c r="AB352" i="13"/>
  <c r="AA352" i="13"/>
  <c r="AA327" i="13"/>
  <c r="AB327" i="13"/>
  <c r="AA261" i="13"/>
  <c r="AB261" i="13"/>
  <c r="AB178" i="13"/>
  <c r="AA178" i="13"/>
  <c r="AB74" i="13"/>
  <c r="AA74" i="13"/>
  <c r="AB89" i="13"/>
  <c r="AA89" i="13"/>
  <c r="AB173" i="13"/>
  <c r="AA173" i="13"/>
  <c r="AA293" i="13"/>
  <c r="AB293" i="13"/>
  <c r="AA38" i="13"/>
  <c r="AB38" i="13"/>
  <c r="AA402" i="13"/>
  <c r="AB402" i="13"/>
  <c r="AA153" i="13"/>
  <c r="AB153" i="13"/>
  <c r="AA521" i="13"/>
  <c r="AB521" i="13"/>
  <c r="AB379" i="13"/>
  <c r="AA379" i="13"/>
  <c r="AA245" i="5"/>
  <c r="AB245" i="5"/>
  <c r="AB300" i="5"/>
  <c r="AA300" i="5"/>
  <c r="AB208" i="5"/>
  <c r="AA208" i="5"/>
  <c r="AA221" i="5"/>
  <c r="AB221" i="5"/>
  <c r="AB257" i="5"/>
  <c r="AA257" i="5"/>
  <c r="AB539" i="5"/>
  <c r="AA539" i="5"/>
  <c r="AB447" i="5"/>
  <c r="AA447" i="5"/>
  <c r="AB302" i="5"/>
  <c r="AA302" i="5"/>
  <c r="AB277" i="5"/>
  <c r="AA277" i="5"/>
  <c r="AA282" i="5"/>
  <c r="AB282" i="5"/>
  <c r="AA303" i="5"/>
  <c r="AB303" i="5"/>
  <c r="AB437" i="5"/>
  <c r="AA437" i="5"/>
  <c r="AB198" i="5"/>
  <c r="AA198" i="5"/>
  <c r="AA73" i="5"/>
  <c r="AB73" i="5"/>
  <c r="AB103" i="13"/>
  <c r="AA103" i="13"/>
  <c r="AA46" i="13"/>
  <c r="AB46" i="13"/>
  <c r="AB298" i="5"/>
  <c r="AA298" i="5"/>
  <c r="AA470" i="5"/>
  <c r="AB470" i="5"/>
  <c r="AB376" i="5"/>
  <c r="AA376" i="5"/>
  <c r="AB265" i="5"/>
  <c r="AA265" i="5"/>
  <c r="AA531" i="5"/>
  <c r="AB531" i="5"/>
  <c r="AB218" i="5"/>
  <c r="AA218" i="5"/>
  <c r="AB93" i="5"/>
  <c r="AA93" i="5"/>
  <c r="AB324" i="13"/>
  <c r="AA324" i="13"/>
  <c r="AA348" i="5"/>
  <c r="AB348" i="5"/>
  <c r="AB174" i="5"/>
  <c r="AA174" i="5"/>
  <c r="AA464" i="5"/>
  <c r="AB464" i="5"/>
  <c r="AB296" i="5"/>
  <c r="AA296" i="5"/>
  <c r="AB382" i="5"/>
  <c r="AA382" i="5"/>
  <c r="AB164" i="5"/>
  <c r="AA164" i="5"/>
  <c r="AA80" i="5"/>
  <c r="AB80" i="5"/>
  <c r="AB407" i="13"/>
  <c r="AA407" i="13"/>
  <c r="AB417" i="13"/>
  <c r="AA417" i="13"/>
  <c r="AB97" i="5"/>
  <c r="AA97" i="5"/>
  <c r="AA388" i="5"/>
  <c r="AB388" i="5"/>
  <c r="AB499" i="5"/>
  <c r="AA499" i="5"/>
  <c r="AB178" i="5"/>
  <c r="AA178" i="5"/>
  <c r="AA323" i="5"/>
  <c r="AB323" i="5"/>
  <c r="AB240" i="5"/>
  <c r="AA240" i="5"/>
  <c r="AB196" i="5"/>
  <c r="AA196" i="5"/>
  <c r="AA547" i="13"/>
  <c r="AB547" i="13"/>
  <c r="AB339" i="5"/>
  <c r="AA339" i="5"/>
  <c r="AA281" i="5"/>
  <c r="AB281" i="5"/>
  <c r="AB560" i="5"/>
  <c r="AA560" i="5"/>
  <c r="AB30" i="5"/>
  <c r="AA30" i="5"/>
  <c r="AA271" i="5"/>
  <c r="AB271" i="5"/>
  <c r="AA53" i="5"/>
  <c r="AB53" i="5"/>
  <c r="AB412" i="5"/>
  <c r="AA412" i="5"/>
  <c r="AA189" i="5"/>
  <c r="AB189" i="5"/>
  <c r="AB458" i="13"/>
  <c r="AA458" i="13"/>
  <c r="AB94" i="13"/>
  <c r="AA94" i="13"/>
  <c r="AB118" i="5"/>
  <c r="AA118" i="5"/>
  <c r="AB250" i="5"/>
  <c r="AA250" i="5"/>
  <c r="AB454" i="5"/>
  <c r="AA454" i="5"/>
  <c r="AA370" i="5"/>
  <c r="AB370" i="5"/>
  <c r="AA327" i="5"/>
  <c r="AB327" i="5"/>
  <c r="AB299" i="5"/>
  <c r="AA299" i="5"/>
  <c r="AB328" i="5"/>
  <c r="AA328" i="5"/>
  <c r="AA197" i="13"/>
  <c r="AB197" i="13"/>
  <c r="AA429" i="5"/>
  <c r="AB429" i="5"/>
  <c r="AA321" i="5"/>
  <c r="AB321" i="5"/>
  <c r="AA36" i="5"/>
  <c r="AB36" i="5"/>
  <c r="AB169" i="5"/>
  <c r="AA169" i="5"/>
  <c r="AB168" i="5"/>
  <c r="AA168" i="5"/>
  <c r="AB492" i="5"/>
  <c r="AA492" i="5"/>
  <c r="AB176" i="5"/>
  <c r="AA176" i="5"/>
  <c r="AA339" i="13"/>
  <c r="AB339" i="13"/>
  <c r="AA548" i="5"/>
  <c r="AB548" i="5"/>
  <c r="AB547" i="5"/>
  <c r="AA547" i="5"/>
  <c r="AA81" i="13"/>
  <c r="AB81" i="13"/>
  <c r="AA366" i="13"/>
  <c r="AB366" i="13"/>
  <c r="AA87" i="13"/>
  <c r="AB87" i="13"/>
  <c r="AA144" i="13"/>
  <c r="AB144" i="13"/>
  <c r="AA188" i="13"/>
  <c r="AB188" i="13"/>
  <c r="AB537" i="13"/>
  <c r="AA537" i="13"/>
  <c r="AA268" i="13"/>
  <c r="AB268" i="13"/>
  <c r="AA176" i="13"/>
  <c r="AB176" i="13"/>
  <c r="AB267" i="5"/>
  <c r="AA267" i="5"/>
  <c r="AB181" i="5"/>
  <c r="AA181" i="5"/>
  <c r="AA542" i="13"/>
  <c r="AB542" i="13"/>
  <c r="AA428" i="13"/>
  <c r="AB428" i="13"/>
  <c r="AB552" i="13"/>
  <c r="AA552" i="13"/>
  <c r="AA508" i="13"/>
  <c r="AB508" i="13"/>
  <c r="AB439" i="13"/>
  <c r="AA439" i="13"/>
  <c r="AA395" i="13"/>
  <c r="AB395" i="13"/>
  <c r="AA328" i="13"/>
  <c r="AB328" i="13"/>
  <c r="AA267" i="13"/>
  <c r="AB267" i="13"/>
  <c r="AA249" i="13"/>
  <c r="AB249" i="13"/>
  <c r="AA262" i="13"/>
  <c r="AB262" i="13"/>
  <c r="AA398" i="13"/>
  <c r="AB398" i="13"/>
  <c r="AA45" i="13"/>
  <c r="AB45" i="13"/>
  <c r="AA414" i="13"/>
  <c r="AB414" i="13"/>
  <c r="AA161" i="13"/>
  <c r="AB161" i="13"/>
  <c r="AB57" i="13"/>
  <c r="AA57" i="13"/>
  <c r="AB406" i="13"/>
  <c r="AA406" i="13"/>
  <c r="AA129" i="13"/>
  <c r="AB129" i="13"/>
  <c r="AB7" i="13"/>
  <c r="AA7" i="13"/>
  <c r="AA192" i="5"/>
  <c r="AB192" i="5"/>
  <c r="AB398" i="5"/>
  <c r="AA398" i="5"/>
  <c r="AB401" i="13"/>
  <c r="AA401" i="13"/>
  <c r="AA393" i="13"/>
  <c r="AB393" i="13"/>
  <c r="AB284" i="13"/>
  <c r="AA284" i="13"/>
  <c r="AB257" i="13"/>
  <c r="AA257" i="13"/>
  <c r="AA82" i="13"/>
  <c r="AB82" i="13"/>
  <c r="AB31" i="13"/>
  <c r="AA31" i="13"/>
  <c r="AB371" i="13"/>
  <c r="AA371" i="13"/>
  <c r="AA137" i="13"/>
  <c r="AB137" i="13"/>
  <c r="AA235" i="5"/>
  <c r="AB235" i="5"/>
  <c r="AB160" i="5"/>
  <c r="AA160" i="5"/>
  <c r="AA196" i="13"/>
  <c r="AB196" i="13"/>
  <c r="AA254" i="13"/>
  <c r="AB254" i="13"/>
  <c r="AB30" i="13"/>
  <c r="AA30" i="13"/>
  <c r="AA370" i="13"/>
  <c r="AB370" i="13"/>
  <c r="AB118" i="13"/>
  <c r="AA118" i="13"/>
  <c r="AB88" i="13"/>
  <c r="AA88" i="13"/>
  <c r="AB493" i="13"/>
  <c r="AA493" i="13"/>
  <c r="AB545" i="13"/>
  <c r="AA545" i="13"/>
  <c r="AB499" i="13"/>
  <c r="AA499" i="13"/>
  <c r="AA391" i="5"/>
  <c r="AB391" i="5"/>
  <c r="AA116" i="13"/>
  <c r="AB116" i="13"/>
  <c r="AA525" i="13"/>
  <c r="AB525" i="13"/>
  <c r="AA412" i="13"/>
  <c r="AB412" i="13"/>
  <c r="AB549" i="13"/>
  <c r="AA549" i="13"/>
  <c r="AA509" i="13"/>
  <c r="AB509" i="13"/>
  <c r="AA443" i="13"/>
  <c r="AB443" i="13"/>
  <c r="AA364" i="13"/>
  <c r="AB364" i="13"/>
  <c r="AA335" i="13"/>
  <c r="AB335" i="13"/>
  <c r="AA271" i="13"/>
  <c r="AB271" i="13"/>
  <c r="AB290" i="13"/>
  <c r="AA290" i="13"/>
  <c r="AB65" i="13"/>
  <c r="AA65" i="13"/>
  <c r="AA113" i="13"/>
  <c r="AB113" i="13"/>
  <c r="AB138" i="13"/>
  <c r="AA138" i="13"/>
  <c r="AA264" i="13"/>
  <c r="AB264" i="13"/>
  <c r="AA382" i="13"/>
  <c r="AB382" i="13"/>
  <c r="AA424" i="13"/>
  <c r="AB424" i="13"/>
  <c r="AA127" i="13"/>
  <c r="AB127" i="13"/>
  <c r="BZ18" i="4"/>
  <c r="CA18" i="4" s="1"/>
  <c r="AB38" i="5"/>
  <c r="AA38" i="5"/>
  <c r="AA309" i="5"/>
  <c r="AB309" i="5"/>
  <c r="AB518" i="5"/>
  <c r="AA518" i="5"/>
  <c r="AB87" i="5"/>
  <c r="AA87" i="5"/>
  <c r="AA291" i="5"/>
  <c r="AB291" i="5"/>
  <c r="AB89" i="5"/>
  <c r="AA89" i="5"/>
  <c r="AB155" i="5"/>
  <c r="AA155" i="5"/>
  <c r="AA138" i="5"/>
  <c r="AB138" i="5"/>
  <c r="AA34" i="5"/>
  <c r="AB34" i="5"/>
  <c r="AA397" i="5"/>
  <c r="AB397" i="5"/>
  <c r="AA438" i="5"/>
  <c r="AB438" i="5"/>
  <c r="AA194" i="5"/>
  <c r="AB194" i="5"/>
  <c r="AB63" i="5"/>
  <c r="AA63" i="5"/>
  <c r="AB126" i="5"/>
  <c r="AA126" i="5"/>
  <c r="AA165" i="13"/>
  <c r="AB165" i="13"/>
  <c r="AB252" i="5"/>
  <c r="AA252" i="5"/>
  <c r="AB490" i="5"/>
  <c r="AA490" i="5"/>
  <c r="AB369" i="5"/>
  <c r="AA369" i="5"/>
  <c r="AA119" i="5"/>
  <c r="AB119" i="5"/>
  <c r="AA127" i="5"/>
  <c r="AB127" i="5"/>
  <c r="AA538" i="5"/>
  <c r="AB538" i="5"/>
  <c r="AA213" i="5"/>
  <c r="AB213" i="5"/>
  <c r="AB502" i="13"/>
  <c r="AA502" i="13"/>
  <c r="AB304" i="13"/>
  <c r="AA304" i="13"/>
  <c r="AB137" i="5"/>
  <c r="AA137" i="5"/>
  <c r="AB261" i="5"/>
  <c r="AA261" i="5"/>
  <c r="AA226" i="5"/>
  <c r="AB226" i="5"/>
  <c r="AA426" i="5"/>
  <c r="AB426" i="5"/>
  <c r="AB428" i="5"/>
  <c r="AA428" i="5"/>
  <c r="AB129" i="5"/>
  <c r="AA129" i="5"/>
  <c r="AA190" i="5"/>
  <c r="AB190" i="5"/>
  <c r="AB190" i="13"/>
  <c r="AA190" i="13"/>
  <c r="AB274" i="5"/>
  <c r="AA274" i="5"/>
  <c r="AA399" i="5"/>
  <c r="AB399" i="5"/>
  <c r="AA193" i="5"/>
  <c r="AB193" i="5"/>
  <c r="AA423" i="5"/>
  <c r="AB423" i="5"/>
  <c r="AA334" i="5"/>
  <c r="AB334" i="5"/>
  <c r="AA460" i="5"/>
  <c r="AB460" i="5"/>
  <c r="AB67" i="5"/>
  <c r="AA67" i="5"/>
  <c r="AB383" i="5"/>
  <c r="AA383" i="5"/>
  <c r="AB378" i="13"/>
  <c r="AA378" i="13"/>
  <c r="AB292" i="13"/>
  <c r="AA292" i="13"/>
  <c r="AA100" i="5"/>
  <c r="AB100" i="5"/>
  <c r="AA501" i="5"/>
  <c r="AB501" i="5"/>
  <c r="AB364" i="5"/>
  <c r="AA364" i="5"/>
  <c r="AA509" i="5"/>
  <c r="AB509" i="5"/>
  <c r="AB393" i="5"/>
  <c r="AA393" i="5"/>
  <c r="AA389" i="5"/>
  <c r="AB389" i="5"/>
  <c r="AA278" i="5"/>
  <c r="AB278" i="5"/>
  <c r="AB357" i="13"/>
  <c r="AA357" i="13"/>
  <c r="AA123" i="5"/>
  <c r="AB123" i="5"/>
  <c r="AB316" i="5"/>
  <c r="AA316" i="5"/>
  <c r="AA109" i="5"/>
  <c r="AB109" i="5"/>
  <c r="AA195" i="5"/>
  <c r="AB195" i="5"/>
  <c r="AA84" i="5"/>
  <c r="AB84" i="5"/>
  <c r="AA482" i="5"/>
  <c r="AB482" i="5"/>
  <c r="AA69" i="5"/>
  <c r="AB69" i="5"/>
  <c r="AA211" i="5"/>
  <c r="AB211" i="5"/>
  <c r="AA63" i="13"/>
  <c r="AB63" i="13"/>
  <c r="AB414" i="5"/>
  <c r="AA414" i="5"/>
  <c r="AB25" i="5"/>
  <c r="AA25" i="5"/>
  <c r="AA387" i="5"/>
  <c r="AB387" i="5"/>
  <c r="AB452" i="5"/>
  <c r="AA452" i="5"/>
  <c r="AB354" i="5"/>
  <c r="AA354" i="5"/>
  <c r="AB224" i="5"/>
  <c r="AA224" i="5"/>
  <c r="AA101" i="5"/>
  <c r="AB101" i="5"/>
  <c r="AA326" i="13"/>
  <c r="AB326" i="13"/>
  <c r="AA419" i="5"/>
  <c r="AB419" i="5"/>
  <c r="AB293" i="5"/>
  <c r="AA293" i="5"/>
  <c r="AB298" i="13"/>
  <c r="AA298" i="13"/>
  <c r="AA68" i="13"/>
  <c r="AB68" i="13"/>
  <c r="AB54" i="13"/>
  <c r="AA54" i="13"/>
  <c r="AB311" i="13"/>
  <c r="AA311" i="13"/>
  <c r="AA168" i="13"/>
  <c r="AB168" i="13"/>
  <c r="AB97" i="13"/>
  <c r="AA97" i="13"/>
  <c r="AA167" i="13"/>
  <c r="AB167" i="13"/>
  <c r="AA157" i="13"/>
  <c r="AB157" i="13"/>
  <c r="AA238" i="5"/>
  <c r="AB238" i="5"/>
  <c r="AB284" i="5"/>
  <c r="AA284" i="5"/>
  <c r="AA301" i="13"/>
  <c r="AB301" i="13"/>
  <c r="AB104" i="13"/>
  <c r="AA104" i="13"/>
  <c r="AB466" i="13"/>
  <c r="AA466" i="13"/>
  <c r="AB396" i="13"/>
  <c r="AA396" i="13"/>
  <c r="AA554" i="13"/>
  <c r="AB554" i="13"/>
  <c r="AB519" i="13"/>
  <c r="AA519" i="13"/>
  <c r="AA431" i="13"/>
  <c r="AB431" i="13"/>
  <c r="AB380" i="13"/>
  <c r="AA380" i="13"/>
  <c r="AA354" i="13"/>
  <c r="AB354" i="13"/>
  <c r="AB49" i="13"/>
  <c r="AA49" i="13"/>
  <c r="AA101" i="13"/>
  <c r="AB101" i="13"/>
  <c r="AA111" i="13"/>
  <c r="AB111" i="13"/>
  <c r="AB280" i="13"/>
  <c r="AA280" i="13"/>
  <c r="AB425" i="13"/>
  <c r="AA425" i="13"/>
  <c r="AB365" i="13"/>
  <c r="AA365" i="13"/>
  <c r="AB141" i="13"/>
  <c r="AA141" i="13"/>
  <c r="AB543" i="13"/>
  <c r="AA543" i="13"/>
  <c r="AA335" i="5"/>
  <c r="AB335" i="5"/>
  <c r="AA345" i="5"/>
  <c r="AB345" i="5"/>
  <c r="AB143" i="13"/>
  <c r="AA143" i="13"/>
  <c r="AB526" i="13"/>
  <c r="AA526" i="13"/>
  <c r="AA448" i="13"/>
  <c r="AB448" i="13"/>
  <c r="AB373" i="13"/>
  <c r="AA373" i="13"/>
  <c r="AB331" i="13"/>
  <c r="AA331" i="13"/>
  <c r="AB368" i="13"/>
  <c r="AA368" i="13"/>
  <c r="AA247" i="13"/>
  <c r="AB247" i="13"/>
  <c r="AA193" i="13"/>
  <c r="AB193" i="13"/>
  <c r="AA90" i="13"/>
  <c r="AB90" i="13"/>
  <c r="AB484" i="5"/>
  <c r="AA484" i="5"/>
  <c r="AB336" i="5"/>
  <c r="AA336" i="5"/>
  <c r="AB309" i="13"/>
  <c r="AA309" i="13"/>
  <c r="AA119" i="13"/>
  <c r="AB119" i="13"/>
  <c r="AB148" i="13"/>
  <c r="AA148" i="13"/>
  <c r="AB204" i="13"/>
  <c r="AA204" i="13"/>
  <c r="AA76" i="13"/>
  <c r="AB76" i="13"/>
  <c r="AB322" i="13"/>
  <c r="AA322" i="13"/>
  <c r="AA106" i="13"/>
  <c r="AB106" i="13"/>
  <c r="AB541" i="13"/>
  <c r="AA541" i="13"/>
  <c r="AB411" i="5"/>
  <c r="AA411" i="5"/>
  <c r="AB173" i="5"/>
  <c r="AA173" i="5"/>
  <c r="AB41" i="13"/>
  <c r="AA41" i="13"/>
  <c r="AA297" i="13"/>
  <c r="AB297" i="13"/>
  <c r="AB34" i="13"/>
  <c r="AA34" i="13"/>
  <c r="AA410" i="13"/>
  <c r="AB410" i="13"/>
  <c r="AB419" i="13"/>
  <c r="AA419" i="13"/>
  <c r="AB559" i="13"/>
  <c r="AA559" i="13"/>
  <c r="AB505" i="13"/>
  <c r="AA505" i="13"/>
  <c r="AB447" i="13"/>
  <c r="AA447" i="13"/>
  <c r="AA394" i="13"/>
  <c r="AB394" i="13"/>
  <c r="AB349" i="13"/>
  <c r="AA349" i="13"/>
  <c r="AB251" i="13"/>
  <c r="AA251" i="13"/>
  <c r="AA185" i="13"/>
  <c r="AB185" i="13"/>
  <c r="AB77" i="13"/>
  <c r="AA77" i="13"/>
  <c r="AB33" i="13"/>
  <c r="AA33" i="13"/>
  <c r="AA289" i="13"/>
  <c r="AB289" i="13"/>
  <c r="AB306" i="13"/>
  <c r="AA306" i="13"/>
  <c r="AA28" i="13"/>
  <c r="AB28" i="13"/>
  <c r="CC136" i="4"/>
  <c r="CD136" i="4" s="1"/>
  <c r="CQ136" i="4" s="1"/>
  <c r="AB32" i="5"/>
  <c r="AA32" i="5"/>
  <c r="AA292" i="5"/>
  <c r="AB292" i="5"/>
  <c r="AA441" i="5"/>
  <c r="AB441" i="5"/>
  <c r="AA108" i="5"/>
  <c r="AB108" i="5"/>
  <c r="AB537" i="5"/>
  <c r="AA537" i="5"/>
  <c r="AA180" i="5"/>
  <c r="AB180" i="5"/>
  <c r="AB415" i="5"/>
  <c r="AA415" i="5"/>
  <c r="AA439" i="5"/>
  <c r="AB439" i="5"/>
  <c r="AB56" i="5"/>
  <c r="AA56" i="5"/>
  <c r="AB246" i="5"/>
  <c r="AA246" i="5"/>
  <c r="AB471" i="5"/>
  <c r="AA471" i="5"/>
  <c r="AA26" i="5"/>
  <c r="AB26" i="5"/>
  <c r="AB203" i="5"/>
  <c r="AA203" i="5"/>
  <c r="AA461" i="5"/>
  <c r="AB461" i="5"/>
  <c r="AB531" i="13"/>
  <c r="AA531" i="13"/>
  <c r="AB431" i="5"/>
  <c r="AA431" i="5"/>
  <c r="AB43" i="5"/>
  <c r="AA43" i="5"/>
  <c r="AB308" i="5"/>
  <c r="AA308" i="5"/>
  <c r="AA425" i="5"/>
  <c r="AB425" i="5"/>
  <c r="AB28" i="5"/>
  <c r="AA28" i="5"/>
  <c r="AB357" i="5"/>
  <c r="AA357" i="5"/>
  <c r="AB514" i="5"/>
  <c r="AA514" i="5"/>
  <c r="AB346" i="13"/>
  <c r="AA346" i="13"/>
  <c r="AA552" i="5"/>
  <c r="AB552" i="5"/>
  <c r="AB317" i="5"/>
  <c r="AA317" i="5"/>
  <c r="AB545" i="5"/>
  <c r="AA545" i="5"/>
  <c r="AA448" i="5"/>
  <c r="AB448" i="5"/>
  <c r="AA310" i="5"/>
  <c r="AB310" i="5"/>
  <c r="AA381" i="5"/>
  <c r="AB381" i="5"/>
  <c r="AA54" i="5"/>
  <c r="AB54" i="5"/>
  <c r="AB27" i="5"/>
  <c r="AA27" i="5"/>
  <c r="AA500" i="13"/>
  <c r="AB500" i="13"/>
  <c r="AA533" i="5"/>
  <c r="AB533" i="5"/>
  <c r="AA76" i="5"/>
  <c r="AB76" i="5"/>
  <c r="AB337" i="5"/>
  <c r="AA337" i="5"/>
  <c r="AA521" i="5"/>
  <c r="AB521" i="5"/>
  <c r="AB162" i="5"/>
  <c r="AA162" i="5"/>
  <c r="AA19" i="5"/>
  <c r="AB19" i="5"/>
  <c r="AB476" i="5"/>
  <c r="AA476" i="5"/>
  <c r="AA225" i="5"/>
  <c r="AB225" i="5"/>
  <c r="AB98" i="13"/>
  <c r="AA98" i="13"/>
  <c r="AA216" i="5"/>
  <c r="AB216" i="5"/>
  <c r="AB273" i="5"/>
  <c r="AA273" i="5"/>
  <c r="AA385" i="5"/>
  <c r="AB385" i="5"/>
  <c r="AA368" i="5"/>
  <c r="AB368" i="5"/>
  <c r="AB186" i="5"/>
  <c r="AA186" i="5"/>
  <c r="AB51" i="5"/>
  <c r="AA51" i="5"/>
  <c r="AB57" i="5"/>
  <c r="AA57" i="5"/>
  <c r="AB318" i="5"/>
  <c r="AA318" i="5"/>
  <c r="AA112" i="13"/>
  <c r="AB112" i="13"/>
  <c r="AB42" i="5"/>
  <c r="AA42" i="5"/>
  <c r="AB344" i="5"/>
  <c r="AA344" i="5"/>
  <c r="AA473" i="5"/>
  <c r="AB473" i="5"/>
  <c r="AA45" i="5"/>
  <c r="AB45" i="5"/>
  <c r="AB322" i="5"/>
  <c r="AA322" i="5"/>
  <c r="AB332" i="5"/>
  <c r="AA332" i="5"/>
  <c r="AA523" i="5"/>
  <c r="AB523" i="5"/>
  <c r="AB530" i="5"/>
  <c r="AA530" i="5"/>
  <c r="AA467" i="13"/>
  <c r="AB467" i="13"/>
  <c r="AA91" i="5"/>
  <c r="AB91" i="5"/>
  <c r="AB264" i="5"/>
  <c r="AA264" i="5"/>
  <c r="AB494" i="5"/>
  <c r="AA494" i="5"/>
  <c r="AB204" i="5"/>
  <c r="AA204" i="5"/>
  <c r="AB467" i="5"/>
  <c r="AA467" i="5"/>
  <c r="AA105" i="5"/>
  <c r="AB105" i="5"/>
  <c r="AA307" i="5"/>
  <c r="AB307" i="5"/>
  <c r="AB201" i="13"/>
  <c r="AA201" i="13"/>
  <c r="AB420" i="5"/>
  <c r="AA420" i="5"/>
  <c r="AB407" i="5"/>
  <c r="AA407" i="5"/>
  <c r="AB303" i="13"/>
  <c r="AA303" i="13"/>
  <c r="AA265" i="13"/>
  <c r="AB265" i="13"/>
  <c r="AA205" i="13"/>
  <c r="AB205" i="13"/>
  <c r="AB134" i="13"/>
  <c r="AA134" i="13"/>
  <c r="AB27" i="13"/>
  <c r="AA27" i="13"/>
  <c r="AB198" i="13"/>
  <c r="AA198" i="13"/>
  <c r="AA117" i="13"/>
  <c r="AB117" i="13"/>
  <c r="AA497" i="13"/>
  <c r="AB497" i="13"/>
  <c r="AB432" i="5"/>
  <c r="AA432" i="5"/>
  <c r="AA98" i="5"/>
  <c r="AB98" i="5"/>
  <c r="AA123" i="13"/>
  <c r="AB123" i="13"/>
  <c r="AA459" i="13"/>
  <c r="AB459" i="13"/>
  <c r="AA302" i="13"/>
  <c r="AB302" i="13"/>
  <c r="AB23" i="13"/>
  <c r="AA23" i="13"/>
  <c r="AB338" i="13"/>
  <c r="AA338" i="13"/>
  <c r="AB416" i="13"/>
  <c r="AA416" i="13"/>
  <c r="AA558" i="13"/>
  <c r="AB558" i="13"/>
  <c r="AB506" i="13"/>
  <c r="AA506" i="13"/>
  <c r="AA433" i="13"/>
  <c r="AB433" i="13"/>
  <c r="AB243" i="13"/>
  <c r="AA243" i="13"/>
  <c r="AB183" i="13"/>
  <c r="AA183" i="13"/>
  <c r="AA73" i="13"/>
  <c r="AB73" i="13"/>
  <c r="AA92" i="13"/>
  <c r="AB92" i="13"/>
  <c r="AA400" i="13"/>
  <c r="AB400" i="13"/>
  <c r="AB248" i="13"/>
  <c r="AA248" i="13"/>
  <c r="AA133" i="13"/>
  <c r="AB133" i="13"/>
  <c r="AB421" i="13"/>
  <c r="AA421" i="13"/>
  <c r="AB305" i="5"/>
  <c r="AA305" i="5"/>
  <c r="AA102" i="5"/>
  <c r="AB102" i="5"/>
  <c r="AB363" i="13"/>
  <c r="AA363" i="13"/>
  <c r="AB102" i="13"/>
  <c r="AA102" i="13"/>
  <c r="AB180" i="13"/>
  <c r="AA180" i="13"/>
  <c r="AA516" i="13"/>
  <c r="AB516" i="13"/>
  <c r="AB471" i="13"/>
  <c r="AA471" i="13"/>
  <c r="AB381" i="13"/>
  <c r="AA381" i="13"/>
  <c r="AA323" i="13"/>
  <c r="AB323" i="13"/>
  <c r="AA294" i="13"/>
  <c r="AB294" i="13"/>
  <c r="AB263" i="13"/>
  <c r="AA263" i="13"/>
  <c r="AB78" i="5"/>
  <c r="AA78" i="5"/>
  <c r="AB346" i="5"/>
  <c r="AA346" i="5"/>
  <c r="AA52" i="13"/>
  <c r="AB52" i="13"/>
  <c r="AB152" i="13"/>
  <c r="AA152" i="13"/>
  <c r="AB315" i="13"/>
  <c r="AA315" i="13"/>
  <c r="AB172" i="13"/>
  <c r="AA172" i="13"/>
  <c r="AB207" i="13"/>
  <c r="AA207" i="13"/>
  <c r="AA241" i="13"/>
  <c r="AB241" i="13"/>
  <c r="AA224" i="13"/>
  <c r="AB224" i="13"/>
  <c r="AB252" i="13"/>
  <c r="AA252" i="13"/>
  <c r="AA96" i="5"/>
  <c r="AB96" i="5"/>
  <c r="AB313" i="5"/>
  <c r="AA313" i="5"/>
  <c r="AB496" i="13"/>
  <c r="AA496" i="13"/>
  <c r="AB91" i="13"/>
  <c r="AA91" i="13"/>
  <c r="AB415" i="13"/>
  <c r="AA415" i="13"/>
  <c r="AA242" i="13"/>
  <c r="AB242" i="13"/>
  <c r="AB492" i="13"/>
  <c r="AA492" i="13"/>
  <c r="AA212" i="13"/>
  <c r="AB212" i="13"/>
  <c r="AA411" i="13"/>
  <c r="AB411" i="13"/>
  <c r="AA556" i="13"/>
  <c r="AB556" i="13"/>
  <c r="AB513" i="13"/>
  <c r="AA513" i="13"/>
  <c r="AB440" i="13"/>
  <c r="AA440" i="13"/>
  <c r="AB336" i="13"/>
  <c r="AA336" i="13"/>
  <c r="AB308" i="13"/>
  <c r="AA308" i="13"/>
  <c r="AB275" i="13"/>
  <c r="AA275" i="13"/>
  <c r="AB189" i="13"/>
  <c r="AA189" i="13"/>
  <c r="AB136" i="13"/>
  <c r="AA136" i="13"/>
  <c r="AB48" i="13"/>
  <c r="AA48" i="13"/>
  <c r="AB107" i="13"/>
  <c r="AA107" i="13"/>
  <c r="CC96" i="4"/>
  <c r="CD96" i="4" s="1"/>
  <c r="CQ96" i="4" s="1"/>
  <c r="BZ89" i="4"/>
  <c r="CA89" i="4" s="1"/>
  <c r="AB480" i="5"/>
  <c r="AA480" i="5"/>
  <c r="AB380" i="5"/>
  <c r="AA380" i="5"/>
  <c r="AA421" i="5"/>
  <c r="AB421" i="5"/>
  <c r="AA488" i="5"/>
  <c r="AB488" i="5"/>
  <c r="AA214" i="5"/>
  <c r="AB214" i="5"/>
  <c r="AB347" i="5"/>
  <c r="AA347" i="5"/>
  <c r="AA239" i="13"/>
  <c r="AB239" i="13"/>
  <c r="AA163" i="5"/>
  <c r="AB163" i="5"/>
  <c r="AB534" i="5"/>
  <c r="AA534" i="5"/>
  <c r="AB543" i="5"/>
  <c r="AA543" i="5"/>
  <c r="AA396" i="5"/>
  <c r="AB396" i="5"/>
  <c r="AB449" i="5"/>
  <c r="AA449" i="5"/>
  <c r="AA171" i="5"/>
  <c r="AB171" i="5"/>
  <c r="AA395" i="5"/>
  <c r="AB395" i="5"/>
  <c r="AB479" i="13"/>
  <c r="AA479" i="13"/>
  <c r="AB210" i="5"/>
  <c r="AA210" i="5"/>
  <c r="AA371" i="5"/>
  <c r="AB371" i="5"/>
  <c r="AB219" i="5"/>
  <c r="AA219" i="5"/>
  <c r="AB231" i="5"/>
  <c r="AA231" i="5"/>
  <c r="AB351" i="5"/>
  <c r="AA351" i="5"/>
  <c r="AA301" i="5"/>
  <c r="AB301" i="5"/>
  <c r="AA312" i="5"/>
  <c r="AB312" i="5"/>
  <c r="AA42" i="13"/>
  <c r="AB42" i="13"/>
  <c r="AA222" i="5"/>
  <c r="AB222" i="5"/>
  <c r="AA64" i="5"/>
  <c r="AB64" i="5"/>
  <c r="AA468" i="5"/>
  <c r="AB468" i="5"/>
  <c r="AB496" i="5"/>
  <c r="AA496" i="5"/>
  <c r="AA158" i="5"/>
  <c r="AB158" i="5"/>
  <c r="AA386" i="5"/>
  <c r="AB386" i="5"/>
  <c r="AA85" i="5"/>
  <c r="AB85" i="5"/>
  <c r="AB361" i="5"/>
  <c r="AA361" i="5"/>
  <c r="AB342" i="13"/>
  <c r="AA342" i="13"/>
  <c r="AB470" i="13"/>
  <c r="AA470" i="13"/>
  <c r="AB466" i="5"/>
  <c r="AA466" i="5"/>
  <c r="AA549" i="5"/>
  <c r="AB549" i="5"/>
  <c r="AB453" i="5"/>
  <c r="AA453" i="5"/>
  <c r="AA559" i="5"/>
  <c r="AB559" i="5"/>
  <c r="AA295" i="5"/>
  <c r="AB295" i="5"/>
  <c r="AA390" i="5"/>
  <c r="AB390" i="5"/>
  <c r="AB201" i="5"/>
  <c r="AA201" i="5"/>
  <c r="AA489" i="13"/>
  <c r="AB489" i="13"/>
  <c r="AA401" i="5"/>
  <c r="AB401" i="5"/>
  <c r="AB516" i="5"/>
  <c r="AA516" i="5"/>
  <c r="AA83" i="5"/>
  <c r="AB83" i="5"/>
  <c r="AA49" i="5"/>
  <c r="AB49" i="5"/>
  <c r="AA502" i="5"/>
  <c r="AB502" i="5"/>
  <c r="AB433" i="5"/>
  <c r="AA433" i="5"/>
  <c r="AB182" i="5"/>
  <c r="AA182" i="5"/>
  <c r="AA106" i="5"/>
  <c r="AB106" i="5"/>
  <c r="AB442" i="13"/>
  <c r="AA442" i="13"/>
  <c r="AB378" i="5"/>
  <c r="AA378" i="5"/>
  <c r="AA133" i="5"/>
  <c r="AB133" i="5"/>
  <c r="AA451" i="5"/>
  <c r="AB451" i="5"/>
  <c r="AB350" i="5"/>
  <c r="AA350" i="5"/>
  <c r="AA546" i="5"/>
  <c r="AB546" i="5"/>
  <c r="AB228" i="5"/>
  <c r="AA228" i="5"/>
  <c r="AA520" i="5"/>
  <c r="AB520" i="5"/>
  <c r="AA440" i="5"/>
  <c r="AB440" i="5"/>
  <c r="AA274" i="13"/>
  <c r="AB274" i="13"/>
  <c r="AA283" i="5"/>
  <c r="AB283" i="5"/>
  <c r="AB154" i="5"/>
  <c r="AA154" i="5"/>
  <c r="AA541" i="5"/>
  <c r="AB541" i="5"/>
  <c r="AA508" i="5"/>
  <c r="AB508" i="5"/>
  <c r="AA270" i="5"/>
  <c r="AB270" i="5"/>
  <c r="AB153" i="5"/>
  <c r="AA153" i="5"/>
  <c r="AA258" i="5"/>
  <c r="AB258" i="5"/>
  <c r="AB69" i="13"/>
  <c r="AA69" i="13"/>
  <c r="AA121" i="5"/>
  <c r="AB121" i="5"/>
  <c r="AA263" i="5"/>
  <c r="AB263" i="5"/>
  <c r="AA494" i="13"/>
  <c r="AB494" i="13"/>
  <c r="AA427" i="13"/>
  <c r="AB427" i="13"/>
  <c r="AB343" i="13"/>
  <c r="AA343" i="13"/>
  <c r="AA273" i="13"/>
  <c r="AB273" i="13"/>
  <c r="AA213" i="13"/>
  <c r="AB213" i="13"/>
  <c r="AA166" i="13"/>
  <c r="AB166" i="13"/>
  <c r="AA44" i="13"/>
  <c r="AB44" i="13"/>
  <c r="AB163" i="13"/>
  <c r="AA163" i="13"/>
  <c r="AB199" i="5"/>
  <c r="AA199" i="5"/>
  <c r="AA179" i="5"/>
  <c r="AB179" i="5"/>
  <c r="AA59" i="13"/>
  <c r="AB59" i="13"/>
  <c r="AA527" i="13"/>
  <c r="AB527" i="13"/>
  <c r="AA146" i="13"/>
  <c r="AB146" i="13"/>
  <c r="AA278" i="13"/>
  <c r="AB278" i="13"/>
  <c r="AA282" i="13"/>
  <c r="AB282" i="13"/>
  <c r="AB359" i="13"/>
  <c r="AA359" i="13"/>
  <c r="AB122" i="13"/>
  <c r="AA122" i="13"/>
  <c r="AA314" i="13"/>
  <c r="AB314" i="13"/>
  <c r="AA560" i="13"/>
  <c r="AB560" i="13"/>
  <c r="AB332" i="13"/>
  <c r="AA332" i="13"/>
  <c r="AB384" i="13"/>
  <c r="AA384" i="13"/>
  <c r="AA259" i="13"/>
  <c r="AB259" i="13"/>
  <c r="AB187" i="13"/>
  <c r="AA187" i="13"/>
  <c r="AB80" i="13"/>
  <c r="AA80" i="13"/>
  <c r="AA19" i="13"/>
  <c r="AB19" i="13"/>
  <c r="AA159" i="13"/>
  <c r="AB159" i="13"/>
  <c r="AB405" i="13"/>
  <c r="AA405" i="13"/>
  <c r="AB35" i="5"/>
  <c r="AA35" i="5"/>
  <c r="AA280" i="5"/>
  <c r="AB280" i="5"/>
  <c r="AB95" i="13"/>
  <c r="AA95" i="13"/>
  <c r="AA507" i="13"/>
  <c r="AB507" i="13"/>
  <c r="AB345" i="13"/>
  <c r="AA345" i="13"/>
  <c r="AB40" i="13"/>
  <c r="AA40" i="13"/>
  <c r="AB397" i="13"/>
  <c r="AA397" i="13"/>
  <c r="AA555" i="13"/>
  <c r="AB555" i="13"/>
  <c r="AB478" i="13"/>
  <c r="AA478" i="13"/>
  <c r="AB387" i="13"/>
  <c r="AA387" i="13"/>
  <c r="AB334" i="13"/>
  <c r="AA334" i="13"/>
  <c r="AA59" i="5"/>
  <c r="AB59" i="5"/>
  <c r="AB475" i="5"/>
  <c r="AA475" i="5"/>
  <c r="AA325" i="13"/>
  <c r="AB325" i="13"/>
  <c r="AA320" i="13"/>
  <c r="AB320" i="13"/>
  <c r="AA75" i="13"/>
  <c r="AB75" i="13"/>
  <c r="AA56" i="13"/>
  <c r="AB56" i="13"/>
  <c r="AA200" i="13"/>
  <c r="AB200" i="13"/>
  <c r="AB93" i="13"/>
  <c r="AA93" i="13"/>
  <c r="AA498" i="13"/>
  <c r="AB498" i="13"/>
  <c r="AA151" i="13"/>
  <c r="AB151" i="13"/>
  <c r="AB81" i="5"/>
  <c r="AA81" i="5"/>
  <c r="AB434" i="5"/>
  <c r="AA434" i="5"/>
  <c r="AA147" i="13"/>
  <c r="AB147" i="13"/>
  <c r="AA61" i="13"/>
  <c r="AB61" i="13"/>
  <c r="AA476" i="13"/>
  <c r="AB476" i="13"/>
  <c r="AB130" i="13"/>
  <c r="AA130" i="13"/>
  <c r="AB206" i="13"/>
  <c r="AA206" i="13"/>
  <c r="AB234" i="13"/>
  <c r="AA234" i="13"/>
  <c r="AB260" i="13"/>
  <c r="AA260" i="13"/>
  <c r="AB110" i="13"/>
  <c r="AA110" i="13"/>
  <c r="AA285" i="13"/>
  <c r="AB285" i="13"/>
  <c r="AA544" i="13"/>
  <c r="AB544" i="13"/>
  <c r="AB515" i="13"/>
  <c r="AA515" i="13"/>
  <c r="AA456" i="13"/>
  <c r="AB456" i="13"/>
  <c r="AB344" i="13"/>
  <c r="AA344" i="13"/>
  <c r="AA329" i="13"/>
  <c r="AB329" i="13"/>
  <c r="AA283" i="13"/>
  <c r="AB283" i="13"/>
  <c r="AB215" i="13"/>
  <c r="AA215" i="13"/>
  <c r="AB132" i="13"/>
  <c r="AA132" i="13"/>
  <c r="AB209" i="5"/>
  <c r="AA209" i="5"/>
  <c r="AA122" i="5"/>
  <c r="AB122" i="5"/>
  <c r="AB23" i="5"/>
  <c r="AA23" i="5"/>
  <c r="AA134" i="5"/>
  <c r="AB134" i="5"/>
  <c r="AB255" i="5"/>
  <c r="AA255" i="5"/>
  <c r="AA21" i="5"/>
  <c r="AB21" i="5"/>
  <c r="AA71" i="5"/>
  <c r="AB71" i="5"/>
  <c r="AB227" i="5"/>
  <c r="AA227" i="5"/>
  <c r="AB243" i="5"/>
  <c r="AA243" i="5"/>
  <c r="AB206" i="5"/>
  <c r="AA206" i="5"/>
  <c r="AB166" i="5"/>
  <c r="AA166" i="5"/>
  <c r="AA487" i="5"/>
  <c r="AB487" i="5"/>
  <c r="AB463" i="5"/>
  <c r="AA463" i="5"/>
  <c r="AA135" i="5"/>
  <c r="AB135" i="5"/>
  <c r="AA377" i="13"/>
  <c r="AB377" i="13"/>
  <c r="AA232" i="5"/>
  <c r="AB232" i="5"/>
  <c r="AA474" i="5"/>
  <c r="AB474" i="5"/>
  <c r="AB47" i="5"/>
  <c r="AA47" i="5"/>
  <c r="AB74" i="5"/>
  <c r="AA74" i="5"/>
  <c r="AB65" i="5"/>
  <c r="AA65" i="5"/>
  <c r="AA287" i="5"/>
  <c r="AB287" i="5"/>
  <c r="AA236" i="5"/>
  <c r="AB236" i="5"/>
  <c r="AA35" i="13"/>
  <c r="AB35" i="13"/>
  <c r="AB369" i="13"/>
  <c r="AA369" i="13"/>
  <c r="AB529" i="5"/>
  <c r="AA529" i="5"/>
  <c r="AB170" i="5"/>
  <c r="AA170" i="5"/>
  <c r="AA465" i="5"/>
  <c r="AB465" i="5"/>
  <c r="AB286" i="5"/>
  <c r="AA286" i="5"/>
  <c r="AA410" i="5"/>
  <c r="AB410" i="5"/>
  <c r="AB107" i="5"/>
  <c r="AA107" i="5"/>
  <c r="AA113" i="5"/>
  <c r="AB113" i="5"/>
  <c r="AB24" i="13"/>
  <c r="AA24" i="13"/>
  <c r="AB58" i="13"/>
  <c r="AA58" i="13"/>
  <c r="AB456" i="5"/>
  <c r="AA456" i="5"/>
  <c r="AA79" i="5"/>
  <c r="AB79" i="5"/>
  <c r="AB325" i="5"/>
  <c r="AA325" i="5"/>
  <c r="AB229" i="5"/>
  <c r="AA229" i="5"/>
  <c r="AB112" i="5"/>
  <c r="AA112" i="5"/>
  <c r="AA528" i="5"/>
  <c r="AB528" i="5"/>
  <c r="AA472" i="5"/>
  <c r="AB472" i="5"/>
  <c r="AA208" i="13"/>
  <c r="AB208" i="13"/>
  <c r="AA132" i="5"/>
  <c r="AB132" i="5"/>
  <c r="AB455" i="5"/>
  <c r="AA455" i="5"/>
  <c r="AA505" i="5"/>
  <c r="AB505" i="5"/>
  <c r="AA269" i="5"/>
  <c r="AB269" i="5"/>
  <c r="AB458" i="5"/>
  <c r="AA458" i="5"/>
  <c r="AA342" i="5"/>
  <c r="AB342" i="5"/>
  <c r="AA205" i="5"/>
  <c r="AB205" i="5"/>
  <c r="AB37" i="5"/>
  <c r="AA37" i="5"/>
  <c r="AB236" i="13"/>
  <c r="AA236" i="13"/>
  <c r="AA542" i="5"/>
  <c r="AB542" i="5"/>
  <c r="AB148" i="5"/>
  <c r="AA148" i="5"/>
  <c r="AB442" i="5"/>
  <c r="AA442" i="5"/>
  <c r="AB353" i="5"/>
  <c r="AA353" i="5"/>
  <c r="AA444" i="5"/>
  <c r="AB444" i="5"/>
  <c r="AA152" i="5"/>
  <c r="AB152" i="5"/>
  <c r="AA94" i="5"/>
  <c r="AB94" i="5"/>
  <c r="AA242" i="5"/>
  <c r="AB242" i="5"/>
  <c r="AB383" i="13"/>
  <c r="AA383" i="13"/>
  <c r="AA483" i="5"/>
  <c r="AB483" i="5"/>
  <c r="AA128" i="5"/>
  <c r="AB128" i="5"/>
  <c r="AB251" i="5"/>
  <c r="AA251" i="5"/>
  <c r="AB392" i="5"/>
  <c r="AA392" i="5"/>
  <c r="AB394" i="5"/>
  <c r="AA394" i="5"/>
  <c r="AA430" i="5"/>
  <c r="AB430" i="5"/>
  <c r="AB331" i="5"/>
  <c r="AA331" i="5"/>
  <c r="AA26" i="13"/>
  <c r="AB26" i="13"/>
  <c r="AB159" i="5"/>
  <c r="AA159" i="5"/>
  <c r="AA469" i="13"/>
  <c r="AB469" i="13"/>
  <c r="AA8" i="13"/>
  <c r="AB8" i="13"/>
  <c r="AB539" i="13"/>
  <c r="AA539" i="13"/>
  <c r="AB483" i="13"/>
  <c r="AA483" i="13"/>
  <c r="AB388" i="13"/>
  <c r="AA388" i="13"/>
  <c r="AA356" i="13"/>
  <c r="AB356" i="13"/>
  <c r="AA281" i="13"/>
  <c r="AB281" i="13"/>
  <c r="AA221" i="13"/>
  <c r="AB221" i="13"/>
  <c r="AA150" i="13"/>
  <c r="AB150" i="13"/>
  <c r="AA140" i="5"/>
  <c r="AB140" i="5"/>
  <c r="AB326" i="5"/>
  <c r="AA326" i="5"/>
  <c r="AA22" i="13"/>
  <c r="AB22" i="13"/>
  <c r="AA186" i="13"/>
  <c r="AB186" i="13"/>
  <c r="AA50" i="13"/>
  <c r="AB50" i="13"/>
  <c r="AB473" i="13"/>
  <c r="AA473" i="13"/>
  <c r="AB114" i="13"/>
  <c r="AA114" i="13"/>
  <c r="AB139" i="13"/>
  <c r="AA139" i="13"/>
  <c r="AB226" i="13"/>
  <c r="AA226" i="13"/>
  <c r="AB149" i="13"/>
  <c r="AA149" i="13"/>
  <c r="AA187" i="5"/>
  <c r="AB187" i="5"/>
  <c r="AA524" i="13"/>
  <c r="AB524" i="13"/>
  <c r="AB452" i="13"/>
  <c r="AA452" i="13"/>
  <c r="AA340" i="13"/>
  <c r="AB340" i="13"/>
  <c r="AA319" i="13"/>
  <c r="AB319" i="13"/>
  <c r="AB279" i="13"/>
  <c r="AA279" i="13"/>
  <c r="AB211" i="13"/>
  <c r="AA211" i="13"/>
  <c r="AB154" i="13"/>
  <c r="AA154" i="13"/>
  <c r="AB160" i="13"/>
  <c r="AA160" i="13"/>
  <c r="AA142" i="5"/>
  <c r="AB142" i="5"/>
  <c r="AB202" i="5"/>
  <c r="AA202" i="5"/>
  <c r="AB25" i="13"/>
  <c r="AA25" i="13"/>
  <c r="AB375" i="13"/>
  <c r="AA375" i="13"/>
  <c r="AB121" i="13"/>
  <c r="AA121" i="13"/>
  <c r="AA484" i="13"/>
  <c r="AB484" i="13"/>
  <c r="AA220" i="13"/>
  <c r="AB220" i="13"/>
  <c r="AB55" i="13"/>
  <c r="AA55" i="13"/>
  <c r="AA350" i="13"/>
  <c r="AB350" i="13"/>
  <c r="AB535" i="13"/>
  <c r="AA535" i="13"/>
  <c r="AB490" i="13"/>
  <c r="AA490" i="13"/>
  <c r="AA39" i="5"/>
  <c r="AB39" i="5"/>
  <c r="AB319" i="5"/>
  <c r="AA319" i="5"/>
  <c r="AB474" i="13"/>
  <c r="AA474" i="13"/>
  <c r="AB307" i="13"/>
  <c r="AA307" i="13"/>
  <c r="AB269" i="13"/>
  <c r="AA269" i="13"/>
  <c r="AA209" i="13"/>
  <c r="AB209" i="13"/>
  <c r="AB164" i="13"/>
  <c r="AA164" i="13"/>
  <c r="AA32" i="13"/>
  <c r="AB32" i="13"/>
  <c r="AA179" i="13"/>
  <c r="AB179" i="13"/>
  <c r="AB72" i="13"/>
  <c r="AA72" i="13"/>
  <c r="AB55" i="5"/>
  <c r="AA55" i="5"/>
  <c r="AB409" i="5"/>
  <c r="AA409" i="5"/>
  <c r="AA170" i="13"/>
  <c r="AB170" i="13"/>
  <c r="AB37" i="13"/>
  <c r="AA37" i="13"/>
  <c r="AA210" i="13"/>
  <c r="AB210" i="13"/>
  <c r="AA79" i="13"/>
  <c r="AB79" i="13"/>
  <c r="AA457" i="13"/>
  <c r="AB457" i="13"/>
  <c r="AA105" i="13"/>
  <c r="AB105" i="13"/>
  <c r="AA194" i="13"/>
  <c r="AB194" i="13"/>
  <c r="AA218" i="13"/>
  <c r="AB218" i="13"/>
  <c r="AB318" i="13"/>
  <c r="AA318" i="13"/>
  <c r="AB488" i="13"/>
  <c r="AA488" i="13"/>
  <c r="AA256" i="13"/>
  <c r="AB256" i="13"/>
  <c r="AB404" i="13"/>
  <c r="AA404" i="13"/>
  <c r="AB532" i="13"/>
  <c r="AA532" i="13"/>
  <c r="AA464" i="13"/>
  <c r="AB464" i="13"/>
  <c r="AA360" i="13"/>
  <c r="AB360" i="13"/>
  <c r="AB390" i="13"/>
  <c r="AA390" i="13"/>
  <c r="AB295" i="13"/>
  <c r="AA295" i="13"/>
  <c r="AA147" i="5"/>
  <c r="AB147" i="5"/>
  <c r="AB526" i="5"/>
  <c r="AA526" i="5"/>
  <c r="AB375" i="5"/>
  <c r="AA375" i="5"/>
  <c r="AA256" i="5"/>
  <c r="AB256" i="5"/>
  <c r="AA349" i="5"/>
  <c r="AB349" i="5"/>
  <c r="AB478" i="5"/>
  <c r="AA478" i="5"/>
  <c r="AB22" i="5"/>
  <c r="AA22" i="5"/>
  <c r="AA95" i="5"/>
  <c r="AB95" i="5"/>
  <c r="AB230" i="5"/>
  <c r="AA230" i="5"/>
  <c r="AB450" i="5"/>
  <c r="AA450" i="5"/>
  <c r="AA41" i="5"/>
  <c r="AB41" i="5"/>
  <c r="AB360" i="5"/>
  <c r="AA360" i="5"/>
  <c r="AA404" i="5"/>
  <c r="AB404" i="5"/>
  <c r="AB554" i="5"/>
  <c r="AA554" i="5"/>
  <c r="AB310" i="13"/>
  <c r="AA310" i="13"/>
  <c r="AA165" i="5"/>
  <c r="AB165" i="5"/>
  <c r="AB262" i="5"/>
  <c r="AA262" i="5"/>
  <c r="AA405" i="5"/>
  <c r="AB405" i="5"/>
  <c r="AB116" i="5"/>
  <c r="AA116" i="5"/>
  <c r="AB290" i="5"/>
  <c r="AA290" i="5"/>
  <c r="AB117" i="5"/>
  <c r="AA117" i="5"/>
  <c r="AA515" i="5"/>
  <c r="AB515" i="5"/>
  <c r="AB528" i="13"/>
  <c r="AA528" i="13"/>
  <c r="AA353" i="13"/>
  <c r="AB353" i="13"/>
  <c r="AA413" i="5"/>
  <c r="AB413" i="5"/>
  <c r="AA172" i="5"/>
  <c r="AB172" i="5"/>
  <c r="AA260" i="5"/>
  <c r="AB260" i="5"/>
  <c r="AA40" i="5"/>
  <c r="AB40" i="5"/>
  <c r="AA217" i="5"/>
  <c r="AB217" i="5"/>
  <c r="AA511" i="5"/>
  <c r="AB511" i="5"/>
  <c r="AB275" i="5"/>
  <c r="AA275" i="5"/>
  <c r="AA240" i="13"/>
  <c r="AB240" i="13"/>
  <c r="AB249" i="5"/>
  <c r="AA249" i="5"/>
  <c r="AB150" i="5"/>
  <c r="AA150" i="5"/>
  <c r="AB477" i="5"/>
  <c r="AA477" i="5"/>
  <c r="AB167" i="5"/>
  <c r="AA167" i="5"/>
  <c r="AA556" i="5"/>
  <c r="AB556" i="5"/>
  <c r="AB44" i="5"/>
  <c r="AA44" i="5"/>
  <c r="AB237" i="5"/>
  <c r="AA237" i="5"/>
  <c r="AB234" i="5"/>
  <c r="AA234" i="5"/>
  <c r="AB477" i="13"/>
  <c r="AA477" i="13"/>
  <c r="AA493" i="5"/>
  <c r="AB493" i="5"/>
  <c r="AB212" i="5"/>
  <c r="AA212" i="5"/>
  <c r="AA247" i="5"/>
  <c r="AB247" i="5"/>
  <c r="AA88" i="5"/>
  <c r="AB88" i="5"/>
  <c r="AB366" i="5"/>
  <c r="AA366" i="5"/>
  <c r="AA532" i="5"/>
  <c r="AB532" i="5"/>
  <c r="AA457" i="5"/>
  <c r="AB457" i="5"/>
  <c r="AB64" i="13"/>
  <c r="AA64" i="13"/>
  <c r="AA297" i="5"/>
  <c r="AB297" i="5"/>
  <c r="AA462" i="5"/>
  <c r="AB462" i="5"/>
  <c r="AA544" i="5"/>
  <c r="AB544" i="5"/>
  <c r="AA103" i="5"/>
  <c r="AB103" i="5"/>
  <c r="AA481" i="5"/>
  <c r="AB481" i="5"/>
  <c r="AB294" i="5"/>
  <c r="AA294" i="5"/>
  <c r="AA536" i="5"/>
  <c r="AB536" i="5"/>
  <c r="AB486" i="5"/>
  <c r="AA486" i="5"/>
  <c r="AA259" i="5"/>
  <c r="AB259" i="5"/>
  <c r="AB313" i="13"/>
  <c r="AA313" i="13"/>
  <c r="AA498" i="5"/>
  <c r="AB498" i="5"/>
  <c r="AA61" i="5"/>
  <c r="AB61" i="5"/>
  <c r="AB86" i="5"/>
  <c r="AA86" i="5"/>
  <c r="AB341" i="5"/>
  <c r="AA341" i="5"/>
  <c r="AB436" i="5"/>
  <c r="AA436" i="5"/>
  <c r="AB489" i="5"/>
  <c r="AA489" i="5"/>
  <c r="AA330" i="5"/>
  <c r="AB330" i="5"/>
  <c r="AA413" i="13"/>
  <c r="AB413" i="13"/>
  <c r="AA372" i="5"/>
  <c r="AB372" i="5"/>
  <c r="AB432" i="13"/>
  <c r="AA432" i="13"/>
  <c r="AA155" i="13"/>
  <c r="AB155" i="13"/>
  <c r="AB276" i="13"/>
  <c r="AA276" i="13"/>
  <c r="AA533" i="13"/>
  <c r="AB533" i="13"/>
  <c r="AB553" i="13"/>
  <c r="AA553" i="13"/>
  <c r="AB501" i="13"/>
  <c r="AA501" i="13"/>
  <c r="AA434" i="13"/>
  <c r="AB434" i="13"/>
  <c r="AB376" i="13"/>
  <c r="AA376" i="13"/>
  <c r="AA288" i="13"/>
  <c r="AB288" i="13"/>
  <c r="AA77" i="5"/>
  <c r="AB77" i="5"/>
  <c r="AB320" i="5"/>
  <c r="AA320" i="5"/>
  <c r="AB229" i="13"/>
  <c r="AA229" i="13"/>
  <c r="AB158" i="13"/>
  <c r="AA158" i="13"/>
  <c r="AA43" i="13"/>
  <c r="AB43" i="13"/>
  <c r="AB184" i="13"/>
  <c r="AA184" i="13"/>
  <c r="AA51" i="13"/>
  <c r="AB51" i="13"/>
  <c r="AB454" i="13"/>
  <c r="AA454" i="13"/>
  <c r="AB125" i="13"/>
  <c r="AA125" i="13"/>
  <c r="AA550" i="13"/>
  <c r="AB550" i="13"/>
  <c r="AA120" i="13"/>
  <c r="AB120" i="13"/>
  <c r="AB272" i="13"/>
  <c r="AA272" i="13"/>
  <c r="AB465" i="13"/>
  <c r="AA465" i="13"/>
  <c r="AA518" i="13"/>
  <c r="AB518" i="13"/>
  <c r="AA460" i="13"/>
  <c r="AB460" i="13"/>
  <c r="AA348" i="13"/>
  <c r="AB348" i="13"/>
  <c r="AA355" i="13"/>
  <c r="AB355" i="13"/>
  <c r="AA287" i="13"/>
  <c r="AB287" i="13"/>
  <c r="AA219" i="13"/>
  <c r="AB219" i="13"/>
  <c r="AB72" i="5"/>
  <c r="AA72" i="5"/>
  <c r="AB540" i="5"/>
  <c r="AA540" i="5"/>
  <c r="AA538" i="13"/>
  <c r="AB538" i="13"/>
  <c r="AB216" i="13"/>
  <c r="AA216" i="13"/>
  <c r="AB468" i="13"/>
  <c r="AA468" i="13"/>
  <c r="AA374" i="13"/>
  <c r="AB374" i="13"/>
  <c r="AA47" i="13"/>
  <c r="AB47" i="13"/>
  <c r="AB455" i="13"/>
  <c r="AA455" i="13"/>
  <c r="AA192" i="13"/>
  <c r="AB192" i="13"/>
  <c r="AA463" i="13"/>
  <c r="AB463" i="13"/>
  <c r="AB220" i="5"/>
  <c r="AA220" i="5"/>
  <c r="AA416" i="5"/>
  <c r="AB416" i="5"/>
  <c r="AB70" i="13"/>
  <c r="AA70" i="13"/>
  <c r="AA534" i="13"/>
  <c r="AB534" i="13"/>
  <c r="AB486" i="13"/>
  <c r="AA486" i="13"/>
  <c r="AB444" i="13"/>
  <c r="AA444" i="13"/>
  <c r="AA372" i="13"/>
  <c r="AB372" i="13"/>
  <c r="AB277" i="13"/>
  <c r="AA277" i="13"/>
  <c r="AB217" i="13"/>
  <c r="AA217" i="13"/>
  <c r="AB199" i="13"/>
  <c r="AA199" i="13"/>
  <c r="AA29" i="13"/>
  <c r="AB29" i="13"/>
  <c r="AB141" i="5"/>
  <c r="AA141" i="5"/>
  <c r="AB184" i="5"/>
  <c r="AA184" i="5"/>
  <c r="AA296" i="13"/>
  <c r="AB296" i="13"/>
  <c r="AB231" i="13"/>
  <c r="AA231" i="13"/>
  <c r="AB174" i="13"/>
  <c r="AA174" i="13"/>
  <c r="AB67" i="13"/>
  <c r="AA67" i="13"/>
  <c r="AB115" i="13"/>
  <c r="AA115" i="13"/>
  <c r="AA36" i="13"/>
  <c r="AB36" i="13"/>
  <c r="AA438" i="13"/>
  <c r="AB438" i="13"/>
  <c r="AB108" i="13"/>
  <c r="AA108" i="13"/>
  <c r="AA472" i="13"/>
  <c r="AB472" i="13"/>
  <c r="AA238" i="13"/>
  <c r="AB238" i="13"/>
  <c r="AB266" i="13"/>
  <c r="AA266" i="13"/>
  <c r="AA503" i="13"/>
  <c r="AB503" i="13"/>
  <c r="AB232" i="13"/>
  <c r="AA232" i="13"/>
  <c r="AB409" i="13"/>
  <c r="AA409" i="13"/>
  <c r="AA512" i="13"/>
  <c r="AB512" i="13"/>
  <c r="AB449" i="13"/>
  <c r="AA449" i="13"/>
  <c r="AB399" i="13"/>
  <c r="AA399" i="13"/>
  <c r="AB207" i="5"/>
  <c r="AA207" i="5"/>
  <c r="AB82" i="5"/>
  <c r="AA82" i="5"/>
  <c r="AB422" i="5"/>
  <c r="AA422" i="5"/>
  <c r="AB417" i="5"/>
  <c r="AA417" i="5"/>
  <c r="AA524" i="5"/>
  <c r="AB524" i="5"/>
  <c r="AB253" i="5"/>
  <c r="AA253" i="5"/>
  <c r="AB304" i="5"/>
  <c r="AA304" i="5"/>
  <c r="AB504" i="5"/>
  <c r="AA504" i="5"/>
  <c r="AB75" i="5"/>
  <c r="AA75" i="5"/>
  <c r="AB197" i="5"/>
  <c r="AA197" i="5"/>
  <c r="AA285" i="5"/>
  <c r="AB285" i="5"/>
  <c r="AA507" i="5"/>
  <c r="AB507" i="5"/>
  <c r="AA373" i="5"/>
  <c r="AB373" i="5"/>
  <c r="AB183" i="5"/>
  <c r="AA183" i="5"/>
  <c r="AA286" i="13"/>
  <c r="AB286" i="13"/>
  <c r="AA124" i="5"/>
  <c r="AB124" i="5"/>
  <c r="AB555" i="5"/>
  <c r="AA555" i="5"/>
  <c r="AB384" i="5"/>
  <c r="AA384" i="5"/>
  <c r="AB495" i="5"/>
  <c r="AA495" i="5"/>
  <c r="AB175" i="5"/>
  <c r="AA175" i="5"/>
  <c r="AB191" i="5"/>
  <c r="AA191" i="5"/>
  <c r="AB352" i="5"/>
  <c r="AA352" i="5"/>
  <c r="AA475" i="13"/>
  <c r="AB475" i="13"/>
  <c r="AB136" i="5"/>
  <c r="AA136" i="5"/>
  <c r="AA276" i="5"/>
  <c r="AB276" i="5"/>
  <c r="AB557" i="5"/>
  <c r="AA557" i="5"/>
  <c r="AB46" i="5"/>
  <c r="AA46" i="5"/>
  <c r="AA527" i="5"/>
  <c r="AB527" i="5"/>
  <c r="AB62" i="5"/>
  <c r="AA62" i="5"/>
  <c r="AB500" i="5"/>
  <c r="AA500" i="5"/>
  <c r="AA8" i="5"/>
  <c r="AB8" i="5"/>
  <c r="AB529" i="13"/>
  <c r="AA529" i="13"/>
  <c r="AA244" i="5"/>
  <c r="AB244" i="5"/>
  <c r="AA268" i="5"/>
  <c r="AB268" i="5"/>
  <c r="AA200" i="5"/>
  <c r="AB200" i="5"/>
  <c r="AA503" i="5"/>
  <c r="AB503" i="5"/>
  <c r="AA315" i="5"/>
  <c r="AB315" i="5"/>
  <c r="AA512" i="5"/>
  <c r="AB512" i="5"/>
  <c r="AA367" i="5"/>
  <c r="AB367" i="5"/>
  <c r="AB60" i="5"/>
  <c r="AA60" i="5"/>
  <c r="AA175" i="13"/>
  <c r="AB175" i="13"/>
  <c r="AA377" i="5"/>
  <c r="AB377" i="5"/>
  <c r="AA29" i="5"/>
  <c r="AB29" i="5"/>
  <c r="AA408" i="5"/>
  <c r="AB408" i="5"/>
  <c r="AB266" i="5"/>
  <c r="AA266" i="5"/>
  <c r="AB145" i="5"/>
  <c r="AA145" i="5"/>
  <c r="AA359" i="5"/>
  <c r="AB359" i="5"/>
  <c r="AB469" i="5"/>
  <c r="AA469" i="5"/>
  <c r="AB480" i="13"/>
  <c r="AA480" i="13"/>
  <c r="AA33" i="5"/>
  <c r="AB33" i="5"/>
  <c r="AB241" i="5"/>
  <c r="AA241" i="5"/>
  <c r="AB479" i="5"/>
  <c r="AA479" i="5"/>
  <c r="AA239" i="5"/>
  <c r="AB239" i="5"/>
  <c r="AB338" i="5"/>
  <c r="AA338" i="5"/>
  <c r="AB20" i="5"/>
  <c r="AA20" i="5"/>
  <c r="AA443" i="5"/>
  <c r="AB443" i="5"/>
  <c r="AA427" i="5"/>
  <c r="AB427" i="5"/>
  <c r="AA66" i="5"/>
  <c r="AB66" i="5"/>
  <c r="AB84" i="13"/>
  <c r="AA84" i="13"/>
  <c r="AA510" i="5"/>
  <c r="AB510" i="5"/>
  <c r="AB459" i="5"/>
  <c r="AA459" i="5"/>
  <c r="AA324" i="5"/>
  <c r="AB324" i="5"/>
  <c r="AB311" i="5"/>
  <c r="AA311" i="5"/>
  <c r="AB104" i="5"/>
  <c r="AA104" i="5"/>
  <c r="AB535" i="5"/>
  <c r="AA535" i="5"/>
  <c r="AA403" i="5"/>
  <c r="AB403" i="5"/>
  <c r="AB191" i="13"/>
  <c r="AA191" i="13"/>
  <c r="AA418" i="5"/>
  <c r="AB418" i="5"/>
  <c r="AA330" i="13"/>
  <c r="AB330" i="13"/>
  <c r="AA20" i="13"/>
  <c r="AB20" i="13"/>
  <c r="AB385" i="13"/>
  <c r="AA385" i="13"/>
  <c r="AA99" i="13"/>
  <c r="AB99" i="13"/>
  <c r="AA142" i="13"/>
  <c r="AB142" i="13"/>
  <c r="AB504" i="13"/>
  <c r="AA504" i="13"/>
  <c r="AA540" i="13"/>
  <c r="AB540" i="13"/>
  <c r="AB520" i="13"/>
  <c r="AA520" i="13"/>
  <c r="AB435" i="13"/>
  <c r="AA435" i="13"/>
  <c r="AB374" i="5"/>
  <c r="AA374" i="5"/>
  <c r="AA92" i="5"/>
  <c r="AB92" i="5"/>
  <c r="AA337" i="13"/>
  <c r="AB337" i="13"/>
  <c r="AA299" i="13"/>
  <c r="AB299" i="13"/>
  <c r="AA235" i="13"/>
  <c r="AB235" i="13"/>
  <c r="AB181" i="13"/>
  <c r="AA181" i="13"/>
  <c r="AA39" i="13"/>
  <c r="AB39" i="13"/>
  <c r="AB83" i="13"/>
  <c r="AA83" i="13"/>
  <c r="AB305" i="13"/>
  <c r="AA305" i="13"/>
  <c r="AB418" i="13"/>
  <c r="AA418" i="13"/>
  <c r="AA202" i="13"/>
  <c r="AB202" i="13"/>
  <c r="AB270" i="13"/>
  <c r="AA270" i="13"/>
  <c r="AA481" i="13"/>
  <c r="AB481" i="13"/>
  <c r="AB246" i="13"/>
  <c r="AA246" i="13"/>
  <c r="AB408" i="13"/>
  <c r="AA408" i="13"/>
  <c r="AA514" i="13"/>
  <c r="AB514" i="13"/>
  <c r="AB445" i="13"/>
  <c r="AA445" i="13"/>
  <c r="AB391" i="13"/>
  <c r="AA391" i="13"/>
  <c r="AB316" i="13"/>
  <c r="AA316" i="13"/>
  <c r="AA223" i="5"/>
  <c r="AB223" i="5"/>
  <c r="AB288" i="5"/>
  <c r="AA288" i="5"/>
  <c r="AB162" i="13"/>
  <c r="AA162" i="13"/>
  <c r="AB53" i="13"/>
  <c r="AA53" i="13"/>
  <c r="AB485" i="13"/>
  <c r="AA485" i="13"/>
  <c r="AA250" i="13"/>
  <c r="AB250" i="13"/>
  <c r="AB422" i="13"/>
  <c r="AA422" i="13"/>
  <c r="AB361" i="13"/>
  <c r="AA361" i="13"/>
  <c r="AB78" i="13"/>
  <c r="AA78" i="13"/>
  <c r="AB430" i="13"/>
  <c r="AA430" i="13"/>
  <c r="AA279" i="5"/>
  <c r="AB279" i="5"/>
  <c r="AB445" i="5"/>
  <c r="AA445" i="5"/>
  <c r="AA171" i="13"/>
  <c r="AB171" i="13"/>
  <c r="AA386" i="13"/>
  <c r="AB386" i="13"/>
  <c r="AA536" i="13"/>
  <c r="AB536" i="13"/>
  <c r="AB548" i="13"/>
  <c r="AA548" i="13"/>
  <c r="AA517" i="13"/>
  <c r="AB517" i="13"/>
  <c r="AB392" i="13"/>
  <c r="AA392" i="13"/>
  <c r="AB389" i="13"/>
  <c r="AA389" i="13"/>
  <c r="AB291" i="13"/>
  <c r="AA291" i="13"/>
  <c r="AB225" i="13"/>
  <c r="AA225" i="13"/>
  <c r="AA24" i="5"/>
  <c r="AB24" i="5"/>
  <c r="AB289" i="5"/>
  <c r="AA289" i="5"/>
  <c r="AB436" i="13"/>
  <c r="AA436" i="13"/>
  <c r="AA341" i="13"/>
  <c r="AB341" i="13"/>
  <c r="AB312" i="13"/>
  <c r="AA312" i="13"/>
  <c r="AB245" i="13"/>
  <c r="AA245" i="13"/>
  <c r="AB140" i="13"/>
  <c r="AA140" i="13"/>
  <c r="AB60" i="13"/>
  <c r="AA60" i="13"/>
  <c r="AA203" i="13"/>
  <c r="AB203" i="13"/>
  <c r="AB244" i="13"/>
  <c r="AA244" i="13"/>
  <c r="AB420" i="13"/>
  <c r="AA420" i="13"/>
  <c r="AB85" i="13"/>
  <c r="AA85" i="13"/>
  <c r="AB462" i="13"/>
  <c r="AA462" i="13"/>
  <c r="AA169" i="13"/>
  <c r="AB169" i="13"/>
  <c r="AB128" i="13"/>
  <c r="AA128" i="13"/>
  <c r="AB426" i="13"/>
  <c r="AA426" i="13"/>
  <c r="AA145" i="13"/>
  <c r="AB145" i="13"/>
  <c r="AB214" i="13"/>
  <c r="AA214" i="13"/>
  <c r="AA523" i="13"/>
  <c r="AB523" i="13"/>
  <c r="BZ48" i="4"/>
  <c r="CA48" i="4" s="1"/>
  <c r="CC48" i="4"/>
  <c r="CD48" i="4" s="1"/>
  <c r="CQ48" i="4" s="1"/>
  <c r="BZ88" i="4"/>
  <c r="CA88" i="4" s="1"/>
  <c r="CC145" i="4"/>
  <c r="CD145" i="4" s="1"/>
  <c r="CQ145" i="4" s="1"/>
  <c r="BZ131" i="4"/>
  <c r="CA131" i="4" s="1"/>
  <c r="BZ86" i="4"/>
  <c r="CA86" i="4" s="1"/>
  <c r="CC143" i="4"/>
  <c r="CD143" i="4" s="1"/>
  <c r="CQ143" i="4" s="1"/>
  <c r="CC94" i="4"/>
  <c r="CD94" i="4" s="1"/>
  <c r="CQ94" i="4" s="1"/>
  <c r="BZ27" i="4"/>
  <c r="CA27" i="4" s="1"/>
  <c r="BZ93" i="4"/>
  <c r="CA93" i="4" s="1"/>
  <c r="BZ65" i="4"/>
  <c r="CA65" i="4" s="1"/>
  <c r="BZ9" i="4"/>
  <c r="CA9" i="4" s="1"/>
  <c r="BZ62" i="4"/>
  <c r="CA62" i="4" s="1"/>
  <c r="CC78" i="4"/>
  <c r="CD78" i="4" s="1"/>
  <c r="CQ78" i="4" s="1"/>
  <c r="BZ115" i="4"/>
  <c r="CA115" i="4" s="1"/>
  <c r="CC57" i="4"/>
  <c r="CD57" i="4" s="1"/>
  <c r="CQ57" i="4" s="1"/>
  <c r="CC26" i="4"/>
  <c r="CD26" i="4" s="1"/>
  <c r="CQ26" i="4" s="1"/>
  <c r="BZ54" i="4"/>
  <c r="CA54" i="4" s="1"/>
  <c r="CC25" i="4"/>
  <c r="CD25" i="4" s="1"/>
  <c r="CQ25" i="4" s="1"/>
  <c r="CC147" i="4"/>
  <c r="CD147" i="4" s="1"/>
  <c r="CQ147" i="4" s="1"/>
  <c r="BZ101" i="4"/>
  <c r="CA101" i="4" s="1"/>
  <c r="CC35" i="4"/>
  <c r="CD35" i="4" s="1"/>
  <c r="CQ35" i="4" s="1"/>
  <c r="BZ35" i="4"/>
  <c r="CA35" i="4" s="1"/>
  <c r="BZ105" i="4"/>
  <c r="CA105" i="4" s="1"/>
  <c r="CC105" i="4"/>
  <c r="CD105" i="4" s="1"/>
  <c r="CQ105" i="4" s="1"/>
  <c r="CC30" i="4"/>
  <c r="CD30" i="4" s="1"/>
  <c r="CQ30" i="4" s="1"/>
  <c r="BZ146" i="4"/>
  <c r="CA146" i="4" s="1"/>
  <c r="CC98" i="4"/>
  <c r="CD98" i="4" s="1"/>
  <c r="CQ98" i="4" s="1"/>
  <c r="CC56" i="4"/>
  <c r="CD56" i="4" s="1"/>
  <c r="CQ56" i="4" s="1"/>
  <c r="CC103" i="4"/>
  <c r="CD103" i="4" s="1"/>
  <c r="CQ103" i="4" s="1"/>
  <c r="BZ70" i="4"/>
  <c r="CA70" i="4" s="1"/>
  <c r="CC42" i="4"/>
  <c r="CD42" i="4" s="1"/>
  <c r="CQ42" i="4" s="1"/>
  <c r="B217" i="2"/>
  <c r="P7" i="13" s="1"/>
  <c r="B17" i="13"/>
  <c r="BZ99" i="4"/>
  <c r="CA99" i="4" s="1"/>
  <c r="CC99" i="4"/>
  <c r="CD99" i="4" s="1"/>
  <c r="CQ99" i="4" s="1"/>
  <c r="T70" i="5"/>
  <c r="U70" i="5" s="1"/>
  <c r="CC144" i="4"/>
  <c r="CD144" i="4" s="1"/>
  <c r="CQ144" i="4" s="1"/>
  <c r="BZ68" i="4"/>
  <c r="CA68" i="4" s="1"/>
  <c r="CC76" i="4"/>
  <c r="CD76" i="4" s="1"/>
  <c r="CQ76" i="4" s="1"/>
  <c r="BZ16" i="4"/>
  <c r="CA16" i="4" s="1"/>
  <c r="CC34" i="4"/>
  <c r="CD34" i="4" s="1"/>
  <c r="CQ34" i="4" s="1"/>
  <c r="CC14" i="4"/>
  <c r="CD14" i="4" s="1"/>
  <c r="CQ14" i="4" s="1"/>
  <c r="BZ140" i="4"/>
  <c r="CA140" i="4" s="1"/>
  <c r="BZ85" i="4"/>
  <c r="CA85" i="4" s="1"/>
  <c r="BZ102" i="4"/>
  <c r="CA102" i="4" s="1"/>
  <c r="BZ31" i="4"/>
  <c r="CA31" i="4" s="1"/>
  <c r="CC49" i="4"/>
  <c r="CD49" i="4" s="1"/>
  <c r="CQ49" i="4" s="1"/>
  <c r="B223" i="2"/>
  <c r="T7" i="13"/>
  <c r="CC52" i="4"/>
  <c r="CD52" i="4" s="1"/>
  <c r="CQ52" i="4" s="1"/>
  <c r="BZ63" i="4"/>
  <c r="CA63" i="4" s="1"/>
  <c r="BZ47" i="4"/>
  <c r="CA47" i="4" s="1"/>
  <c r="CC15" i="4"/>
  <c r="CD15" i="4" s="1"/>
  <c r="CQ15" i="4" s="1"/>
  <c r="BZ73" i="4"/>
  <c r="CA73" i="4" s="1"/>
  <c r="CC55" i="4"/>
  <c r="CD55" i="4" s="1"/>
  <c r="CQ55" i="4" s="1"/>
  <c r="CC132" i="4"/>
  <c r="CD132" i="4" s="1"/>
  <c r="CQ132" i="4" s="1"/>
  <c r="CC134" i="4"/>
  <c r="CD134" i="4" s="1"/>
  <c r="CQ134" i="4" s="1"/>
  <c r="CC127" i="4"/>
  <c r="CD127" i="4" s="1"/>
  <c r="CQ127" i="4" s="1"/>
  <c r="BZ20" i="4"/>
  <c r="CA20" i="4" s="1"/>
  <c r="CC72" i="4"/>
  <c r="CD72" i="4" s="1"/>
  <c r="CQ72" i="4" s="1"/>
  <c r="BZ154" i="4"/>
  <c r="CA154" i="4" s="1"/>
  <c r="CC112" i="4"/>
  <c r="CD112" i="4" s="1"/>
  <c r="CQ112" i="4" s="1"/>
  <c r="BZ157" i="4"/>
  <c r="CA157" i="4" s="1"/>
  <c r="CC67" i="4"/>
  <c r="CD67" i="4" s="1"/>
  <c r="CQ67" i="4" s="1"/>
  <c r="BZ41" i="4"/>
  <c r="CA41" i="4" s="1"/>
  <c r="BZ124" i="4"/>
  <c r="CA124" i="4" s="1"/>
  <c r="CC38" i="4"/>
  <c r="CD38" i="4" s="1"/>
  <c r="CQ38" i="4" s="1"/>
  <c r="BZ142" i="4"/>
  <c r="CA142" i="4" s="1"/>
  <c r="CC107" i="4"/>
  <c r="CD107" i="4" s="1"/>
  <c r="CQ107" i="4" s="1"/>
  <c r="BZ114" i="4"/>
  <c r="CA114" i="4" s="1"/>
  <c r="BZ64" i="4"/>
  <c r="CA64" i="4" s="1"/>
  <c r="CC13" i="4"/>
  <c r="CD13" i="4" s="1"/>
  <c r="CQ13" i="4" s="1"/>
  <c r="BZ61" i="4"/>
  <c r="CA61" i="4" s="1"/>
  <c r="BZ45" i="4"/>
  <c r="CA45" i="4" s="1"/>
  <c r="CC23" i="4"/>
  <c r="CD23" i="4" s="1"/>
  <c r="CQ23" i="4" s="1"/>
  <c r="B219" i="2"/>
  <c r="Q7" i="5" s="1"/>
  <c r="CC118" i="4"/>
  <c r="CD118" i="4" s="1"/>
  <c r="CQ118" i="4" s="1"/>
  <c r="AT13" i="13"/>
  <c r="AU13" i="13"/>
  <c r="AU12" i="13"/>
  <c r="AT12" i="13"/>
  <c r="T557" i="13"/>
  <c r="T559" i="13"/>
  <c r="T555" i="13"/>
  <c r="T553" i="13"/>
  <c r="T556" i="13"/>
  <c r="T558" i="13"/>
  <c r="T554" i="13"/>
  <c r="T551" i="13"/>
  <c r="T545" i="13"/>
  <c r="T552" i="13"/>
  <c r="T539" i="13"/>
  <c r="T544" i="13"/>
  <c r="T549" i="13"/>
  <c r="T541" i="13"/>
  <c r="T534" i="13"/>
  <c r="T540" i="13"/>
  <c r="T560" i="13"/>
  <c r="T546" i="13"/>
  <c r="T532" i="13"/>
  <c r="T526" i="13"/>
  <c r="T536" i="13"/>
  <c r="T529" i="13"/>
  <c r="T528" i="13"/>
  <c r="T524" i="13"/>
  <c r="T521" i="13"/>
  <c r="T518" i="13"/>
  <c r="T516" i="13"/>
  <c r="T515" i="13"/>
  <c r="T523" i="13"/>
  <c r="T548" i="13"/>
  <c r="T530" i="13"/>
  <c r="T527" i="13"/>
  <c r="T512" i="13"/>
  <c r="T520" i="13"/>
  <c r="T522" i="13"/>
  <c r="T509" i="13"/>
  <c r="T505" i="13"/>
  <c r="T496" i="13"/>
  <c r="T492" i="13"/>
  <c r="T488" i="13"/>
  <c r="T498" i="13"/>
  <c r="T519" i="13"/>
  <c r="T514" i="13"/>
  <c r="T500" i="13"/>
  <c r="T511" i="13"/>
  <c r="T494" i="13"/>
  <c r="T490" i="13"/>
  <c r="T486" i="13"/>
  <c r="T506" i="13"/>
  <c r="T502" i="13"/>
  <c r="T504" i="13"/>
  <c r="T480" i="13"/>
  <c r="T464" i="13"/>
  <c r="T483" i="13"/>
  <c r="T484" i="13"/>
  <c r="T510" i="13"/>
  <c r="T487" i="13"/>
  <c r="T476" i="13"/>
  <c r="T495" i="13"/>
  <c r="T491" i="13"/>
  <c r="T475" i="13"/>
  <c r="T460" i="13"/>
  <c r="T456" i="13"/>
  <c r="T452" i="13"/>
  <c r="T449" i="13"/>
  <c r="T445" i="13"/>
  <c r="T468" i="13"/>
  <c r="T447" i="13"/>
  <c r="T443" i="13"/>
  <c r="T439" i="13"/>
  <c r="T444" i="13"/>
  <c r="T438" i="13"/>
  <c r="T441" i="13"/>
  <c r="T437" i="13"/>
  <c r="T436" i="13"/>
  <c r="T435" i="13"/>
  <c r="T426" i="13"/>
  <c r="T448" i="13"/>
  <c r="T434" i="13"/>
  <c r="T429" i="13"/>
  <c r="T471" i="13"/>
  <c r="T440" i="13"/>
  <c r="T479" i="13"/>
  <c r="T427" i="13"/>
  <c r="T433" i="13"/>
  <c r="T431" i="13"/>
  <c r="T422" i="13"/>
  <c r="T428" i="13"/>
  <c r="T425" i="13"/>
  <c r="T403" i="13"/>
  <c r="T399" i="13"/>
  <c r="T410" i="13"/>
  <c r="T398" i="13"/>
  <c r="T396" i="13"/>
  <c r="T395" i="13"/>
  <c r="T392" i="13"/>
  <c r="T391" i="13"/>
  <c r="T400" i="13"/>
  <c r="T388" i="13"/>
  <c r="T387" i="13"/>
  <c r="T404" i="13"/>
  <c r="T384" i="13"/>
  <c r="T380" i="13"/>
  <c r="T376" i="13"/>
  <c r="T372" i="13"/>
  <c r="T368" i="13"/>
  <c r="T364" i="13"/>
  <c r="T360" i="13"/>
  <c r="T385" i="13"/>
  <c r="T357" i="13"/>
  <c r="T341" i="13"/>
  <c r="T337" i="13"/>
  <c r="T333" i="13"/>
  <c r="T377" i="13"/>
  <c r="T356" i="13"/>
  <c r="T373" i="13"/>
  <c r="T343" i="13"/>
  <c r="T339" i="13"/>
  <c r="T335" i="13"/>
  <c r="T369" i="13"/>
  <c r="T354" i="13"/>
  <c r="T348" i="13"/>
  <c r="T353" i="13"/>
  <c r="T329" i="13"/>
  <c r="T309" i="13"/>
  <c r="T304" i="13"/>
  <c r="T300" i="13"/>
  <c r="T365" i="13"/>
  <c r="T328" i="13"/>
  <c r="T319" i="13"/>
  <c r="T347" i="13"/>
  <c r="T340" i="13"/>
  <c r="T327" i="13"/>
  <c r="T322" i="13"/>
  <c r="T317" i="13"/>
  <c r="T314" i="13"/>
  <c r="T332" i="13"/>
  <c r="T325" i="13"/>
  <c r="T320" i="13"/>
  <c r="T312" i="13"/>
  <c r="T352" i="13"/>
  <c r="T324" i="13"/>
  <c r="T336" i="13"/>
  <c r="T331" i="13"/>
  <c r="T323" i="13"/>
  <c r="T321" i="13"/>
  <c r="T307" i="13"/>
  <c r="T303" i="13"/>
  <c r="T299" i="13"/>
  <c r="T292" i="13"/>
  <c r="T284" i="13"/>
  <c r="T308" i="13"/>
  <c r="T295" i="13"/>
  <c r="T287" i="13"/>
  <c r="T310" i="13"/>
  <c r="T298" i="13"/>
  <c r="T290" i="13"/>
  <c r="T381" i="13"/>
  <c r="T316" i="13"/>
  <c r="T296" i="13"/>
  <c r="T293" i="13"/>
  <c r="T288" i="13"/>
  <c r="T285" i="13"/>
  <c r="T291" i="13"/>
  <c r="T280" i="13"/>
  <c r="T276" i="13"/>
  <c r="T264" i="13"/>
  <c r="T256" i="13"/>
  <c r="T248" i="13"/>
  <c r="T272" i="13"/>
  <c r="T268" i="13"/>
  <c r="T313" i="13"/>
  <c r="T258" i="13"/>
  <c r="T250" i="13"/>
  <c r="T218" i="13"/>
  <c r="T214" i="13"/>
  <c r="T260" i="13"/>
  <c r="T252" i="13"/>
  <c r="T244" i="13"/>
  <c r="T240" i="13"/>
  <c r="T344" i="13"/>
  <c r="T305" i="13"/>
  <c r="T242" i="13"/>
  <c r="T236" i="13"/>
  <c r="T234" i="13"/>
  <c r="T232" i="13"/>
  <c r="T208" i="13"/>
  <c r="T246" i="13"/>
  <c r="T254" i="13"/>
  <c r="T204" i="13"/>
  <c r="T188" i="13"/>
  <c r="T177" i="13"/>
  <c r="T173" i="13"/>
  <c r="T169" i="13"/>
  <c r="T165" i="13"/>
  <c r="T262" i="13"/>
  <c r="T192" i="13"/>
  <c r="T228" i="13"/>
  <c r="T224" i="13"/>
  <c r="T220" i="13"/>
  <c r="T216" i="13"/>
  <c r="T212" i="13"/>
  <c r="T196" i="13"/>
  <c r="T200" i="13"/>
  <c r="T163" i="13"/>
  <c r="T153" i="13"/>
  <c r="T141" i="13"/>
  <c r="T202" i="13"/>
  <c r="T175" i="13"/>
  <c r="T143" i="13"/>
  <c r="T155" i="13"/>
  <c r="T145" i="13"/>
  <c r="T171" i="13"/>
  <c r="T157" i="13"/>
  <c r="T131" i="13"/>
  <c r="T129" i="13"/>
  <c r="T198" i="13"/>
  <c r="T147" i="13"/>
  <c r="T133" i="13"/>
  <c r="T161" i="13"/>
  <c r="T137" i="13"/>
  <c r="T127" i="13"/>
  <c r="T123" i="13"/>
  <c r="T119" i="13"/>
  <c r="T115" i="13"/>
  <c r="T111" i="13"/>
  <c r="T107" i="13"/>
  <c r="T103" i="13"/>
  <c r="T99" i="13"/>
  <c r="T149" i="13"/>
  <c r="T83" i="13"/>
  <c r="T95" i="13"/>
  <c r="B49" i="13"/>
  <c r="T159" i="13"/>
  <c r="T135" i="13"/>
  <c r="T87" i="13"/>
  <c r="T80" i="13"/>
  <c r="T77" i="13"/>
  <c r="T73" i="13"/>
  <c r="T167" i="13"/>
  <c r="T139" i="13"/>
  <c r="T151" i="13"/>
  <c r="T19" i="13"/>
  <c r="T65" i="13"/>
  <c r="T45" i="13"/>
  <c r="T43" i="13"/>
  <c r="T61" i="13"/>
  <c r="T28" i="13"/>
  <c r="T49" i="13"/>
  <c r="T31" i="13"/>
  <c r="T26" i="13"/>
  <c r="T21" i="13"/>
  <c r="O10" i="13"/>
  <c r="AG10" i="13" s="1"/>
  <c r="T52" i="13"/>
  <c r="T179" i="13"/>
  <c r="T68" i="13"/>
  <c r="T42" i="13"/>
  <c r="T39" i="13"/>
  <c r="T32" i="13"/>
  <c r="T82" i="13"/>
  <c r="T75" i="13"/>
  <c r="T59" i="13"/>
  <c r="T34" i="13"/>
  <c r="T46" i="13"/>
  <c r="T37" i="13"/>
  <c r="T91" i="13"/>
  <c r="T48" i="13"/>
  <c r="T23" i="13"/>
  <c r="T85" i="13"/>
  <c r="T108" i="13"/>
  <c r="T125" i="13"/>
  <c r="T105" i="13"/>
  <c r="T126" i="13"/>
  <c r="T180" i="13"/>
  <c r="T152" i="13"/>
  <c r="T195" i="13"/>
  <c r="T294" i="13"/>
  <c r="T237" i="13"/>
  <c r="T181" i="13"/>
  <c r="T213" i="13"/>
  <c r="T245" i="13"/>
  <c r="T261" i="13"/>
  <c r="T277" i="13"/>
  <c r="T351" i="13"/>
  <c r="T330" i="13"/>
  <c r="T362" i="13"/>
  <c r="T355" i="13"/>
  <c r="T374" i="13"/>
  <c r="T378" i="13"/>
  <c r="T421" i="13"/>
  <c r="T424" i="13"/>
  <c r="T411" i="13"/>
  <c r="T462" i="13"/>
  <c r="T446" i="13"/>
  <c r="T453" i="13"/>
  <c r="T467" i="13"/>
  <c r="T485" i="13"/>
  <c r="T493" i="13"/>
  <c r="T517" i="13"/>
  <c r="T550" i="13"/>
  <c r="T481" i="13"/>
  <c r="T537" i="13"/>
  <c r="T35" i="13"/>
  <c r="T140" i="13"/>
  <c r="T132" i="13"/>
  <c r="T366" i="13"/>
  <c r="T93" i="13"/>
  <c r="T274" i="13"/>
  <c r="T238" i="13"/>
  <c r="T231" i="13"/>
  <c r="T402" i="13"/>
  <c r="T451" i="13"/>
  <c r="T503" i="13"/>
  <c r="T76" i="13"/>
  <c r="T109" i="13"/>
  <c r="T71" i="13"/>
  <c r="T25" i="13"/>
  <c r="T84" i="13"/>
  <c r="T78" i="13"/>
  <c r="T112" i="13"/>
  <c r="T56" i="13"/>
  <c r="T121" i="13"/>
  <c r="T190" i="13"/>
  <c r="T150" i="13"/>
  <c r="T158" i="13"/>
  <c r="T166" i="13"/>
  <c r="T174" i="13"/>
  <c r="T230" i="13"/>
  <c r="T182" i="13"/>
  <c r="T215" i="13"/>
  <c r="T223" i="13"/>
  <c r="T282" i="13"/>
  <c r="T233" i="13"/>
  <c r="T185" i="13"/>
  <c r="T201" i="13"/>
  <c r="T225" i="13"/>
  <c r="T302" i="13"/>
  <c r="T235" i="13"/>
  <c r="T251" i="13"/>
  <c r="T267" i="13"/>
  <c r="T283" i="13"/>
  <c r="T297" i="13"/>
  <c r="T409" i="13"/>
  <c r="T389" i="13"/>
  <c r="T370" i="13"/>
  <c r="T386" i="13"/>
  <c r="T379" i="13"/>
  <c r="T423" i="13"/>
  <c r="T442" i="13"/>
  <c r="T472" i="13"/>
  <c r="T457" i="13"/>
  <c r="T482" i="13"/>
  <c r="T497" i="13"/>
  <c r="T535" i="13"/>
  <c r="T538" i="13"/>
  <c r="T470" i="13"/>
  <c r="T221" i="13"/>
  <c r="T257" i="13"/>
  <c r="T279" i="13"/>
  <c r="T326" i="13"/>
  <c r="T420" i="13"/>
  <c r="T417" i="13"/>
  <c r="T473" i="13"/>
  <c r="T57" i="13"/>
  <c r="T20" i="13"/>
  <c r="T44" i="13"/>
  <c r="T104" i="13"/>
  <c r="T116" i="13"/>
  <c r="T176" i="13"/>
  <c r="T106" i="13"/>
  <c r="T53" i="13"/>
  <c r="T94" i="13"/>
  <c r="T100" i="13"/>
  <c r="T114" i="13"/>
  <c r="T144" i="13"/>
  <c r="T207" i="13"/>
  <c r="T249" i="13"/>
  <c r="T265" i="13"/>
  <c r="T281" i="13"/>
  <c r="T342" i="13"/>
  <c r="T345" i="13"/>
  <c r="T349" i="13"/>
  <c r="T363" i="13"/>
  <c r="T393" i="13"/>
  <c r="T406" i="13"/>
  <c r="T455" i="13"/>
  <c r="T450" i="13"/>
  <c r="T461" i="13"/>
  <c r="T318" i="13"/>
  <c r="T22" i="13"/>
  <c r="T405" i="13"/>
  <c r="T289" i="13"/>
  <c r="T413" i="13"/>
  <c r="T531" i="13"/>
  <c r="T51" i="13"/>
  <c r="T41" i="13"/>
  <c r="T74" i="13"/>
  <c r="T60" i="13"/>
  <c r="T102" i="13"/>
  <c r="T98" i="13"/>
  <c r="T86" i="13"/>
  <c r="T58" i="13"/>
  <c r="T148" i="13"/>
  <c r="T164" i="13"/>
  <c r="T199" i="13"/>
  <c r="T184" i="13"/>
  <c r="T286" i="13"/>
  <c r="T189" i="13"/>
  <c r="T205" i="13"/>
  <c r="T217" i="13"/>
  <c r="T239" i="13"/>
  <c r="T255" i="13"/>
  <c r="T271" i="13"/>
  <c r="T301" i="13"/>
  <c r="T358" i="13"/>
  <c r="T390" i="13"/>
  <c r="T367" i="13"/>
  <c r="T383" i="13"/>
  <c r="T416" i="13"/>
  <c r="T419" i="13"/>
  <c r="T432" i="13"/>
  <c r="T418" i="13"/>
  <c r="T412" i="13"/>
  <c r="T525" i="13"/>
  <c r="T507" i="13"/>
  <c r="T543" i="13"/>
  <c r="T547" i="13"/>
  <c r="T64" i="13"/>
  <c r="T30" i="13"/>
  <c r="T24" i="13"/>
  <c r="T92" i="13"/>
  <c r="T136" i="13"/>
  <c r="T210" i="13"/>
  <c r="T401" i="13"/>
  <c r="T430" i="13"/>
  <c r="T36" i="13"/>
  <c r="T172" i="13"/>
  <c r="T197" i="13"/>
  <c r="T263" i="13"/>
  <c r="T306" i="13"/>
  <c r="T375" i="13"/>
  <c r="T414" i="13"/>
  <c r="T454" i="13"/>
  <c r="T8" i="13"/>
  <c r="T27" i="13"/>
  <c r="T33" i="13"/>
  <c r="T70" i="13"/>
  <c r="T97" i="13"/>
  <c r="T40" i="13"/>
  <c r="T54" i="13"/>
  <c r="T90" i="13"/>
  <c r="T120" i="13"/>
  <c r="T128" i="13"/>
  <c r="T62" i="13"/>
  <c r="T96" i="13"/>
  <c r="T110" i="13"/>
  <c r="T118" i="13"/>
  <c r="T134" i="13"/>
  <c r="T194" i="13"/>
  <c r="T187" i="13"/>
  <c r="T206" i="13"/>
  <c r="T350" i="13"/>
  <c r="T229" i="13"/>
  <c r="T266" i="13"/>
  <c r="T278" i="13"/>
  <c r="T270" i="13"/>
  <c r="T311" i="13"/>
  <c r="T253" i="13"/>
  <c r="T269" i="13"/>
  <c r="T334" i="13"/>
  <c r="T338" i="13"/>
  <c r="T415" i="13"/>
  <c r="T469" i="13"/>
  <c r="T458" i="13"/>
  <c r="T466" i="13"/>
  <c r="T499" i="13"/>
  <c r="T533" i="13"/>
  <c r="T113" i="13"/>
  <c r="T156" i="13"/>
  <c r="T130" i="13"/>
  <c r="T241" i="13"/>
  <c r="T315" i="13"/>
  <c r="T463" i="13"/>
  <c r="T79" i="13"/>
  <c r="T38" i="13"/>
  <c r="T67" i="13"/>
  <c r="T203" i="13"/>
  <c r="T168" i="13"/>
  <c r="T226" i="13"/>
  <c r="T247" i="13"/>
  <c r="T55" i="13"/>
  <c r="T63" i="13"/>
  <c r="T160" i="13"/>
  <c r="T29" i="13"/>
  <c r="T81" i="13"/>
  <c r="T66" i="13"/>
  <c r="T124" i="13"/>
  <c r="T88" i="13"/>
  <c r="T138" i="13"/>
  <c r="T142" i="13"/>
  <c r="T146" i="13"/>
  <c r="T154" i="13"/>
  <c r="T162" i="13"/>
  <c r="T170" i="13"/>
  <c r="T178" i="13"/>
  <c r="T183" i="13"/>
  <c r="T186" i="13"/>
  <c r="T211" i="13"/>
  <c r="T219" i="13"/>
  <c r="T227" i="13"/>
  <c r="T222" i="13"/>
  <c r="T193" i="13"/>
  <c r="T209" i="13"/>
  <c r="T243" i="13"/>
  <c r="T259" i="13"/>
  <c r="T275" i="13"/>
  <c r="T382" i="13"/>
  <c r="T361" i="13"/>
  <c r="T394" i="13"/>
  <c r="T359" i="13"/>
  <c r="T407" i="13"/>
  <c r="T397" i="13"/>
  <c r="T371" i="13"/>
  <c r="T408" i="13"/>
  <c r="T465" i="13"/>
  <c r="T459" i="13"/>
  <c r="T474" i="13"/>
  <c r="T477" i="13"/>
  <c r="T508" i="13"/>
  <c r="T489" i="13"/>
  <c r="T513" i="13"/>
  <c r="T542" i="13"/>
  <c r="T47" i="13"/>
  <c r="T50" i="13"/>
  <c r="T101" i="13"/>
  <c r="T89" i="13"/>
  <c r="T122" i="13"/>
  <c r="T273" i="13"/>
  <c r="T501" i="13"/>
  <c r="T72" i="13"/>
  <c r="T117" i="13"/>
  <c r="T69" i="13"/>
  <c r="T191" i="13"/>
  <c r="T346" i="13"/>
  <c r="T478" i="13"/>
  <c r="T13" i="13"/>
  <c r="T12" i="13"/>
  <c r="BZ135" i="4"/>
  <c r="CA135" i="4" s="1"/>
  <c r="BZ10" i="4"/>
  <c r="CA10" i="4" s="1"/>
  <c r="CC150" i="4"/>
  <c r="CD150" i="4" s="1"/>
  <c r="CQ150" i="4" s="1"/>
  <c r="CC81" i="4"/>
  <c r="CD81" i="4" s="1"/>
  <c r="CQ81" i="4" s="1"/>
  <c r="CC74" i="4"/>
  <c r="CD74" i="4" s="1"/>
  <c r="CQ74" i="4" s="1"/>
  <c r="B95" i="2"/>
  <c r="B97" i="2" s="1"/>
  <c r="H31" i="1" s="1"/>
  <c r="B108" i="2" s="1"/>
  <c r="B109" i="2" s="1"/>
  <c r="BZ83" i="4"/>
  <c r="CA83" i="4" s="1"/>
  <c r="BZ120" i="4"/>
  <c r="CA120" i="4" s="1"/>
  <c r="BZ43" i="4"/>
  <c r="CA43" i="4" s="1"/>
  <c r="CC116" i="4"/>
  <c r="CD116" i="4" s="1"/>
  <c r="CQ116" i="4" s="1"/>
  <c r="CC151" i="4"/>
  <c r="CD151" i="4" s="1"/>
  <c r="CQ151" i="4" s="1"/>
  <c r="CC79" i="4"/>
  <c r="CD79" i="4" s="1"/>
  <c r="CQ79" i="4" s="1"/>
  <c r="CC21" i="4"/>
  <c r="CD21" i="4" s="1"/>
  <c r="CQ21" i="4" s="1"/>
  <c r="CC11" i="4"/>
  <c r="CD11" i="4" s="1"/>
  <c r="CQ11" i="4" s="1"/>
  <c r="BZ17" i="4"/>
  <c r="CA17" i="4" s="1"/>
  <c r="BZ8" i="4"/>
  <c r="CA8" i="4" s="1"/>
  <c r="T189" i="5"/>
  <c r="V189" i="5" s="1"/>
  <c r="B103" i="2"/>
  <c r="B105" i="2" s="1"/>
  <c r="B225" i="2"/>
  <c r="W7" i="13" s="1"/>
  <c r="F257" i="2"/>
  <c r="B99" i="2"/>
  <c r="B101" i="2" s="1"/>
  <c r="B310" i="2"/>
  <c r="F86" i="1" s="1"/>
  <c r="R75" i="4"/>
  <c r="AF75" i="4" s="1"/>
  <c r="T151" i="5"/>
  <c r="U151" i="5" s="1"/>
  <c r="T159" i="5"/>
  <c r="V159" i="5" s="1"/>
  <c r="T531" i="5"/>
  <c r="V531" i="5" s="1"/>
  <c r="T537" i="5"/>
  <c r="V537" i="5" s="1"/>
  <c r="T476" i="5"/>
  <c r="V476" i="5" s="1"/>
  <c r="T507" i="5"/>
  <c r="V507" i="5" s="1"/>
  <c r="T553" i="5"/>
  <c r="V553" i="5" s="1"/>
  <c r="T106" i="5"/>
  <c r="U106" i="5" s="1"/>
  <c r="T511" i="5"/>
  <c r="U511" i="5" s="1"/>
  <c r="T421" i="5"/>
  <c r="V421" i="5" s="1"/>
  <c r="T401" i="5"/>
  <c r="U401" i="5" s="1"/>
  <c r="T368" i="5"/>
  <c r="V368" i="5" s="1"/>
  <c r="T465" i="5"/>
  <c r="V465" i="5" s="1"/>
  <c r="T54" i="5"/>
  <c r="U54" i="5" s="1"/>
  <c r="T21" i="5"/>
  <c r="V21" i="5" s="1"/>
  <c r="T95" i="5"/>
  <c r="V95" i="5" s="1"/>
  <c r="T552" i="5"/>
  <c r="V552" i="5" s="1"/>
  <c r="T558" i="5"/>
  <c r="V558" i="5" s="1"/>
  <c r="T433" i="5"/>
  <c r="U433" i="5" s="1"/>
  <c r="T308" i="5"/>
  <c r="U308" i="5" s="1"/>
  <c r="T41" i="5"/>
  <c r="U41" i="5" s="1"/>
  <c r="T422" i="5"/>
  <c r="V422" i="5" s="1"/>
  <c r="T467" i="5"/>
  <c r="U467" i="5" s="1"/>
  <c r="T88" i="5"/>
  <c r="U88" i="5" s="1"/>
  <c r="T513" i="5"/>
  <c r="V513" i="5" s="1"/>
  <c r="T277" i="5"/>
  <c r="U277" i="5" s="1"/>
  <c r="T550" i="5"/>
  <c r="U550" i="5" s="1"/>
  <c r="T519" i="5"/>
  <c r="V519" i="5" s="1"/>
  <c r="T251" i="5"/>
  <c r="V251" i="5" s="1"/>
  <c r="T490" i="5"/>
  <c r="U490" i="5" s="1"/>
  <c r="T461" i="5"/>
  <c r="U461" i="5" s="1"/>
  <c r="T520" i="5"/>
  <c r="V520" i="5" s="1"/>
  <c r="T437" i="5"/>
  <c r="V437" i="5" s="1"/>
  <c r="T201" i="5"/>
  <c r="U201" i="5" s="1"/>
  <c r="T412" i="5"/>
  <c r="U412" i="5" s="1"/>
  <c r="T425" i="5"/>
  <c r="U425" i="5" s="1"/>
  <c r="B269" i="2"/>
  <c r="H19" i="1"/>
  <c r="B17" i="5"/>
  <c r="E269" i="2"/>
  <c r="B90" i="2"/>
  <c r="H23" i="1" s="1"/>
  <c r="B308" i="2"/>
  <c r="T181" i="5"/>
  <c r="U181" i="5" s="1"/>
  <c r="T454" i="5"/>
  <c r="U454" i="5" s="1"/>
  <c r="T391" i="5"/>
  <c r="V391" i="5" s="1"/>
  <c r="T431" i="5"/>
  <c r="U431" i="5" s="1"/>
  <c r="T375" i="5"/>
  <c r="U375" i="5" s="1"/>
  <c r="T28" i="5"/>
  <c r="V28" i="5" s="1"/>
  <c r="T506" i="5"/>
  <c r="U506" i="5" s="1"/>
  <c r="T43" i="5"/>
  <c r="U43" i="5" s="1"/>
  <c r="T160" i="5"/>
  <c r="U160" i="5" s="1"/>
  <c r="T72" i="5"/>
  <c r="U72" i="5" s="1"/>
  <c r="T333" i="5"/>
  <c r="U333" i="5" s="1"/>
  <c r="T466" i="5"/>
  <c r="U466" i="5" s="1"/>
  <c r="T342" i="5"/>
  <c r="U342" i="5" s="1"/>
  <c r="T252" i="5"/>
  <c r="U252" i="5" s="1"/>
  <c r="T298" i="5"/>
  <c r="V298" i="5" s="1"/>
  <c r="T191" i="5"/>
  <c r="U191" i="5" s="1"/>
  <c r="T152" i="5"/>
  <c r="V152" i="5" s="1"/>
  <c r="T30" i="5"/>
  <c r="U30" i="5" s="1"/>
  <c r="T365" i="5"/>
  <c r="U365" i="5" s="1"/>
  <c r="T271" i="5"/>
  <c r="U271" i="5" s="1"/>
  <c r="T105" i="5"/>
  <c r="V105" i="5" s="1"/>
  <c r="T63" i="5"/>
  <c r="V63" i="5" s="1"/>
  <c r="T371" i="5"/>
  <c r="U371" i="5" s="1"/>
  <c r="T382" i="5"/>
  <c r="U382" i="5" s="1"/>
  <c r="T200" i="5"/>
  <c r="V200" i="5" s="1"/>
  <c r="T31" i="5"/>
  <c r="V31" i="5" s="1"/>
  <c r="T329" i="5"/>
  <c r="V329" i="5" s="1"/>
  <c r="T527" i="5"/>
  <c r="V527" i="5" s="1"/>
  <c r="T544" i="5"/>
  <c r="V544" i="5" s="1"/>
  <c r="T249" i="5"/>
  <c r="V249" i="5" s="1"/>
  <c r="T140" i="5"/>
  <c r="U140" i="5" s="1"/>
  <c r="T92" i="5"/>
  <c r="U92" i="5" s="1"/>
  <c r="T448" i="5"/>
  <c r="V448" i="5" s="1"/>
  <c r="T286" i="5"/>
  <c r="U286" i="5" s="1"/>
  <c r="T236" i="5"/>
  <c r="V236" i="5" s="1"/>
  <c r="T534" i="5"/>
  <c r="U534" i="5" s="1"/>
  <c r="T419" i="5"/>
  <c r="U419" i="5" s="1"/>
  <c r="T268" i="5"/>
  <c r="U268" i="5" s="1"/>
  <c r="T322" i="5"/>
  <c r="V322" i="5" s="1"/>
  <c r="T478" i="5"/>
  <c r="U478" i="5" s="1"/>
  <c r="T35" i="5"/>
  <c r="U35" i="5" s="1"/>
  <c r="T438" i="5"/>
  <c r="U438" i="5" s="1"/>
  <c r="T172" i="5"/>
  <c r="V172" i="5" s="1"/>
  <c r="T483" i="5"/>
  <c r="V483" i="5" s="1"/>
  <c r="T435" i="5"/>
  <c r="V435" i="5" s="1"/>
  <c r="T233" i="5"/>
  <c r="U233" i="5" s="1"/>
  <c r="T385" i="5"/>
  <c r="U385" i="5" s="1"/>
  <c r="T170" i="5"/>
  <c r="U170" i="5" s="1"/>
  <c r="T22" i="5"/>
  <c r="U22" i="5" s="1"/>
  <c r="T328" i="5"/>
  <c r="V328" i="5" s="1"/>
  <c r="T147" i="5"/>
  <c r="U147" i="5" s="1"/>
  <c r="T27" i="5"/>
  <c r="V27" i="5" s="1"/>
  <c r="T162" i="5"/>
  <c r="U162" i="5" s="1"/>
  <c r="T325" i="5"/>
  <c r="U325" i="5" s="1"/>
  <c r="T218" i="5"/>
  <c r="U218" i="5" s="1"/>
  <c r="T126" i="5"/>
  <c r="U126" i="5" s="1"/>
  <c r="T423" i="5"/>
  <c r="U423" i="5" s="1"/>
  <c r="T190" i="5"/>
  <c r="V190" i="5" s="1"/>
  <c r="T158" i="5"/>
  <c r="U158" i="5" s="1"/>
  <c r="T290" i="5"/>
  <c r="U290" i="5" s="1"/>
  <c r="T101" i="5"/>
  <c r="U101" i="5" s="1"/>
  <c r="T144" i="5"/>
  <c r="U144" i="5" s="1"/>
  <c r="T381" i="5"/>
  <c r="V381" i="5" s="1"/>
  <c r="T411" i="5"/>
  <c r="U411" i="5" s="1"/>
  <c r="T310" i="5"/>
  <c r="V310" i="5" s="1"/>
  <c r="T168" i="5"/>
  <c r="U168" i="5" s="1"/>
  <c r="T75" i="5"/>
  <c r="U75" i="5" s="1"/>
  <c r="T47" i="5"/>
  <c r="V47" i="5" s="1"/>
  <c r="T477" i="5"/>
  <c r="U477" i="5" s="1"/>
  <c r="T540" i="5"/>
  <c r="U540" i="5" s="1"/>
  <c r="T113" i="5"/>
  <c r="U113" i="5" s="1"/>
  <c r="T183" i="5"/>
  <c r="U183" i="5" s="1"/>
  <c r="T493" i="5"/>
  <c r="V493" i="5" s="1"/>
  <c r="T197" i="5"/>
  <c r="U197" i="5" s="1"/>
  <c r="T19" i="5"/>
  <c r="V19" i="5" s="1"/>
  <c r="T460" i="5"/>
  <c r="U460" i="5" s="1"/>
  <c r="T364" i="5"/>
  <c r="V364" i="5" s="1"/>
  <c r="T260" i="5"/>
  <c r="U260" i="5" s="1"/>
  <c r="T111" i="5"/>
  <c r="V111" i="5" s="1"/>
  <c r="T68" i="5"/>
  <c r="U68" i="5" s="1"/>
  <c r="T13" i="5"/>
  <c r="V13" i="5" s="1"/>
  <c r="T334" i="5"/>
  <c r="V334" i="5" s="1"/>
  <c r="T498" i="5"/>
  <c r="U498" i="5" s="1"/>
  <c r="T232" i="5"/>
  <c r="U232" i="5" s="1"/>
  <c r="T136" i="5"/>
  <c r="U136" i="5" s="1"/>
  <c r="T395" i="5"/>
  <c r="V395" i="5" s="1"/>
  <c r="T443" i="5"/>
  <c r="U443" i="5" s="1"/>
  <c r="T400" i="5"/>
  <c r="U400" i="5" s="1"/>
  <c r="T557" i="5"/>
  <c r="U557" i="5" s="1"/>
  <c r="T487" i="5"/>
  <c r="U487" i="5" s="1"/>
  <c r="T40" i="5"/>
  <c r="T224" i="5"/>
  <c r="U224" i="5" s="1"/>
  <c r="T390" i="5"/>
  <c r="U390" i="5" s="1"/>
  <c r="T512" i="5"/>
  <c r="U512" i="5" s="1"/>
  <c r="T366" i="5"/>
  <c r="U366" i="5" s="1"/>
  <c r="T485" i="5"/>
  <c r="U485" i="5" s="1"/>
  <c r="T83" i="5"/>
  <c r="U83" i="5" s="1"/>
  <c r="T275" i="5"/>
  <c r="V275" i="5" s="1"/>
  <c r="T231" i="5"/>
  <c r="U231" i="5" s="1"/>
  <c r="T403" i="5"/>
  <c r="U403" i="5" s="1"/>
  <c r="T115" i="5"/>
  <c r="U115" i="5" s="1"/>
  <c r="T291" i="5"/>
  <c r="U291" i="5" s="1"/>
  <c r="T528" i="5"/>
  <c r="U528" i="5" s="1"/>
  <c r="T258" i="5"/>
  <c r="V258" i="5" s="1"/>
  <c r="T510" i="5"/>
  <c r="U510" i="5" s="1"/>
  <c r="T240" i="5"/>
  <c r="V240" i="5" s="1"/>
  <c r="T302" i="5"/>
  <c r="U302" i="5" s="1"/>
  <c r="T525" i="5"/>
  <c r="U525" i="5" s="1"/>
  <c r="T97" i="5"/>
  <c r="V97" i="5" s="1"/>
  <c r="T452" i="5"/>
  <c r="V452" i="5" s="1"/>
  <c r="T137" i="5"/>
  <c r="V137" i="5" s="1"/>
  <c r="T543" i="5"/>
  <c r="V543" i="5" s="1"/>
  <c r="T324" i="5"/>
  <c r="U324" i="5" s="1"/>
  <c r="R120" i="4"/>
  <c r="U120" i="4" s="1"/>
  <c r="T500" i="5"/>
  <c r="V500" i="5" s="1"/>
  <c r="R145" i="4"/>
  <c r="U145" i="4" s="1"/>
  <c r="T479" i="5"/>
  <c r="U479" i="5" s="1"/>
  <c r="T185" i="5"/>
  <c r="V185" i="5" s="1"/>
  <c r="R19" i="4"/>
  <c r="AF19" i="4" s="1"/>
  <c r="T177" i="5"/>
  <c r="V177" i="5" s="1"/>
  <c r="T80" i="5"/>
  <c r="V80" i="5" s="1"/>
  <c r="T370" i="5"/>
  <c r="V370" i="5" s="1"/>
  <c r="T246" i="5"/>
  <c r="U246" i="5" s="1"/>
  <c r="T518" i="5"/>
  <c r="U518" i="5" s="1"/>
  <c r="T282" i="5"/>
  <c r="U282" i="5" s="1"/>
  <c r="T415" i="5"/>
  <c r="U415" i="5" s="1"/>
  <c r="T74" i="5"/>
  <c r="U74" i="5" s="1"/>
  <c r="T276" i="5"/>
  <c r="V276" i="5" s="1"/>
  <c r="T430" i="5"/>
  <c r="U430" i="5" s="1"/>
  <c r="T315" i="5"/>
  <c r="V315" i="5" s="1"/>
  <c r="T176" i="5"/>
  <c r="V176" i="5" s="1"/>
  <c r="T319" i="5"/>
  <c r="V319" i="5" s="1"/>
  <c r="T338" i="5"/>
  <c r="V338" i="5" s="1"/>
  <c r="T436" i="5"/>
  <c r="V436" i="5" s="1"/>
  <c r="T244" i="5"/>
  <c r="U244" i="5" s="1"/>
  <c r="T521" i="5"/>
  <c r="U521" i="5" s="1"/>
  <c r="T24" i="5"/>
  <c r="V24" i="5" s="1"/>
  <c r="T481" i="5"/>
  <c r="V481" i="5" s="1"/>
  <c r="T217" i="5"/>
  <c r="T124" i="5"/>
  <c r="T39" i="5"/>
  <c r="U39" i="5" s="1"/>
  <c r="T239" i="5"/>
  <c r="V239" i="5" s="1"/>
  <c r="T155" i="5"/>
  <c r="U155" i="5" s="1"/>
  <c r="T226" i="5"/>
  <c r="V226" i="5" s="1"/>
  <c r="T166" i="5"/>
  <c r="U166" i="5" s="1"/>
  <c r="T317" i="5"/>
  <c r="V317" i="5" s="1"/>
  <c r="T78" i="5"/>
  <c r="U78" i="5" s="1"/>
  <c r="T316" i="5"/>
  <c r="T130" i="5"/>
  <c r="V130" i="5" s="1"/>
  <c r="T405" i="5"/>
  <c r="U405" i="5" s="1"/>
  <c r="T195" i="5"/>
  <c r="U195" i="5" s="1"/>
  <c r="T314" i="5"/>
  <c r="V314" i="5" s="1"/>
  <c r="T149" i="5"/>
  <c r="V149" i="5" s="1"/>
  <c r="T374" i="5"/>
  <c r="U374" i="5" s="1"/>
  <c r="T530" i="5"/>
  <c r="U530" i="5" s="1"/>
  <c r="T167" i="5"/>
  <c r="V167" i="5" s="1"/>
  <c r="T62" i="5"/>
  <c r="U62" i="5" s="1"/>
  <c r="T554" i="5"/>
  <c r="V554" i="5" s="1"/>
  <c r="T546" i="5"/>
  <c r="V546" i="5" s="1"/>
  <c r="T352" i="5"/>
  <c r="U352" i="5" s="1"/>
  <c r="T192" i="5"/>
  <c r="U192" i="5" s="1"/>
  <c r="T125" i="5"/>
  <c r="V125" i="5" s="1"/>
  <c r="T259" i="5"/>
  <c r="U259" i="5" s="1"/>
  <c r="T351" i="5"/>
  <c r="V351" i="5" s="1"/>
  <c r="T243" i="5"/>
  <c r="U243" i="5" s="1"/>
  <c r="T475" i="5"/>
  <c r="V475" i="5" s="1"/>
  <c r="T311" i="5"/>
  <c r="U311" i="5" s="1"/>
  <c r="T263" i="5"/>
  <c r="V263" i="5" s="1"/>
  <c r="T220" i="5"/>
  <c r="U220" i="5" s="1"/>
  <c r="T94" i="5"/>
  <c r="U94" i="5" s="1"/>
  <c r="T266" i="5"/>
  <c r="U266" i="5" s="1"/>
  <c r="T337" i="5"/>
  <c r="T503" i="5"/>
  <c r="U503" i="5" s="1"/>
  <c r="T508" i="5"/>
  <c r="V508" i="5" s="1"/>
  <c r="T163" i="5"/>
  <c r="V163" i="5" s="1"/>
  <c r="T468" i="5"/>
  <c r="U468" i="5" s="1"/>
  <c r="T79" i="5"/>
  <c r="U79" i="5" s="1"/>
  <c r="T409" i="5"/>
  <c r="T107" i="5"/>
  <c r="U107" i="5" s="1"/>
  <c r="T470" i="5"/>
  <c r="V470" i="5" s="1"/>
  <c r="T178" i="5"/>
  <c r="U178" i="5" s="1"/>
  <c r="T109" i="5"/>
  <c r="V109" i="5" s="1"/>
  <c r="T515" i="5"/>
  <c r="V515" i="5" s="1"/>
  <c r="O10" i="5"/>
  <c r="AJ10" i="5" s="1"/>
  <c r="AL10" i="5" s="1"/>
  <c r="T386" i="5"/>
  <c r="V386" i="5" s="1"/>
  <c r="T100" i="5"/>
  <c r="T459" i="5"/>
  <c r="U459" i="5" s="1"/>
  <c r="T214" i="5"/>
  <c r="V214" i="5" s="1"/>
  <c r="T38" i="5"/>
  <c r="U38" i="5" s="1"/>
  <c r="T502" i="5"/>
  <c r="U502" i="5" s="1"/>
  <c r="T547" i="5"/>
  <c r="V547" i="5" s="1"/>
  <c r="T90" i="5"/>
  <c r="U90" i="5" s="1"/>
  <c r="T348" i="5"/>
  <c r="U348" i="5" s="1"/>
  <c r="T37" i="5"/>
  <c r="U37" i="5" s="1"/>
  <c r="T305" i="5"/>
  <c r="V305" i="5" s="1"/>
  <c r="T44" i="5"/>
  <c r="V44" i="5" s="1"/>
  <c r="T394" i="5"/>
  <c r="U394" i="5" s="1"/>
  <c r="T102" i="5"/>
  <c r="U102" i="5" s="1"/>
  <c r="T451" i="5"/>
  <c r="V451" i="5" s="1"/>
  <c r="T376" i="5"/>
  <c r="V376" i="5" s="1"/>
  <c r="T445" i="5"/>
  <c r="U445" i="5" s="1"/>
  <c r="T293" i="5"/>
  <c r="T363" i="5"/>
  <c r="U363" i="5" s="1"/>
  <c r="T343" i="5"/>
  <c r="U343" i="5" s="1"/>
  <c r="T210" i="5"/>
  <c r="U210" i="5" s="1"/>
  <c r="T287" i="5"/>
  <c r="V287" i="5" s="1"/>
  <c r="T330" i="5"/>
  <c r="V330" i="5" s="1"/>
  <c r="T207" i="5"/>
  <c r="U207" i="5" s="1"/>
  <c r="T414" i="5"/>
  <c r="V414" i="5" s="1"/>
  <c r="T205" i="5"/>
  <c r="V205" i="5" s="1"/>
  <c r="T404" i="5"/>
  <c r="V404" i="5" s="1"/>
  <c r="T99" i="5"/>
  <c r="U99" i="5" s="1"/>
  <c r="T523" i="5"/>
  <c r="V523" i="5" s="1"/>
  <c r="T64" i="5"/>
  <c r="V64" i="5" s="1"/>
  <c r="T327" i="5"/>
  <c r="V327" i="5" s="1"/>
  <c r="T118" i="5"/>
  <c r="U118" i="5" s="1"/>
  <c r="T175" i="5"/>
  <c r="U175" i="5" s="1"/>
  <c r="T57" i="5"/>
  <c r="T462" i="5"/>
  <c r="T279" i="5"/>
  <c r="U279" i="5" s="1"/>
  <c r="R54" i="4"/>
  <c r="AG54" i="4" s="1"/>
  <c r="R74" i="4"/>
  <c r="U74" i="4" s="1"/>
  <c r="R45" i="4"/>
  <c r="AF45" i="4" s="1"/>
  <c r="R97" i="4"/>
  <c r="AG97" i="4" s="1"/>
  <c r="R87" i="4"/>
  <c r="AF87" i="4" s="1"/>
  <c r="R147" i="4"/>
  <c r="AF147" i="4" s="1"/>
  <c r="R46" i="4"/>
  <c r="AG46" i="4" s="1"/>
  <c r="T497" i="5"/>
  <c r="V497" i="5" s="1"/>
  <c r="T202" i="5"/>
  <c r="U202" i="5" s="1"/>
  <c r="T34" i="5"/>
  <c r="V34" i="5" s="1"/>
  <c r="T135" i="5"/>
  <c r="T469" i="5"/>
  <c r="R134" i="4"/>
  <c r="AF134" i="4" s="1"/>
  <c r="T289" i="5"/>
  <c r="U289" i="5" s="1"/>
  <c r="T8" i="5"/>
  <c r="U8" i="5" s="1"/>
  <c r="T539" i="5"/>
  <c r="R76" i="4"/>
  <c r="U76" i="4" s="1"/>
  <c r="R53" i="4"/>
  <c r="AG53" i="4" s="1"/>
  <c r="T25" i="5"/>
  <c r="U25" i="5" s="1"/>
  <c r="T494" i="5"/>
  <c r="T359" i="5"/>
  <c r="V359" i="5" s="1"/>
  <c r="T255" i="5"/>
  <c r="U255" i="5" s="1"/>
  <c r="T187" i="5"/>
  <c r="T413" i="5"/>
  <c r="V413" i="5" s="1"/>
  <c r="T372" i="5"/>
  <c r="U372" i="5" s="1"/>
  <c r="T29" i="5"/>
  <c r="T204" i="5"/>
  <c r="U204" i="5" s="1"/>
  <c r="T309" i="5"/>
  <c r="U309" i="5" s="1"/>
  <c r="T127" i="5"/>
  <c r="T482" i="5"/>
  <c r="V482" i="5" s="1"/>
  <c r="T91" i="5"/>
  <c r="T278" i="5"/>
  <c r="V278" i="5" s="1"/>
  <c r="T504" i="5"/>
  <c r="V504" i="5" s="1"/>
  <c r="T397" i="5"/>
  <c r="V397" i="5" s="1"/>
  <c r="T228" i="5"/>
  <c r="T389" i="5"/>
  <c r="U389" i="5" s="1"/>
  <c r="T356" i="5"/>
  <c r="V356" i="5" s="1"/>
  <c r="T221" i="5"/>
  <c r="V221" i="5" s="1"/>
  <c r="T145" i="5"/>
  <c r="U145" i="5" s="1"/>
  <c r="T20" i="5"/>
  <c r="U20" i="5" s="1"/>
  <c r="T536" i="5"/>
  <c r="U536" i="5" s="1"/>
  <c r="T559" i="5"/>
  <c r="V559" i="5" s="1"/>
  <c r="T432" i="5"/>
  <c r="V432" i="5" s="1"/>
  <c r="T227" i="5"/>
  <c r="V227" i="5" s="1"/>
  <c r="T424" i="5"/>
  <c r="U424" i="5" s="1"/>
  <c r="T71" i="5"/>
  <c r="V71" i="5" s="1"/>
  <c r="T284" i="5"/>
  <c r="U284" i="5" s="1"/>
  <c r="T560" i="5"/>
  <c r="V560" i="5" s="1"/>
  <c r="T208" i="5"/>
  <c r="T247" i="5"/>
  <c r="U247" i="5" s="1"/>
  <c r="T499" i="5"/>
  <c r="V499" i="5" s="1"/>
  <c r="T82" i="5"/>
  <c r="T440" i="5"/>
  <c r="U440" i="5" s="1"/>
  <c r="T193" i="5"/>
  <c r="T393" i="5"/>
  <c r="U393" i="5" s="1"/>
  <c r="T182" i="5"/>
  <c r="U182" i="5" s="1"/>
  <c r="T495" i="5"/>
  <c r="T257" i="5"/>
  <c r="U257" i="5" s="1"/>
  <c r="T458" i="5"/>
  <c r="T188" i="5"/>
  <c r="T81" i="5"/>
  <c r="V81" i="5" s="1"/>
  <c r="T292" i="5"/>
  <c r="V292" i="5" s="1"/>
  <c r="T42" i="5"/>
  <c r="U42" i="5" s="1"/>
  <c r="T117" i="5"/>
  <c r="V117" i="5" s="1"/>
  <c r="T198" i="5"/>
  <c r="V198" i="5" s="1"/>
  <c r="T357" i="5"/>
  <c r="T353" i="5"/>
  <c r="T222" i="5"/>
  <c r="T345" i="5"/>
  <c r="U345" i="5" s="1"/>
  <c r="T517" i="5"/>
  <c r="T447" i="5"/>
  <c r="T288" i="5"/>
  <c r="V288" i="5" s="1"/>
  <c r="F84" i="1"/>
  <c r="R27" i="4"/>
  <c r="U27" i="4" s="1"/>
  <c r="R107" i="4"/>
  <c r="AG107" i="4" s="1"/>
  <c r="R50" i="4"/>
  <c r="T50" i="4" s="1"/>
  <c r="R32" i="4"/>
  <c r="U32" i="4" s="1"/>
  <c r="R67" i="4"/>
  <c r="T67" i="4" s="1"/>
  <c r="T378" i="5"/>
  <c r="T273" i="5"/>
  <c r="T169" i="5"/>
  <c r="T383" i="5"/>
  <c r="T320" i="5"/>
  <c r="T174" i="5"/>
  <c r="T104" i="5"/>
  <c r="T48" i="5"/>
  <c r="T344" i="5"/>
  <c r="T439" i="5"/>
  <c r="U439" i="5" s="1"/>
  <c r="T367" i="5"/>
  <c r="U367" i="5" s="1"/>
  <c r="T532" i="5"/>
  <c r="V532" i="5" s="1"/>
  <c r="T98" i="5"/>
  <c r="U98" i="5" s="1"/>
  <c r="T108" i="5"/>
  <c r="U108" i="5" s="1"/>
  <c r="T455" i="5"/>
  <c r="T321" i="5"/>
  <c r="V321" i="5" s="1"/>
  <c r="T46" i="5"/>
  <c r="T26" i="5"/>
  <c r="V26" i="5" s="1"/>
  <c r="R85" i="4"/>
  <c r="L85" i="4" s="1"/>
  <c r="T484" i="5"/>
  <c r="T538" i="5"/>
  <c r="T238" i="5"/>
  <c r="T119" i="5"/>
  <c r="T33" i="5"/>
  <c r="T373" i="5"/>
  <c r="T281" i="5"/>
  <c r="T212" i="5"/>
  <c r="T358" i="5"/>
  <c r="V358" i="5" s="1"/>
  <c r="T489" i="5"/>
  <c r="T471" i="5"/>
  <c r="V471" i="5" s="1"/>
  <c r="T139" i="5"/>
  <c r="T129" i="5"/>
  <c r="T61" i="5"/>
  <c r="U61" i="5" s="1"/>
  <c r="T541" i="5"/>
  <c r="T150" i="5"/>
  <c r="T406" i="5"/>
  <c r="T326" i="5"/>
  <c r="T524" i="5"/>
  <c r="V524" i="5" s="1"/>
  <c r="T32" i="5"/>
  <c r="T265" i="5"/>
  <c r="T362" i="5"/>
  <c r="T103" i="5"/>
  <c r="T283" i="5"/>
  <c r="T56" i="5"/>
  <c r="V56" i="5" s="1"/>
  <c r="T331" i="5"/>
  <c r="V331" i="5" s="1"/>
  <c r="T294" i="5"/>
  <c r="U294" i="5" s="1"/>
  <c r="T464" i="5"/>
  <c r="U464" i="5" s="1"/>
  <c r="T426" i="5"/>
  <c r="V426" i="5" s="1"/>
  <c r="T542" i="5"/>
  <c r="V542" i="5" s="1"/>
  <c r="T417" i="5"/>
  <c r="U417" i="5" s="1"/>
  <c r="T262" i="5"/>
  <c r="U262" i="5" s="1"/>
  <c r="T241" i="5"/>
  <c r="U241" i="5" s="1"/>
  <c r="T171" i="5"/>
  <c r="T65" i="5"/>
  <c r="T399" i="5"/>
  <c r="U399" i="5" s="1"/>
  <c r="T526" i="5"/>
  <c r="V526" i="5" s="1"/>
  <c r="T398" i="5"/>
  <c r="T388" i="5"/>
  <c r="U388" i="5" s="1"/>
  <c r="T112" i="5"/>
  <c r="U112" i="5" s="1"/>
  <c r="T250" i="5"/>
  <c r="T23" i="5"/>
  <c r="V23" i="5" s="1"/>
  <c r="T156" i="5"/>
  <c r="V156" i="5" s="1"/>
  <c r="T434" i="5"/>
  <c r="U434" i="5" s="1"/>
  <c r="T180" i="5"/>
  <c r="B49" i="5"/>
  <c r="T340" i="5"/>
  <c r="T444" i="5"/>
  <c r="U444" i="5" s="1"/>
  <c r="T234" i="5"/>
  <c r="T341" i="5"/>
  <c r="T146" i="5"/>
  <c r="U146" i="5" s="1"/>
  <c r="T323" i="5"/>
  <c r="T313" i="5"/>
  <c r="T355" i="5"/>
  <c r="T223" i="5"/>
  <c r="V223" i="5" s="1"/>
  <c r="T211" i="5"/>
  <c r="T110" i="5"/>
  <c r="T142" i="5"/>
  <c r="T52" i="5"/>
  <c r="T336" i="5"/>
  <c r="T253" i="5"/>
  <c r="T245" i="5"/>
  <c r="T199" i="5"/>
  <c r="T339" i="5"/>
  <c r="T77" i="5"/>
  <c r="T261" i="5"/>
  <c r="T89" i="5"/>
  <c r="T86" i="5"/>
  <c r="U86" i="5" s="1"/>
  <c r="T551" i="5"/>
  <c r="T209" i="5"/>
  <c r="U209" i="5" s="1"/>
  <c r="T285" i="5"/>
  <c r="T377" i="5"/>
  <c r="U377" i="5" s="1"/>
  <c r="T347" i="5"/>
  <c r="T441" i="5"/>
  <c r="T361" i="5"/>
  <c r="T269" i="5"/>
  <c r="T128" i="5"/>
  <c r="T55" i="5"/>
  <c r="T384" i="5"/>
  <c r="T349" i="5"/>
  <c r="T213" i="5"/>
  <c r="T138" i="5"/>
  <c r="T548" i="5"/>
  <c r="V548" i="5" s="1"/>
  <c r="T463" i="5"/>
  <c r="U463" i="5" s="1"/>
  <c r="T442" i="5"/>
  <c r="T225" i="5"/>
  <c r="U225" i="5" s="1"/>
  <c r="T418" i="5"/>
  <c r="U418" i="5" s="1"/>
  <c r="T60" i="5"/>
  <c r="T134" i="5"/>
  <c r="U134" i="5" s="1"/>
  <c r="T58" i="5"/>
  <c r="T132" i="5"/>
  <c r="V132" i="5" s="1"/>
  <c r="T121" i="5"/>
  <c r="U121" i="5" s="1"/>
  <c r="T84" i="5"/>
  <c r="R20" i="4"/>
  <c r="AG20" i="4" s="1"/>
  <c r="R9" i="4"/>
  <c r="T9" i="4" s="1"/>
  <c r="R7" i="4"/>
  <c r="AF7" i="4" s="1"/>
  <c r="T301" i="5"/>
  <c r="U301" i="5" s="1"/>
  <c r="T148" i="5"/>
  <c r="U148" i="5" s="1"/>
  <c r="T379" i="5"/>
  <c r="T123" i="5"/>
  <c r="U123" i="5" s="1"/>
  <c r="T453" i="5"/>
  <c r="T67" i="5"/>
  <c r="T242" i="5"/>
  <c r="T505" i="5"/>
  <c r="U505" i="5" s="1"/>
  <c r="T237" i="5"/>
  <c r="V237" i="5" s="1"/>
  <c r="T486" i="5"/>
  <c r="V486" i="5" s="1"/>
  <c r="T556" i="5"/>
  <c r="V556" i="5" s="1"/>
  <c r="T141" i="5"/>
  <c r="V141" i="5" s="1"/>
  <c r="T179" i="5"/>
  <c r="T360" i="5"/>
  <c r="U360" i="5" s="1"/>
  <c r="T230" i="5"/>
  <c r="T73" i="5"/>
  <c r="U73" i="5" s="1"/>
  <c r="R144" i="4"/>
  <c r="L144" i="4" s="1"/>
  <c r="R30" i="4"/>
  <c r="L30" i="4" s="1"/>
  <c r="R101" i="4"/>
  <c r="AG101" i="4" s="1"/>
  <c r="R28" i="4"/>
  <c r="AG28" i="4" s="1"/>
  <c r="T509" i="5"/>
  <c r="T549" i="5"/>
  <c r="T332" i="5"/>
  <c r="T206" i="5"/>
  <c r="T87" i="5"/>
  <c r="T427" i="5"/>
  <c r="T420" i="5"/>
  <c r="T306" i="5"/>
  <c r="T529" i="5"/>
  <c r="T161" i="5"/>
  <c r="T296" i="5"/>
  <c r="T312" i="5"/>
  <c r="T456" i="5"/>
  <c r="T446" i="5"/>
  <c r="V446" i="5" s="1"/>
  <c r="T369" i="5"/>
  <c r="T297" i="5"/>
  <c r="U297" i="5" s="1"/>
  <c r="T410" i="5"/>
  <c r="U410" i="5" s="1"/>
  <c r="T280" i="5"/>
  <c r="U280" i="5" s="1"/>
  <c r="T235" i="5"/>
  <c r="V235" i="5" s="1"/>
  <c r="T122" i="5"/>
  <c r="U122" i="5" s="1"/>
  <c r="T50" i="5"/>
  <c r="U50" i="5" s="1"/>
  <c r="T408" i="5"/>
  <c r="U408" i="5" s="1"/>
  <c r="T307" i="5"/>
  <c r="V307" i="5" s="1"/>
  <c r="T157" i="5"/>
  <c r="U157" i="5" s="1"/>
  <c r="T66" i="5"/>
  <c r="T473" i="5"/>
  <c r="U473" i="5" s="1"/>
  <c r="T474" i="5"/>
  <c r="V474" i="5" s="1"/>
  <c r="T53" i="5"/>
  <c r="U53" i="5" s="1"/>
  <c r="T114" i="5"/>
  <c r="T335" i="5"/>
  <c r="T300" i="5"/>
  <c r="T36" i="5"/>
  <c r="T402" i="5"/>
  <c r="R18" i="4"/>
  <c r="AG18" i="4" s="1"/>
  <c r="T215" i="5"/>
  <c r="U215" i="5" s="1"/>
  <c r="T416" i="5"/>
  <c r="V416" i="5" s="1"/>
  <c r="T522" i="5"/>
  <c r="T496" i="5"/>
  <c r="U496" i="5" s="1"/>
  <c r="T533" i="5"/>
  <c r="T429" i="5"/>
  <c r="U429" i="5" s="1"/>
  <c r="T318" i="5"/>
  <c r="V318" i="5" s="1"/>
  <c r="T49" i="5"/>
  <c r="T196" i="5"/>
  <c r="U196" i="5" s="1"/>
  <c r="T392" i="5"/>
  <c r="T472" i="5"/>
  <c r="U472" i="5" s="1"/>
  <c r="T93" i="5"/>
  <c r="U93" i="5" s="1"/>
  <c r="T203" i="5"/>
  <c r="T120" i="5"/>
  <c r="T12" i="5"/>
  <c r="T480" i="5"/>
  <c r="T396" i="5"/>
  <c r="T267" i="5"/>
  <c r="T248" i="5"/>
  <c r="T133" i="5"/>
  <c r="T76" i="5"/>
  <c r="T216" i="5"/>
  <c r="U216" i="5" s="1"/>
  <c r="T535" i="5"/>
  <c r="V535" i="5" s="1"/>
  <c r="T501" i="5"/>
  <c r="V501" i="5" s="1"/>
  <c r="T164" i="5"/>
  <c r="U164" i="5" s="1"/>
  <c r="T299" i="5"/>
  <c r="T256" i="5"/>
  <c r="T303" i="5"/>
  <c r="T555" i="5"/>
  <c r="T295" i="5"/>
  <c r="T186" i="5"/>
  <c r="T85" i="5"/>
  <c r="T380" i="5"/>
  <c r="U380" i="5" s="1"/>
  <c r="T96" i="5"/>
  <c r="T457" i="5"/>
  <c r="U457" i="5" s="1"/>
  <c r="T488" i="5"/>
  <c r="T116" i="5"/>
  <c r="T173" i="5"/>
  <c r="T184" i="5"/>
  <c r="U184" i="5" s="1"/>
  <c r="T194" i="5"/>
  <c r="U194" i="5" s="1"/>
  <c r="V70" i="5"/>
  <c r="T153" i="5"/>
  <c r="T165" i="5"/>
  <c r="T59" i="5"/>
  <c r="T304" i="5"/>
  <c r="T492" i="5"/>
  <c r="T272" i="5"/>
  <c r="T264" i="5"/>
  <c r="T229" i="5"/>
  <c r="T131" i="5"/>
  <c r="T45" i="5"/>
  <c r="T407" i="5"/>
  <c r="T449" i="5"/>
  <c r="V449" i="5" s="1"/>
  <c r="T514" i="5"/>
  <c r="U514" i="5" s="1"/>
  <c r="T270" i="5"/>
  <c r="U270" i="5" s="1"/>
  <c r="T154" i="5"/>
  <c r="U154" i="5" s="1"/>
  <c r="T69" i="5"/>
  <c r="U69" i="5" s="1"/>
  <c r="T491" i="5"/>
  <c r="U491" i="5" s="1"/>
  <c r="T350" i="5"/>
  <c r="V350" i="5" s="1"/>
  <c r="T254" i="5"/>
  <c r="U254" i="5" s="1"/>
  <c r="T516" i="5"/>
  <c r="T387" i="5"/>
  <c r="T274" i="5"/>
  <c r="T450" i="5"/>
  <c r="T545" i="5"/>
  <c r="T346" i="5"/>
  <c r="T51" i="5"/>
  <c r="T428" i="5"/>
  <c r="T354" i="5"/>
  <c r="T219" i="5"/>
  <c r="T143" i="5"/>
  <c r="R26" i="4"/>
  <c r="U26" i="4" s="1"/>
  <c r="R127" i="4"/>
  <c r="AG127" i="4" s="1"/>
  <c r="R15" i="4"/>
  <c r="AG15" i="4" s="1"/>
  <c r="R82" i="4"/>
  <c r="AF82" i="4" s="1"/>
  <c r="R149" i="4"/>
  <c r="U149" i="4" s="1"/>
  <c r="R108" i="4"/>
  <c r="AF108" i="4" s="1"/>
  <c r="R68" i="4"/>
  <c r="AF68" i="4" s="1"/>
  <c r="T7" i="5"/>
  <c r="V7" i="5" s="1"/>
  <c r="R35" i="4"/>
  <c r="T35" i="4" s="1"/>
  <c r="R48" i="4"/>
  <c r="L48" i="4" s="1"/>
  <c r="R36" i="4"/>
  <c r="L36" i="4" s="1"/>
  <c r="R33" i="4"/>
  <c r="AF33" i="4" s="1"/>
  <c r="R65" i="4"/>
  <c r="AG65" i="4" s="1"/>
  <c r="R40" i="4"/>
  <c r="AG40" i="4" s="1"/>
  <c r="R71" i="4"/>
  <c r="U71" i="4" s="1"/>
  <c r="R55" i="4"/>
  <c r="AF55" i="4" s="1"/>
  <c r="R121" i="4"/>
  <c r="AF121" i="4" s="1"/>
  <c r="R116" i="4"/>
  <c r="AF116" i="4" s="1"/>
  <c r="R99" i="4"/>
  <c r="AF99" i="4" s="1"/>
  <c r="R140" i="4"/>
  <c r="AG140" i="4" s="1"/>
  <c r="R136" i="4"/>
  <c r="AF136" i="4" s="1"/>
  <c r="R152" i="4"/>
  <c r="AF152" i="4" s="1"/>
  <c r="R133" i="4"/>
  <c r="U133" i="4" s="1"/>
  <c r="R130" i="4"/>
  <c r="T130" i="4" s="1"/>
  <c r="R63" i="4"/>
  <c r="T63" i="4" s="1"/>
  <c r="R154" i="4"/>
  <c r="AF154" i="4" s="1"/>
  <c r="R102" i="4"/>
  <c r="AF102" i="4" s="1"/>
  <c r="R13" i="4"/>
  <c r="AG13" i="4" s="1"/>
  <c r="R94" i="4"/>
  <c r="U94" i="4" s="1"/>
  <c r="R64" i="4"/>
  <c r="AF64" i="4" s="1"/>
  <c r="R34" i="4"/>
  <c r="L34" i="4" s="1"/>
  <c r="R110" i="4"/>
  <c r="U110" i="4" s="1"/>
  <c r="R153" i="4"/>
  <c r="U153" i="4" s="1"/>
  <c r="R22" i="4"/>
  <c r="AG22" i="4" s="1"/>
  <c r="R43" i="4"/>
  <c r="AG43" i="4" s="1"/>
  <c r="R14" i="4"/>
  <c r="AF14" i="4" s="1"/>
  <c r="R58" i="4"/>
  <c r="L58" i="4" s="1"/>
  <c r="R119" i="4"/>
  <c r="AF119" i="4" s="1"/>
  <c r="R80" i="4"/>
  <c r="T80" i="4" s="1"/>
  <c r="R83" i="4"/>
  <c r="AG83" i="4" s="1"/>
  <c r="R21" i="4"/>
  <c r="T21" i="4" s="1"/>
  <c r="R41" i="4"/>
  <c r="L41" i="4" s="1"/>
  <c r="R155" i="4"/>
  <c r="AF155" i="4" s="1"/>
  <c r="R106" i="4"/>
  <c r="L106" i="4" s="1"/>
  <c r="R138" i="4"/>
  <c r="AG138" i="4" s="1"/>
  <c r="R95" i="4"/>
  <c r="AG95" i="4" s="1"/>
  <c r="R129" i="4"/>
  <c r="AF129" i="4" s="1"/>
  <c r="R131" i="4"/>
  <c r="AF131" i="4" s="1"/>
  <c r="R112" i="4"/>
  <c r="AF112" i="4" s="1"/>
  <c r="R109" i="4"/>
  <c r="AF109" i="4" s="1"/>
  <c r="R89" i="4"/>
  <c r="L89" i="4" s="1"/>
  <c r="R73" i="4"/>
  <c r="L73" i="4" s="1"/>
  <c r="R51" i="4"/>
  <c r="L51" i="4" s="1"/>
  <c r="R44" i="4"/>
  <c r="AG44" i="4" s="1"/>
  <c r="R77" i="4"/>
  <c r="U77" i="4" s="1"/>
  <c r="R122" i="4"/>
  <c r="AF122" i="4" s="1"/>
  <c r="R90" i="4"/>
  <c r="U90" i="4" s="1"/>
  <c r="R135" i="4"/>
  <c r="AF135" i="4" s="1"/>
  <c r="R124" i="4"/>
  <c r="L124" i="4" s="1"/>
  <c r="R157" i="4"/>
  <c r="AG157" i="4" s="1"/>
  <c r="R38" i="4"/>
  <c r="T38" i="4" s="1"/>
  <c r="R81" i="4"/>
  <c r="U81" i="4" s="1"/>
  <c r="R96" i="4"/>
  <c r="U96" i="4" s="1"/>
  <c r="R69" i="4"/>
  <c r="AG69" i="4" s="1"/>
  <c r="R70" i="4"/>
  <c r="AF70" i="4" s="1"/>
  <c r="R24" i="4"/>
  <c r="U24" i="4" s="1"/>
  <c r="R100" i="4"/>
  <c r="AF100" i="4" s="1"/>
  <c r="R132" i="4"/>
  <c r="AF132" i="4" s="1"/>
  <c r="R118" i="4"/>
  <c r="AF118" i="4" s="1"/>
  <c r="R59" i="4"/>
  <c r="U59" i="4" s="1"/>
  <c r="R11" i="4"/>
  <c r="L11" i="4" s="1"/>
  <c r="R12" i="4"/>
  <c r="AF12" i="4" s="1"/>
  <c r="R123" i="4"/>
  <c r="AG123" i="4" s="1"/>
  <c r="R139" i="4"/>
  <c r="AG139" i="4" s="1"/>
  <c r="R42" i="4"/>
  <c r="AG42" i="4" s="1"/>
  <c r="R60" i="4"/>
  <c r="AG60" i="4" s="1"/>
  <c r="R72" i="4"/>
  <c r="L72" i="4" s="1"/>
  <c r="R78" i="4"/>
  <c r="AF78" i="4" s="1"/>
  <c r="R93" i="4"/>
  <c r="AG93" i="4" s="1"/>
  <c r="R115" i="4"/>
  <c r="L115" i="4" s="1"/>
  <c r="R142" i="4"/>
  <c r="L142" i="4" s="1"/>
  <c r="R37" i="4"/>
  <c r="L37" i="4" s="1"/>
  <c r="R52" i="4"/>
  <c r="AF52" i="4" s="1"/>
  <c r="R114" i="4"/>
  <c r="L114" i="4" s="1"/>
  <c r="R146" i="4"/>
  <c r="AF146" i="4" s="1"/>
  <c r="R56" i="4"/>
  <c r="T56" i="4" s="1"/>
  <c r="R91" i="4"/>
  <c r="AG91" i="4" s="1"/>
  <c r="R103" i="4"/>
  <c r="AG103" i="4" s="1"/>
  <c r="R98" i="4"/>
  <c r="T98" i="4" s="1"/>
  <c r="R148" i="4"/>
  <c r="T148" i="4" s="1"/>
  <c r="R16" i="4"/>
  <c r="U16" i="4" s="1"/>
  <c r="R111" i="4"/>
  <c r="AF111" i="4" s="1"/>
  <c r="R126" i="4"/>
  <c r="AF126" i="4" s="1"/>
  <c r="R151" i="4"/>
  <c r="AF151" i="4" s="1"/>
  <c r="R17" i="4"/>
  <c r="AF17" i="4" s="1"/>
  <c r="R92" i="4"/>
  <c r="T92" i="4" s="1"/>
  <c r="R113" i="4"/>
  <c r="L113" i="4" s="1"/>
  <c r="R66" i="4"/>
  <c r="AF66" i="4" s="1"/>
  <c r="R150" i="4"/>
  <c r="L150" i="4" s="1"/>
  <c r="R8" i="4"/>
  <c r="T8" i="4" s="1"/>
  <c r="R23" i="4"/>
  <c r="AG23" i="4" s="1"/>
  <c r="R57" i="4"/>
  <c r="U57" i="4" s="1"/>
  <c r="R128" i="4"/>
  <c r="U128" i="4" s="1"/>
  <c r="R62" i="4"/>
  <c r="AG62" i="4" s="1"/>
  <c r="R25" i="4"/>
  <c r="U25" i="4" s="1"/>
  <c r="R104" i="4"/>
  <c r="AF104" i="4" s="1"/>
  <c r="R47" i="4"/>
  <c r="AF47" i="4" s="1"/>
  <c r="BP88" i="4"/>
  <c r="BQ88" i="4" s="1"/>
  <c r="BS88" i="4"/>
  <c r="BT88" i="4" s="1"/>
  <c r="CP88" i="4" s="1"/>
  <c r="BS143" i="4"/>
  <c r="BT143" i="4" s="1"/>
  <c r="CP143" i="4" s="1"/>
  <c r="BP143" i="4"/>
  <c r="BQ143" i="4" s="1"/>
  <c r="BS137" i="4"/>
  <c r="BT137" i="4" s="1"/>
  <c r="CP137" i="4" s="1"/>
  <c r="BP137" i="4"/>
  <c r="BQ137" i="4" s="1"/>
  <c r="R88" i="4"/>
  <c r="T88" i="4" s="1"/>
  <c r="R86" i="4"/>
  <c r="AG86" i="4" s="1"/>
  <c r="R10" i="4"/>
  <c r="AF10" i="4" s="1"/>
  <c r="R49" i="4"/>
  <c r="AF49" i="4" s="1"/>
  <c r="R125" i="4"/>
  <c r="AF125" i="4" s="1"/>
  <c r="R84" i="4"/>
  <c r="L84" i="4" s="1"/>
  <c r="BS18" i="4"/>
  <c r="BT18" i="4" s="1"/>
  <c r="CP18" i="4" s="1"/>
  <c r="BP18" i="4"/>
  <c r="BQ18" i="4" s="1"/>
  <c r="BP45" i="4"/>
  <c r="BQ45" i="4" s="1"/>
  <c r="BS45" i="4"/>
  <c r="BT45" i="4" s="1"/>
  <c r="CP45" i="4" s="1"/>
  <c r="BP74" i="4"/>
  <c r="BQ74" i="4" s="1"/>
  <c r="BS74" i="4"/>
  <c r="BT74" i="4" s="1"/>
  <c r="CP74" i="4" s="1"/>
  <c r="BP78" i="4"/>
  <c r="BQ78" i="4" s="1"/>
  <c r="BS78" i="4"/>
  <c r="BT78" i="4" s="1"/>
  <c r="CP78" i="4" s="1"/>
  <c r="BS101" i="4"/>
  <c r="BT101" i="4" s="1"/>
  <c r="CP101" i="4" s="1"/>
  <c r="BP101" i="4"/>
  <c r="BQ101" i="4" s="1"/>
  <c r="BP9" i="4"/>
  <c r="BQ9" i="4" s="1"/>
  <c r="BS9" i="4"/>
  <c r="BT9" i="4" s="1"/>
  <c r="CP9" i="4" s="1"/>
  <c r="BP147" i="4"/>
  <c r="BQ147" i="4" s="1"/>
  <c r="BS147" i="4"/>
  <c r="BT147" i="4" s="1"/>
  <c r="CP147" i="4" s="1"/>
  <c r="BP54" i="4"/>
  <c r="BQ54" i="4" s="1"/>
  <c r="BS54" i="4"/>
  <c r="BT54" i="4" s="1"/>
  <c r="CP54" i="4" s="1"/>
  <c r="BS85" i="4"/>
  <c r="BT85" i="4" s="1"/>
  <c r="CP85" i="4" s="1"/>
  <c r="BP85" i="4"/>
  <c r="BQ85" i="4" s="1"/>
  <c r="BP120" i="4"/>
  <c r="BQ120" i="4" s="1"/>
  <c r="BS120" i="4"/>
  <c r="BT120" i="4" s="1"/>
  <c r="CP120" i="4" s="1"/>
  <c r="BP66" i="4"/>
  <c r="BQ66" i="4" s="1"/>
  <c r="BS66" i="4"/>
  <c r="BT66" i="4" s="1"/>
  <c r="CP66" i="4" s="1"/>
  <c r="BS75" i="4"/>
  <c r="BT75" i="4" s="1"/>
  <c r="CP75" i="4" s="1"/>
  <c r="BP75" i="4"/>
  <c r="BQ75" i="4" s="1"/>
  <c r="BS19" i="4"/>
  <c r="BT19" i="4" s="1"/>
  <c r="CP19" i="4" s="1"/>
  <c r="BP19" i="4"/>
  <c r="BQ19" i="4" s="1"/>
  <c r="BP145" i="4"/>
  <c r="BQ145" i="4" s="1"/>
  <c r="BS145" i="4"/>
  <c r="BT145" i="4" s="1"/>
  <c r="CP145" i="4" s="1"/>
  <c r="BS46" i="4"/>
  <c r="BT46" i="4" s="1"/>
  <c r="CP46" i="4" s="1"/>
  <c r="BP46" i="4"/>
  <c r="BQ46" i="4" s="1"/>
  <c r="BP134" i="4"/>
  <c r="BQ134" i="4" s="1"/>
  <c r="BS134" i="4"/>
  <c r="BT134" i="4" s="1"/>
  <c r="CP134" i="4" s="1"/>
  <c r="BP34" i="4"/>
  <c r="BQ34" i="4" s="1"/>
  <c r="BS34" i="4"/>
  <c r="BT34" i="4" s="1"/>
  <c r="CP34" i="4" s="1"/>
  <c r="BP87" i="4"/>
  <c r="BQ87" i="4" s="1"/>
  <c r="BS87" i="4"/>
  <c r="BT87" i="4" s="1"/>
  <c r="CP87" i="4" s="1"/>
  <c r="BP127" i="4"/>
  <c r="BQ127" i="4" s="1"/>
  <c r="BS127" i="4"/>
  <c r="BT127" i="4" s="1"/>
  <c r="CP127" i="4" s="1"/>
  <c r="BP80" i="4"/>
  <c r="BQ80" i="4" s="1"/>
  <c r="BS80" i="4"/>
  <c r="BT80" i="4" s="1"/>
  <c r="CP80" i="4" s="1"/>
  <c r="BS16" i="4"/>
  <c r="BT16" i="4" s="1"/>
  <c r="CP16" i="4" s="1"/>
  <c r="BP16" i="4"/>
  <c r="BQ16" i="4" s="1"/>
  <c r="BS151" i="4"/>
  <c r="BT151" i="4" s="1"/>
  <c r="CP151" i="4" s="1"/>
  <c r="BP151" i="4"/>
  <c r="BQ151" i="4" s="1"/>
  <c r="BP83" i="4"/>
  <c r="BQ83" i="4" s="1"/>
  <c r="BS83" i="4"/>
  <c r="BT83" i="4" s="1"/>
  <c r="CP83" i="4" s="1"/>
  <c r="BP22" i="4"/>
  <c r="BQ22" i="4" s="1"/>
  <c r="BS22" i="4"/>
  <c r="BT22" i="4" s="1"/>
  <c r="CP22" i="4" s="1"/>
  <c r="BS26" i="4"/>
  <c r="BT26" i="4" s="1"/>
  <c r="CP26" i="4" s="1"/>
  <c r="BP26" i="4"/>
  <c r="BQ26" i="4" s="1"/>
  <c r="BS53" i="4"/>
  <c r="BT53" i="4" s="1"/>
  <c r="CP53" i="4" s="1"/>
  <c r="BP53" i="4"/>
  <c r="BQ53" i="4" s="1"/>
  <c r="BP43" i="4"/>
  <c r="BQ43" i="4" s="1"/>
  <c r="BS43" i="4"/>
  <c r="BT43" i="4" s="1"/>
  <c r="CP43" i="4" s="1"/>
  <c r="BP119" i="4"/>
  <c r="BQ119" i="4" s="1"/>
  <c r="BS119" i="4"/>
  <c r="BT119" i="4" s="1"/>
  <c r="CP119" i="4" s="1"/>
  <c r="BS14" i="4"/>
  <c r="BT14" i="4" s="1"/>
  <c r="CP14" i="4" s="1"/>
  <c r="BP14" i="4"/>
  <c r="BQ14" i="4" s="1"/>
  <c r="BS21" i="4"/>
  <c r="BT21" i="4" s="1"/>
  <c r="CP21" i="4" s="1"/>
  <c r="BP21" i="4"/>
  <c r="BQ21" i="4" s="1"/>
  <c r="BS114" i="4"/>
  <c r="BT114" i="4" s="1"/>
  <c r="CP114" i="4" s="1"/>
  <c r="BP114" i="4"/>
  <c r="BQ114" i="4" s="1"/>
  <c r="BP153" i="4"/>
  <c r="BQ153" i="4" s="1"/>
  <c r="BS153" i="4"/>
  <c r="BT153" i="4" s="1"/>
  <c r="CP153" i="4" s="1"/>
  <c r="BS103" i="4"/>
  <c r="BT103" i="4" s="1"/>
  <c r="CP103" i="4" s="1"/>
  <c r="BP103" i="4"/>
  <c r="BQ103" i="4" s="1"/>
  <c r="BS41" i="4"/>
  <c r="BT41" i="4" s="1"/>
  <c r="CP41" i="4" s="1"/>
  <c r="BP41" i="4"/>
  <c r="BQ41" i="4" s="1"/>
  <c r="BP108" i="4"/>
  <c r="BQ108" i="4" s="1"/>
  <c r="BS108" i="4"/>
  <c r="BT108" i="4" s="1"/>
  <c r="CP108" i="4" s="1"/>
  <c r="BP155" i="4"/>
  <c r="BQ155" i="4" s="1"/>
  <c r="BS155" i="4"/>
  <c r="BT155" i="4" s="1"/>
  <c r="CP155" i="4" s="1"/>
  <c r="BS58" i="4"/>
  <c r="BT58" i="4" s="1"/>
  <c r="CP58" i="4" s="1"/>
  <c r="BP58" i="4"/>
  <c r="BQ58" i="4" s="1"/>
  <c r="R39" i="4"/>
  <c r="AG39" i="4" s="1"/>
  <c r="R61" i="4"/>
  <c r="T61" i="4" s="1"/>
  <c r="R156" i="4"/>
  <c r="AG156" i="4" s="1"/>
  <c r="BS95" i="4"/>
  <c r="BT95" i="4" s="1"/>
  <c r="CP95" i="4" s="1"/>
  <c r="BP95" i="4"/>
  <c r="BQ95" i="4" s="1"/>
  <c r="BS23" i="4"/>
  <c r="BT23" i="4" s="1"/>
  <c r="CP23" i="4" s="1"/>
  <c r="BP23" i="4"/>
  <c r="BQ23" i="4" s="1"/>
  <c r="BS8" i="4"/>
  <c r="BT8" i="4" s="1"/>
  <c r="CP8" i="4" s="1"/>
  <c r="BP8" i="4"/>
  <c r="BQ8" i="4" s="1"/>
  <c r="BP64" i="4"/>
  <c r="BQ64" i="4" s="1"/>
  <c r="BS64" i="4"/>
  <c r="BT64" i="4" s="1"/>
  <c r="CP64" i="4" s="1"/>
  <c r="BP100" i="4"/>
  <c r="BQ100" i="4" s="1"/>
  <c r="BS100" i="4"/>
  <c r="BT100" i="4" s="1"/>
  <c r="CP100" i="4" s="1"/>
  <c r="BS91" i="4"/>
  <c r="BT91" i="4" s="1"/>
  <c r="CP91" i="4" s="1"/>
  <c r="BP91" i="4"/>
  <c r="BQ91" i="4" s="1"/>
  <c r="BS142" i="4"/>
  <c r="BT142" i="4" s="1"/>
  <c r="CP142" i="4" s="1"/>
  <c r="BP142" i="4"/>
  <c r="BQ142" i="4" s="1"/>
  <c r="BS52" i="4"/>
  <c r="BT52" i="4" s="1"/>
  <c r="CP52" i="4" s="1"/>
  <c r="BP52" i="4"/>
  <c r="BQ52" i="4" s="1"/>
  <c r="BP115" i="4"/>
  <c r="BQ115" i="4" s="1"/>
  <c r="BS115" i="4"/>
  <c r="BT115" i="4" s="1"/>
  <c r="CP115" i="4" s="1"/>
  <c r="BS128" i="4"/>
  <c r="BT128" i="4" s="1"/>
  <c r="CP128" i="4" s="1"/>
  <c r="BP128" i="4"/>
  <c r="BQ128" i="4" s="1"/>
  <c r="BS25" i="4"/>
  <c r="BT25" i="4" s="1"/>
  <c r="CP25" i="4" s="1"/>
  <c r="BP25" i="4"/>
  <c r="BQ25" i="4" s="1"/>
  <c r="BS35" i="4"/>
  <c r="BT35" i="4" s="1"/>
  <c r="CP35" i="4" s="1"/>
  <c r="BP35" i="4"/>
  <c r="BQ35" i="4" s="1"/>
  <c r="BS93" i="4"/>
  <c r="BT93" i="4" s="1"/>
  <c r="CP93" i="4" s="1"/>
  <c r="BP93" i="4"/>
  <c r="BQ93" i="4" s="1"/>
  <c r="BS106" i="4"/>
  <c r="BT106" i="4" s="1"/>
  <c r="CP106" i="4" s="1"/>
  <c r="BP106" i="4"/>
  <c r="BQ106" i="4" s="1"/>
  <c r="BP104" i="4"/>
  <c r="BQ104" i="4" s="1"/>
  <c r="BS104" i="4"/>
  <c r="BT104" i="4" s="1"/>
  <c r="CP104" i="4" s="1"/>
  <c r="BP37" i="4"/>
  <c r="BQ37" i="4" s="1"/>
  <c r="BS37" i="4"/>
  <c r="BT37" i="4" s="1"/>
  <c r="CP37" i="4" s="1"/>
  <c r="BS56" i="4"/>
  <c r="BT56" i="4" s="1"/>
  <c r="CP56" i="4" s="1"/>
  <c r="BP56" i="4"/>
  <c r="BQ56" i="4" s="1"/>
  <c r="BP138" i="4"/>
  <c r="BQ138" i="4" s="1"/>
  <c r="BS138" i="4"/>
  <c r="BT138" i="4" s="1"/>
  <c r="CP138" i="4" s="1"/>
  <c r="BP146" i="4"/>
  <c r="BQ146" i="4" s="1"/>
  <c r="BS146" i="4"/>
  <c r="BT146" i="4" s="1"/>
  <c r="CP146" i="4" s="1"/>
  <c r="BS61" i="4"/>
  <c r="BT61" i="4" s="1"/>
  <c r="CP61" i="4" s="1"/>
  <c r="BP61" i="4"/>
  <c r="BQ61" i="4" s="1"/>
  <c r="BS49" i="4"/>
  <c r="BT49" i="4" s="1"/>
  <c r="CP49" i="4" s="1"/>
  <c r="BP49" i="4"/>
  <c r="BQ49" i="4" s="1"/>
  <c r="BP29" i="4"/>
  <c r="BQ29" i="4" s="1"/>
  <c r="BS29" i="4"/>
  <c r="BT29" i="4" s="1"/>
  <c r="CP29" i="4" s="1"/>
  <c r="BP102" i="4"/>
  <c r="BQ102" i="4" s="1"/>
  <c r="BS102" i="4"/>
  <c r="BT102" i="4" s="1"/>
  <c r="CP102" i="4" s="1"/>
  <c r="BS24" i="4"/>
  <c r="BT24" i="4" s="1"/>
  <c r="CP24" i="4" s="1"/>
  <c r="BP24" i="4"/>
  <c r="BQ24" i="4" s="1"/>
  <c r="BP81" i="4"/>
  <c r="BQ81" i="4" s="1"/>
  <c r="BS81" i="4"/>
  <c r="BT81" i="4" s="1"/>
  <c r="CP81" i="4" s="1"/>
  <c r="BS124" i="4"/>
  <c r="BT124" i="4" s="1"/>
  <c r="CP124" i="4" s="1"/>
  <c r="BP124" i="4"/>
  <c r="BQ124" i="4" s="1"/>
  <c r="BP135" i="4"/>
  <c r="BQ135" i="4" s="1"/>
  <c r="BS135" i="4"/>
  <c r="BT135" i="4" s="1"/>
  <c r="CP135" i="4" s="1"/>
  <c r="BP70" i="4"/>
  <c r="BQ70" i="4" s="1"/>
  <c r="BS70" i="4"/>
  <c r="BT70" i="4" s="1"/>
  <c r="CP70" i="4" s="1"/>
  <c r="BP90" i="4"/>
  <c r="BQ90" i="4" s="1"/>
  <c r="BS90" i="4"/>
  <c r="BT90" i="4" s="1"/>
  <c r="CP90" i="4" s="1"/>
  <c r="BP77" i="4"/>
  <c r="BQ77" i="4" s="1"/>
  <c r="BS77" i="4"/>
  <c r="BT77" i="4" s="1"/>
  <c r="CP77" i="4" s="1"/>
  <c r="BS130" i="4"/>
  <c r="BT130" i="4" s="1"/>
  <c r="CP130" i="4" s="1"/>
  <c r="BP130" i="4"/>
  <c r="BQ130" i="4" s="1"/>
  <c r="BS63" i="4"/>
  <c r="BT63" i="4" s="1"/>
  <c r="CP63" i="4" s="1"/>
  <c r="BP63" i="4"/>
  <c r="BQ63" i="4" s="1"/>
  <c r="BP59" i="4"/>
  <c r="BQ59" i="4" s="1"/>
  <c r="BS59" i="4"/>
  <c r="BT59" i="4" s="1"/>
  <c r="CP59" i="4" s="1"/>
  <c r="BS96" i="4"/>
  <c r="BT96" i="4" s="1"/>
  <c r="CP96" i="4" s="1"/>
  <c r="BP96" i="4"/>
  <c r="BQ96" i="4" s="1"/>
  <c r="BS38" i="4"/>
  <c r="BT38" i="4" s="1"/>
  <c r="CP38" i="4" s="1"/>
  <c r="BP38" i="4"/>
  <c r="BQ38" i="4" s="1"/>
  <c r="BS154" i="4"/>
  <c r="BT154" i="4" s="1"/>
  <c r="CP154" i="4" s="1"/>
  <c r="BP154" i="4"/>
  <c r="BQ154" i="4" s="1"/>
  <c r="BS157" i="4"/>
  <c r="BT157" i="4" s="1"/>
  <c r="CP157" i="4" s="1"/>
  <c r="BP157" i="4"/>
  <c r="BQ157" i="4" s="1"/>
  <c r="BS110" i="4"/>
  <c r="BT110" i="4" s="1"/>
  <c r="CP110" i="4" s="1"/>
  <c r="BP110" i="4"/>
  <c r="BQ110" i="4" s="1"/>
  <c r="BS122" i="4"/>
  <c r="BT122" i="4" s="1"/>
  <c r="CP122" i="4" s="1"/>
  <c r="BP122" i="4"/>
  <c r="BQ122" i="4" s="1"/>
  <c r="BS44" i="4"/>
  <c r="BT44" i="4" s="1"/>
  <c r="CP44" i="4" s="1"/>
  <c r="BP44" i="4"/>
  <c r="BQ44" i="4" s="1"/>
  <c r="BP69" i="4"/>
  <c r="BQ69" i="4" s="1"/>
  <c r="BS69" i="4"/>
  <c r="BT69" i="4" s="1"/>
  <c r="CP69" i="4" s="1"/>
  <c r="BP117" i="4"/>
  <c r="BQ117" i="4" s="1"/>
  <c r="BS117" i="4"/>
  <c r="BT117" i="4" s="1"/>
  <c r="CP117" i="4" s="1"/>
  <c r="BP126" i="4"/>
  <c r="BQ126" i="4" s="1"/>
  <c r="BS126" i="4"/>
  <c r="BT126" i="4" s="1"/>
  <c r="CP126" i="4" s="1"/>
  <c r="BP10" i="4"/>
  <c r="BQ10" i="4" s="1"/>
  <c r="BS10" i="4"/>
  <c r="BT10" i="4" s="1"/>
  <c r="CP10" i="4" s="1"/>
  <c r="R137" i="4"/>
  <c r="T137" i="4" s="1"/>
  <c r="R79" i="4"/>
  <c r="AF79" i="4" s="1"/>
  <c r="R143" i="4"/>
  <c r="L143" i="4" s="1"/>
  <c r="BP132" i="4"/>
  <c r="BQ132" i="4" s="1"/>
  <c r="BS132" i="4"/>
  <c r="BT132" i="4" s="1"/>
  <c r="CP132" i="4" s="1"/>
  <c r="BS152" i="4"/>
  <c r="BT152" i="4" s="1"/>
  <c r="CP152" i="4" s="1"/>
  <c r="BP152" i="4"/>
  <c r="BQ152" i="4" s="1"/>
  <c r="BS136" i="4"/>
  <c r="BT136" i="4" s="1"/>
  <c r="CP136" i="4" s="1"/>
  <c r="BP136" i="4"/>
  <c r="BQ136" i="4" s="1"/>
  <c r="BP32" i="4"/>
  <c r="BQ32" i="4" s="1"/>
  <c r="BS32" i="4"/>
  <c r="BT32" i="4" s="1"/>
  <c r="CP32" i="4" s="1"/>
  <c r="BP107" i="4"/>
  <c r="BQ107" i="4" s="1"/>
  <c r="BS107" i="4"/>
  <c r="BT107" i="4" s="1"/>
  <c r="CP107" i="4" s="1"/>
  <c r="BP140" i="4"/>
  <c r="BQ140" i="4" s="1"/>
  <c r="BS140" i="4"/>
  <c r="BT140" i="4" s="1"/>
  <c r="CP140" i="4" s="1"/>
  <c r="BP51" i="4"/>
  <c r="BQ51" i="4" s="1"/>
  <c r="BS51" i="4"/>
  <c r="BT51" i="4" s="1"/>
  <c r="CP51" i="4" s="1"/>
  <c r="BS13" i="4"/>
  <c r="BT13" i="4" s="1"/>
  <c r="CP13" i="4" s="1"/>
  <c r="BP13" i="4"/>
  <c r="BQ13" i="4" s="1"/>
  <c r="BS15" i="4"/>
  <c r="BT15" i="4" s="1"/>
  <c r="CP15" i="4" s="1"/>
  <c r="BP15" i="4"/>
  <c r="BQ15" i="4" s="1"/>
  <c r="BS27" i="4"/>
  <c r="BT27" i="4" s="1"/>
  <c r="CP27" i="4" s="1"/>
  <c r="BP27" i="4"/>
  <c r="BQ27" i="4" s="1"/>
  <c r="BS67" i="4"/>
  <c r="BT67" i="4" s="1"/>
  <c r="CP67" i="4" s="1"/>
  <c r="BP67" i="4"/>
  <c r="BQ67" i="4" s="1"/>
  <c r="BS133" i="4"/>
  <c r="BT133" i="4" s="1"/>
  <c r="CP133" i="4" s="1"/>
  <c r="BP133" i="4"/>
  <c r="BQ133" i="4" s="1"/>
  <c r="BP112" i="4"/>
  <c r="BQ112" i="4" s="1"/>
  <c r="BS112" i="4"/>
  <c r="BT112" i="4" s="1"/>
  <c r="CP112" i="4" s="1"/>
  <c r="BP76" i="4"/>
  <c r="BQ76" i="4" s="1"/>
  <c r="BS76" i="4"/>
  <c r="BT76" i="4" s="1"/>
  <c r="CP76" i="4" s="1"/>
  <c r="BP82" i="4"/>
  <c r="BQ82" i="4" s="1"/>
  <c r="BS82" i="4"/>
  <c r="BT82" i="4" s="1"/>
  <c r="CP82" i="4" s="1"/>
  <c r="BS20" i="4"/>
  <c r="BT20" i="4" s="1"/>
  <c r="CP20" i="4" s="1"/>
  <c r="BP20" i="4"/>
  <c r="BQ20" i="4" s="1"/>
  <c r="BP50" i="4"/>
  <c r="BQ50" i="4" s="1"/>
  <c r="BS50" i="4"/>
  <c r="BT50" i="4" s="1"/>
  <c r="CP50" i="4" s="1"/>
  <c r="BP118" i="4"/>
  <c r="BQ118" i="4" s="1"/>
  <c r="BS118" i="4"/>
  <c r="BT118" i="4" s="1"/>
  <c r="CP118" i="4" s="1"/>
  <c r="BS149" i="4"/>
  <c r="BT149" i="4" s="1"/>
  <c r="CP149" i="4" s="1"/>
  <c r="BP149" i="4"/>
  <c r="BQ149" i="4" s="1"/>
  <c r="BP79" i="4"/>
  <c r="BQ79" i="4" s="1"/>
  <c r="BS79" i="4"/>
  <c r="BT79" i="4" s="1"/>
  <c r="CP79" i="4" s="1"/>
  <c r="BP125" i="4"/>
  <c r="BQ125" i="4" s="1"/>
  <c r="BS125" i="4"/>
  <c r="BT125" i="4" s="1"/>
  <c r="CP125" i="4" s="1"/>
  <c r="BS105" i="4"/>
  <c r="BT105" i="4" s="1"/>
  <c r="CP105" i="4" s="1"/>
  <c r="BP105" i="4"/>
  <c r="BQ105" i="4" s="1"/>
  <c r="BS39" i="4"/>
  <c r="BT39" i="4" s="1"/>
  <c r="CP39" i="4" s="1"/>
  <c r="BP39" i="4"/>
  <c r="BQ39" i="4" s="1"/>
  <c r="BS86" i="4"/>
  <c r="BT86" i="4" s="1"/>
  <c r="CP86" i="4" s="1"/>
  <c r="BP86" i="4"/>
  <c r="BQ86" i="4" s="1"/>
  <c r="R141" i="4"/>
  <c r="L141" i="4" s="1"/>
  <c r="BP92" i="4"/>
  <c r="BQ92" i="4" s="1"/>
  <c r="BS92" i="4"/>
  <c r="BT92" i="4" s="1"/>
  <c r="CP92" i="4" s="1"/>
  <c r="BP65" i="4"/>
  <c r="BQ65" i="4" s="1"/>
  <c r="BS65" i="4"/>
  <c r="BT65" i="4" s="1"/>
  <c r="CP65" i="4" s="1"/>
  <c r="BS48" i="4"/>
  <c r="BT48" i="4" s="1"/>
  <c r="CP48" i="4" s="1"/>
  <c r="BP48" i="4"/>
  <c r="BQ48" i="4" s="1"/>
  <c r="BS121" i="4"/>
  <c r="BT121" i="4" s="1"/>
  <c r="CP121" i="4" s="1"/>
  <c r="BP121" i="4"/>
  <c r="BQ121" i="4" s="1"/>
  <c r="BS113" i="4"/>
  <c r="BT113" i="4" s="1"/>
  <c r="CP113" i="4" s="1"/>
  <c r="BP113" i="4"/>
  <c r="BQ113" i="4" s="1"/>
  <c r="BS40" i="4"/>
  <c r="BT40" i="4" s="1"/>
  <c r="CP40" i="4" s="1"/>
  <c r="BP40" i="4"/>
  <c r="BQ40" i="4" s="1"/>
  <c r="BP68" i="4"/>
  <c r="BQ68" i="4" s="1"/>
  <c r="BS68" i="4"/>
  <c r="BT68" i="4" s="1"/>
  <c r="CP68" i="4" s="1"/>
  <c r="BP55" i="4"/>
  <c r="BQ55" i="4" s="1"/>
  <c r="BS55" i="4"/>
  <c r="BT55" i="4" s="1"/>
  <c r="CP55" i="4" s="1"/>
  <c r="BS28" i="4"/>
  <c r="BT28" i="4" s="1"/>
  <c r="CP28" i="4" s="1"/>
  <c r="BP28" i="4"/>
  <c r="BQ28" i="4" s="1"/>
  <c r="BP36" i="4"/>
  <c r="BQ36" i="4" s="1"/>
  <c r="BS36" i="4"/>
  <c r="BT36" i="4" s="1"/>
  <c r="CP36" i="4" s="1"/>
  <c r="BP99" i="4"/>
  <c r="BQ99" i="4" s="1"/>
  <c r="BS99" i="4"/>
  <c r="BT99" i="4" s="1"/>
  <c r="CP99" i="4" s="1"/>
  <c r="BS116" i="4"/>
  <c r="BT116" i="4" s="1"/>
  <c r="CP116" i="4" s="1"/>
  <c r="BP116" i="4"/>
  <c r="BQ116" i="4" s="1"/>
  <c r="BS150" i="4"/>
  <c r="BT150" i="4" s="1"/>
  <c r="CP150" i="4" s="1"/>
  <c r="BP150" i="4"/>
  <c r="BQ150" i="4" s="1"/>
  <c r="BP33" i="4"/>
  <c r="BQ33" i="4" s="1"/>
  <c r="BS33" i="4"/>
  <c r="BT33" i="4" s="1"/>
  <c r="CP33" i="4" s="1"/>
  <c r="BP71" i="4"/>
  <c r="BQ71" i="4" s="1"/>
  <c r="BS71" i="4"/>
  <c r="BT71" i="4" s="1"/>
  <c r="CP71" i="4" s="1"/>
  <c r="BS30" i="4"/>
  <c r="BT30" i="4" s="1"/>
  <c r="CP30" i="4" s="1"/>
  <c r="BP30" i="4"/>
  <c r="BQ30" i="4" s="1"/>
  <c r="BS144" i="4"/>
  <c r="BT144" i="4" s="1"/>
  <c r="CP144" i="4" s="1"/>
  <c r="BP144" i="4"/>
  <c r="BQ144" i="4" s="1"/>
  <c r="BS97" i="4"/>
  <c r="BT97" i="4" s="1"/>
  <c r="CP97" i="4" s="1"/>
  <c r="BP97" i="4"/>
  <c r="BQ97" i="4" s="1"/>
  <c r="BS148" i="4"/>
  <c r="BT148" i="4" s="1"/>
  <c r="CP148" i="4" s="1"/>
  <c r="BP148" i="4"/>
  <c r="BQ148" i="4" s="1"/>
  <c r="BS141" i="4"/>
  <c r="BT141" i="4" s="1"/>
  <c r="CP141" i="4" s="1"/>
  <c r="BP141" i="4"/>
  <c r="BQ141" i="4" s="1"/>
  <c r="BP156" i="4"/>
  <c r="BQ156" i="4" s="1"/>
  <c r="BS156" i="4"/>
  <c r="BT156" i="4" s="1"/>
  <c r="CP156" i="4" s="1"/>
  <c r="BS84" i="4"/>
  <c r="BT84" i="4" s="1"/>
  <c r="CP84" i="4" s="1"/>
  <c r="BP84" i="4"/>
  <c r="BQ84" i="4" s="1"/>
  <c r="BP31" i="4"/>
  <c r="BQ31" i="4" s="1"/>
  <c r="BS31" i="4"/>
  <c r="BT31" i="4" s="1"/>
  <c r="CP31" i="4" s="1"/>
  <c r="R31" i="4"/>
  <c r="L31" i="4" s="1"/>
  <c r="R117" i="4"/>
  <c r="AG117" i="4" s="1"/>
  <c r="R105" i="4"/>
  <c r="AG105" i="4" s="1"/>
  <c r="R29" i="4"/>
  <c r="AG29" i="4" s="1"/>
  <c r="BS73" i="4"/>
  <c r="BT73" i="4" s="1"/>
  <c r="CP73" i="4" s="1"/>
  <c r="BP73" i="4"/>
  <c r="BQ73" i="4" s="1"/>
  <c r="BS42" i="4"/>
  <c r="BT42" i="4" s="1"/>
  <c r="CP42" i="4" s="1"/>
  <c r="BP42" i="4"/>
  <c r="BQ42" i="4" s="1"/>
  <c r="BP60" i="4"/>
  <c r="BQ60" i="4" s="1"/>
  <c r="BS60" i="4"/>
  <c r="BT60" i="4" s="1"/>
  <c r="CP60" i="4" s="1"/>
  <c r="BP98" i="4"/>
  <c r="BQ98" i="4" s="1"/>
  <c r="BS98" i="4"/>
  <c r="BT98" i="4" s="1"/>
  <c r="CP98" i="4" s="1"/>
  <c r="BP131" i="4"/>
  <c r="BQ131" i="4" s="1"/>
  <c r="BS131" i="4"/>
  <c r="BT131" i="4" s="1"/>
  <c r="CP131" i="4" s="1"/>
  <c r="BS17" i="4"/>
  <c r="BT17" i="4" s="1"/>
  <c r="CP17" i="4" s="1"/>
  <c r="BP17" i="4"/>
  <c r="BQ17" i="4" s="1"/>
  <c r="BP72" i="4"/>
  <c r="BQ72" i="4" s="1"/>
  <c r="BS72" i="4"/>
  <c r="BT72" i="4" s="1"/>
  <c r="CP72" i="4" s="1"/>
  <c r="BP11" i="4"/>
  <c r="BQ11" i="4" s="1"/>
  <c r="BS11" i="4"/>
  <c r="BT11" i="4" s="1"/>
  <c r="CP11" i="4" s="1"/>
  <c r="BS89" i="4"/>
  <c r="BT89" i="4" s="1"/>
  <c r="CP89" i="4" s="1"/>
  <c r="BP89" i="4"/>
  <c r="BQ89" i="4" s="1"/>
  <c r="BS129" i="4"/>
  <c r="BT129" i="4" s="1"/>
  <c r="CP129" i="4" s="1"/>
  <c r="BP129" i="4"/>
  <c r="BQ129" i="4" s="1"/>
  <c r="BS123" i="4"/>
  <c r="BT123" i="4" s="1"/>
  <c r="CP123" i="4" s="1"/>
  <c r="BP123" i="4"/>
  <c r="BQ123" i="4" s="1"/>
  <c r="BS47" i="4"/>
  <c r="BT47" i="4" s="1"/>
  <c r="CP47" i="4" s="1"/>
  <c r="BP47" i="4"/>
  <c r="BQ47" i="4" s="1"/>
  <c r="BP139" i="4"/>
  <c r="BQ139" i="4" s="1"/>
  <c r="BS139" i="4"/>
  <c r="BT139" i="4" s="1"/>
  <c r="CP139" i="4" s="1"/>
  <c r="BP111" i="4"/>
  <c r="BQ111" i="4" s="1"/>
  <c r="BS111" i="4"/>
  <c r="BT111" i="4" s="1"/>
  <c r="CP111" i="4" s="1"/>
  <c r="BS12" i="4"/>
  <c r="BT12" i="4" s="1"/>
  <c r="CP12" i="4" s="1"/>
  <c r="BP12" i="4"/>
  <c r="BQ12" i="4" s="1"/>
  <c r="BS57" i="4"/>
  <c r="BT57" i="4" s="1"/>
  <c r="CP57" i="4" s="1"/>
  <c r="BP57" i="4"/>
  <c r="BQ57" i="4" s="1"/>
  <c r="BS94" i="4"/>
  <c r="BT94" i="4" s="1"/>
  <c r="CP94" i="4" s="1"/>
  <c r="BP94" i="4"/>
  <c r="BQ94" i="4" s="1"/>
  <c r="BS109" i="4"/>
  <c r="BT109" i="4" s="1"/>
  <c r="CP109" i="4" s="1"/>
  <c r="BP109" i="4"/>
  <c r="BQ109" i="4" s="1"/>
  <c r="BP62" i="4"/>
  <c r="BQ62" i="4" s="1"/>
  <c r="BS62" i="4"/>
  <c r="BT62" i="4" s="1"/>
  <c r="CP62" i="4" s="1"/>
  <c r="BE92" i="4"/>
  <c r="BF92" i="4" s="1"/>
  <c r="BH92" i="4"/>
  <c r="BI92" i="4" s="1"/>
  <c r="CO92" i="4" s="1"/>
  <c r="BE70" i="4"/>
  <c r="BF70" i="4" s="1"/>
  <c r="BH70" i="4"/>
  <c r="BI70" i="4" s="1"/>
  <c r="CO70" i="4" s="1"/>
  <c r="BH88" i="4"/>
  <c r="BI88" i="4" s="1"/>
  <c r="CO88" i="4" s="1"/>
  <c r="BE88" i="4"/>
  <c r="BF88" i="4" s="1"/>
  <c r="BH94" i="4"/>
  <c r="BI94" i="4" s="1"/>
  <c r="CO94" i="4" s="1"/>
  <c r="BE94" i="4"/>
  <c r="BF94" i="4" s="1"/>
  <c r="BH73" i="4"/>
  <c r="BI73" i="4" s="1"/>
  <c r="CO73" i="4" s="1"/>
  <c r="BE73" i="4"/>
  <c r="BF73" i="4" s="1"/>
  <c r="BH38" i="4"/>
  <c r="BI38" i="4" s="1"/>
  <c r="CO38" i="4" s="1"/>
  <c r="BE38" i="4"/>
  <c r="BF38" i="4" s="1"/>
  <c r="BH147" i="4"/>
  <c r="BI147" i="4" s="1"/>
  <c r="CO147" i="4" s="1"/>
  <c r="BE147" i="4"/>
  <c r="BF147" i="4" s="1"/>
  <c r="BH121" i="4"/>
  <c r="BI121" i="4" s="1"/>
  <c r="CO121" i="4" s="1"/>
  <c r="BE121" i="4"/>
  <c r="BF121" i="4" s="1"/>
  <c r="BH79" i="4"/>
  <c r="BI79" i="4" s="1"/>
  <c r="CO79" i="4" s="1"/>
  <c r="BE79" i="4"/>
  <c r="BF79" i="4" s="1"/>
  <c r="BH143" i="4"/>
  <c r="BI143" i="4" s="1"/>
  <c r="CO143" i="4" s="1"/>
  <c r="BE143" i="4"/>
  <c r="BF143" i="4" s="1"/>
  <c r="BH37" i="4"/>
  <c r="BI37" i="4" s="1"/>
  <c r="CO37" i="4" s="1"/>
  <c r="BE37" i="4"/>
  <c r="BF37" i="4" s="1"/>
  <c r="BE20" i="4"/>
  <c r="BF20" i="4" s="1"/>
  <c r="BH20" i="4"/>
  <c r="BI20" i="4" s="1"/>
  <c r="CO20" i="4" s="1"/>
  <c r="BH64" i="4"/>
  <c r="BI64" i="4" s="1"/>
  <c r="CO64" i="4" s="1"/>
  <c r="BE64" i="4"/>
  <c r="BF64" i="4" s="1"/>
  <c r="BH115" i="4"/>
  <c r="BI115" i="4" s="1"/>
  <c r="CO115" i="4" s="1"/>
  <c r="BE115" i="4"/>
  <c r="BF115" i="4" s="1"/>
  <c r="BE96" i="4"/>
  <c r="BF96" i="4" s="1"/>
  <c r="BH96" i="4"/>
  <c r="BI96" i="4" s="1"/>
  <c r="CO96" i="4" s="1"/>
  <c r="BE91" i="4"/>
  <c r="BF91" i="4" s="1"/>
  <c r="BH91" i="4"/>
  <c r="BI91" i="4" s="1"/>
  <c r="CO91" i="4" s="1"/>
  <c r="BE54" i="4"/>
  <c r="BF54" i="4" s="1"/>
  <c r="BH54" i="4"/>
  <c r="BI54" i="4" s="1"/>
  <c r="CO54" i="4" s="1"/>
  <c r="BH25" i="4"/>
  <c r="BI25" i="4" s="1"/>
  <c r="CO25" i="4" s="1"/>
  <c r="BE25" i="4"/>
  <c r="BF25" i="4" s="1"/>
  <c r="BH111" i="4"/>
  <c r="BI111" i="4" s="1"/>
  <c r="CO111" i="4" s="1"/>
  <c r="BE111" i="4"/>
  <c r="BF111" i="4" s="1"/>
  <c r="BE13" i="4"/>
  <c r="BF13" i="4" s="1"/>
  <c r="BH13" i="4"/>
  <c r="BI13" i="4" s="1"/>
  <c r="CO13" i="4" s="1"/>
  <c r="BH102" i="4"/>
  <c r="BI102" i="4" s="1"/>
  <c r="CO102" i="4" s="1"/>
  <c r="BE102" i="4"/>
  <c r="BF102" i="4" s="1"/>
  <c r="BH43" i="4"/>
  <c r="BI43" i="4" s="1"/>
  <c r="CO43" i="4" s="1"/>
  <c r="BE43" i="4"/>
  <c r="BF43" i="4" s="1"/>
  <c r="BH56" i="4"/>
  <c r="BI56" i="4" s="1"/>
  <c r="CO56" i="4" s="1"/>
  <c r="BE56" i="4"/>
  <c r="BF56" i="4" s="1"/>
  <c r="BE156" i="4"/>
  <c r="BF156" i="4" s="1"/>
  <c r="BH156" i="4"/>
  <c r="BI156" i="4" s="1"/>
  <c r="CO156" i="4" s="1"/>
  <c r="BH81" i="4"/>
  <c r="BI81" i="4" s="1"/>
  <c r="CO81" i="4" s="1"/>
  <c r="BE81" i="4"/>
  <c r="BF81" i="4" s="1"/>
  <c r="BE153" i="4"/>
  <c r="BF153" i="4" s="1"/>
  <c r="BH153" i="4"/>
  <c r="BI153" i="4" s="1"/>
  <c r="CO153" i="4" s="1"/>
  <c r="BE52" i="4"/>
  <c r="BF52" i="4" s="1"/>
  <c r="BH52" i="4"/>
  <c r="BI52" i="4" s="1"/>
  <c r="CO52" i="4" s="1"/>
  <c r="BH60" i="4"/>
  <c r="BI60" i="4" s="1"/>
  <c r="CO60" i="4" s="1"/>
  <c r="BE60" i="4"/>
  <c r="BF60" i="4" s="1"/>
  <c r="BH22" i="4"/>
  <c r="BI22" i="4" s="1"/>
  <c r="CO22" i="4" s="1"/>
  <c r="BE22" i="4"/>
  <c r="BF22" i="4" s="1"/>
  <c r="AT13" i="5"/>
  <c r="AU13" i="5"/>
  <c r="BH34" i="4"/>
  <c r="BI34" i="4" s="1"/>
  <c r="CO34" i="4" s="1"/>
  <c r="BE34" i="4"/>
  <c r="BF34" i="4" s="1"/>
  <c r="BE119" i="4"/>
  <c r="BF119" i="4" s="1"/>
  <c r="BH119" i="4"/>
  <c r="BI119" i="4" s="1"/>
  <c r="CO119" i="4" s="1"/>
  <c r="BH103" i="4"/>
  <c r="BI103" i="4" s="1"/>
  <c r="CO103" i="4" s="1"/>
  <c r="BE103" i="4"/>
  <c r="BF103" i="4" s="1"/>
  <c r="BE51" i="4"/>
  <c r="BF51" i="4" s="1"/>
  <c r="BH51" i="4"/>
  <c r="BI51" i="4" s="1"/>
  <c r="CO51" i="4" s="1"/>
  <c r="BE29" i="4"/>
  <c r="BF29" i="4" s="1"/>
  <c r="BH29" i="4"/>
  <c r="BI29" i="4" s="1"/>
  <c r="CO29" i="4" s="1"/>
  <c r="BH15" i="4"/>
  <c r="BI15" i="4" s="1"/>
  <c r="CO15" i="4" s="1"/>
  <c r="BE15" i="4"/>
  <c r="BF15" i="4" s="1"/>
  <c r="BH74" i="4"/>
  <c r="BI74" i="4" s="1"/>
  <c r="CO74" i="4" s="1"/>
  <c r="BE74" i="4"/>
  <c r="BF74" i="4" s="1"/>
  <c r="BH95" i="4"/>
  <c r="BI95" i="4" s="1"/>
  <c r="CO95" i="4" s="1"/>
  <c r="BE95" i="4"/>
  <c r="BF95" i="4" s="1"/>
  <c r="BE75" i="4"/>
  <c r="BF75" i="4" s="1"/>
  <c r="BH75" i="4"/>
  <c r="BI75" i="4" s="1"/>
  <c r="CO75" i="4" s="1"/>
  <c r="BH35" i="4"/>
  <c r="BI35" i="4" s="1"/>
  <c r="CO35" i="4" s="1"/>
  <c r="BE35" i="4"/>
  <c r="BF35" i="4" s="1"/>
  <c r="BH139" i="4"/>
  <c r="BI139" i="4" s="1"/>
  <c r="CO139" i="4" s="1"/>
  <c r="BE139" i="4"/>
  <c r="BF139" i="4" s="1"/>
  <c r="BE130" i="4"/>
  <c r="BF130" i="4" s="1"/>
  <c r="BH130" i="4"/>
  <c r="BI130" i="4" s="1"/>
  <c r="CO130" i="4" s="1"/>
  <c r="BE120" i="4"/>
  <c r="BF120" i="4" s="1"/>
  <c r="BH120" i="4"/>
  <c r="BI120" i="4" s="1"/>
  <c r="CO120" i="4" s="1"/>
  <c r="BH117" i="4"/>
  <c r="BI117" i="4" s="1"/>
  <c r="CO117" i="4" s="1"/>
  <c r="BE117" i="4"/>
  <c r="BF117" i="4" s="1"/>
  <c r="BH149" i="4"/>
  <c r="BI149" i="4" s="1"/>
  <c r="CO149" i="4" s="1"/>
  <c r="BE149" i="4"/>
  <c r="BF149" i="4" s="1"/>
  <c r="BE50" i="4"/>
  <c r="BF50" i="4" s="1"/>
  <c r="BH50" i="4"/>
  <c r="BI50" i="4" s="1"/>
  <c r="CO50" i="4" s="1"/>
  <c r="BE27" i="4"/>
  <c r="BF27" i="4" s="1"/>
  <c r="BH27" i="4"/>
  <c r="BI27" i="4" s="1"/>
  <c r="CO27" i="4" s="1"/>
  <c r="BE105" i="4"/>
  <c r="BF105" i="4" s="1"/>
  <c r="BH105" i="4"/>
  <c r="BI105" i="4" s="1"/>
  <c r="CO105" i="4" s="1"/>
  <c r="BH8" i="4"/>
  <c r="BI8" i="4" s="1"/>
  <c r="CO8" i="4" s="1"/>
  <c r="BE8" i="4"/>
  <c r="BF8" i="4" s="1"/>
  <c r="BH110" i="4"/>
  <c r="BI110" i="4" s="1"/>
  <c r="CO110" i="4" s="1"/>
  <c r="BE110" i="4"/>
  <c r="BF110" i="4" s="1"/>
  <c r="BH99" i="4"/>
  <c r="BI99" i="4" s="1"/>
  <c r="CO99" i="4" s="1"/>
  <c r="BE99" i="4"/>
  <c r="BF99" i="4" s="1"/>
  <c r="BH59" i="4"/>
  <c r="BI59" i="4" s="1"/>
  <c r="CO59" i="4" s="1"/>
  <c r="BE59" i="4"/>
  <c r="BF59" i="4" s="1"/>
  <c r="BE122" i="4"/>
  <c r="BF122" i="4" s="1"/>
  <c r="BH122" i="4"/>
  <c r="BI122" i="4" s="1"/>
  <c r="CO122" i="4" s="1"/>
  <c r="BE123" i="4"/>
  <c r="BF123" i="4" s="1"/>
  <c r="BH123" i="4"/>
  <c r="BI123" i="4" s="1"/>
  <c r="CO123" i="4" s="1"/>
  <c r="BH68" i="4"/>
  <c r="BI68" i="4" s="1"/>
  <c r="CO68" i="4" s="1"/>
  <c r="BE68" i="4"/>
  <c r="BF68" i="4" s="1"/>
  <c r="BH128" i="4"/>
  <c r="BI128" i="4" s="1"/>
  <c r="CO128" i="4" s="1"/>
  <c r="BE128" i="4"/>
  <c r="BF128" i="4" s="1"/>
  <c r="BH124" i="4"/>
  <c r="BI124" i="4" s="1"/>
  <c r="CO124" i="4" s="1"/>
  <c r="BE124" i="4"/>
  <c r="BF124" i="4" s="1"/>
  <c r="BH32" i="4"/>
  <c r="BI32" i="4" s="1"/>
  <c r="CO32" i="4" s="1"/>
  <c r="BE32" i="4"/>
  <c r="BF32" i="4" s="1"/>
  <c r="BE93" i="4"/>
  <c r="BF93" i="4" s="1"/>
  <c r="BH93" i="4"/>
  <c r="BI93" i="4" s="1"/>
  <c r="CO93" i="4" s="1"/>
  <c r="BH127" i="4"/>
  <c r="BI127" i="4" s="1"/>
  <c r="CO127" i="4" s="1"/>
  <c r="BE127" i="4"/>
  <c r="BF127" i="4" s="1"/>
  <c r="BH39" i="4"/>
  <c r="BI39" i="4" s="1"/>
  <c r="CO39" i="4" s="1"/>
  <c r="BE39" i="4"/>
  <c r="BF39" i="4" s="1"/>
  <c r="BH97" i="4"/>
  <c r="BI97" i="4" s="1"/>
  <c r="CO97" i="4" s="1"/>
  <c r="BE97" i="4"/>
  <c r="BF97" i="4" s="1"/>
  <c r="BE40" i="4"/>
  <c r="BF40" i="4" s="1"/>
  <c r="BH40" i="4"/>
  <c r="BI40" i="4" s="1"/>
  <c r="CO40" i="4" s="1"/>
  <c r="BH135" i="4"/>
  <c r="BI135" i="4" s="1"/>
  <c r="CO135" i="4" s="1"/>
  <c r="BE135" i="4"/>
  <c r="BF135" i="4" s="1"/>
  <c r="BH89" i="4"/>
  <c r="BI89" i="4" s="1"/>
  <c r="CO89" i="4" s="1"/>
  <c r="BE89" i="4"/>
  <c r="BF89" i="4" s="1"/>
  <c r="BH129" i="4"/>
  <c r="BI129" i="4" s="1"/>
  <c r="CO129" i="4" s="1"/>
  <c r="BE129" i="4"/>
  <c r="BF129" i="4" s="1"/>
  <c r="BH76" i="4"/>
  <c r="BI76" i="4" s="1"/>
  <c r="CO76" i="4" s="1"/>
  <c r="BE76" i="4"/>
  <c r="BF76" i="4" s="1"/>
  <c r="BH26" i="4"/>
  <c r="BI26" i="4" s="1"/>
  <c r="CO26" i="4" s="1"/>
  <c r="BE26" i="4"/>
  <c r="BF26" i="4" s="1"/>
  <c r="BH138" i="4"/>
  <c r="BI138" i="4" s="1"/>
  <c r="CO138" i="4" s="1"/>
  <c r="BE138" i="4"/>
  <c r="BF138" i="4" s="1"/>
  <c r="BH83" i="4"/>
  <c r="BI83" i="4" s="1"/>
  <c r="CO83" i="4" s="1"/>
  <c r="BE83" i="4"/>
  <c r="BF83" i="4" s="1"/>
  <c r="BH9" i="4"/>
  <c r="BI9" i="4" s="1"/>
  <c r="CO9" i="4" s="1"/>
  <c r="BE9" i="4"/>
  <c r="BF9" i="4" s="1"/>
  <c r="BH14" i="4"/>
  <c r="BI14" i="4" s="1"/>
  <c r="CO14" i="4" s="1"/>
  <c r="BE14" i="4"/>
  <c r="BF14" i="4" s="1"/>
  <c r="BH44" i="4"/>
  <c r="BI44" i="4" s="1"/>
  <c r="CO44" i="4" s="1"/>
  <c r="BE44" i="4"/>
  <c r="BF44" i="4" s="1"/>
  <c r="BE63" i="4"/>
  <c r="BF63" i="4" s="1"/>
  <c r="BH63" i="4"/>
  <c r="BI63" i="4" s="1"/>
  <c r="CO63" i="4" s="1"/>
  <c r="BH28" i="4"/>
  <c r="BI28" i="4" s="1"/>
  <c r="CO28" i="4" s="1"/>
  <c r="BE28" i="4"/>
  <c r="BF28" i="4" s="1"/>
  <c r="BH112" i="4"/>
  <c r="BI112" i="4" s="1"/>
  <c r="CO112" i="4" s="1"/>
  <c r="BE112" i="4"/>
  <c r="BF112" i="4" s="1"/>
  <c r="BE104" i="4"/>
  <c r="BF104" i="4" s="1"/>
  <c r="BH104" i="4"/>
  <c r="BI104" i="4" s="1"/>
  <c r="CO104" i="4" s="1"/>
  <c r="BH151" i="4"/>
  <c r="BI151" i="4" s="1"/>
  <c r="CO151" i="4" s="1"/>
  <c r="BE151" i="4"/>
  <c r="BF151" i="4" s="1"/>
  <c r="BE116" i="4"/>
  <c r="BF116" i="4" s="1"/>
  <c r="BH116" i="4"/>
  <c r="BI116" i="4" s="1"/>
  <c r="CO116" i="4" s="1"/>
  <c r="BE58" i="4"/>
  <c r="BF58" i="4" s="1"/>
  <c r="BH58" i="4"/>
  <c r="BI58" i="4" s="1"/>
  <c r="CO58" i="4" s="1"/>
  <c r="BH114" i="4"/>
  <c r="BI114" i="4" s="1"/>
  <c r="CO114" i="4" s="1"/>
  <c r="BE114" i="4"/>
  <c r="BF114" i="4" s="1"/>
  <c r="BE136" i="4"/>
  <c r="BF136" i="4" s="1"/>
  <c r="BH136" i="4"/>
  <c r="BI136" i="4" s="1"/>
  <c r="CO136" i="4" s="1"/>
  <c r="BH47" i="4"/>
  <c r="BI47" i="4" s="1"/>
  <c r="CO47" i="4" s="1"/>
  <c r="BE47" i="4"/>
  <c r="BF47" i="4" s="1"/>
  <c r="BH16" i="4"/>
  <c r="BI16" i="4" s="1"/>
  <c r="CO16" i="4" s="1"/>
  <c r="BE16" i="4"/>
  <c r="BF16" i="4" s="1"/>
  <c r="BE62" i="4"/>
  <c r="BF62" i="4" s="1"/>
  <c r="BH62" i="4"/>
  <c r="BI62" i="4" s="1"/>
  <c r="CO62" i="4" s="1"/>
  <c r="BH71" i="4"/>
  <c r="BI71" i="4" s="1"/>
  <c r="CO71" i="4" s="1"/>
  <c r="BE71" i="4"/>
  <c r="BF71" i="4" s="1"/>
  <c r="BH144" i="4"/>
  <c r="BI144" i="4" s="1"/>
  <c r="CO144" i="4" s="1"/>
  <c r="BE144" i="4"/>
  <c r="BF144" i="4" s="1"/>
  <c r="BH12" i="4"/>
  <c r="BI12" i="4" s="1"/>
  <c r="CO12" i="4" s="1"/>
  <c r="BE12" i="4"/>
  <c r="BF12" i="4" s="1"/>
  <c r="BH137" i="4"/>
  <c r="BI137" i="4" s="1"/>
  <c r="CO137" i="4" s="1"/>
  <c r="BE137" i="4"/>
  <c r="BF137" i="4" s="1"/>
  <c r="BH157" i="4"/>
  <c r="BI157" i="4" s="1"/>
  <c r="CO157" i="4" s="1"/>
  <c r="BE157" i="4"/>
  <c r="BF157" i="4" s="1"/>
  <c r="BH126" i="4"/>
  <c r="BI126" i="4" s="1"/>
  <c r="CO126" i="4" s="1"/>
  <c r="BE126" i="4"/>
  <c r="BF126" i="4" s="1"/>
  <c r="BH148" i="4"/>
  <c r="BI148" i="4" s="1"/>
  <c r="CO148" i="4" s="1"/>
  <c r="BE148" i="4"/>
  <c r="BF148" i="4" s="1"/>
  <c r="BH36" i="4"/>
  <c r="BI36" i="4" s="1"/>
  <c r="CO36" i="4" s="1"/>
  <c r="BE36" i="4"/>
  <c r="BF36" i="4" s="1"/>
  <c r="BH24" i="4"/>
  <c r="BI24" i="4" s="1"/>
  <c r="CO24" i="4" s="1"/>
  <c r="BE24" i="4"/>
  <c r="BF24" i="4" s="1"/>
  <c r="BH82" i="4"/>
  <c r="BI82" i="4" s="1"/>
  <c r="CO82" i="4" s="1"/>
  <c r="BE82" i="4"/>
  <c r="BF82" i="4" s="1"/>
  <c r="BH78" i="4"/>
  <c r="BI78" i="4" s="1"/>
  <c r="CO78" i="4" s="1"/>
  <c r="BE78" i="4"/>
  <c r="BF78" i="4" s="1"/>
  <c r="BH23" i="4"/>
  <c r="BI23" i="4" s="1"/>
  <c r="CO23" i="4" s="1"/>
  <c r="BE23" i="4"/>
  <c r="BF23" i="4" s="1"/>
  <c r="BH132" i="4"/>
  <c r="BI132" i="4" s="1"/>
  <c r="CO132" i="4" s="1"/>
  <c r="BE132" i="4"/>
  <c r="BF132" i="4" s="1"/>
  <c r="BE72" i="4"/>
  <c r="BF72" i="4" s="1"/>
  <c r="BH72" i="4"/>
  <c r="BI72" i="4" s="1"/>
  <c r="CO72" i="4" s="1"/>
  <c r="BH131" i="4"/>
  <c r="BI131" i="4" s="1"/>
  <c r="CO131" i="4" s="1"/>
  <c r="BE131" i="4"/>
  <c r="BF131" i="4" s="1"/>
  <c r="BH86" i="4"/>
  <c r="BI86" i="4" s="1"/>
  <c r="CO86" i="4" s="1"/>
  <c r="BE86" i="4"/>
  <c r="BF86" i="4" s="1"/>
  <c r="BE49" i="4"/>
  <c r="BF49" i="4" s="1"/>
  <c r="BH49" i="4"/>
  <c r="BI49" i="4" s="1"/>
  <c r="CO49" i="4" s="1"/>
  <c r="BE98" i="4"/>
  <c r="BF98" i="4" s="1"/>
  <c r="BH98" i="4"/>
  <c r="BI98" i="4" s="1"/>
  <c r="CO98" i="4" s="1"/>
  <c r="BH18" i="4"/>
  <c r="BI18" i="4" s="1"/>
  <c r="CO18" i="4" s="1"/>
  <c r="BE18" i="4"/>
  <c r="BF18" i="4" s="1"/>
  <c r="BE146" i="4"/>
  <c r="BF146" i="4" s="1"/>
  <c r="BH146" i="4"/>
  <c r="BI146" i="4" s="1"/>
  <c r="CO146" i="4" s="1"/>
  <c r="BE48" i="4"/>
  <c r="BF48" i="4" s="1"/>
  <c r="BH48" i="4"/>
  <c r="BI48" i="4" s="1"/>
  <c r="CO48" i="4" s="1"/>
  <c r="BH141" i="4"/>
  <c r="BI141" i="4" s="1"/>
  <c r="CO141" i="4" s="1"/>
  <c r="BE141" i="4"/>
  <c r="BF141" i="4" s="1"/>
  <c r="BE85" i="4"/>
  <c r="BF85" i="4" s="1"/>
  <c r="BH85" i="4"/>
  <c r="BI85" i="4" s="1"/>
  <c r="CO85" i="4" s="1"/>
  <c r="BH145" i="4"/>
  <c r="BI145" i="4" s="1"/>
  <c r="CO145" i="4" s="1"/>
  <c r="BE145" i="4"/>
  <c r="BF145" i="4" s="1"/>
  <c r="BH67" i="4"/>
  <c r="BI67" i="4" s="1"/>
  <c r="CO67" i="4" s="1"/>
  <c r="BE67" i="4"/>
  <c r="BF67" i="4" s="1"/>
  <c r="BH53" i="4"/>
  <c r="BI53" i="4" s="1"/>
  <c r="CO53" i="4" s="1"/>
  <c r="BE53" i="4"/>
  <c r="BF53" i="4" s="1"/>
  <c r="BE41" i="4"/>
  <c r="BF41" i="4" s="1"/>
  <c r="BH41" i="4"/>
  <c r="BI41" i="4" s="1"/>
  <c r="CO41" i="4" s="1"/>
  <c r="BH140" i="4"/>
  <c r="BI140" i="4" s="1"/>
  <c r="CO140" i="4" s="1"/>
  <c r="BE140" i="4"/>
  <c r="BF140" i="4" s="1"/>
  <c r="BH30" i="4"/>
  <c r="BI30" i="4" s="1"/>
  <c r="CO30" i="4" s="1"/>
  <c r="BE30" i="4"/>
  <c r="BF30" i="4" s="1"/>
  <c r="BE134" i="4"/>
  <c r="BF134" i="4" s="1"/>
  <c r="BH134" i="4"/>
  <c r="BI134" i="4" s="1"/>
  <c r="CO134" i="4" s="1"/>
  <c r="BE90" i="4"/>
  <c r="BF90" i="4" s="1"/>
  <c r="BH90" i="4"/>
  <c r="BI90" i="4" s="1"/>
  <c r="CO90" i="4" s="1"/>
  <c r="BE125" i="4"/>
  <c r="BF125" i="4" s="1"/>
  <c r="BH125" i="4"/>
  <c r="BI125" i="4" s="1"/>
  <c r="CO125" i="4" s="1"/>
  <c r="BE84" i="4"/>
  <c r="BF84" i="4" s="1"/>
  <c r="BH84" i="4"/>
  <c r="BI84" i="4" s="1"/>
  <c r="CO84" i="4" s="1"/>
  <c r="BH69" i="4"/>
  <c r="BI69" i="4" s="1"/>
  <c r="CO69" i="4" s="1"/>
  <c r="BE69" i="4"/>
  <c r="BF69" i="4" s="1"/>
  <c r="BH21" i="4"/>
  <c r="BI21" i="4" s="1"/>
  <c r="CO21" i="4" s="1"/>
  <c r="BE21" i="4"/>
  <c r="BF21" i="4" s="1"/>
  <c r="BH17" i="4"/>
  <c r="BI17" i="4" s="1"/>
  <c r="CO17" i="4" s="1"/>
  <c r="BE17" i="4"/>
  <c r="BF17" i="4" s="1"/>
  <c r="BE133" i="4"/>
  <c r="BF133" i="4" s="1"/>
  <c r="BH133" i="4"/>
  <c r="BI133" i="4" s="1"/>
  <c r="CO133" i="4" s="1"/>
  <c r="BE150" i="4"/>
  <c r="BF150" i="4" s="1"/>
  <c r="BH150" i="4"/>
  <c r="BI150" i="4" s="1"/>
  <c r="CO150" i="4" s="1"/>
  <c r="BH80" i="4"/>
  <c r="BI80" i="4" s="1"/>
  <c r="CO80" i="4" s="1"/>
  <c r="BE80" i="4"/>
  <c r="BF80" i="4" s="1"/>
  <c r="BH66" i="4"/>
  <c r="BI66" i="4" s="1"/>
  <c r="CO66" i="4" s="1"/>
  <c r="BE66" i="4"/>
  <c r="BF66" i="4" s="1"/>
  <c r="BH57" i="4"/>
  <c r="BI57" i="4" s="1"/>
  <c r="CO57" i="4" s="1"/>
  <c r="BE57" i="4"/>
  <c r="BF57" i="4" s="1"/>
  <c r="BH109" i="4"/>
  <c r="BI109" i="4" s="1"/>
  <c r="CO109" i="4" s="1"/>
  <c r="BE109" i="4"/>
  <c r="BF109" i="4" s="1"/>
  <c r="BE77" i="4"/>
  <c r="BF77" i="4" s="1"/>
  <c r="BH77" i="4"/>
  <c r="BI77" i="4" s="1"/>
  <c r="CO77" i="4" s="1"/>
  <c r="BH45" i="4"/>
  <c r="BI45" i="4" s="1"/>
  <c r="CO45" i="4" s="1"/>
  <c r="BE45" i="4"/>
  <c r="BF45" i="4" s="1"/>
  <c r="BH10" i="4"/>
  <c r="BI10" i="4" s="1"/>
  <c r="CO10" i="4" s="1"/>
  <c r="BE10" i="4"/>
  <c r="BF10" i="4" s="1"/>
  <c r="BE154" i="4"/>
  <c r="BF154" i="4" s="1"/>
  <c r="BH154" i="4"/>
  <c r="BI154" i="4" s="1"/>
  <c r="CO154" i="4" s="1"/>
  <c r="BH31" i="4"/>
  <c r="BI31" i="4" s="1"/>
  <c r="CO31" i="4" s="1"/>
  <c r="BE31" i="4"/>
  <c r="BF31" i="4" s="1"/>
  <c r="BE87" i="4"/>
  <c r="BF87" i="4" s="1"/>
  <c r="BH87" i="4"/>
  <c r="BI87" i="4" s="1"/>
  <c r="CO87" i="4" s="1"/>
  <c r="BH107" i="4"/>
  <c r="BI107" i="4" s="1"/>
  <c r="CO107" i="4" s="1"/>
  <c r="BE107" i="4"/>
  <c r="BF107" i="4" s="1"/>
  <c r="BH55" i="4"/>
  <c r="BI55" i="4" s="1"/>
  <c r="CO55" i="4" s="1"/>
  <c r="BE55" i="4"/>
  <c r="BF55" i="4" s="1"/>
  <c r="BH65" i="4"/>
  <c r="BI65" i="4" s="1"/>
  <c r="CO65" i="4" s="1"/>
  <c r="BE65" i="4"/>
  <c r="BF65" i="4" s="1"/>
  <c r="BH11" i="4"/>
  <c r="BI11" i="4" s="1"/>
  <c r="CO11" i="4" s="1"/>
  <c r="BE11" i="4"/>
  <c r="BF11" i="4" s="1"/>
  <c r="BH142" i="4"/>
  <c r="BI142" i="4" s="1"/>
  <c r="CO142" i="4" s="1"/>
  <c r="BE142" i="4"/>
  <c r="BF142" i="4" s="1"/>
  <c r="BH106" i="4"/>
  <c r="BI106" i="4" s="1"/>
  <c r="CO106" i="4" s="1"/>
  <c r="BE106" i="4"/>
  <c r="BF106" i="4" s="1"/>
  <c r="BH42" i="4"/>
  <c r="BI42" i="4" s="1"/>
  <c r="CO42" i="4" s="1"/>
  <c r="BE42" i="4"/>
  <c r="BF42" i="4" s="1"/>
  <c r="BH100" i="4"/>
  <c r="BI100" i="4" s="1"/>
  <c r="CO100" i="4" s="1"/>
  <c r="BE100" i="4"/>
  <c r="BF100" i="4" s="1"/>
  <c r="BH152" i="4"/>
  <c r="BI152" i="4" s="1"/>
  <c r="CO152" i="4" s="1"/>
  <c r="BE152" i="4"/>
  <c r="BF152" i="4" s="1"/>
  <c r="BE101" i="4"/>
  <c r="BF101" i="4" s="1"/>
  <c r="BH101" i="4"/>
  <c r="BI101" i="4" s="1"/>
  <c r="CO101" i="4" s="1"/>
  <c r="BH61" i="4"/>
  <c r="BI61" i="4" s="1"/>
  <c r="CO61" i="4" s="1"/>
  <c r="BE61" i="4"/>
  <c r="BF61" i="4" s="1"/>
  <c r="BH19" i="4"/>
  <c r="BI19" i="4" s="1"/>
  <c r="CO19" i="4" s="1"/>
  <c r="BE19" i="4"/>
  <c r="BF19" i="4" s="1"/>
  <c r="BE118" i="4"/>
  <c r="BF118" i="4" s="1"/>
  <c r="BH118" i="4"/>
  <c r="BI118" i="4" s="1"/>
  <c r="CO118" i="4" s="1"/>
  <c r="BH108" i="4"/>
  <c r="BI108" i="4" s="1"/>
  <c r="CO108" i="4" s="1"/>
  <c r="BE108" i="4"/>
  <c r="BF108" i="4" s="1"/>
  <c r="BE155" i="4"/>
  <c r="BF155" i="4" s="1"/>
  <c r="BH155" i="4"/>
  <c r="BI155" i="4" s="1"/>
  <c r="CO155" i="4" s="1"/>
  <c r="BE46" i="4"/>
  <c r="BF46" i="4" s="1"/>
  <c r="BH46" i="4"/>
  <c r="BI46" i="4" s="1"/>
  <c r="CO46" i="4" s="1"/>
  <c r="BH33" i="4"/>
  <c r="BI33" i="4" s="1"/>
  <c r="CO33" i="4" s="1"/>
  <c r="BE33" i="4"/>
  <c r="BF33" i="4" s="1"/>
  <c r="BH113" i="4"/>
  <c r="BI113" i="4" s="1"/>
  <c r="CO113" i="4" s="1"/>
  <c r="BE113" i="4"/>
  <c r="BF113" i="4" s="1"/>
  <c r="V35" i="5" l="1"/>
  <c r="P7" i="5"/>
  <c r="W7" i="5"/>
  <c r="Y7" i="5" s="1"/>
  <c r="L27" i="4"/>
  <c r="B41" i="5"/>
  <c r="B226" i="2"/>
  <c r="B262" i="2" s="1"/>
  <c r="B264" i="2" s="1"/>
  <c r="K42" i="13"/>
  <c r="B42" i="13"/>
  <c r="H26" i="1"/>
  <c r="B16" i="8" s="1"/>
  <c r="AP10" i="13"/>
  <c r="AJ10" i="13"/>
  <c r="B220" i="2"/>
  <c r="B299" i="2" s="1"/>
  <c r="B300" i="2" s="1"/>
  <c r="Q7" i="13"/>
  <c r="U531" i="5"/>
  <c r="V506" i="5"/>
  <c r="V385" i="5"/>
  <c r="V371" i="5"/>
  <c r="U159" i="5"/>
  <c r="U189" i="5"/>
  <c r="B45" i="13"/>
  <c r="W10" i="13" s="1"/>
  <c r="B41" i="13"/>
  <c r="P320" i="5" s="1"/>
  <c r="U13" i="13"/>
  <c r="V13" i="13"/>
  <c r="V273" i="13"/>
  <c r="U273" i="13"/>
  <c r="V489" i="13"/>
  <c r="U489" i="13"/>
  <c r="V397" i="13"/>
  <c r="U397" i="13"/>
  <c r="U243" i="13"/>
  <c r="V243" i="13"/>
  <c r="V183" i="13"/>
  <c r="U183" i="13"/>
  <c r="U88" i="13"/>
  <c r="V88" i="13"/>
  <c r="U247" i="13"/>
  <c r="V247" i="13"/>
  <c r="U315" i="13"/>
  <c r="V315" i="13"/>
  <c r="V458" i="13"/>
  <c r="U458" i="13"/>
  <c r="V270" i="13"/>
  <c r="U270" i="13"/>
  <c r="U134" i="13"/>
  <c r="V134" i="13"/>
  <c r="U54" i="13"/>
  <c r="V54" i="13"/>
  <c r="V414" i="13"/>
  <c r="U414" i="13"/>
  <c r="U401" i="13"/>
  <c r="V401" i="13"/>
  <c r="V543" i="13"/>
  <c r="U543" i="13"/>
  <c r="V383" i="13"/>
  <c r="U383" i="13"/>
  <c r="U217" i="13"/>
  <c r="V217" i="13"/>
  <c r="U58" i="13"/>
  <c r="V58" i="13"/>
  <c r="U531" i="13"/>
  <c r="V531" i="13"/>
  <c r="V455" i="13"/>
  <c r="U455" i="13"/>
  <c r="V265" i="13"/>
  <c r="U265" i="13"/>
  <c r="V106" i="13"/>
  <c r="U106" i="13"/>
  <c r="V417" i="13"/>
  <c r="U417" i="13"/>
  <c r="V535" i="13"/>
  <c r="U535" i="13"/>
  <c r="V386" i="13"/>
  <c r="U386" i="13"/>
  <c r="V235" i="13"/>
  <c r="U235" i="13"/>
  <c r="V215" i="13"/>
  <c r="U215" i="13"/>
  <c r="V121" i="13"/>
  <c r="U121" i="13"/>
  <c r="U76" i="13"/>
  <c r="V76" i="13"/>
  <c r="U366" i="13"/>
  <c r="V366" i="13"/>
  <c r="V493" i="13"/>
  <c r="U493" i="13"/>
  <c r="V421" i="13"/>
  <c r="U421" i="13"/>
  <c r="V261" i="13"/>
  <c r="U261" i="13"/>
  <c r="U180" i="13"/>
  <c r="V180" i="13"/>
  <c r="V91" i="13"/>
  <c r="U91" i="13"/>
  <c r="V39" i="13"/>
  <c r="U39" i="13"/>
  <c r="V31" i="13"/>
  <c r="U31" i="13"/>
  <c r="V7" i="13"/>
  <c r="U7" i="13"/>
  <c r="V135" i="13"/>
  <c r="U135" i="13"/>
  <c r="V107" i="13"/>
  <c r="U107" i="13"/>
  <c r="V133" i="13"/>
  <c r="U133" i="13"/>
  <c r="V155" i="13"/>
  <c r="U155" i="13"/>
  <c r="V196" i="13"/>
  <c r="U196" i="13"/>
  <c r="V165" i="13"/>
  <c r="U165" i="13"/>
  <c r="V208" i="13"/>
  <c r="U208" i="13"/>
  <c r="V244" i="13"/>
  <c r="U244" i="13"/>
  <c r="V268" i="13"/>
  <c r="U268" i="13"/>
  <c r="V285" i="13"/>
  <c r="U285" i="13"/>
  <c r="V310" i="13"/>
  <c r="U310" i="13"/>
  <c r="V307" i="13"/>
  <c r="U307" i="13"/>
  <c r="U320" i="13"/>
  <c r="V320" i="13"/>
  <c r="U347" i="13"/>
  <c r="V347" i="13"/>
  <c r="V353" i="13"/>
  <c r="U353" i="13"/>
  <c r="U356" i="13"/>
  <c r="V356" i="13"/>
  <c r="V364" i="13"/>
  <c r="U364" i="13"/>
  <c r="V388" i="13"/>
  <c r="U388" i="13"/>
  <c r="U399" i="13"/>
  <c r="V399" i="13"/>
  <c r="V479" i="13"/>
  <c r="U479" i="13"/>
  <c r="U436" i="13"/>
  <c r="V436" i="13"/>
  <c r="U468" i="13"/>
  <c r="V468" i="13"/>
  <c r="V495" i="13"/>
  <c r="U495" i="13"/>
  <c r="V504" i="13"/>
  <c r="U504" i="13"/>
  <c r="V514" i="13"/>
  <c r="U514" i="13"/>
  <c r="U522" i="13"/>
  <c r="V522" i="13"/>
  <c r="V516" i="13"/>
  <c r="U516" i="13"/>
  <c r="V532" i="13"/>
  <c r="U532" i="13"/>
  <c r="V539" i="13"/>
  <c r="U539" i="13"/>
  <c r="U555" i="13"/>
  <c r="V555" i="13"/>
  <c r="V478" i="13"/>
  <c r="U478" i="13"/>
  <c r="V122" i="13"/>
  <c r="U122" i="13"/>
  <c r="U508" i="13"/>
  <c r="V508" i="13"/>
  <c r="V407" i="13"/>
  <c r="U407" i="13"/>
  <c r="V209" i="13"/>
  <c r="U209" i="13"/>
  <c r="V178" i="13"/>
  <c r="U178" i="13"/>
  <c r="V124" i="13"/>
  <c r="U124" i="13"/>
  <c r="V226" i="13"/>
  <c r="U226" i="13"/>
  <c r="V241" i="13"/>
  <c r="U241" i="13"/>
  <c r="U469" i="13"/>
  <c r="V469" i="13"/>
  <c r="V278" i="13"/>
  <c r="U278" i="13"/>
  <c r="V118" i="13"/>
  <c r="U118" i="13"/>
  <c r="U40" i="13"/>
  <c r="V40" i="13"/>
  <c r="V375" i="13"/>
  <c r="U375" i="13"/>
  <c r="V210" i="13"/>
  <c r="U210" i="13"/>
  <c r="V507" i="13"/>
  <c r="U507" i="13"/>
  <c r="V367" i="13"/>
  <c r="U367" i="13"/>
  <c r="V205" i="13"/>
  <c r="U205" i="13"/>
  <c r="V86" i="13"/>
  <c r="U86" i="13"/>
  <c r="V413" i="13"/>
  <c r="U413" i="13"/>
  <c r="V406" i="13"/>
  <c r="U406" i="13"/>
  <c r="V249" i="13"/>
  <c r="U249" i="13"/>
  <c r="U176" i="13"/>
  <c r="V176" i="13"/>
  <c r="V420" i="13"/>
  <c r="U420" i="13"/>
  <c r="V497" i="13"/>
  <c r="U497" i="13"/>
  <c r="U370" i="13"/>
  <c r="V370" i="13"/>
  <c r="U302" i="13"/>
  <c r="V302" i="13"/>
  <c r="V182" i="13"/>
  <c r="U182" i="13"/>
  <c r="V56" i="13"/>
  <c r="U56" i="13"/>
  <c r="U503" i="13"/>
  <c r="V503" i="13"/>
  <c r="U132" i="13"/>
  <c r="V132" i="13"/>
  <c r="U485" i="13"/>
  <c r="V485" i="13"/>
  <c r="U378" i="13"/>
  <c r="V378" i="13"/>
  <c r="V245" i="13"/>
  <c r="U245" i="13"/>
  <c r="V126" i="13"/>
  <c r="U126" i="13"/>
  <c r="V37" i="13"/>
  <c r="U37" i="13"/>
  <c r="V42" i="13"/>
  <c r="U42" i="13"/>
  <c r="V49" i="13"/>
  <c r="U49" i="13"/>
  <c r="V151" i="13"/>
  <c r="U151" i="13"/>
  <c r="V159" i="13"/>
  <c r="U159" i="13"/>
  <c r="V111" i="13"/>
  <c r="U111" i="13"/>
  <c r="V147" i="13"/>
  <c r="U147" i="13"/>
  <c r="V143" i="13"/>
  <c r="U143" i="13"/>
  <c r="V212" i="13"/>
  <c r="U212" i="13"/>
  <c r="V169" i="13"/>
  <c r="U169" i="13"/>
  <c r="V232" i="13"/>
  <c r="U232" i="13"/>
  <c r="V252" i="13"/>
  <c r="U252" i="13"/>
  <c r="V272" i="13"/>
  <c r="U272" i="13"/>
  <c r="V288" i="13"/>
  <c r="U288" i="13"/>
  <c r="U287" i="13"/>
  <c r="V287" i="13"/>
  <c r="V321" i="13"/>
  <c r="U321" i="13"/>
  <c r="V325" i="13"/>
  <c r="U325" i="13"/>
  <c r="U319" i="13"/>
  <c r="V319" i="13"/>
  <c r="V348" i="13"/>
  <c r="U348" i="13"/>
  <c r="V377" i="13"/>
  <c r="U377" i="13"/>
  <c r="V368" i="13"/>
  <c r="U368" i="13"/>
  <c r="V400" i="13"/>
  <c r="U400" i="13"/>
  <c r="V403" i="13"/>
  <c r="U403" i="13"/>
  <c r="V440" i="13"/>
  <c r="U440" i="13"/>
  <c r="U437" i="13"/>
  <c r="V437" i="13"/>
  <c r="V445" i="13"/>
  <c r="U445" i="13"/>
  <c r="V476" i="13"/>
  <c r="U476" i="13"/>
  <c r="V502" i="13"/>
  <c r="U502" i="13"/>
  <c r="U519" i="13"/>
  <c r="V519" i="13"/>
  <c r="U520" i="13"/>
  <c r="V520" i="13"/>
  <c r="U518" i="13"/>
  <c r="V518" i="13"/>
  <c r="V546" i="13"/>
  <c r="U546" i="13"/>
  <c r="U552" i="13"/>
  <c r="V552" i="13"/>
  <c r="U559" i="13"/>
  <c r="V559" i="13"/>
  <c r="U346" i="13"/>
  <c r="V346" i="13"/>
  <c r="U359" i="13"/>
  <c r="V359" i="13"/>
  <c r="V66" i="13"/>
  <c r="U66" i="13"/>
  <c r="V266" i="13"/>
  <c r="U266" i="13"/>
  <c r="U306" i="13"/>
  <c r="V306" i="13"/>
  <c r="V390" i="13"/>
  <c r="U390" i="13"/>
  <c r="U289" i="13"/>
  <c r="V289" i="13"/>
  <c r="V116" i="13"/>
  <c r="U116" i="13"/>
  <c r="V139" i="13"/>
  <c r="U139" i="13"/>
  <c r="V198" i="13"/>
  <c r="U198" i="13"/>
  <c r="V216" i="13"/>
  <c r="U216" i="13"/>
  <c r="V260" i="13"/>
  <c r="U260" i="13"/>
  <c r="V293" i="13"/>
  <c r="U293" i="13"/>
  <c r="U332" i="13"/>
  <c r="V332" i="13"/>
  <c r="V354" i="13"/>
  <c r="U354" i="13"/>
  <c r="V372" i="13"/>
  <c r="U372" i="13"/>
  <c r="V425" i="13"/>
  <c r="U425" i="13"/>
  <c r="U441" i="13"/>
  <c r="V441" i="13"/>
  <c r="V487" i="13"/>
  <c r="U487" i="13"/>
  <c r="V498" i="13"/>
  <c r="U498" i="13"/>
  <c r="U512" i="13"/>
  <c r="V512" i="13"/>
  <c r="U521" i="13"/>
  <c r="V521" i="13"/>
  <c r="V560" i="13"/>
  <c r="U560" i="13"/>
  <c r="U557" i="13"/>
  <c r="V557" i="13"/>
  <c r="U191" i="13"/>
  <c r="V191" i="13"/>
  <c r="V101" i="13"/>
  <c r="U101" i="13"/>
  <c r="V474" i="13"/>
  <c r="U474" i="13"/>
  <c r="V394" i="13"/>
  <c r="U394" i="13"/>
  <c r="V222" i="13"/>
  <c r="U222" i="13"/>
  <c r="U162" i="13"/>
  <c r="V162" i="13"/>
  <c r="V81" i="13"/>
  <c r="U81" i="13"/>
  <c r="U203" i="13"/>
  <c r="V203" i="13"/>
  <c r="U156" i="13"/>
  <c r="V156" i="13"/>
  <c r="V338" i="13"/>
  <c r="U338" i="13"/>
  <c r="U229" i="13"/>
  <c r="V229" i="13"/>
  <c r="V96" i="13"/>
  <c r="U96" i="13"/>
  <c r="U70" i="13"/>
  <c r="V70" i="13"/>
  <c r="U263" i="13"/>
  <c r="V263" i="13"/>
  <c r="V92" i="13"/>
  <c r="U92" i="13"/>
  <c r="V412" i="13"/>
  <c r="U412" i="13"/>
  <c r="V358" i="13"/>
  <c r="U358" i="13"/>
  <c r="U286" i="13"/>
  <c r="V286" i="13"/>
  <c r="V102" i="13"/>
  <c r="U102" i="13"/>
  <c r="V405" i="13"/>
  <c r="U405" i="13"/>
  <c r="U363" i="13"/>
  <c r="V363" i="13"/>
  <c r="U144" i="13"/>
  <c r="V144" i="13"/>
  <c r="V104" i="13"/>
  <c r="U104" i="13"/>
  <c r="V279" i="13"/>
  <c r="U279" i="13"/>
  <c r="U457" i="13"/>
  <c r="V457" i="13"/>
  <c r="V409" i="13"/>
  <c r="U409" i="13"/>
  <c r="V201" i="13"/>
  <c r="U201" i="13"/>
  <c r="V174" i="13"/>
  <c r="U174" i="13"/>
  <c r="V78" i="13"/>
  <c r="U78" i="13"/>
  <c r="V402" i="13"/>
  <c r="U402" i="13"/>
  <c r="U35" i="13"/>
  <c r="V35" i="13"/>
  <c r="U453" i="13"/>
  <c r="V453" i="13"/>
  <c r="U355" i="13"/>
  <c r="V355" i="13"/>
  <c r="V181" i="13"/>
  <c r="U181" i="13"/>
  <c r="V125" i="13"/>
  <c r="U125" i="13"/>
  <c r="V34" i="13"/>
  <c r="U34" i="13"/>
  <c r="V179" i="13"/>
  <c r="U179" i="13"/>
  <c r="V61" i="13"/>
  <c r="U61" i="13"/>
  <c r="V167" i="13"/>
  <c r="U167" i="13"/>
  <c r="V95" i="13"/>
  <c r="U95" i="13"/>
  <c r="V119" i="13"/>
  <c r="U119" i="13"/>
  <c r="V129" i="13"/>
  <c r="U129" i="13"/>
  <c r="V202" i="13"/>
  <c r="U202" i="13"/>
  <c r="V220" i="13"/>
  <c r="U220" i="13"/>
  <c r="V177" i="13"/>
  <c r="U177" i="13"/>
  <c r="V236" i="13"/>
  <c r="U236" i="13"/>
  <c r="V214" i="13"/>
  <c r="U214" i="13"/>
  <c r="V256" i="13"/>
  <c r="U256" i="13"/>
  <c r="V296" i="13"/>
  <c r="U296" i="13"/>
  <c r="U308" i="13"/>
  <c r="V308" i="13"/>
  <c r="V331" i="13"/>
  <c r="U331" i="13"/>
  <c r="V314" i="13"/>
  <c r="U314" i="13"/>
  <c r="V365" i="13"/>
  <c r="U365" i="13"/>
  <c r="V369" i="13"/>
  <c r="U369" i="13"/>
  <c r="V337" i="13"/>
  <c r="U337" i="13"/>
  <c r="V376" i="13"/>
  <c r="U376" i="13"/>
  <c r="V392" i="13"/>
  <c r="U392" i="13"/>
  <c r="U428" i="13"/>
  <c r="V428" i="13"/>
  <c r="U429" i="13"/>
  <c r="V429" i="13"/>
  <c r="U438" i="13"/>
  <c r="V438" i="13"/>
  <c r="V452" i="13"/>
  <c r="U452" i="13"/>
  <c r="V510" i="13"/>
  <c r="U510" i="13"/>
  <c r="V486" i="13"/>
  <c r="U486" i="13"/>
  <c r="V488" i="13"/>
  <c r="U488" i="13"/>
  <c r="U527" i="13"/>
  <c r="V527" i="13"/>
  <c r="U524" i="13"/>
  <c r="V524" i="13"/>
  <c r="U540" i="13"/>
  <c r="V540" i="13"/>
  <c r="V551" i="13"/>
  <c r="U551" i="13"/>
  <c r="V89" i="13"/>
  <c r="U89" i="13"/>
  <c r="U193" i="13"/>
  <c r="V193" i="13"/>
  <c r="U168" i="13"/>
  <c r="V168" i="13"/>
  <c r="V415" i="13"/>
  <c r="U415" i="13"/>
  <c r="V97" i="13"/>
  <c r="U97" i="13"/>
  <c r="U525" i="13"/>
  <c r="V525" i="13"/>
  <c r="V98" i="13"/>
  <c r="U98" i="13"/>
  <c r="V207" i="13"/>
  <c r="U207" i="13"/>
  <c r="V482" i="13"/>
  <c r="U482" i="13"/>
  <c r="V389" i="13"/>
  <c r="U389" i="13"/>
  <c r="V230" i="13"/>
  <c r="U230" i="13"/>
  <c r="V112" i="13"/>
  <c r="U112" i="13"/>
  <c r="U140" i="13"/>
  <c r="V140" i="13"/>
  <c r="U374" i="13"/>
  <c r="V374" i="13"/>
  <c r="U213" i="13"/>
  <c r="V213" i="13"/>
  <c r="V105" i="13"/>
  <c r="U105" i="13"/>
  <c r="V46" i="13"/>
  <c r="U46" i="13"/>
  <c r="V68" i="13"/>
  <c r="U68" i="13"/>
  <c r="V28" i="13"/>
  <c r="U28" i="13"/>
  <c r="V115" i="13"/>
  <c r="U115" i="13"/>
  <c r="V175" i="13"/>
  <c r="U175" i="13"/>
  <c r="V234" i="13"/>
  <c r="U234" i="13"/>
  <c r="V248" i="13"/>
  <c r="U248" i="13"/>
  <c r="U295" i="13"/>
  <c r="V295" i="13"/>
  <c r="U323" i="13"/>
  <c r="V323" i="13"/>
  <c r="U328" i="13"/>
  <c r="V328" i="13"/>
  <c r="V333" i="13"/>
  <c r="U333" i="13"/>
  <c r="U391" i="13"/>
  <c r="V391" i="13"/>
  <c r="U471" i="13"/>
  <c r="V471" i="13"/>
  <c r="V449" i="13"/>
  <c r="U449" i="13"/>
  <c r="V506" i="13"/>
  <c r="U506" i="13"/>
  <c r="V545" i="13"/>
  <c r="U545" i="13"/>
  <c r="U69" i="13"/>
  <c r="V69" i="13"/>
  <c r="U50" i="13"/>
  <c r="V50" i="13"/>
  <c r="V459" i="13"/>
  <c r="U459" i="13"/>
  <c r="V361" i="13"/>
  <c r="U361" i="13"/>
  <c r="V227" i="13"/>
  <c r="U227" i="13"/>
  <c r="U154" i="13"/>
  <c r="V154" i="13"/>
  <c r="U29" i="13"/>
  <c r="V29" i="13"/>
  <c r="U67" i="13"/>
  <c r="V67" i="13"/>
  <c r="V113" i="13"/>
  <c r="U113" i="13"/>
  <c r="V334" i="13"/>
  <c r="U334" i="13"/>
  <c r="V350" i="13"/>
  <c r="U350" i="13"/>
  <c r="U62" i="13"/>
  <c r="V62" i="13"/>
  <c r="V33" i="13"/>
  <c r="U33" i="13"/>
  <c r="V197" i="13"/>
  <c r="U197" i="13"/>
  <c r="U24" i="13"/>
  <c r="V24" i="13"/>
  <c r="V418" i="13"/>
  <c r="U418" i="13"/>
  <c r="V301" i="13"/>
  <c r="U301" i="13"/>
  <c r="V184" i="13"/>
  <c r="U184" i="13"/>
  <c r="V60" i="13"/>
  <c r="U60" i="13"/>
  <c r="V22" i="13"/>
  <c r="U22" i="13"/>
  <c r="V349" i="13"/>
  <c r="U349" i="13"/>
  <c r="V114" i="13"/>
  <c r="U114" i="13"/>
  <c r="U44" i="13"/>
  <c r="V44" i="13"/>
  <c r="V257" i="13"/>
  <c r="U257" i="13"/>
  <c r="V472" i="13"/>
  <c r="U472" i="13"/>
  <c r="U297" i="13"/>
  <c r="V297" i="13"/>
  <c r="U185" i="13"/>
  <c r="V185" i="13"/>
  <c r="V166" i="13"/>
  <c r="U166" i="13"/>
  <c r="V84" i="13"/>
  <c r="U84" i="13"/>
  <c r="V231" i="13"/>
  <c r="U231" i="13"/>
  <c r="U537" i="13"/>
  <c r="V537" i="13"/>
  <c r="V446" i="13"/>
  <c r="U446" i="13"/>
  <c r="V362" i="13"/>
  <c r="U362" i="13"/>
  <c r="V237" i="13"/>
  <c r="U237" i="13"/>
  <c r="V108" i="13"/>
  <c r="U108" i="13"/>
  <c r="V59" i="13"/>
  <c r="U59" i="13"/>
  <c r="V52" i="13"/>
  <c r="U52" i="13"/>
  <c r="V43" i="13"/>
  <c r="U43" i="13"/>
  <c r="V73" i="13"/>
  <c r="U73" i="13"/>
  <c r="V83" i="13"/>
  <c r="U83" i="13"/>
  <c r="V123" i="13"/>
  <c r="U123" i="13"/>
  <c r="V131" i="13"/>
  <c r="U131" i="13"/>
  <c r="V141" i="13"/>
  <c r="U141" i="13"/>
  <c r="V224" i="13"/>
  <c r="U224" i="13"/>
  <c r="V188" i="13"/>
  <c r="U188" i="13"/>
  <c r="V242" i="13"/>
  <c r="U242" i="13"/>
  <c r="V218" i="13"/>
  <c r="U218" i="13"/>
  <c r="V264" i="13"/>
  <c r="U264" i="13"/>
  <c r="U316" i="13"/>
  <c r="V316" i="13"/>
  <c r="U284" i="13"/>
  <c r="V284" i="13"/>
  <c r="V336" i="13"/>
  <c r="U336" i="13"/>
  <c r="V317" i="13"/>
  <c r="U317" i="13"/>
  <c r="V300" i="13"/>
  <c r="U300" i="13"/>
  <c r="V335" i="13"/>
  <c r="U335" i="13"/>
  <c r="V341" i="13"/>
  <c r="U341" i="13"/>
  <c r="V380" i="13"/>
  <c r="U380" i="13"/>
  <c r="U395" i="13"/>
  <c r="V395" i="13"/>
  <c r="V422" i="13"/>
  <c r="U422" i="13"/>
  <c r="U434" i="13"/>
  <c r="V434" i="13"/>
  <c r="V444" i="13"/>
  <c r="U444" i="13"/>
  <c r="V456" i="13"/>
  <c r="U456" i="13"/>
  <c r="V484" i="13"/>
  <c r="U484" i="13"/>
  <c r="V490" i="13"/>
  <c r="U490" i="13"/>
  <c r="U492" i="13"/>
  <c r="V492" i="13"/>
  <c r="V530" i="13"/>
  <c r="U530" i="13"/>
  <c r="U528" i="13"/>
  <c r="V528" i="13"/>
  <c r="U534" i="13"/>
  <c r="V534" i="13"/>
  <c r="U554" i="13"/>
  <c r="V554" i="13"/>
  <c r="V117" i="13"/>
  <c r="U117" i="13"/>
  <c r="U47" i="13"/>
  <c r="V47" i="13"/>
  <c r="V465" i="13"/>
  <c r="U465" i="13"/>
  <c r="U382" i="13"/>
  <c r="V382" i="13"/>
  <c r="V219" i="13"/>
  <c r="U219" i="13"/>
  <c r="U146" i="13"/>
  <c r="V146" i="13"/>
  <c r="U160" i="13"/>
  <c r="V160" i="13"/>
  <c r="U38" i="13"/>
  <c r="V38" i="13"/>
  <c r="U533" i="13"/>
  <c r="V533" i="13"/>
  <c r="U269" i="13"/>
  <c r="V269" i="13"/>
  <c r="V206" i="13"/>
  <c r="U206" i="13"/>
  <c r="V128" i="13"/>
  <c r="U128" i="13"/>
  <c r="V27" i="13"/>
  <c r="U27" i="13"/>
  <c r="U172" i="13"/>
  <c r="V172" i="13"/>
  <c r="V30" i="13"/>
  <c r="U30" i="13"/>
  <c r="U432" i="13"/>
  <c r="V432" i="13"/>
  <c r="V271" i="13"/>
  <c r="U271" i="13"/>
  <c r="U199" i="13"/>
  <c r="V199" i="13"/>
  <c r="V74" i="13"/>
  <c r="U74" i="13"/>
  <c r="V318" i="13"/>
  <c r="U318" i="13"/>
  <c r="V345" i="13"/>
  <c r="U345" i="13"/>
  <c r="V100" i="13"/>
  <c r="U100" i="13"/>
  <c r="U20" i="13"/>
  <c r="V20" i="13"/>
  <c r="U221" i="13"/>
  <c r="V221" i="13"/>
  <c r="U442" i="13"/>
  <c r="V442" i="13"/>
  <c r="V283" i="13"/>
  <c r="U283" i="13"/>
  <c r="V233" i="13"/>
  <c r="U233" i="13"/>
  <c r="U158" i="13"/>
  <c r="V158" i="13"/>
  <c r="V25" i="13"/>
  <c r="U25" i="13"/>
  <c r="V238" i="13"/>
  <c r="U238" i="13"/>
  <c r="U481" i="13"/>
  <c r="V481" i="13"/>
  <c r="V462" i="13"/>
  <c r="U462" i="13"/>
  <c r="U330" i="13"/>
  <c r="V330" i="13"/>
  <c r="U294" i="13"/>
  <c r="V294" i="13"/>
  <c r="V85" i="13"/>
  <c r="U85" i="13"/>
  <c r="V75" i="13"/>
  <c r="U75" i="13"/>
  <c r="T10" i="13"/>
  <c r="Z10" i="13"/>
  <c r="AM10" i="13"/>
  <c r="V45" i="13"/>
  <c r="U45" i="13"/>
  <c r="V77" i="13"/>
  <c r="U77" i="13"/>
  <c r="V149" i="13"/>
  <c r="U149" i="13"/>
  <c r="V127" i="13"/>
  <c r="U127" i="13"/>
  <c r="V157" i="13"/>
  <c r="U157" i="13"/>
  <c r="V153" i="13"/>
  <c r="U153" i="13"/>
  <c r="V228" i="13"/>
  <c r="U228" i="13"/>
  <c r="V204" i="13"/>
  <c r="U204" i="13"/>
  <c r="V305" i="13"/>
  <c r="U305" i="13"/>
  <c r="V250" i="13"/>
  <c r="U250" i="13"/>
  <c r="V276" i="13"/>
  <c r="U276" i="13"/>
  <c r="V381" i="13"/>
  <c r="U381" i="13"/>
  <c r="U292" i="13"/>
  <c r="V292" i="13"/>
  <c r="U324" i="13"/>
  <c r="V324" i="13"/>
  <c r="V322" i="13"/>
  <c r="U322" i="13"/>
  <c r="V304" i="13"/>
  <c r="U304" i="13"/>
  <c r="V339" i="13"/>
  <c r="U339" i="13"/>
  <c r="V357" i="13"/>
  <c r="U357" i="13"/>
  <c r="V384" i="13"/>
  <c r="U384" i="13"/>
  <c r="U396" i="13"/>
  <c r="V396" i="13"/>
  <c r="V431" i="13"/>
  <c r="U431" i="13"/>
  <c r="V448" i="13"/>
  <c r="U448" i="13"/>
  <c r="U439" i="13"/>
  <c r="V439" i="13"/>
  <c r="V460" i="13"/>
  <c r="U460" i="13"/>
  <c r="V483" i="13"/>
  <c r="U483" i="13"/>
  <c r="V494" i="13"/>
  <c r="U494" i="13"/>
  <c r="U496" i="13"/>
  <c r="V496" i="13"/>
  <c r="U548" i="13"/>
  <c r="V548" i="13"/>
  <c r="U529" i="13"/>
  <c r="V529" i="13"/>
  <c r="V541" i="13"/>
  <c r="U541" i="13"/>
  <c r="V558" i="13"/>
  <c r="U558" i="13"/>
  <c r="U477" i="13"/>
  <c r="V477" i="13"/>
  <c r="V170" i="13"/>
  <c r="U170" i="13"/>
  <c r="U130" i="13"/>
  <c r="V130" i="13"/>
  <c r="V110" i="13"/>
  <c r="U110" i="13"/>
  <c r="U136" i="13"/>
  <c r="V136" i="13"/>
  <c r="V189" i="13"/>
  <c r="U189" i="13"/>
  <c r="V393" i="13"/>
  <c r="U393" i="13"/>
  <c r="U326" i="13"/>
  <c r="V326" i="13"/>
  <c r="U225" i="13"/>
  <c r="V225" i="13"/>
  <c r="V451" i="13"/>
  <c r="U451" i="13"/>
  <c r="V467" i="13"/>
  <c r="U467" i="13"/>
  <c r="V173" i="13"/>
  <c r="U173" i="13"/>
  <c r="V72" i="13"/>
  <c r="U72" i="13"/>
  <c r="U542" i="13"/>
  <c r="V542" i="13"/>
  <c r="U408" i="13"/>
  <c r="V408" i="13"/>
  <c r="V275" i="13"/>
  <c r="U275" i="13"/>
  <c r="V211" i="13"/>
  <c r="U211" i="13"/>
  <c r="U142" i="13"/>
  <c r="V142" i="13"/>
  <c r="U63" i="13"/>
  <c r="V63" i="13"/>
  <c r="U79" i="13"/>
  <c r="V79" i="13"/>
  <c r="U499" i="13"/>
  <c r="V499" i="13"/>
  <c r="V253" i="13"/>
  <c r="U253" i="13"/>
  <c r="V187" i="13"/>
  <c r="U187" i="13"/>
  <c r="V120" i="13"/>
  <c r="U120" i="13"/>
  <c r="V8" i="13"/>
  <c r="U8" i="13"/>
  <c r="U36" i="13"/>
  <c r="V36" i="13"/>
  <c r="V64" i="13"/>
  <c r="U64" i="13"/>
  <c r="V419" i="13"/>
  <c r="U419" i="13"/>
  <c r="U255" i="13"/>
  <c r="V255" i="13"/>
  <c r="U164" i="13"/>
  <c r="V164" i="13"/>
  <c r="U41" i="13"/>
  <c r="V41" i="13"/>
  <c r="U461" i="13"/>
  <c r="V461" i="13"/>
  <c r="V342" i="13"/>
  <c r="U342" i="13"/>
  <c r="V94" i="13"/>
  <c r="U94" i="13"/>
  <c r="V57" i="13"/>
  <c r="U57" i="13"/>
  <c r="V470" i="13"/>
  <c r="U470" i="13"/>
  <c r="V423" i="13"/>
  <c r="U423" i="13"/>
  <c r="V267" i="13"/>
  <c r="U267" i="13"/>
  <c r="V282" i="13"/>
  <c r="U282" i="13"/>
  <c r="U150" i="13"/>
  <c r="V150" i="13"/>
  <c r="V71" i="13"/>
  <c r="U71" i="13"/>
  <c r="V274" i="13"/>
  <c r="U274" i="13"/>
  <c r="U550" i="13"/>
  <c r="V550" i="13"/>
  <c r="U411" i="13"/>
  <c r="V411" i="13"/>
  <c r="U351" i="13"/>
  <c r="V351" i="13"/>
  <c r="U195" i="13"/>
  <c r="V195" i="13"/>
  <c r="U23" i="13"/>
  <c r="V23" i="13"/>
  <c r="V82" i="13"/>
  <c r="U82" i="13"/>
  <c r="V21" i="13"/>
  <c r="U21" i="13"/>
  <c r="V65" i="13"/>
  <c r="U65" i="13"/>
  <c r="V80" i="13"/>
  <c r="U80" i="13"/>
  <c r="V99" i="13"/>
  <c r="U99" i="13"/>
  <c r="V137" i="13"/>
  <c r="U137" i="13"/>
  <c r="V171" i="13"/>
  <c r="U171" i="13"/>
  <c r="V163" i="13"/>
  <c r="U163" i="13"/>
  <c r="V192" i="13"/>
  <c r="U192" i="13"/>
  <c r="V254" i="13"/>
  <c r="U254" i="13"/>
  <c r="V344" i="13"/>
  <c r="U344" i="13"/>
  <c r="V258" i="13"/>
  <c r="U258" i="13"/>
  <c r="V280" i="13"/>
  <c r="U280" i="13"/>
  <c r="U290" i="13"/>
  <c r="V290" i="13"/>
  <c r="V299" i="13"/>
  <c r="U299" i="13"/>
  <c r="V352" i="13"/>
  <c r="U352" i="13"/>
  <c r="U327" i="13"/>
  <c r="V327" i="13"/>
  <c r="V309" i="13"/>
  <c r="U309" i="13"/>
  <c r="V343" i="13"/>
  <c r="U343" i="13"/>
  <c r="V385" i="13"/>
  <c r="U385" i="13"/>
  <c r="V404" i="13"/>
  <c r="U404" i="13"/>
  <c r="V398" i="13"/>
  <c r="U398" i="13"/>
  <c r="V433" i="13"/>
  <c r="U433" i="13"/>
  <c r="U426" i="13"/>
  <c r="V426" i="13"/>
  <c r="V443" i="13"/>
  <c r="U443" i="13"/>
  <c r="V475" i="13"/>
  <c r="U475" i="13"/>
  <c r="V464" i="13"/>
  <c r="U464" i="13"/>
  <c r="V511" i="13"/>
  <c r="U511" i="13"/>
  <c r="V505" i="13"/>
  <c r="U505" i="13"/>
  <c r="U523" i="13"/>
  <c r="V523" i="13"/>
  <c r="V536" i="13"/>
  <c r="U536" i="13"/>
  <c r="V549" i="13"/>
  <c r="U549" i="13"/>
  <c r="V556" i="13"/>
  <c r="U556" i="13"/>
  <c r="U12" i="13"/>
  <c r="V12" i="13"/>
  <c r="U501" i="13"/>
  <c r="V501" i="13"/>
  <c r="U513" i="13"/>
  <c r="V513" i="13"/>
  <c r="V371" i="13"/>
  <c r="U371" i="13"/>
  <c r="U259" i="13"/>
  <c r="V259" i="13"/>
  <c r="V186" i="13"/>
  <c r="U186" i="13"/>
  <c r="U138" i="13"/>
  <c r="V138" i="13"/>
  <c r="V55" i="13"/>
  <c r="U55" i="13"/>
  <c r="V463" i="13"/>
  <c r="U463" i="13"/>
  <c r="U466" i="13"/>
  <c r="V466" i="13"/>
  <c r="U311" i="13"/>
  <c r="V311" i="13"/>
  <c r="V194" i="13"/>
  <c r="U194" i="13"/>
  <c r="V90" i="13"/>
  <c r="U90" i="13"/>
  <c r="V454" i="13"/>
  <c r="U454" i="13"/>
  <c r="U430" i="13"/>
  <c r="V430" i="13"/>
  <c r="V547" i="13"/>
  <c r="U547" i="13"/>
  <c r="V416" i="13"/>
  <c r="U416" i="13"/>
  <c r="U239" i="13"/>
  <c r="V239" i="13"/>
  <c r="U148" i="13"/>
  <c r="V148" i="13"/>
  <c r="V51" i="13"/>
  <c r="U51" i="13"/>
  <c r="V450" i="13"/>
  <c r="U450" i="13"/>
  <c r="V281" i="13"/>
  <c r="U281" i="13"/>
  <c r="V53" i="13"/>
  <c r="U53" i="13"/>
  <c r="V473" i="13"/>
  <c r="U473" i="13"/>
  <c r="U538" i="13"/>
  <c r="V538" i="13"/>
  <c r="V379" i="13"/>
  <c r="U379" i="13"/>
  <c r="U251" i="13"/>
  <c r="V251" i="13"/>
  <c r="V223" i="13"/>
  <c r="U223" i="13"/>
  <c r="V190" i="13"/>
  <c r="U190" i="13"/>
  <c r="V109" i="13"/>
  <c r="U109" i="13"/>
  <c r="V93" i="13"/>
  <c r="U93" i="13"/>
  <c r="U517" i="13"/>
  <c r="V517" i="13"/>
  <c r="V424" i="13"/>
  <c r="U424" i="13"/>
  <c r="V277" i="13"/>
  <c r="U277" i="13"/>
  <c r="U152" i="13"/>
  <c r="V152" i="13"/>
  <c r="V48" i="13"/>
  <c r="U48" i="13"/>
  <c r="V32" i="13"/>
  <c r="U32" i="13"/>
  <c r="V26" i="13"/>
  <c r="U26" i="13"/>
  <c r="U19" i="13"/>
  <c r="V19" i="13"/>
  <c r="V87" i="13"/>
  <c r="U87" i="13"/>
  <c r="V103" i="13"/>
  <c r="U103" i="13"/>
  <c r="V161" i="13"/>
  <c r="U161" i="13"/>
  <c r="V145" i="13"/>
  <c r="U145" i="13"/>
  <c r="V200" i="13"/>
  <c r="U200" i="13"/>
  <c r="V262" i="13"/>
  <c r="U262" i="13"/>
  <c r="V246" i="13"/>
  <c r="U246" i="13"/>
  <c r="V240" i="13"/>
  <c r="U240" i="13"/>
  <c r="V313" i="13"/>
  <c r="U313" i="13"/>
  <c r="U291" i="13"/>
  <c r="V291" i="13"/>
  <c r="U298" i="13"/>
  <c r="V298" i="13"/>
  <c r="V303" i="13"/>
  <c r="U303" i="13"/>
  <c r="V312" i="13"/>
  <c r="U312" i="13"/>
  <c r="V340" i="13"/>
  <c r="U340" i="13"/>
  <c r="V329" i="13"/>
  <c r="U329" i="13"/>
  <c r="V373" i="13"/>
  <c r="U373" i="13"/>
  <c r="V360" i="13"/>
  <c r="U360" i="13"/>
  <c r="U387" i="13"/>
  <c r="V387" i="13"/>
  <c r="V410" i="13"/>
  <c r="U410" i="13"/>
  <c r="V427" i="13"/>
  <c r="U427" i="13"/>
  <c r="U435" i="13"/>
  <c r="V435" i="13"/>
  <c r="V447" i="13"/>
  <c r="U447" i="13"/>
  <c r="V491" i="13"/>
  <c r="U491" i="13"/>
  <c r="V480" i="13"/>
  <c r="U480" i="13"/>
  <c r="V500" i="13"/>
  <c r="U500" i="13"/>
  <c r="V509" i="13"/>
  <c r="U509" i="13"/>
  <c r="U515" i="13"/>
  <c r="V515" i="13"/>
  <c r="U526" i="13"/>
  <c r="V526" i="13"/>
  <c r="U544" i="13"/>
  <c r="V544" i="13"/>
  <c r="U553" i="13"/>
  <c r="V553" i="13"/>
  <c r="AG33" i="4"/>
  <c r="L120" i="4"/>
  <c r="U111" i="5"/>
  <c r="V218" i="5"/>
  <c r="V550" i="5"/>
  <c r="V401" i="5"/>
  <c r="U381" i="5"/>
  <c r="U298" i="5"/>
  <c r="V443" i="5"/>
  <c r="V433" i="5"/>
  <c r="V113" i="5"/>
  <c r="U322" i="5"/>
  <c r="V140" i="5"/>
  <c r="V412" i="5"/>
  <c r="V528" i="5"/>
  <c r="U368" i="5"/>
  <c r="U537" i="5"/>
  <c r="V286" i="5"/>
  <c r="U507" i="5"/>
  <c r="U31" i="5"/>
  <c r="T108" i="4"/>
  <c r="V487" i="5"/>
  <c r="V490" i="5"/>
  <c r="AG108" i="4"/>
  <c r="T120" i="4"/>
  <c r="L76" i="4"/>
  <c r="U437" i="5"/>
  <c r="L9" i="4"/>
  <c r="AG76" i="4"/>
  <c r="U513" i="5"/>
  <c r="L54" i="4"/>
  <c r="U544" i="5"/>
  <c r="AF54" i="4"/>
  <c r="V151" i="5"/>
  <c r="U552" i="5"/>
  <c r="V511" i="5"/>
  <c r="U147" i="4"/>
  <c r="V147" i="4" s="1"/>
  <c r="W147" i="4" s="1"/>
  <c r="AF120" i="4"/>
  <c r="V197" i="5"/>
  <c r="U275" i="5"/>
  <c r="AG50" i="4"/>
  <c r="U190" i="5"/>
  <c r="V438" i="5"/>
  <c r="V54" i="5"/>
  <c r="U240" i="5"/>
  <c r="U334" i="5"/>
  <c r="V72" i="5"/>
  <c r="U328" i="5"/>
  <c r="T147" i="4"/>
  <c r="V30" i="5"/>
  <c r="V168" i="5"/>
  <c r="U422" i="5"/>
  <c r="V454" i="5"/>
  <c r="L87" i="4"/>
  <c r="T75" i="4"/>
  <c r="U75" i="4"/>
  <c r="V75" i="4" s="1"/>
  <c r="W75" i="4" s="1"/>
  <c r="X75" i="4" s="1"/>
  <c r="AG75" i="4"/>
  <c r="L75" i="4"/>
  <c r="U87" i="4"/>
  <c r="V87" i="4" s="1"/>
  <c r="T134" i="4"/>
  <c r="V181" i="5"/>
  <c r="AG87" i="4"/>
  <c r="L134" i="4"/>
  <c r="V423" i="5"/>
  <c r="U476" i="5"/>
  <c r="F85" i="1"/>
  <c r="U448" i="5"/>
  <c r="U47" i="5"/>
  <c r="V466" i="5"/>
  <c r="L145" i="4"/>
  <c r="V101" i="5"/>
  <c r="V342" i="5"/>
  <c r="V375" i="5"/>
  <c r="V419" i="5"/>
  <c r="U105" i="5"/>
  <c r="AF76" i="4"/>
  <c r="U435" i="5"/>
  <c r="V503" i="5"/>
  <c r="V115" i="5"/>
  <c r="U130" i="5"/>
  <c r="T54" i="4"/>
  <c r="U364" i="5"/>
  <c r="T76" i="4"/>
  <c r="U54" i="4"/>
  <c r="V54" i="4" s="1"/>
  <c r="W54" i="4" s="1"/>
  <c r="V477" i="5"/>
  <c r="V39" i="5"/>
  <c r="U421" i="5"/>
  <c r="V162" i="5"/>
  <c r="U523" i="5"/>
  <c r="B45" i="5"/>
  <c r="T145" i="4"/>
  <c r="AG145" i="4"/>
  <c r="U319" i="5"/>
  <c r="AF145" i="4"/>
  <c r="U44" i="5"/>
  <c r="B42" i="5"/>
  <c r="U527" i="5"/>
  <c r="V88" i="5"/>
  <c r="U553" i="5"/>
  <c r="V106" i="5"/>
  <c r="U95" i="5"/>
  <c r="U520" i="5"/>
  <c r="V518" i="5"/>
  <c r="V431" i="5"/>
  <c r="V424" i="5"/>
  <c r="U251" i="5"/>
  <c r="V160" i="5"/>
  <c r="V83" i="5"/>
  <c r="U359" i="5"/>
  <c r="V22" i="5"/>
  <c r="U200" i="5"/>
  <c r="U152" i="5"/>
  <c r="U310" i="5"/>
  <c r="V41" i="5"/>
  <c r="V510" i="5"/>
  <c r="U465" i="5"/>
  <c r="U493" i="5"/>
  <c r="V557" i="5"/>
  <c r="V79" i="5"/>
  <c r="U13" i="5"/>
  <c r="V324" i="5"/>
  <c r="AF35" i="4"/>
  <c r="V147" i="5"/>
  <c r="U21" i="5"/>
  <c r="V467" i="5"/>
  <c r="V333" i="5"/>
  <c r="V461" i="5"/>
  <c r="U391" i="5"/>
  <c r="U329" i="5"/>
  <c r="V277" i="5"/>
  <c r="U558" i="5"/>
  <c r="V201" i="5"/>
  <c r="U519" i="5"/>
  <c r="V308" i="5"/>
  <c r="V425" i="5"/>
  <c r="T26" i="4"/>
  <c r="AG26" i="4"/>
  <c r="L127" i="4"/>
  <c r="V372" i="5"/>
  <c r="V38" i="5"/>
  <c r="L26" i="4"/>
  <c r="AF26" i="4"/>
  <c r="L55" i="4"/>
  <c r="L140" i="4"/>
  <c r="U55" i="4"/>
  <c r="V55" i="4" s="1"/>
  <c r="W55" i="4" s="1"/>
  <c r="T55" i="4"/>
  <c r="U68" i="4"/>
  <c r="V68" i="4" s="1"/>
  <c r="W68" i="4" s="1"/>
  <c r="X68" i="4" s="1"/>
  <c r="L15" i="4"/>
  <c r="AG55" i="4"/>
  <c r="V411" i="5"/>
  <c r="U127" i="4"/>
  <c r="V127" i="4" s="1"/>
  <c r="W127" i="4" s="1"/>
  <c r="T127" i="4"/>
  <c r="V382" i="5"/>
  <c r="AF127" i="4"/>
  <c r="V191" i="5"/>
  <c r="U108" i="4"/>
  <c r="V108" i="4" s="1"/>
  <c r="W108" i="4" s="1"/>
  <c r="L108" i="4"/>
  <c r="V255" i="5"/>
  <c r="AF97" i="4"/>
  <c r="V43" i="5"/>
  <c r="V92" i="5"/>
  <c r="V400" i="5"/>
  <c r="V233" i="5"/>
  <c r="L28" i="4"/>
  <c r="V170" i="5"/>
  <c r="V478" i="5"/>
  <c r="V68" i="5"/>
  <c r="V210" i="5"/>
  <c r="V126" i="5"/>
  <c r="V243" i="5"/>
  <c r="V183" i="5"/>
  <c r="V62" i="5"/>
  <c r="V390" i="5"/>
  <c r="V136" i="5"/>
  <c r="V178" i="5"/>
  <c r="V282" i="5"/>
  <c r="U338" i="5"/>
  <c r="AG74" i="4"/>
  <c r="V291" i="5"/>
  <c r="V144" i="5"/>
  <c r="U249" i="5"/>
  <c r="U452" i="5"/>
  <c r="V252" i="5"/>
  <c r="V260" i="5"/>
  <c r="V268" i="5"/>
  <c r="U85" i="4"/>
  <c r="V85" i="4" s="1"/>
  <c r="W85" i="4" s="1"/>
  <c r="X85" i="4" s="1"/>
  <c r="U395" i="5"/>
  <c r="U28" i="5"/>
  <c r="U63" i="5"/>
  <c r="L53" i="4"/>
  <c r="V325" i="5"/>
  <c r="V393" i="5"/>
  <c r="V540" i="5"/>
  <c r="U156" i="5"/>
  <c r="V146" i="5"/>
  <c r="U504" i="5"/>
  <c r="V394" i="5"/>
  <c r="V279" i="5"/>
  <c r="U413" i="5"/>
  <c r="V512" i="5"/>
  <c r="V536" i="5"/>
  <c r="U546" i="5"/>
  <c r="U500" i="5"/>
  <c r="AG147" i="4"/>
  <c r="U27" i="5"/>
  <c r="V289" i="5"/>
  <c r="U317" i="5"/>
  <c r="V75" i="5"/>
  <c r="V302" i="5"/>
  <c r="U19" i="5"/>
  <c r="V259" i="5"/>
  <c r="V365" i="5"/>
  <c r="V231" i="5"/>
  <c r="V459" i="5"/>
  <c r="U172" i="5"/>
  <c r="T46" i="4"/>
  <c r="AF46" i="4"/>
  <c r="L147" i="4"/>
  <c r="V78" i="5"/>
  <c r="U481" i="5"/>
  <c r="V107" i="5"/>
  <c r="V246" i="5"/>
  <c r="U370" i="5"/>
  <c r="V374" i="5"/>
  <c r="U46" i="4"/>
  <c r="V46" i="4" s="1"/>
  <c r="V530" i="5"/>
  <c r="AG120" i="4"/>
  <c r="L46" i="4"/>
  <c r="T30" i="4"/>
  <c r="V224" i="5"/>
  <c r="V460" i="5"/>
  <c r="V363" i="5"/>
  <c r="V534" i="5"/>
  <c r="V284" i="5"/>
  <c r="V290" i="5"/>
  <c r="U236" i="5"/>
  <c r="V158" i="5"/>
  <c r="V271" i="5"/>
  <c r="V525" i="5"/>
  <c r="V403" i="5"/>
  <c r="U483" i="5"/>
  <c r="V232" i="5"/>
  <c r="U482" i="5"/>
  <c r="T82" i="4"/>
  <c r="V498" i="5"/>
  <c r="U205" i="5"/>
  <c r="V37" i="5"/>
  <c r="V94" i="5"/>
  <c r="V266" i="5"/>
  <c r="U176" i="5"/>
  <c r="U132" i="5"/>
  <c r="U214" i="5"/>
  <c r="U497" i="5"/>
  <c r="U351" i="5"/>
  <c r="U548" i="5"/>
  <c r="U524" i="5"/>
  <c r="V99" i="5"/>
  <c r="U167" i="5"/>
  <c r="U97" i="5"/>
  <c r="U470" i="5"/>
  <c r="V343" i="5"/>
  <c r="AG67" i="4"/>
  <c r="AG41" i="4"/>
  <c r="U436" i="5"/>
  <c r="L19" i="4"/>
  <c r="V485" i="5"/>
  <c r="U543" i="5"/>
  <c r="U185" i="5"/>
  <c r="V366" i="5"/>
  <c r="U547" i="5"/>
  <c r="U237" i="5"/>
  <c r="V415" i="5"/>
  <c r="U258" i="5"/>
  <c r="V40" i="5"/>
  <c r="U40" i="5"/>
  <c r="U137" i="5"/>
  <c r="V155" i="5"/>
  <c r="U321" i="5"/>
  <c r="V440" i="5"/>
  <c r="T65" i="4"/>
  <c r="AG135" i="4"/>
  <c r="L50" i="4"/>
  <c r="AI10" i="5"/>
  <c r="U65" i="4"/>
  <c r="V65" i="4" s="1"/>
  <c r="W65" i="4" s="1"/>
  <c r="U58" i="4"/>
  <c r="V58" i="4" s="1"/>
  <c r="W58" i="4" s="1"/>
  <c r="X58" i="4" s="1"/>
  <c r="AF50" i="4"/>
  <c r="AF21" i="4"/>
  <c r="T97" i="4"/>
  <c r="V468" i="5"/>
  <c r="U97" i="4"/>
  <c r="V97" i="4" s="1"/>
  <c r="W97" i="4" s="1"/>
  <c r="U81" i="5"/>
  <c r="L97" i="4"/>
  <c r="U50" i="4"/>
  <c r="V50" i="4" s="1"/>
  <c r="W50" i="4" s="1"/>
  <c r="X50" i="4" s="1"/>
  <c r="V345" i="5"/>
  <c r="U227" i="5"/>
  <c r="L67" i="4"/>
  <c r="AF67" i="4"/>
  <c r="T45" i="4"/>
  <c r="U327" i="5"/>
  <c r="AF107" i="4"/>
  <c r="U45" i="4"/>
  <c r="V45" i="4" s="1"/>
  <c r="W45" i="4" s="1"/>
  <c r="X45" i="4" s="1"/>
  <c r="V195" i="5"/>
  <c r="U276" i="5"/>
  <c r="AG45" i="4"/>
  <c r="V464" i="5"/>
  <c r="U451" i="5"/>
  <c r="U515" i="5"/>
  <c r="U177" i="5"/>
  <c r="V311" i="5"/>
  <c r="V479" i="5"/>
  <c r="L45" i="4"/>
  <c r="U67" i="4"/>
  <c r="V67" i="4" s="1"/>
  <c r="W67" i="4" s="1"/>
  <c r="X67" i="4" s="1"/>
  <c r="U151" i="4"/>
  <c r="U330" i="5"/>
  <c r="T154" i="4"/>
  <c r="U146" i="4"/>
  <c r="U163" i="5"/>
  <c r="V521" i="5"/>
  <c r="AF74" i="4"/>
  <c r="U53" i="4"/>
  <c r="V53" i="4" s="1"/>
  <c r="W53" i="4" s="1"/>
  <c r="X53" i="4" s="1"/>
  <c r="T19" i="4"/>
  <c r="AG27" i="4"/>
  <c r="V502" i="5"/>
  <c r="V74" i="5"/>
  <c r="L74" i="4"/>
  <c r="T53" i="4"/>
  <c r="U19" i="4"/>
  <c r="V19" i="4" s="1"/>
  <c r="W19" i="4" s="1"/>
  <c r="X19" i="4" s="1"/>
  <c r="AF27" i="4"/>
  <c r="U239" i="5"/>
  <c r="AF53" i="4"/>
  <c r="AG19" i="4"/>
  <c r="AF41" i="4"/>
  <c r="U63" i="4"/>
  <c r="V63" i="4" s="1"/>
  <c r="W63" i="4" s="1"/>
  <c r="V102" i="5"/>
  <c r="V405" i="5"/>
  <c r="U559" i="5"/>
  <c r="U34" i="5"/>
  <c r="U475" i="5"/>
  <c r="V244" i="5"/>
  <c r="U397" i="5"/>
  <c r="V262" i="5"/>
  <c r="U287" i="5"/>
  <c r="T74" i="4"/>
  <c r="T27" i="4"/>
  <c r="U64" i="5"/>
  <c r="U109" i="5"/>
  <c r="U554" i="5"/>
  <c r="U508" i="5"/>
  <c r="Z10" i="5"/>
  <c r="AA10" i="5" s="1"/>
  <c r="V352" i="5"/>
  <c r="U263" i="5"/>
  <c r="V90" i="5"/>
  <c r="U376" i="5"/>
  <c r="U80" i="5"/>
  <c r="V204" i="5"/>
  <c r="U226" i="5"/>
  <c r="V118" i="5"/>
  <c r="V25" i="5"/>
  <c r="U499" i="5"/>
  <c r="U24" i="5"/>
  <c r="U314" i="5"/>
  <c r="V430" i="5"/>
  <c r="V257" i="5"/>
  <c r="V207" i="5"/>
  <c r="U198" i="5"/>
  <c r="U315" i="5"/>
  <c r="U125" i="5"/>
  <c r="U305" i="5"/>
  <c r="U404" i="5"/>
  <c r="V8" i="5"/>
  <c r="V73" i="5"/>
  <c r="AG134" i="4"/>
  <c r="T20" i="4"/>
  <c r="L110" i="4"/>
  <c r="V309" i="5"/>
  <c r="U386" i="5"/>
  <c r="V145" i="5"/>
  <c r="V192" i="5"/>
  <c r="AM10" i="5"/>
  <c r="T10" i="5"/>
  <c r="V166" i="5"/>
  <c r="T87" i="4"/>
  <c r="AF85" i="4"/>
  <c r="V220" i="5"/>
  <c r="V175" i="5"/>
  <c r="V348" i="5"/>
  <c r="U414" i="5"/>
  <c r="V337" i="5"/>
  <c r="U337" i="5"/>
  <c r="V316" i="5"/>
  <c r="U316" i="5"/>
  <c r="V124" i="5"/>
  <c r="U124" i="5"/>
  <c r="U134" i="4"/>
  <c r="U149" i="5"/>
  <c r="V389" i="5"/>
  <c r="V247" i="5"/>
  <c r="V462" i="5"/>
  <c r="U462" i="5"/>
  <c r="U217" i="5"/>
  <c r="V217" i="5"/>
  <c r="V445" i="5"/>
  <c r="V57" i="5"/>
  <c r="U57" i="5"/>
  <c r="U293" i="5"/>
  <c r="V293" i="5"/>
  <c r="U100" i="5"/>
  <c r="V100" i="5"/>
  <c r="V409" i="5"/>
  <c r="U409" i="5"/>
  <c r="U350" i="5"/>
  <c r="U560" i="5"/>
  <c r="U221" i="5"/>
  <c r="U71" i="5"/>
  <c r="U37" i="4"/>
  <c r="V37" i="4" s="1"/>
  <c r="W37" i="4" s="1"/>
  <c r="X37" i="4" s="1"/>
  <c r="U278" i="5"/>
  <c r="V202" i="5"/>
  <c r="V469" i="5"/>
  <c r="U469" i="5"/>
  <c r="V135" i="5"/>
  <c r="U135" i="5"/>
  <c r="V539" i="5"/>
  <c r="U539" i="5"/>
  <c r="V42" i="5"/>
  <c r="U356" i="5"/>
  <c r="U432" i="5"/>
  <c r="U208" i="5"/>
  <c r="V208" i="5"/>
  <c r="U91" i="5"/>
  <c r="V91" i="5"/>
  <c r="U187" i="5"/>
  <c r="V187" i="5"/>
  <c r="V20" i="5"/>
  <c r="U127" i="5"/>
  <c r="V127" i="5"/>
  <c r="V82" i="5"/>
  <c r="U82" i="5"/>
  <c r="U494" i="5"/>
  <c r="V494" i="5"/>
  <c r="U228" i="5"/>
  <c r="V228" i="5"/>
  <c r="V29" i="5"/>
  <c r="U29" i="5"/>
  <c r="AF144" i="4"/>
  <c r="AF40" i="4"/>
  <c r="L32" i="4"/>
  <c r="U152" i="4"/>
  <c r="V152" i="4" s="1"/>
  <c r="W152" i="4" s="1"/>
  <c r="T152" i="4"/>
  <c r="AG136" i="4"/>
  <c r="AG152" i="4"/>
  <c r="L152" i="4"/>
  <c r="T34" i="4"/>
  <c r="U292" i="5"/>
  <c r="T73" i="4"/>
  <c r="AG9" i="4"/>
  <c r="AF28" i="4"/>
  <c r="T149" i="4"/>
  <c r="V98" i="5"/>
  <c r="V444" i="5"/>
  <c r="V182" i="5"/>
  <c r="U288" i="5"/>
  <c r="U117" i="5"/>
  <c r="U7" i="4"/>
  <c r="V7" i="4" s="1"/>
  <c r="Z7" i="4" s="1"/>
  <c r="AA7" i="4" s="1"/>
  <c r="AB7" i="4" s="1"/>
  <c r="L149" i="4"/>
  <c r="T140" i="4"/>
  <c r="T7" i="4"/>
  <c r="AG149" i="4"/>
  <c r="U358" i="5"/>
  <c r="U28" i="4"/>
  <c r="V28" i="4" s="1"/>
  <c r="W28" i="4" s="1"/>
  <c r="X28" i="4" s="1"/>
  <c r="U140" i="4"/>
  <c r="V140" i="4" s="1"/>
  <c r="W140" i="4" s="1"/>
  <c r="AG7" i="4"/>
  <c r="AF149" i="4"/>
  <c r="T28" i="4"/>
  <c r="AF140" i="4"/>
  <c r="T153" i="4"/>
  <c r="L17" i="4"/>
  <c r="AG153" i="4"/>
  <c r="U56" i="5"/>
  <c r="V112" i="5"/>
  <c r="U188" i="5"/>
  <c r="V188" i="5"/>
  <c r="AF15" i="4"/>
  <c r="U353" i="5"/>
  <c r="V353" i="5"/>
  <c r="V458" i="5"/>
  <c r="U458" i="5"/>
  <c r="V222" i="5"/>
  <c r="U222" i="5"/>
  <c r="U130" i="4"/>
  <c r="V130" i="4" s="1"/>
  <c r="W130" i="4" s="1"/>
  <c r="U357" i="5"/>
  <c r="V357" i="5"/>
  <c r="V495" i="5"/>
  <c r="U495" i="5"/>
  <c r="U142" i="4"/>
  <c r="V142" i="4" s="1"/>
  <c r="W142" i="4" s="1"/>
  <c r="T107" i="4"/>
  <c r="U107" i="4"/>
  <c r="V107" i="4" s="1"/>
  <c r="W107" i="4" s="1"/>
  <c r="AF81" i="4"/>
  <c r="U447" i="5"/>
  <c r="V447" i="5"/>
  <c r="U15" i="4"/>
  <c r="V15" i="4" s="1"/>
  <c r="W15" i="4" s="1"/>
  <c r="X15" i="4" s="1"/>
  <c r="T15" i="4"/>
  <c r="L107" i="4"/>
  <c r="V517" i="5"/>
  <c r="U517" i="5"/>
  <c r="U193" i="5"/>
  <c r="V193" i="5"/>
  <c r="T33" i="4"/>
  <c r="AG21" i="4"/>
  <c r="T32" i="4"/>
  <c r="L154" i="4"/>
  <c r="U33" i="4"/>
  <c r="V33" i="4" s="1"/>
  <c r="W33" i="4" s="1"/>
  <c r="X33" i="4" s="1"/>
  <c r="T85" i="4"/>
  <c r="L21" i="4"/>
  <c r="AG32" i="4"/>
  <c r="L33" i="4"/>
  <c r="U154" i="4"/>
  <c r="V154" i="4" s="1"/>
  <c r="W154" i="4" s="1"/>
  <c r="AG85" i="4"/>
  <c r="U20" i="4"/>
  <c r="V20" i="4" s="1"/>
  <c r="W20" i="4" s="1"/>
  <c r="X20" i="4" s="1"/>
  <c r="T58" i="4"/>
  <c r="AF32" i="4"/>
  <c r="L20" i="4"/>
  <c r="AG154" i="4"/>
  <c r="AF20" i="4"/>
  <c r="AF58" i="4"/>
  <c r="U21" i="4"/>
  <c r="V21" i="4" s="1"/>
  <c r="W21" i="4" s="1"/>
  <c r="X21" i="4" s="1"/>
  <c r="AG58" i="4"/>
  <c r="AF150" i="4"/>
  <c r="T42" i="4"/>
  <c r="U30" i="4"/>
  <c r="V30" i="4" s="1"/>
  <c r="W30" i="4" s="1"/>
  <c r="V410" i="5"/>
  <c r="AF30" i="4"/>
  <c r="AG30" i="4"/>
  <c r="T71" i="4"/>
  <c r="U17" i="4"/>
  <c r="V17" i="4" s="1"/>
  <c r="W17" i="4" s="1"/>
  <c r="X17" i="4" s="1"/>
  <c r="AK10" i="5"/>
  <c r="AF9" i="4"/>
  <c r="T101" i="4"/>
  <c r="L65" i="4"/>
  <c r="AG63" i="4"/>
  <c r="U307" i="5"/>
  <c r="U223" i="5"/>
  <c r="U144" i="4"/>
  <c r="V144" i="4" s="1"/>
  <c r="L101" i="4"/>
  <c r="AF65" i="4"/>
  <c r="U131" i="4"/>
  <c r="L63" i="4"/>
  <c r="AF101" i="4"/>
  <c r="AF63" i="4"/>
  <c r="V388" i="5"/>
  <c r="U101" i="4"/>
  <c r="V101" i="4" s="1"/>
  <c r="W101" i="4" s="1"/>
  <c r="T144" i="4"/>
  <c r="AG144" i="4"/>
  <c r="AF80" i="4"/>
  <c r="U9" i="4"/>
  <c r="V9" i="4" s="1"/>
  <c r="W9" i="4" s="1"/>
  <c r="V417" i="5"/>
  <c r="U532" i="5"/>
  <c r="V418" i="5"/>
  <c r="V399" i="5"/>
  <c r="V434" i="5"/>
  <c r="U471" i="5"/>
  <c r="V463" i="5"/>
  <c r="V86" i="5"/>
  <c r="V294" i="5"/>
  <c r="U141" i="5"/>
  <c r="V297" i="5"/>
  <c r="V157" i="5"/>
  <c r="U23" i="5"/>
  <c r="V196" i="5"/>
  <c r="V301" i="5"/>
  <c r="V439" i="5"/>
  <c r="V280" i="5"/>
  <c r="U426" i="5"/>
  <c r="U526" i="5"/>
  <c r="U26" i="5"/>
  <c r="V50" i="5"/>
  <c r="V61" i="5"/>
  <c r="V360" i="5"/>
  <c r="V377" i="5"/>
  <c r="V473" i="5"/>
  <c r="V134" i="5"/>
  <c r="V408" i="5"/>
  <c r="U331" i="5"/>
  <c r="V241" i="5"/>
  <c r="U486" i="5"/>
  <c r="V108" i="5"/>
  <c r="V154" i="5"/>
  <c r="U416" i="5"/>
  <c r="U446" i="5"/>
  <c r="V491" i="5"/>
  <c r="V429" i="5"/>
  <c r="V164" i="5"/>
  <c r="U235" i="5"/>
  <c r="V216" i="5"/>
  <c r="V367" i="5"/>
  <c r="U318" i="5"/>
  <c r="V148" i="5"/>
  <c r="V69" i="5"/>
  <c r="V225" i="5"/>
  <c r="V209" i="5"/>
  <c r="V505" i="5"/>
  <c r="U474" i="5"/>
  <c r="U542" i="5"/>
  <c r="V121" i="5"/>
  <c r="U238" i="5"/>
  <c r="V238" i="5"/>
  <c r="U455" i="5"/>
  <c r="V455" i="5"/>
  <c r="U104" i="5"/>
  <c r="V104" i="5"/>
  <c r="U326" i="5"/>
  <c r="V326" i="5"/>
  <c r="V489" i="5"/>
  <c r="U489" i="5"/>
  <c r="U538" i="5"/>
  <c r="V538" i="5"/>
  <c r="V174" i="5"/>
  <c r="U174" i="5"/>
  <c r="U406" i="5"/>
  <c r="V406" i="5"/>
  <c r="V484" i="5"/>
  <c r="U484" i="5"/>
  <c r="V320" i="5"/>
  <c r="U320" i="5"/>
  <c r="V150" i="5"/>
  <c r="U150" i="5"/>
  <c r="U212" i="5"/>
  <c r="V212" i="5"/>
  <c r="V383" i="5"/>
  <c r="U383" i="5"/>
  <c r="V541" i="5"/>
  <c r="U541" i="5"/>
  <c r="U281" i="5"/>
  <c r="V281" i="5"/>
  <c r="V169" i="5"/>
  <c r="U169" i="5"/>
  <c r="V373" i="5"/>
  <c r="U373" i="5"/>
  <c r="V273" i="5"/>
  <c r="U273" i="5"/>
  <c r="V129" i="5"/>
  <c r="U129" i="5"/>
  <c r="U33" i="5"/>
  <c r="V33" i="5"/>
  <c r="V46" i="5"/>
  <c r="U46" i="5"/>
  <c r="U344" i="5"/>
  <c r="V344" i="5"/>
  <c r="U378" i="5"/>
  <c r="V378" i="5"/>
  <c r="V139" i="5"/>
  <c r="U139" i="5"/>
  <c r="U119" i="5"/>
  <c r="V119" i="5"/>
  <c r="V48" i="5"/>
  <c r="U48" i="5"/>
  <c r="U213" i="5"/>
  <c r="V213" i="5"/>
  <c r="U347" i="5"/>
  <c r="V347" i="5"/>
  <c r="U77" i="5"/>
  <c r="V77" i="5"/>
  <c r="V110" i="5"/>
  <c r="U110" i="5"/>
  <c r="V234" i="5"/>
  <c r="U234" i="5"/>
  <c r="U250" i="5"/>
  <c r="V250" i="5"/>
  <c r="V514" i="5"/>
  <c r="V496" i="5"/>
  <c r="U60" i="5"/>
  <c r="V60" i="5"/>
  <c r="U349" i="5"/>
  <c r="V349" i="5"/>
  <c r="U339" i="5"/>
  <c r="V339" i="5"/>
  <c r="V211" i="5"/>
  <c r="U211" i="5"/>
  <c r="U384" i="5"/>
  <c r="V384" i="5"/>
  <c r="U285" i="5"/>
  <c r="V285" i="5"/>
  <c r="U199" i="5"/>
  <c r="V199" i="5"/>
  <c r="V340" i="5"/>
  <c r="U340" i="5"/>
  <c r="V283" i="5"/>
  <c r="U283" i="5"/>
  <c r="V55" i="5"/>
  <c r="U55" i="5"/>
  <c r="V245" i="5"/>
  <c r="U245" i="5"/>
  <c r="V355" i="5"/>
  <c r="U355" i="5"/>
  <c r="U398" i="5"/>
  <c r="V398" i="5"/>
  <c r="V103" i="5"/>
  <c r="U103" i="5"/>
  <c r="V457" i="5"/>
  <c r="U556" i="5"/>
  <c r="V84" i="5"/>
  <c r="U84" i="5"/>
  <c r="U442" i="5"/>
  <c r="V442" i="5"/>
  <c r="V128" i="5"/>
  <c r="U128" i="5"/>
  <c r="U551" i="5"/>
  <c r="V551" i="5"/>
  <c r="V253" i="5"/>
  <c r="U253" i="5"/>
  <c r="V313" i="5"/>
  <c r="U313" i="5"/>
  <c r="V180" i="5"/>
  <c r="U180" i="5"/>
  <c r="V362" i="5"/>
  <c r="U362" i="5"/>
  <c r="V269" i="5"/>
  <c r="U269" i="5"/>
  <c r="U336" i="5"/>
  <c r="V336" i="5"/>
  <c r="U323" i="5"/>
  <c r="V323" i="5"/>
  <c r="V265" i="5"/>
  <c r="U265" i="5"/>
  <c r="V361" i="5"/>
  <c r="U361" i="5"/>
  <c r="V89" i="5"/>
  <c r="U89" i="5"/>
  <c r="V52" i="5"/>
  <c r="U52" i="5"/>
  <c r="V65" i="5"/>
  <c r="U65" i="5"/>
  <c r="U32" i="5"/>
  <c r="V32" i="5"/>
  <c r="V58" i="5"/>
  <c r="U58" i="5"/>
  <c r="U138" i="5"/>
  <c r="V138" i="5"/>
  <c r="V441" i="5"/>
  <c r="U441" i="5"/>
  <c r="V261" i="5"/>
  <c r="U261" i="5"/>
  <c r="U142" i="5"/>
  <c r="V142" i="5"/>
  <c r="U341" i="5"/>
  <c r="V341" i="5"/>
  <c r="V171" i="5"/>
  <c r="U171" i="5"/>
  <c r="V194" i="5"/>
  <c r="T94" i="4"/>
  <c r="V379" i="5"/>
  <c r="U379" i="5"/>
  <c r="L122" i="4"/>
  <c r="AF48" i="4"/>
  <c r="L94" i="4"/>
  <c r="T112" i="4"/>
  <c r="U7" i="5"/>
  <c r="V230" i="5"/>
  <c r="U230" i="5"/>
  <c r="AG122" i="4"/>
  <c r="U112" i="4"/>
  <c r="V112" i="4" s="1"/>
  <c r="W112" i="4" s="1"/>
  <c r="U535" i="5"/>
  <c r="U242" i="5"/>
  <c r="V242" i="5"/>
  <c r="AG118" i="4"/>
  <c r="T111" i="4"/>
  <c r="L129" i="4"/>
  <c r="V122" i="5"/>
  <c r="V123" i="5"/>
  <c r="V179" i="5"/>
  <c r="U179" i="5"/>
  <c r="AG129" i="4"/>
  <c r="T51" i="4"/>
  <c r="V53" i="5"/>
  <c r="U67" i="5"/>
  <c r="V67" i="5"/>
  <c r="U453" i="5"/>
  <c r="V453" i="5"/>
  <c r="AF94" i="4"/>
  <c r="U116" i="4"/>
  <c r="V116" i="4" s="1"/>
  <c r="AG112" i="4"/>
  <c r="U51" i="4"/>
  <c r="V51" i="4" s="1"/>
  <c r="W51" i="4" s="1"/>
  <c r="X51" i="4" s="1"/>
  <c r="L153" i="4"/>
  <c r="T93" i="4"/>
  <c r="AG111" i="4"/>
  <c r="U64" i="4"/>
  <c r="V64" i="4" s="1"/>
  <c r="W64" i="4" s="1"/>
  <c r="X64" i="4" s="1"/>
  <c r="AG94" i="4"/>
  <c r="T116" i="4"/>
  <c r="L112" i="4"/>
  <c r="AF51" i="4"/>
  <c r="AF153" i="4"/>
  <c r="U93" i="4"/>
  <c r="V93" i="4" s="1"/>
  <c r="U111" i="4"/>
  <c r="V111" i="4" s="1"/>
  <c r="L111" i="4"/>
  <c r="T118" i="4"/>
  <c r="T64" i="4"/>
  <c r="T48" i="4"/>
  <c r="AG116" i="4"/>
  <c r="AG51" i="4"/>
  <c r="L93" i="4"/>
  <c r="U122" i="4"/>
  <c r="V122" i="4" s="1"/>
  <c r="W122" i="4" s="1"/>
  <c r="U118" i="4"/>
  <c r="V118" i="4" s="1"/>
  <c r="L64" i="4"/>
  <c r="U48" i="4"/>
  <c r="V48" i="4" s="1"/>
  <c r="L116" i="4"/>
  <c r="U129" i="4"/>
  <c r="AF93" i="4"/>
  <c r="T122" i="4"/>
  <c r="L118" i="4"/>
  <c r="AG64" i="4"/>
  <c r="AG48" i="4"/>
  <c r="T129" i="4"/>
  <c r="L102" i="4"/>
  <c r="AF24" i="4"/>
  <c r="T126" i="4"/>
  <c r="AF38" i="4"/>
  <c r="T59" i="4"/>
  <c r="T133" i="4"/>
  <c r="AG52" i="4"/>
  <c r="T132" i="4"/>
  <c r="AF13" i="4"/>
  <c r="L96" i="4"/>
  <c r="AF18" i="4"/>
  <c r="L77" i="4"/>
  <c r="AG35" i="4"/>
  <c r="AG121" i="4"/>
  <c r="T103" i="4"/>
  <c r="U132" i="4"/>
  <c r="V132" i="4" s="1"/>
  <c r="W132" i="4" s="1"/>
  <c r="T68" i="4"/>
  <c r="AF96" i="4"/>
  <c r="AG77" i="4"/>
  <c r="U135" i="4"/>
  <c r="V135" i="4" s="1"/>
  <c r="W135" i="4" s="1"/>
  <c r="L35" i="4"/>
  <c r="L121" i="4"/>
  <c r="U82" i="4"/>
  <c r="V82" i="4" s="1"/>
  <c r="AG68" i="4"/>
  <c r="AF157" i="4"/>
  <c r="L135" i="4"/>
  <c r="AG82" i="4"/>
  <c r="T18" i="4"/>
  <c r="L82" i="4"/>
  <c r="U18" i="4"/>
  <c r="V18" i="4" s="1"/>
  <c r="W18" i="4" s="1"/>
  <c r="X18" i="4" s="1"/>
  <c r="T16" i="4"/>
  <c r="T121" i="4"/>
  <c r="T13" i="4"/>
  <c r="L68" i="4"/>
  <c r="L13" i="4"/>
  <c r="L18" i="4"/>
  <c r="U35" i="4"/>
  <c r="V35" i="4" s="1"/>
  <c r="W35" i="4" s="1"/>
  <c r="X35" i="4" s="1"/>
  <c r="AG16" i="4"/>
  <c r="U121" i="4"/>
  <c r="U13" i="4"/>
  <c r="V13" i="4" s="1"/>
  <c r="W13" i="4" s="1"/>
  <c r="X13" i="4" s="1"/>
  <c r="L16" i="4"/>
  <c r="AG133" i="4"/>
  <c r="T36" i="4"/>
  <c r="U126" i="4"/>
  <c r="AG59" i="4"/>
  <c r="T22" i="4"/>
  <c r="L133" i="4"/>
  <c r="U36" i="4"/>
  <c r="V36" i="4" s="1"/>
  <c r="W36" i="4" s="1"/>
  <c r="T99" i="4"/>
  <c r="U22" i="4"/>
  <c r="V22" i="4" s="1"/>
  <c r="W22" i="4" s="1"/>
  <c r="X22" i="4" s="1"/>
  <c r="AF133" i="4"/>
  <c r="AG36" i="4"/>
  <c r="U99" i="4"/>
  <c r="V99" i="4" s="1"/>
  <c r="AF22" i="4"/>
  <c r="T124" i="4"/>
  <c r="AF36" i="4"/>
  <c r="L99" i="4"/>
  <c r="L22" i="4"/>
  <c r="AG124" i="4"/>
  <c r="AG99" i="4"/>
  <c r="L92" i="4"/>
  <c r="L60" i="4"/>
  <c r="T24" i="4"/>
  <c r="U38" i="4"/>
  <c r="V38" i="4" s="1"/>
  <c r="W38" i="4" s="1"/>
  <c r="X38" i="4" s="1"/>
  <c r="T52" i="4"/>
  <c r="V215" i="5"/>
  <c r="U501" i="5"/>
  <c r="V254" i="5"/>
  <c r="U36" i="5"/>
  <c r="V36" i="5"/>
  <c r="V306" i="5"/>
  <c r="U306" i="5"/>
  <c r="U300" i="5"/>
  <c r="V300" i="5"/>
  <c r="U369" i="5"/>
  <c r="V369" i="5"/>
  <c r="V420" i="5"/>
  <c r="U420" i="5"/>
  <c r="U335" i="5"/>
  <c r="V335" i="5"/>
  <c r="U427" i="5"/>
  <c r="V427" i="5"/>
  <c r="V380" i="5"/>
  <c r="U114" i="5"/>
  <c r="V114" i="5"/>
  <c r="U456" i="5"/>
  <c r="V456" i="5"/>
  <c r="U87" i="5"/>
  <c r="V87" i="5"/>
  <c r="V312" i="5"/>
  <c r="U312" i="5"/>
  <c r="U206" i="5"/>
  <c r="V206" i="5"/>
  <c r="V296" i="5"/>
  <c r="U296" i="5"/>
  <c r="U332" i="5"/>
  <c r="V332" i="5"/>
  <c r="V93" i="5"/>
  <c r="U161" i="5"/>
  <c r="V161" i="5"/>
  <c r="V549" i="5"/>
  <c r="U549" i="5"/>
  <c r="V402" i="5"/>
  <c r="U402" i="5"/>
  <c r="U66" i="5"/>
  <c r="V66" i="5"/>
  <c r="V529" i="5"/>
  <c r="U529" i="5"/>
  <c r="U509" i="5"/>
  <c r="V509" i="5"/>
  <c r="L57" i="4"/>
  <c r="U449" i="5"/>
  <c r="AG56" i="4"/>
  <c r="V472" i="5"/>
  <c r="V184" i="5"/>
  <c r="V303" i="5"/>
  <c r="U303" i="5"/>
  <c r="V133" i="5"/>
  <c r="U133" i="5"/>
  <c r="U203" i="5"/>
  <c r="V203" i="5"/>
  <c r="V533" i="5"/>
  <c r="U533" i="5"/>
  <c r="U85" i="5"/>
  <c r="V85" i="5"/>
  <c r="V256" i="5"/>
  <c r="U256" i="5"/>
  <c r="V248" i="5"/>
  <c r="U248" i="5"/>
  <c r="V186" i="5"/>
  <c r="U186" i="5"/>
  <c r="V299" i="5"/>
  <c r="U299" i="5"/>
  <c r="V267" i="5"/>
  <c r="U267" i="5"/>
  <c r="V522" i="5"/>
  <c r="U522" i="5"/>
  <c r="AF156" i="4"/>
  <c r="V173" i="5"/>
  <c r="U173" i="5"/>
  <c r="V295" i="5"/>
  <c r="U295" i="5"/>
  <c r="V396" i="5"/>
  <c r="U396" i="5"/>
  <c r="U392" i="5"/>
  <c r="V392" i="5"/>
  <c r="U116" i="5"/>
  <c r="V116" i="5"/>
  <c r="V555" i="5"/>
  <c r="U555" i="5"/>
  <c r="V480" i="5"/>
  <c r="U480" i="5"/>
  <c r="U488" i="5"/>
  <c r="V488" i="5"/>
  <c r="U12" i="5"/>
  <c r="V12" i="5"/>
  <c r="U49" i="5"/>
  <c r="V49" i="5"/>
  <c r="V96" i="5"/>
  <c r="U96" i="5"/>
  <c r="V76" i="5"/>
  <c r="U76" i="5"/>
  <c r="V120" i="5"/>
  <c r="U120" i="5"/>
  <c r="U51" i="5"/>
  <c r="V51" i="5"/>
  <c r="V45" i="5"/>
  <c r="U45" i="5"/>
  <c r="V165" i="5"/>
  <c r="U165" i="5"/>
  <c r="U346" i="5"/>
  <c r="V346" i="5"/>
  <c r="U131" i="5"/>
  <c r="V131" i="5"/>
  <c r="V153" i="5"/>
  <c r="U153" i="5"/>
  <c r="V270" i="5"/>
  <c r="V545" i="5"/>
  <c r="U545" i="5"/>
  <c r="U229" i="5"/>
  <c r="V229" i="5"/>
  <c r="U450" i="5"/>
  <c r="V450" i="5"/>
  <c r="U264" i="5"/>
  <c r="V264" i="5"/>
  <c r="U143" i="5"/>
  <c r="V143" i="5"/>
  <c r="U274" i="5"/>
  <c r="V274" i="5"/>
  <c r="U272" i="5"/>
  <c r="V272" i="5"/>
  <c r="AG128" i="4"/>
  <c r="V219" i="5"/>
  <c r="U219" i="5"/>
  <c r="V387" i="5"/>
  <c r="U387" i="5"/>
  <c r="U492" i="5"/>
  <c r="V492" i="5"/>
  <c r="U354" i="5"/>
  <c r="V354" i="5"/>
  <c r="U516" i="5"/>
  <c r="V516" i="5"/>
  <c r="V304" i="5"/>
  <c r="U304" i="5"/>
  <c r="V428" i="5"/>
  <c r="U428" i="5"/>
  <c r="V407" i="5"/>
  <c r="U407" i="5"/>
  <c r="U59" i="5"/>
  <c r="V59" i="5"/>
  <c r="U95" i="4"/>
  <c r="V95" i="4" s="1"/>
  <c r="W95" i="4" s="1"/>
  <c r="X95" i="4" s="1"/>
  <c r="AG71" i="4"/>
  <c r="AF130" i="4"/>
  <c r="T43" i="4"/>
  <c r="L71" i="4"/>
  <c r="AG130" i="4"/>
  <c r="AF71" i="4"/>
  <c r="AF90" i="4"/>
  <c r="T41" i="4"/>
  <c r="T109" i="4"/>
  <c r="T40" i="4"/>
  <c r="U136" i="4"/>
  <c r="AF43" i="4"/>
  <c r="U40" i="4"/>
  <c r="V40" i="4" s="1"/>
  <c r="W40" i="4" s="1"/>
  <c r="X40" i="4" s="1"/>
  <c r="T136" i="4"/>
  <c r="U43" i="4"/>
  <c r="V43" i="4" s="1"/>
  <c r="W43" i="4" s="1"/>
  <c r="X43" i="4" s="1"/>
  <c r="U41" i="4"/>
  <c r="V41" i="4" s="1"/>
  <c r="W41" i="4" s="1"/>
  <c r="AF72" i="4"/>
  <c r="L40" i="4"/>
  <c r="L136" i="4"/>
  <c r="AG14" i="4"/>
  <c r="L43" i="4"/>
  <c r="L130" i="4"/>
  <c r="T155" i="4"/>
  <c r="L155" i="4"/>
  <c r="AG96" i="4"/>
  <c r="AF77" i="4"/>
  <c r="T135" i="4"/>
  <c r="AF16" i="4"/>
  <c r="T157" i="4"/>
  <c r="T150" i="4"/>
  <c r="U150" i="4"/>
  <c r="V150" i="4" s="1"/>
  <c r="W150" i="4" s="1"/>
  <c r="U157" i="4"/>
  <c r="V157" i="4" s="1"/>
  <c r="W157" i="4" s="1"/>
  <c r="AF73" i="4"/>
  <c r="L103" i="4"/>
  <c r="T102" i="4"/>
  <c r="U73" i="4"/>
  <c r="V73" i="4" s="1"/>
  <c r="W73" i="4" s="1"/>
  <c r="X73" i="4" s="1"/>
  <c r="U103" i="4"/>
  <c r="V103" i="4" s="1"/>
  <c r="W103" i="4" s="1"/>
  <c r="L132" i="4"/>
  <c r="AG132" i="4"/>
  <c r="T96" i="4"/>
  <c r="AG150" i="4"/>
  <c r="T77" i="4"/>
  <c r="L157" i="4"/>
  <c r="AG73" i="4"/>
  <c r="AF103" i="4"/>
  <c r="AG102" i="4"/>
  <c r="U102" i="4"/>
  <c r="V102" i="4" s="1"/>
  <c r="W102" i="4" s="1"/>
  <c r="L128" i="4"/>
  <c r="AF95" i="4"/>
  <c r="U155" i="4"/>
  <c r="AG89" i="4"/>
  <c r="U34" i="4"/>
  <c r="V34" i="4" s="1"/>
  <c r="W34" i="4" s="1"/>
  <c r="X34" i="4" s="1"/>
  <c r="L95" i="4"/>
  <c r="AG155" i="4"/>
  <c r="T100" i="4"/>
  <c r="AG34" i="4"/>
  <c r="T119" i="4"/>
  <c r="T14" i="4"/>
  <c r="U119" i="4"/>
  <c r="V119" i="4" s="1"/>
  <c r="W119" i="4" s="1"/>
  <c r="AF34" i="4"/>
  <c r="L100" i="4"/>
  <c r="U14" i="4"/>
  <c r="V14" i="4" s="1"/>
  <c r="W14" i="4" s="1"/>
  <c r="X14" i="4" s="1"/>
  <c r="L119" i="4"/>
  <c r="L14" i="4"/>
  <c r="AG119" i="4"/>
  <c r="T95" i="4"/>
  <c r="U44" i="4"/>
  <c r="V44" i="4" s="1"/>
  <c r="W44" i="4" s="1"/>
  <c r="X44" i="4" s="1"/>
  <c r="AF37" i="4"/>
  <c r="L139" i="4"/>
  <c r="L44" i="4"/>
  <c r="AF83" i="4"/>
  <c r="L138" i="4"/>
  <c r="AG110" i="4"/>
  <c r="L56" i="4"/>
  <c r="T131" i="4"/>
  <c r="AF44" i="4"/>
  <c r="AF138" i="4"/>
  <c r="AF110" i="4"/>
  <c r="AF56" i="4"/>
  <c r="L131" i="4"/>
  <c r="T37" i="4"/>
  <c r="AG98" i="4"/>
  <c r="AG131" i="4"/>
  <c r="U139" i="4"/>
  <c r="V139" i="4" s="1"/>
  <c r="W139" i="4" s="1"/>
  <c r="T83" i="4"/>
  <c r="AG37" i="4"/>
  <c r="T139" i="4"/>
  <c r="T44" i="4"/>
  <c r="U83" i="4"/>
  <c r="V83" i="4" s="1"/>
  <c r="W83" i="4" s="1"/>
  <c r="T138" i="4"/>
  <c r="AF139" i="4"/>
  <c r="L83" i="4"/>
  <c r="T110" i="4"/>
  <c r="U138" i="4"/>
  <c r="V138" i="4" s="1"/>
  <c r="W138" i="4" s="1"/>
  <c r="U56" i="4"/>
  <c r="V56" i="4" s="1"/>
  <c r="W56" i="4" s="1"/>
  <c r="T81" i="4"/>
  <c r="AG92" i="4"/>
  <c r="AF106" i="4"/>
  <c r="U80" i="4"/>
  <c r="V80" i="4" s="1"/>
  <c r="AF92" i="4"/>
  <c r="T142" i="4"/>
  <c r="L80" i="4"/>
  <c r="T146" i="4"/>
  <c r="T151" i="4"/>
  <c r="AG81" i="4"/>
  <c r="AG80" i="4"/>
  <c r="AG151" i="4"/>
  <c r="U78" i="4"/>
  <c r="V78" i="4" s="1"/>
  <c r="W78" i="4" s="1"/>
  <c r="X78" i="4" s="1"/>
  <c r="T123" i="4"/>
  <c r="T106" i="4"/>
  <c r="AG142" i="4"/>
  <c r="L146" i="4"/>
  <c r="L151" i="4"/>
  <c r="AG146" i="4"/>
  <c r="L81" i="4"/>
  <c r="AG78" i="4"/>
  <c r="L123" i="4"/>
  <c r="U106" i="4"/>
  <c r="V106" i="4" s="1"/>
  <c r="W106" i="4" s="1"/>
  <c r="AF142" i="4"/>
  <c r="T78" i="4"/>
  <c r="U123" i="4"/>
  <c r="U92" i="4"/>
  <c r="V92" i="4" s="1"/>
  <c r="W92" i="4" s="1"/>
  <c r="L78" i="4"/>
  <c r="AF123" i="4"/>
  <c r="AG106" i="4"/>
  <c r="U100" i="4"/>
  <c r="V100" i="4" s="1"/>
  <c r="W100" i="4" s="1"/>
  <c r="AF89" i="4"/>
  <c r="AG100" i="4"/>
  <c r="U114" i="4"/>
  <c r="V114" i="4" s="1"/>
  <c r="W114" i="4" s="1"/>
  <c r="AF114" i="4"/>
  <c r="T89" i="4"/>
  <c r="T114" i="4"/>
  <c r="AG114" i="4"/>
  <c r="U89" i="4"/>
  <c r="V89" i="4" s="1"/>
  <c r="W89" i="4" s="1"/>
  <c r="AG90" i="4"/>
  <c r="AF69" i="4"/>
  <c r="T72" i="4"/>
  <c r="U125" i="4"/>
  <c r="V125" i="4" s="1"/>
  <c r="W125" i="4" s="1"/>
  <c r="L24" i="4"/>
  <c r="U72" i="4"/>
  <c r="V72" i="4" s="1"/>
  <c r="W72" i="4" s="1"/>
  <c r="L38" i="4"/>
  <c r="L59" i="4"/>
  <c r="AF60" i="4"/>
  <c r="AG115" i="4"/>
  <c r="AF115" i="4"/>
  <c r="AF11" i="4"/>
  <c r="T90" i="4"/>
  <c r="T17" i="4"/>
  <c r="L125" i="4"/>
  <c r="L90" i="4"/>
  <c r="AG24" i="4"/>
  <c r="AG72" i="4"/>
  <c r="AG38" i="4"/>
  <c r="AF59" i="4"/>
  <c r="U52" i="4"/>
  <c r="V52" i="4" s="1"/>
  <c r="W52" i="4" s="1"/>
  <c r="U11" i="4"/>
  <c r="V11" i="4" s="1"/>
  <c r="W11" i="4" s="1"/>
  <c r="X11" i="4" s="1"/>
  <c r="AG17" i="4"/>
  <c r="T69" i="4"/>
  <c r="T60" i="4"/>
  <c r="L52" i="4"/>
  <c r="U124" i="4"/>
  <c r="V124" i="4" s="1"/>
  <c r="W124" i="4" s="1"/>
  <c r="T115" i="4"/>
  <c r="U69" i="4"/>
  <c r="V69" i="4" s="1"/>
  <c r="W69" i="4" s="1"/>
  <c r="X69" i="4" s="1"/>
  <c r="AG126" i="4"/>
  <c r="AG109" i="4"/>
  <c r="T11" i="4"/>
  <c r="L69" i="4"/>
  <c r="L126" i="4"/>
  <c r="T10" i="4"/>
  <c r="L109" i="4"/>
  <c r="U60" i="4"/>
  <c r="V60" i="4" s="1"/>
  <c r="AF124" i="4"/>
  <c r="U115" i="4"/>
  <c r="V115" i="4" s="1"/>
  <c r="W115" i="4" s="1"/>
  <c r="U109" i="4"/>
  <c r="V109" i="4" s="1"/>
  <c r="W109" i="4" s="1"/>
  <c r="AG11" i="4"/>
  <c r="L137" i="4"/>
  <c r="L12" i="4"/>
  <c r="AG66" i="4"/>
  <c r="T125" i="4"/>
  <c r="AG125" i="4"/>
  <c r="L70" i="4"/>
  <c r="T70" i="4"/>
  <c r="U42" i="4"/>
  <c r="V42" i="4" s="1"/>
  <c r="W42" i="4" s="1"/>
  <c r="X42" i="4" s="1"/>
  <c r="AF31" i="4"/>
  <c r="AG70" i="4"/>
  <c r="L42" i="4"/>
  <c r="U156" i="4"/>
  <c r="AF148" i="4"/>
  <c r="T12" i="4"/>
  <c r="AG141" i="4"/>
  <c r="AF42" i="4"/>
  <c r="L91" i="4"/>
  <c r="T156" i="4"/>
  <c r="U12" i="4"/>
  <c r="V12" i="4" s="1"/>
  <c r="AG12" i="4"/>
  <c r="U70" i="4"/>
  <c r="V70" i="4" s="1"/>
  <c r="W70" i="4" s="1"/>
  <c r="L156" i="4"/>
  <c r="T47" i="4"/>
  <c r="L39" i="4"/>
  <c r="U47" i="4"/>
  <c r="V47" i="4" s="1"/>
  <c r="W47" i="4" s="1"/>
  <c r="X47" i="4" s="1"/>
  <c r="AF128" i="4"/>
  <c r="L47" i="4"/>
  <c r="AG47" i="4"/>
  <c r="T86" i="4"/>
  <c r="T128" i="4"/>
  <c r="U61" i="4"/>
  <c r="V61" i="4" s="1"/>
  <c r="W61" i="4" s="1"/>
  <c r="T105" i="4"/>
  <c r="AC7" i="5"/>
  <c r="AD7" i="5" s="1"/>
  <c r="AF91" i="4"/>
  <c r="AG148" i="4"/>
  <c r="L148" i="4"/>
  <c r="AG57" i="4"/>
  <c r="T141" i="4"/>
  <c r="U66" i="4"/>
  <c r="V66" i="4" s="1"/>
  <c r="W66" i="4" s="1"/>
  <c r="AF88" i="4"/>
  <c r="AF57" i="4"/>
  <c r="U141" i="4"/>
  <c r="T66" i="4"/>
  <c r="AG88" i="4"/>
  <c r="T91" i="4"/>
  <c r="T57" i="4"/>
  <c r="AF141" i="4"/>
  <c r="L66" i="4"/>
  <c r="U148" i="4"/>
  <c r="V148" i="4" s="1"/>
  <c r="W148" i="4" s="1"/>
  <c r="T104" i="4"/>
  <c r="U91" i="4"/>
  <c r="V91" i="4" s="1"/>
  <c r="W91" i="4" s="1"/>
  <c r="X91" i="4" s="1"/>
  <c r="AG104" i="4"/>
  <c r="T23" i="4"/>
  <c r="U98" i="4"/>
  <c r="V98" i="4" s="1"/>
  <c r="W98" i="4" s="1"/>
  <c r="X98" i="4" s="1"/>
  <c r="AF113" i="4"/>
  <c r="AF62" i="4"/>
  <c r="L98" i="4"/>
  <c r="T113" i="4"/>
  <c r="L25" i="4"/>
  <c r="U23" i="4"/>
  <c r="V23" i="4" s="1"/>
  <c r="U113" i="4"/>
  <c r="AF25" i="4"/>
  <c r="AG8" i="4"/>
  <c r="AG113" i="4"/>
  <c r="AF98" i="4"/>
  <c r="T25" i="4"/>
  <c r="AF117" i="4"/>
  <c r="AG25" i="4"/>
  <c r="AG143" i="4"/>
  <c r="AF143" i="4"/>
  <c r="L23" i="4"/>
  <c r="AF23" i="4"/>
  <c r="U104" i="4"/>
  <c r="V104" i="4" s="1"/>
  <c r="W104" i="4" s="1"/>
  <c r="X104" i="4" s="1"/>
  <c r="L104" i="4"/>
  <c r="L29" i="4"/>
  <c r="T62" i="4"/>
  <c r="L8" i="4"/>
  <c r="L117" i="4"/>
  <c r="AF29" i="4"/>
  <c r="AG79" i="4"/>
  <c r="U62" i="4"/>
  <c r="V62" i="4" s="1"/>
  <c r="W62" i="4" s="1"/>
  <c r="U39" i="4"/>
  <c r="V39" i="4" s="1"/>
  <c r="W39" i="4" s="1"/>
  <c r="AF8" i="4"/>
  <c r="U10" i="4"/>
  <c r="V10" i="4" s="1"/>
  <c r="L62" i="4"/>
  <c r="T39" i="4"/>
  <c r="AG10" i="4"/>
  <c r="AF39" i="4"/>
  <c r="T29" i="4"/>
  <c r="T79" i="4"/>
  <c r="L10" i="4"/>
  <c r="U8" i="4"/>
  <c r="V8" i="4" s="1"/>
  <c r="W8" i="4" s="1"/>
  <c r="X8" i="4" s="1"/>
  <c r="U29" i="4"/>
  <c r="V29" i="4" s="1"/>
  <c r="W29" i="4" s="1"/>
  <c r="U79" i="4"/>
  <c r="V79" i="4" s="1"/>
  <c r="W79" i="4" s="1"/>
  <c r="L79" i="4"/>
  <c r="AF84" i="4"/>
  <c r="AG84" i="4"/>
  <c r="AF137" i="4"/>
  <c r="AG137" i="4"/>
  <c r="U84" i="4"/>
  <c r="V84" i="4" s="1"/>
  <c r="W84" i="4" s="1"/>
  <c r="T84" i="4"/>
  <c r="U137" i="4"/>
  <c r="V137" i="4" s="1"/>
  <c r="W137" i="4" s="1"/>
  <c r="L105" i="4"/>
  <c r="AF105" i="4"/>
  <c r="T117" i="4"/>
  <c r="U117" i="4"/>
  <c r="V117" i="4" s="1"/>
  <c r="W117" i="4" s="1"/>
  <c r="U105" i="4"/>
  <c r="V105" i="4" s="1"/>
  <c r="W105" i="4" s="1"/>
  <c r="L61" i="4"/>
  <c r="T49" i="4"/>
  <c r="AF61" i="4"/>
  <c r="U49" i="4"/>
  <c r="V49" i="4" s="1"/>
  <c r="W49" i="4" s="1"/>
  <c r="AG61" i="4"/>
  <c r="L49" i="4"/>
  <c r="AG49" i="4"/>
  <c r="L88" i="4"/>
  <c r="L86" i="4"/>
  <c r="U86" i="4"/>
  <c r="V86" i="4" s="1"/>
  <c r="AF86" i="4"/>
  <c r="T31" i="4"/>
  <c r="U31" i="4"/>
  <c r="V31" i="4" s="1"/>
  <c r="W31" i="4" s="1"/>
  <c r="X31" i="4" s="1"/>
  <c r="T143" i="4"/>
  <c r="AG31" i="4"/>
  <c r="U88" i="4"/>
  <c r="V88" i="4" s="1"/>
  <c r="U143" i="4"/>
  <c r="V143" i="4" s="1"/>
  <c r="W143" i="4" s="1"/>
  <c r="V57" i="4"/>
  <c r="V128" i="4"/>
  <c r="V74" i="4"/>
  <c r="W74" i="4" s="1"/>
  <c r="X74" i="4" s="1"/>
  <c r="V24" i="4"/>
  <c r="W24" i="4" s="1"/>
  <c r="X24" i="4" s="1"/>
  <c r="B145" i="2"/>
  <c r="V27" i="4"/>
  <c r="W27" i="4" s="1"/>
  <c r="X27" i="4" s="1"/>
  <c r="V153" i="4"/>
  <c r="W153" i="4" s="1"/>
  <c r="V81" i="4"/>
  <c r="W81" i="4" s="1"/>
  <c r="X81" i="4" s="1"/>
  <c r="V32" i="4"/>
  <c r="V26" i="4"/>
  <c r="W26" i="4" s="1"/>
  <c r="V59" i="4"/>
  <c r="V133" i="4"/>
  <c r="W133" i="4" s="1"/>
  <c r="H29" i="1"/>
  <c r="B136" i="2" s="1"/>
  <c r="V94" i="4"/>
  <c r="W94" i="4" s="1"/>
  <c r="X94" i="4" s="1"/>
  <c r="S7" i="5"/>
  <c r="R7" i="5"/>
  <c r="X7" i="5"/>
  <c r="V120" i="4"/>
  <c r="W120" i="4" s="1"/>
  <c r="B117" i="2"/>
  <c r="B118" i="2" s="1"/>
  <c r="K114" i="2"/>
  <c r="B114" i="2"/>
  <c r="B120" i="2" s="1"/>
  <c r="V25" i="4"/>
  <c r="W25" i="4" s="1"/>
  <c r="X25" i="4" s="1"/>
  <c r="V76" i="4"/>
  <c r="V77" i="4"/>
  <c r="W77" i="4" s="1"/>
  <c r="V71" i="4"/>
  <c r="W71" i="4" s="1"/>
  <c r="X71" i="4" s="1"/>
  <c r="V16" i="4"/>
  <c r="W16" i="4" s="1"/>
  <c r="V145" i="4"/>
  <c r="W145" i="4" s="1"/>
  <c r="V90" i="4"/>
  <c r="W90" i="4" s="1"/>
  <c r="X90" i="4" s="1"/>
  <c r="V96" i="4"/>
  <c r="W96" i="4" s="1"/>
  <c r="X96" i="4" s="1"/>
  <c r="V110" i="4"/>
  <c r="W110" i="4" s="1"/>
  <c r="V149" i="4"/>
  <c r="W149" i="4" s="1"/>
  <c r="P455" i="5" l="1"/>
  <c r="X145" i="4"/>
  <c r="B302" i="2"/>
  <c r="B228" i="2"/>
  <c r="B291" i="2" s="1"/>
  <c r="X153" i="4"/>
  <c r="X149" i="4"/>
  <c r="Q329" i="5"/>
  <c r="R329" i="5" s="1"/>
  <c r="AS10" i="13"/>
  <c r="X133" i="4"/>
  <c r="W206" i="5"/>
  <c r="X206" i="5" s="1"/>
  <c r="P189" i="5"/>
  <c r="P109" i="5"/>
  <c r="P210" i="5"/>
  <c r="P269" i="5"/>
  <c r="P341" i="5"/>
  <c r="P298" i="5"/>
  <c r="P537" i="5"/>
  <c r="P108" i="5"/>
  <c r="P379" i="5"/>
  <c r="P215" i="5"/>
  <c r="P358" i="5"/>
  <c r="P319" i="5"/>
  <c r="P144" i="5"/>
  <c r="P69" i="5"/>
  <c r="P428" i="5"/>
  <c r="P134" i="5"/>
  <c r="P318" i="5"/>
  <c r="P179" i="5"/>
  <c r="P36" i="5"/>
  <c r="P344" i="5"/>
  <c r="P112" i="5"/>
  <c r="P509" i="5"/>
  <c r="P187" i="5"/>
  <c r="P85" i="5"/>
  <c r="P117" i="5"/>
  <c r="P489" i="5"/>
  <c r="P97" i="5"/>
  <c r="P89" i="5"/>
  <c r="P74" i="5"/>
  <c r="P507" i="5"/>
  <c r="P175" i="5"/>
  <c r="P349" i="5"/>
  <c r="P253" i="5"/>
  <c r="P273" i="5"/>
  <c r="P419" i="5"/>
  <c r="P517" i="5"/>
  <c r="P13" i="5"/>
  <c r="P219" i="5"/>
  <c r="P212" i="5"/>
  <c r="P458" i="5"/>
  <c r="P81" i="5"/>
  <c r="P339" i="5"/>
  <c r="P101" i="5"/>
  <c r="P262" i="5"/>
  <c r="P24" i="5"/>
  <c r="P166" i="5"/>
  <c r="P68" i="5"/>
  <c r="P251" i="5"/>
  <c r="P137" i="5"/>
  <c r="P113" i="5"/>
  <c r="P195" i="5"/>
  <c r="P115" i="5"/>
  <c r="P547" i="5"/>
  <c r="P165" i="5"/>
  <c r="P399" i="5"/>
  <c r="P118" i="5"/>
  <c r="P527" i="5"/>
  <c r="P207" i="5"/>
  <c r="P158" i="5"/>
  <c r="P163" i="5"/>
  <c r="P442" i="5"/>
  <c r="P148" i="5"/>
  <c r="P283" i="5"/>
  <c r="P361" i="5"/>
  <c r="P138" i="5"/>
  <c r="P473" i="5"/>
  <c r="P327" i="5"/>
  <c r="P467" i="5"/>
  <c r="P80" i="5"/>
  <c r="P29" i="5"/>
  <c r="P388" i="5"/>
  <c r="P545" i="5"/>
  <c r="P161" i="5"/>
  <c r="P76" i="5"/>
  <c r="P541" i="5"/>
  <c r="P254" i="5"/>
  <c r="P357" i="5"/>
  <c r="P84" i="5"/>
  <c r="P390" i="5"/>
  <c r="P368" i="5"/>
  <c r="P140" i="5"/>
  <c r="P522" i="5"/>
  <c r="P100" i="5"/>
  <c r="P264" i="5"/>
  <c r="P452" i="5"/>
  <c r="P332" i="5"/>
  <c r="P98" i="5"/>
  <c r="P330" i="5"/>
  <c r="P476" i="5"/>
  <c r="P343" i="5"/>
  <c r="P182" i="5"/>
  <c r="P549" i="5"/>
  <c r="P513" i="5"/>
  <c r="P31" i="5"/>
  <c r="P469" i="5"/>
  <c r="P214" i="5"/>
  <c r="P552" i="5"/>
  <c r="P482" i="5"/>
  <c r="P281" i="5"/>
  <c r="P155" i="5"/>
  <c r="P20" i="5"/>
  <c r="P220" i="5"/>
  <c r="P247" i="5"/>
  <c r="P218" i="5"/>
  <c r="P389" i="5"/>
  <c r="P294" i="5"/>
  <c r="P213" i="5"/>
  <c r="P347" i="5"/>
  <c r="P79" i="5"/>
  <c r="P12" i="5"/>
  <c r="P415" i="5"/>
  <c r="P276" i="5"/>
  <c r="P471" i="5"/>
  <c r="P309" i="5"/>
  <c r="P240" i="5"/>
  <c r="P295" i="5"/>
  <c r="P485" i="5"/>
  <c r="P146" i="5"/>
  <c r="P352" i="5"/>
  <c r="P249" i="5"/>
  <c r="P265" i="5"/>
  <c r="P534" i="5"/>
  <c r="P82" i="5"/>
  <c r="P494" i="5"/>
  <c r="P229" i="5"/>
  <c r="P184" i="5"/>
  <c r="P462" i="5"/>
  <c r="P393" i="5"/>
  <c r="P453" i="5"/>
  <c r="P40" i="5"/>
  <c r="P336" i="5"/>
  <c r="P169" i="5"/>
  <c r="P433" i="5"/>
  <c r="P413" i="5"/>
  <c r="P481" i="5"/>
  <c r="P260" i="5"/>
  <c r="P316" i="5"/>
  <c r="P58" i="5"/>
  <c r="P483" i="5"/>
  <c r="P157" i="5"/>
  <c r="P35" i="5"/>
  <c r="P560" i="5"/>
  <c r="P62" i="5"/>
  <c r="P305" i="5"/>
  <c r="P141" i="5"/>
  <c r="P208" i="5"/>
  <c r="P497" i="5"/>
  <c r="P150" i="5"/>
  <c r="P93" i="5"/>
  <c r="P516" i="5"/>
  <c r="P531" i="5"/>
  <c r="P177" i="5"/>
  <c r="P49" i="5"/>
  <c r="P217" i="5"/>
  <c r="P530" i="5"/>
  <c r="P239" i="5"/>
  <c r="P304" i="5"/>
  <c r="P63" i="5"/>
  <c r="P407" i="5"/>
  <c r="P348" i="5"/>
  <c r="P164" i="5"/>
  <c r="P524" i="5"/>
  <c r="P33" i="5"/>
  <c r="P188" i="5"/>
  <c r="P338" i="5"/>
  <c r="P306" i="5"/>
  <c r="P185" i="5"/>
  <c r="P538" i="5"/>
  <c r="P488" i="5"/>
  <c r="P28" i="5"/>
  <c r="P50" i="5"/>
  <c r="P525" i="5"/>
  <c r="P380" i="5"/>
  <c r="P42" i="5"/>
  <c r="P200" i="5"/>
  <c r="P510" i="5"/>
  <c r="P65" i="5"/>
  <c r="P394" i="5"/>
  <c r="P270" i="5"/>
  <c r="P154" i="5"/>
  <c r="P367" i="5"/>
  <c r="P30" i="5"/>
  <c r="P70" i="5"/>
  <c r="P191" i="5"/>
  <c r="P204" i="5"/>
  <c r="P532" i="5"/>
  <c r="P223" i="5"/>
  <c r="P201" i="5"/>
  <c r="P529" i="5"/>
  <c r="P103" i="5"/>
  <c r="P449" i="5"/>
  <c r="P544" i="5"/>
  <c r="P156" i="5"/>
  <c r="P391" i="5"/>
  <c r="P366" i="5"/>
  <c r="P78" i="5"/>
  <c r="P308" i="5"/>
  <c r="P59" i="5"/>
  <c r="P194" i="5"/>
  <c r="P447" i="5"/>
  <c r="P174" i="5"/>
  <c r="P209" i="5"/>
  <c r="P550" i="5"/>
  <c r="P340" i="5"/>
  <c r="P436" i="5"/>
  <c r="P546" i="5"/>
  <c r="P533" i="5"/>
  <c r="P71" i="5"/>
  <c r="P353" i="5"/>
  <c r="P172" i="5"/>
  <c r="P235" i="5"/>
  <c r="P313" i="5"/>
  <c r="P443" i="5"/>
  <c r="P132" i="5"/>
  <c r="P25" i="5"/>
  <c r="P450" i="5"/>
  <c r="P543" i="5"/>
  <c r="P362" i="5"/>
  <c r="P73" i="5"/>
  <c r="P228" i="5"/>
  <c r="P11" i="5"/>
  <c r="P127" i="5"/>
  <c r="P230" i="5"/>
  <c r="P479" i="5"/>
  <c r="P410" i="5"/>
  <c r="P520" i="5"/>
  <c r="P351" i="5"/>
  <c r="P41" i="5"/>
  <c r="P55" i="5"/>
  <c r="P499" i="5"/>
  <c r="P162" i="5"/>
  <c r="P248" i="5"/>
  <c r="P277" i="5"/>
  <c r="P110" i="5"/>
  <c r="P128" i="5"/>
  <c r="P233" i="5"/>
  <c r="P337" i="5"/>
  <c r="P39" i="5"/>
  <c r="P300" i="5"/>
  <c r="P47" i="5"/>
  <c r="P373" i="5"/>
  <c r="P505" i="5"/>
  <c r="P54" i="5"/>
  <c r="P126" i="5"/>
  <c r="P435" i="5"/>
  <c r="P377" i="5"/>
  <c r="P325" i="5"/>
  <c r="P119" i="5"/>
  <c r="P335" i="5"/>
  <c r="P322" i="5"/>
  <c r="P526" i="5"/>
  <c r="P66" i="5"/>
  <c r="P329" i="5"/>
  <c r="P551" i="5"/>
  <c r="P94" i="5"/>
  <c r="P274" i="5"/>
  <c r="P321" i="5"/>
  <c r="P56" i="5"/>
  <c r="P255" i="5"/>
  <c r="P131" i="5"/>
  <c r="P521" i="5"/>
  <c r="P350" i="5"/>
  <c r="P159" i="5"/>
  <c r="P559" i="5"/>
  <c r="P409" i="5"/>
  <c r="P48" i="5"/>
  <c r="P356" i="5"/>
  <c r="P21" i="5"/>
  <c r="P121" i="5"/>
  <c r="P402" i="5"/>
  <c r="P104" i="5"/>
  <c r="P143" i="5"/>
  <c r="P238" i="5"/>
  <c r="P27" i="5"/>
  <c r="P519" i="5"/>
  <c r="P190" i="5"/>
  <c r="P125" i="5"/>
  <c r="P504" i="5"/>
  <c r="P136" i="5"/>
  <c r="P75" i="5"/>
  <c r="P512" i="5"/>
  <c r="P88" i="5"/>
  <c r="P314" i="5"/>
  <c r="P271" i="5"/>
  <c r="P272" i="5"/>
  <c r="P44" i="5"/>
  <c r="P282" i="5"/>
  <c r="P480" i="5"/>
  <c r="P197" i="5"/>
  <c r="P86" i="5"/>
  <c r="P176" i="5"/>
  <c r="P498" i="5"/>
  <c r="P171" i="5"/>
  <c r="P345" i="5"/>
  <c r="P398" i="5"/>
  <c r="P315" i="5"/>
  <c r="P386" i="5"/>
  <c r="P317" i="5"/>
  <c r="P256" i="5"/>
  <c r="P145" i="5"/>
  <c r="P460" i="5"/>
  <c r="P376" i="5"/>
  <c r="P334" i="5"/>
  <c r="P346" i="5"/>
  <c r="P259" i="5"/>
  <c r="P401" i="5"/>
  <c r="P554" i="5"/>
  <c r="P421" i="5"/>
  <c r="P106" i="5"/>
  <c r="P557" i="5"/>
  <c r="P278" i="5"/>
  <c r="P448" i="5"/>
  <c r="P9" i="5"/>
  <c r="P446" i="5"/>
  <c r="P528" i="5"/>
  <c r="P354" i="5"/>
  <c r="P508" i="5"/>
  <c r="P556" i="5"/>
  <c r="P493" i="5"/>
  <c r="P408" i="5"/>
  <c r="P369" i="5"/>
  <c r="P423" i="5"/>
  <c r="P280" i="5"/>
  <c r="P152" i="5"/>
  <c r="P397" i="5"/>
  <c r="P472" i="5"/>
  <c r="P57" i="5"/>
  <c r="P444" i="5"/>
  <c r="P470" i="5"/>
  <c r="P23" i="5"/>
  <c r="P203" i="5"/>
  <c r="P45" i="5"/>
  <c r="P263" i="5"/>
  <c r="P514" i="5"/>
  <c r="P417" i="5"/>
  <c r="P199" i="5"/>
  <c r="P38" i="5"/>
  <c r="P465" i="5"/>
  <c r="P381" i="5"/>
  <c r="P323" i="5"/>
  <c r="P227" i="5"/>
  <c r="P420" i="5"/>
  <c r="P324" i="5"/>
  <c r="P153" i="5"/>
  <c r="P445" i="5"/>
  <c r="P451" i="5"/>
  <c r="P245" i="5"/>
  <c r="P19" i="5"/>
  <c r="P160" i="5"/>
  <c r="P83" i="5"/>
  <c r="P404" i="5"/>
  <c r="P290" i="5"/>
  <c r="P151" i="5"/>
  <c r="P288" i="5"/>
  <c r="P34" i="5"/>
  <c r="P502" i="5"/>
  <c r="P180" i="5"/>
  <c r="P286" i="5"/>
  <c r="P463" i="5"/>
  <c r="P170" i="5"/>
  <c r="P484" i="5"/>
  <c r="P378" i="5"/>
  <c r="P432" i="5"/>
  <c r="P365" i="5"/>
  <c r="P459" i="5"/>
  <c r="P438" i="5"/>
  <c r="P130" i="5"/>
  <c r="P302" i="5"/>
  <c r="P536" i="5"/>
  <c r="P486" i="5"/>
  <c r="P234" i="5"/>
  <c r="P535" i="5"/>
  <c r="P99" i="5"/>
  <c r="P242" i="5"/>
  <c r="P95" i="5"/>
  <c r="P37" i="5"/>
  <c r="P416" i="5"/>
  <c r="P52" i="5"/>
  <c r="P87" i="5"/>
  <c r="P370" i="5"/>
  <c r="P474" i="5"/>
  <c r="P196" i="5"/>
  <c r="P503" i="5"/>
  <c r="P142" i="5"/>
  <c r="P168" i="5"/>
  <c r="P43" i="5"/>
  <c r="P91" i="5"/>
  <c r="P173" i="5"/>
  <c r="P548" i="5"/>
  <c r="P456" i="5"/>
  <c r="P384" i="5"/>
  <c r="P301" i="5"/>
  <c r="P236" i="5"/>
  <c r="P427" i="5"/>
  <c r="P107" i="5"/>
  <c r="P496" i="5"/>
  <c r="P464" i="5"/>
  <c r="P395" i="5"/>
  <c r="P333" i="5"/>
  <c r="P491" i="5"/>
  <c r="P490" i="5"/>
  <c r="P211" i="5"/>
  <c r="P375" i="5"/>
  <c r="P111" i="5"/>
  <c r="P268" i="5"/>
  <c r="P518" i="5"/>
  <c r="P542" i="5"/>
  <c r="P250" i="5"/>
  <c r="P385" i="5"/>
  <c r="P405" i="5"/>
  <c r="P261" i="5"/>
  <c r="P555" i="5"/>
  <c r="P123" i="5"/>
  <c r="P51" i="5"/>
  <c r="P102" i="5"/>
  <c r="P475" i="5"/>
  <c r="P243" i="5"/>
  <c r="P192" i="5"/>
  <c r="P124" i="5"/>
  <c r="P523" i="5"/>
  <c r="P186" i="5"/>
  <c r="P72" i="5"/>
  <c r="P287" i="5"/>
  <c r="P328" i="5"/>
  <c r="P312" i="5"/>
  <c r="P468" i="5"/>
  <c r="P8" i="5"/>
  <c r="P440" i="5"/>
  <c r="P147" i="5"/>
  <c r="P258" i="5"/>
  <c r="P293" i="5"/>
  <c r="P558" i="5"/>
  <c r="P26" i="5"/>
  <c r="P296" i="5"/>
  <c r="P32" i="5"/>
  <c r="P92" i="5"/>
  <c r="P466" i="5"/>
  <c r="P501" i="5"/>
  <c r="P10" i="5"/>
  <c r="P495" i="5"/>
  <c r="P311" i="5"/>
  <c r="P511" i="5"/>
  <c r="P430" i="5"/>
  <c r="P363" i="5"/>
  <c r="P120" i="5"/>
  <c r="P441" i="5"/>
  <c r="P478" i="5"/>
  <c r="P279" i="5"/>
  <c r="P426" i="5"/>
  <c r="P553" i="5"/>
  <c r="P500" i="5"/>
  <c r="P116" i="5"/>
  <c r="P226" i="5"/>
  <c r="P67" i="5"/>
  <c r="P461" i="5"/>
  <c r="P429" i="5"/>
  <c r="P257" i="5"/>
  <c r="P181" i="5"/>
  <c r="P149" i="5"/>
  <c r="P205" i="5"/>
  <c r="P64" i="5"/>
  <c r="P414" i="5"/>
  <c r="P77" i="5"/>
  <c r="P307" i="5"/>
  <c r="P266" i="5"/>
  <c r="P425" i="5"/>
  <c r="P431" i="5"/>
  <c r="P291" i="5"/>
  <c r="P193" i="5"/>
  <c r="P284" i="5"/>
  <c r="P411" i="5"/>
  <c r="P96" i="5"/>
  <c r="P457" i="5"/>
  <c r="P382" i="5"/>
  <c r="P241" i="5"/>
  <c r="P46" i="5"/>
  <c r="P383" i="5"/>
  <c r="P105" i="5"/>
  <c r="P355" i="5"/>
  <c r="P424" i="5"/>
  <c r="P477" i="5"/>
  <c r="P285" i="5"/>
  <c r="P292" i="5"/>
  <c r="P492" i="5"/>
  <c r="P372" i="5"/>
  <c r="P303" i="5"/>
  <c r="P206" i="5"/>
  <c r="P360" i="5"/>
  <c r="P359" i="5"/>
  <c r="P90" i="5"/>
  <c r="P374" i="5"/>
  <c r="P222" i="5"/>
  <c r="P178" i="5"/>
  <c r="P244" i="5"/>
  <c r="P231" i="5"/>
  <c r="P400" i="5"/>
  <c r="P297" i="5"/>
  <c r="P403" i="5"/>
  <c r="P406" i="5"/>
  <c r="P183" i="5"/>
  <c r="P225" i="5"/>
  <c r="P202" i="5"/>
  <c r="P364" i="5"/>
  <c r="P114" i="5"/>
  <c r="P22" i="5"/>
  <c r="P61" i="5"/>
  <c r="P342" i="5"/>
  <c r="P167" i="5"/>
  <c r="P60" i="5"/>
  <c r="P371" i="5"/>
  <c r="P129" i="5"/>
  <c r="P412" i="5"/>
  <c r="P331" i="5"/>
  <c r="P515" i="5"/>
  <c r="P299" i="5"/>
  <c r="P326" i="5"/>
  <c r="P122" i="5"/>
  <c r="P139" i="5"/>
  <c r="P275" i="5"/>
  <c r="P267" i="5"/>
  <c r="P454" i="5"/>
  <c r="P221" i="5"/>
  <c r="P252" i="5"/>
  <c r="P133" i="5"/>
  <c r="P198" i="5"/>
  <c r="P232" i="5"/>
  <c r="P506" i="5"/>
  <c r="P135" i="5"/>
  <c r="P439" i="5"/>
  <c r="P396" i="5"/>
  <c r="P53" i="5"/>
  <c r="P289" i="5"/>
  <c r="P434" i="5"/>
  <c r="P246" i="5"/>
  <c r="P216" i="5"/>
  <c r="P539" i="5"/>
  <c r="P392" i="5"/>
  <c r="P418" i="5"/>
  <c r="P310" i="5"/>
  <c r="P224" i="5"/>
  <c r="P437" i="5"/>
  <c r="P487" i="5"/>
  <c r="P540" i="5"/>
  <c r="P387" i="5"/>
  <c r="P237" i="5"/>
  <c r="P422" i="5"/>
  <c r="W555" i="5"/>
  <c r="X555" i="5" s="1"/>
  <c r="Q10" i="13"/>
  <c r="S10" i="13" s="1"/>
  <c r="Q286" i="5"/>
  <c r="S286" i="5" s="1"/>
  <c r="Q466" i="5"/>
  <c r="Y10" i="13"/>
  <c r="X10" i="13"/>
  <c r="AK10" i="13"/>
  <c r="AL10" i="13"/>
  <c r="Q339" i="5"/>
  <c r="R339" i="5" s="1"/>
  <c r="AO10" i="13"/>
  <c r="AN10" i="13"/>
  <c r="Q526" i="5"/>
  <c r="S526" i="5" s="1"/>
  <c r="AI10" i="13"/>
  <c r="AH10" i="13"/>
  <c r="AB10" i="13"/>
  <c r="AA10" i="13"/>
  <c r="Q557" i="13"/>
  <c r="Q553" i="13"/>
  <c r="Q559" i="13"/>
  <c r="Q555" i="13"/>
  <c r="Q549" i="13"/>
  <c r="Q551" i="13"/>
  <c r="Q539" i="13"/>
  <c r="Q532" i="13"/>
  <c r="Q545" i="13"/>
  <c r="Q534" i="13"/>
  <c r="Q524" i="13"/>
  <c r="Q520" i="13"/>
  <c r="Q516" i="13"/>
  <c r="Q528" i="13"/>
  <c r="Q512" i="13"/>
  <c r="Q518" i="13"/>
  <c r="Q509" i="13"/>
  <c r="Q530" i="13"/>
  <c r="Q505" i="13"/>
  <c r="Q502" i="13"/>
  <c r="Q514" i="13"/>
  <c r="Q504" i="13"/>
  <c r="Q494" i="13"/>
  <c r="Q490" i="13"/>
  <c r="Q526" i="13"/>
  <c r="Q522" i="13"/>
  <c r="Q497" i="13"/>
  <c r="Q487" i="13"/>
  <c r="Q483" i="13"/>
  <c r="Q479" i="13"/>
  <c r="Q498" i="13"/>
  <c r="Q500" i="13"/>
  <c r="Q478" i="13"/>
  <c r="Q475" i="13"/>
  <c r="Q482" i="13"/>
  <c r="Q468" i="13"/>
  <c r="Q464" i="13"/>
  <c r="Q471" i="13"/>
  <c r="Q486" i="13"/>
  <c r="Q466" i="13"/>
  <c r="Q467" i="13"/>
  <c r="Q458" i="13"/>
  <c r="Q454" i="13"/>
  <c r="Q450" i="13"/>
  <c r="Q470" i="13"/>
  <c r="Q460" i="13"/>
  <c r="Q459" i="13"/>
  <c r="Q456" i="13"/>
  <c r="Q455" i="13"/>
  <c r="Q452" i="13"/>
  <c r="Q451" i="13"/>
  <c r="Q449" i="13"/>
  <c r="Q445" i="13"/>
  <c r="Q441" i="13"/>
  <c r="Q437" i="13"/>
  <c r="Q463" i="13"/>
  <c r="Q443" i="13"/>
  <c r="Q439" i="13"/>
  <c r="Q431" i="13"/>
  <c r="Q422" i="13"/>
  <c r="Q435" i="13"/>
  <c r="Q462" i="13"/>
  <c r="Q429" i="13"/>
  <c r="Q412" i="13"/>
  <c r="Q433" i="13"/>
  <c r="Q416" i="13"/>
  <c r="Q415" i="13"/>
  <c r="Q414" i="13"/>
  <c r="Q413" i="13"/>
  <c r="Q447" i="13"/>
  <c r="Q425" i="13"/>
  <c r="Q406" i="13"/>
  <c r="Q384" i="13"/>
  <c r="Q380" i="13"/>
  <c r="Q376" i="13"/>
  <c r="Q372" i="13"/>
  <c r="Q368" i="13"/>
  <c r="Q427" i="13"/>
  <c r="Q399" i="13"/>
  <c r="Q398" i="13"/>
  <c r="Q407" i="13"/>
  <c r="Q395" i="13"/>
  <c r="Q403" i="13"/>
  <c r="Q391" i="13"/>
  <c r="Q386" i="13"/>
  <c r="Q348" i="13"/>
  <c r="Q402" i="13"/>
  <c r="Q371" i="13"/>
  <c r="Q344" i="13"/>
  <c r="Q340" i="13"/>
  <c r="Q336" i="13"/>
  <c r="Q332" i="13"/>
  <c r="Q328" i="13"/>
  <c r="Q324" i="13"/>
  <c r="Q387" i="13"/>
  <c r="Q352" i="13"/>
  <c r="Q347" i="13"/>
  <c r="Q383" i="13"/>
  <c r="Q367" i="13"/>
  <c r="Q356" i="13"/>
  <c r="Q379" i="13"/>
  <c r="Q364" i="13"/>
  <c r="Q375" i="13"/>
  <c r="Q354" i="13"/>
  <c r="Q335" i="13"/>
  <c r="Q310" i="13"/>
  <c r="Q363" i="13"/>
  <c r="Q316" i="13"/>
  <c r="Q343" i="13"/>
  <c r="Q327" i="13"/>
  <c r="Q308" i="13"/>
  <c r="Q359" i="13"/>
  <c r="Q355" i="13"/>
  <c r="Q339" i="13"/>
  <c r="Q320" i="13"/>
  <c r="Q312" i="13"/>
  <c r="Q331" i="13"/>
  <c r="Q323" i="13"/>
  <c r="Q291" i="13"/>
  <c r="Q315" i="13"/>
  <c r="Q307" i="13"/>
  <c r="Q294" i="13"/>
  <c r="Q286" i="13"/>
  <c r="Q303" i="13"/>
  <c r="Q299" i="13"/>
  <c r="Q295" i="13"/>
  <c r="Q287" i="13"/>
  <c r="Q298" i="13"/>
  <c r="Q290" i="13"/>
  <c r="Q263" i="13"/>
  <c r="Q255" i="13"/>
  <c r="Q247" i="13"/>
  <c r="Q235" i="13"/>
  <c r="Q231" i="13"/>
  <c r="Q239" i="13"/>
  <c r="Q228" i="13"/>
  <c r="Q224" i="13"/>
  <c r="Q220" i="13"/>
  <c r="Q216" i="13"/>
  <c r="Q212" i="13"/>
  <c r="Q279" i="13"/>
  <c r="Q360" i="13"/>
  <c r="Q275" i="13"/>
  <c r="Q205" i="13"/>
  <c r="Q201" i="13"/>
  <c r="Q197" i="13"/>
  <c r="Q193" i="13"/>
  <c r="Q189" i="13"/>
  <c r="Q283" i="13"/>
  <c r="Q271" i="13"/>
  <c r="Q259" i="13"/>
  <c r="Q251" i="13"/>
  <c r="Q243" i="13"/>
  <c r="Q267" i="13"/>
  <c r="Q200" i="13"/>
  <c r="Q208" i="13"/>
  <c r="Q179" i="13"/>
  <c r="Q175" i="13"/>
  <c r="Q171" i="13"/>
  <c r="Q167" i="13"/>
  <c r="Q163" i="13"/>
  <c r="Q159" i="13"/>
  <c r="Q155" i="13"/>
  <c r="Q151" i="13"/>
  <c r="Q147" i="13"/>
  <c r="Q195" i="13"/>
  <c r="Q187" i="13"/>
  <c r="Q185" i="13"/>
  <c r="Q184" i="13"/>
  <c r="Q183" i="13"/>
  <c r="Q242" i="13"/>
  <c r="Q204" i="13"/>
  <c r="Q188" i="13"/>
  <c r="Q181" i="13"/>
  <c r="Q169" i="13"/>
  <c r="Q139" i="13"/>
  <c r="Q153" i="13"/>
  <c r="Q141" i="13"/>
  <c r="Q127" i="13"/>
  <c r="Q123" i="13"/>
  <c r="Q119" i="13"/>
  <c r="Q115" i="13"/>
  <c r="Q111" i="13"/>
  <c r="Q165" i="13"/>
  <c r="Q143" i="13"/>
  <c r="Q145" i="13"/>
  <c r="Q196" i="13"/>
  <c r="Q177" i="13"/>
  <c r="Q157" i="13"/>
  <c r="Q131" i="13"/>
  <c r="Q211" i="13"/>
  <c r="Q192" i="13"/>
  <c r="Q173" i="13"/>
  <c r="Q149" i="13"/>
  <c r="Q135" i="13"/>
  <c r="Q129" i="13"/>
  <c r="Q122" i="13"/>
  <c r="Q91" i="13"/>
  <c r="Q118" i="13"/>
  <c r="Q161" i="13"/>
  <c r="Q121" i="13"/>
  <c r="Q114" i="13"/>
  <c r="Q107" i="13"/>
  <c r="Q83" i="13"/>
  <c r="Q82" i="13"/>
  <c r="Q75" i="13"/>
  <c r="Q68" i="13"/>
  <c r="Q117" i="13"/>
  <c r="Q102" i="13"/>
  <c r="Q95" i="13"/>
  <c r="Q85" i="13"/>
  <c r="Q69" i="13"/>
  <c r="Q103" i="13"/>
  <c r="Q87" i="13"/>
  <c r="Q52" i="13"/>
  <c r="Q43" i="13"/>
  <c r="Q37" i="13"/>
  <c r="Q42" i="13"/>
  <c r="Q34" i="13"/>
  <c r="Q137" i="13"/>
  <c r="Q99" i="13"/>
  <c r="Q62" i="13"/>
  <c r="Q56" i="13"/>
  <c r="O11" i="13"/>
  <c r="AG11" i="13" s="1"/>
  <c r="Q39" i="13"/>
  <c r="Q21" i="13"/>
  <c r="Q110" i="13"/>
  <c r="Q77" i="13"/>
  <c r="Q58" i="13"/>
  <c r="Q28" i="13"/>
  <c r="Q23" i="13"/>
  <c r="Q19" i="13"/>
  <c r="Q26" i="13"/>
  <c r="Q89" i="13"/>
  <c r="Q80" i="13"/>
  <c r="Q65" i="13"/>
  <c r="Q60" i="13"/>
  <c r="B43" i="13"/>
  <c r="Q35" i="13"/>
  <c r="Q29" i="13"/>
  <c r="Q31" i="13"/>
  <c r="Q105" i="13"/>
  <c r="Q73" i="13"/>
  <c r="Q66" i="13"/>
  <c r="Q53" i="13"/>
  <c r="Q49" i="13"/>
  <c r="Q46" i="13"/>
  <c r="Q32" i="13"/>
  <c r="Q133" i="13"/>
  <c r="Q94" i="13"/>
  <c r="Q126" i="13"/>
  <c r="Q8" i="13"/>
  <c r="Q30" i="13"/>
  <c r="Q47" i="13"/>
  <c r="Q57" i="13"/>
  <c r="Q70" i="13"/>
  <c r="Q44" i="13"/>
  <c r="Q120" i="13"/>
  <c r="Q128" i="13"/>
  <c r="Q96" i="13"/>
  <c r="Q140" i="13"/>
  <c r="Q136" i="13"/>
  <c r="Q156" i="13"/>
  <c r="Q132" i="13"/>
  <c r="Q194" i="13"/>
  <c r="Q206" i="13"/>
  <c r="Q214" i="13"/>
  <c r="Q222" i="13"/>
  <c r="Q230" i="13"/>
  <c r="Q258" i="13"/>
  <c r="Q209" i="13"/>
  <c r="Q217" i="13"/>
  <c r="Q225" i="13"/>
  <c r="Q241" i="13"/>
  <c r="Q237" i="13"/>
  <c r="Q266" i="13"/>
  <c r="Q278" i="13"/>
  <c r="Q270" i="13"/>
  <c r="Q264" i="13"/>
  <c r="Q293" i="13"/>
  <c r="Q326" i="13"/>
  <c r="Q345" i="13"/>
  <c r="Q292" i="13"/>
  <c r="Q338" i="13"/>
  <c r="Q361" i="13"/>
  <c r="Q401" i="13"/>
  <c r="Q432" i="13"/>
  <c r="Q411" i="13"/>
  <c r="Q388" i="13"/>
  <c r="Q408" i="13"/>
  <c r="Q493" i="13"/>
  <c r="Q480" i="13"/>
  <c r="Q527" i="13"/>
  <c r="Q544" i="13"/>
  <c r="Q535" i="13"/>
  <c r="Q541" i="13"/>
  <c r="Q538" i="13"/>
  <c r="Q257" i="13"/>
  <c r="Q272" i="13"/>
  <c r="Q304" i="13"/>
  <c r="Q55" i="13"/>
  <c r="Q160" i="13"/>
  <c r="Q101" i="13"/>
  <c r="Q350" i="13"/>
  <c r="Q227" i="13"/>
  <c r="Q321" i="13"/>
  <c r="Q508" i="13"/>
  <c r="Q533" i="13"/>
  <c r="Q547" i="13"/>
  <c r="Q25" i="13"/>
  <c r="Q38" i="13"/>
  <c r="Q20" i="13"/>
  <c r="Q124" i="13"/>
  <c r="Q88" i="13"/>
  <c r="Q125" i="13"/>
  <c r="Q74" i="13"/>
  <c r="Q238" i="13"/>
  <c r="Q154" i="13"/>
  <c r="Q170" i="13"/>
  <c r="Q262" i="13"/>
  <c r="Q215" i="13"/>
  <c r="Q311" i="13"/>
  <c r="Q244" i="13"/>
  <c r="Q276" i="13"/>
  <c r="Q305" i="13"/>
  <c r="Q382" i="13"/>
  <c r="Q325" i="13"/>
  <c r="Q341" i="13"/>
  <c r="Q349" i="13"/>
  <c r="Q373" i="13"/>
  <c r="Q418" i="13"/>
  <c r="Q400" i="13"/>
  <c r="Q434" i="13"/>
  <c r="Q465" i="13"/>
  <c r="Q436" i="13"/>
  <c r="Q477" i="13"/>
  <c r="Q503" i="13"/>
  <c r="Q506" i="13"/>
  <c r="Q529" i="13"/>
  <c r="Q550" i="13"/>
  <c r="Q558" i="13"/>
  <c r="Q552" i="13"/>
  <c r="Q515" i="13"/>
  <c r="Q100" i="13"/>
  <c r="Q265" i="13"/>
  <c r="Q240" i="13"/>
  <c r="Q521" i="13"/>
  <c r="Q63" i="13"/>
  <c r="Q232" i="13"/>
  <c r="Q246" i="13"/>
  <c r="Q394" i="13"/>
  <c r="Q397" i="13"/>
  <c r="Q453" i="13"/>
  <c r="Q517" i="13"/>
  <c r="Q536" i="13"/>
  <c r="Q64" i="13"/>
  <c r="Q97" i="13"/>
  <c r="Q48" i="13"/>
  <c r="Q40" i="13"/>
  <c r="Q22" i="13"/>
  <c r="Q92" i="13"/>
  <c r="Q86" i="13"/>
  <c r="Q134" i="13"/>
  <c r="Q152" i="13"/>
  <c r="Q210" i="13"/>
  <c r="Q186" i="13"/>
  <c r="Q198" i="13"/>
  <c r="Q297" i="13"/>
  <c r="Q245" i="13"/>
  <c r="Q253" i="13"/>
  <c r="Q261" i="13"/>
  <c r="Q269" i="13"/>
  <c r="Q277" i="13"/>
  <c r="Q256" i="13"/>
  <c r="Q306" i="13"/>
  <c r="Q366" i="13"/>
  <c r="Q322" i="13"/>
  <c r="Q330" i="13"/>
  <c r="Q296" i="13"/>
  <c r="Q410" i="13"/>
  <c r="Q385" i="13"/>
  <c r="Q419" i="13"/>
  <c r="Q438" i="13"/>
  <c r="Q430" i="13"/>
  <c r="Q543" i="13"/>
  <c r="Q396" i="13"/>
  <c r="Q481" i="13"/>
  <c r="Q33" i="13"/>
  <c r="Q496" i="13"/>
  <c r="Q51" i="13"/>
  <c r="Q79" i="13"/>
  <c r="Q61" i="13"/>
  <c r="Q59" i="13"/>
  <c r="Q72" i="13"/>
  <c r="Q98" i="13"/>
  <c r="Q138" i="13"/>
  <c r="Q142" i="13"/>
  <c r="Q106" i="13"/>
  <c r="Q180" i="13"/>
  <c r="Q168" i="13"/>
  <c r="Q146" i="13"/>
  <c r="Q172" i="13"/>
  <c r="Q182" i="13"/>
  <c r="Q199" i="13"/>
  <c r="Q274" i="13"/>
  <c r="Q158" i="13"/>
  <c r="Q174" i="13"/>
  <c r="Q250" i="13"/>
  <c r="Q219" i="13"/>
  <c r="Q405" i="13"/>
  <c r="Q268" i="13"/>
  <c r="Q351" i="13"/>
  <c r="Q309" i="13"/>
  <c r="Q389" i="13"/>
  <c r="Q329" i="13"/>
  <c r="Q346" i="13"/>
  <c r="Q365" i="13"/>
  <c r="Q377" i="13"/>
  <c r="Q392" i="13"/>
  <c r="Q426" i="13"/>
  <c r="Q457" i="13"/>
  <c r="Q440" i="13"/>
  <c r="Q473" i="13"/>
  <c r="Q484" i="13"/>
  <c r="Q492" i="13"/>
  <c r="Q513" i="13"/>
  <c r="Q510" i="13"/>
  <c r="Q548" i="13"/>
  <c r="Q556" i="13"/>
  <c r="Q537" i="13"/>
  <c r="Q519" i="13"/>
  <c r="Q540" i="13"/>
  <c r="Q546" i="13"/>
  <c r="Q41" i="13"/>
  <c r="Q109" i="13"/>
  <c r="Q273" i="13"/>
  <c r="Q523" i="13"/>
  <c r="Q166" i="13"/>
  <c r="Q334" i="13"/>
  <c r="Q417" i="13"/>
  <c r="Q448" i="13"/>
  <c r="Q45" i="13"/>
  <c r="Q50" i="13"/>
  <c r="Q27" i="13"/>
  <c r="Q108" i="13"/>
  <c r="Q81" i="13"/>
  <c r="Q203" i="13"/>
  <c r="Q130" i="13"/>
  <c r="Q144" i="13"/>
  <c r="Q218" i="13"/>
  <c r="Q226" i="13"/>
  <c r="Q213" i="13"/>
  <c r="Q221" i="13"/>
  <c r="Q229" i="13"/>
  <c r="Q254" i="13"/>
  <c r="Q248" i="13"/>
  <c r="Q280" i="13"/>
  <c r="Q285" i="13"/>
  <c r="Q314" i="13"/>
  <c r="Q284" i="13"/>
  <c r="Q300" i="13"/>
  <c r="Q362" i="13"/>
  <c r="Q374" i="13"/>
  <c r="Q378" i="13"/>
  <c r="Q393" i="13"/>
  <c r="Q424" i="13"/>
  <c r="Q404" i="13"/>
  <c r="Q428" i="13"/>
  <c r="Q446" i="13"/>
  <c r="Q485" i="13"/>
  <c r="Q472" i="13"/>
  <c r="Q489" i="13"/>
  <c r="Q501" i="13"/>
  <c r="Q104" i="13"/>
  <c r="Q176" i="13"/>
  <c r="Q67" i="13"/>
  <c r="Q207" i="13"/>
  <c r="Q281" i="13"/>
  <c r="Q288" i="13"/>
  <c r="Q369" i="13"/>
  <c r="Q469" i="13"/>
  <c r="Q499" i="13"/>
  <c r="Q150" i="13"/>
  <c r="Q234" i="13"/>
  <c r="Q252" i="13"/>
  <c r="Q358" i="13"/>
  <c r="Q488" i="13"/>
  <c r="Q495" i="13"/>
  <c r="Q511" i="13"/>
  <c r="Q542" i="13"/>
  <c r="Q554" i="13"/>
  <c r="Q76" i="13"/>
  <c r="Q24" i="13"/>
  <c r="Q36" i="13"/>
  <c r="Q71" i="13"/>
  <c r="Q84" i="13"/>
  <c r="Q78" i="13"/>
  <c r="Q112" i="13"/>
  <c r="Q90" i="13"/>
  <c r="Q113" i="13"/>
  <c r="Q93" i="13"/>
  <c r="Q148" i="13"/>
  <c r="Q164" i="13"/>
  <c r="Q190" i="13"/>
  <c r="Q191" i="13"/>
  <c r="Q202" i="13"/>
  <c r="Q162" i="13"/>
  <c r="Q178" i="13"/>
  <c r="Q282" i="13"/>
  <c r="Q233" i="13"/>
  <c r="Q223" i="13"/>
  <c r="Q289" i="13"/>
  <c r="Q302" i="13"/>
  <c r="Q301" i="13"/>
  <c r="Q260" i="13"/>
  <c r="Q313" i="13"/>
  <c r="Q319" i="13"/>
  <c r="Q318" i="13"/>
  <c r="Q357" i="13"/>
  <c r="Q370" i="13"/>
  <c r="Q317" i="13"/>
  <c r="Q333" i="13"/>
  <c r="Q353" i="13"/>
  <c r="Q390" i="13"/>
  <c r="Q420" i="13"/>
  <c r="Q381" i="13"/>
  <c r="Q423" i="13"/>
  <c r="Q442" i="13"/>
  <c r="Q444" i="13"/>
  <c r="Q476" i="13"/>
  <c r="Q525" i="13"/>
  <c r="Q491" i="13"/>
  <c r="Q507" i="13"/>
  <c r="Q560" i="13"/>
  <c r="Q54" i="13"/>
  <c r="Q116" i="13"/>
  <c r="Q236" i="13"/>
  <c r="Q249" i="13"/>
  <c r="Q342" i="13"/>
  <c r="Q409" i="13"/>
  <c r="Q421" i="13"/>
  <c r="Q531" i="13"/>
  <c r="Q337" i="13"/>
  <c r="Q461" i="13"/>
  <c r="Q474" i="13"/>
  <c r="Q13" i="13"/>
  <c r="Q12" i="13"/>
  <c r="AR10" i="13"/>
  <c r="AQ10" i="13"/>
  <c r="P559" i="13"/>
  <c r="P557" i="13"/>
  <c r="P560" i="13"/>
  <c r="P545" i="13"/>
  <c r="P549" i="13"/>
  <c r="P540" i="13"/>
  <c r="P536" i="13"/>
  <c r="P555" i="13"/>
  <c r="P544" i="13"/>
  <c r="P556" i="13"/>
  <c r="P550" i="13"/>
  <c r="P558" i="13"/>
  <c r="P547" i="13"/>
  <c r="P542" i="13"/>
  <c r="P552" i="13"/>
  <c r="P551" i="13"/>
  <c r="P541" i="13"/>
  <c r="P539" i="13"/>
  <c r="P532" i="13"/>
  <c r="P554" i="13"/>
  <c r="P537" i="13"/>
  <c r="P533" i="13"/>
  <c r="P529" i="13"/>
  <c r="P548" i="13"/>
  <c r="P530" i="13"/>
  <c r="P546" i="13"/>
  <c r="P538" i="13"/>
  <c r="P525" i="13"/>
  <c r="P553" i="13"/>
  <c r="P534" i="13"/>
  <c r="P531" i="13"/>
  <c r="P535" i="13"/>
  <c r="P524" i="13"/>
  <c r="P528" i="13"/>
  <c r="P526" i="13"/>
  <c r="P527" i="13"/>
  <c r="P522" i="13"/>
  <c r="P521" i="13"/>
  <c r="P543" i="13"/>
  <c r="P520" i="13"/>
  <c r="P512" i="13"/>
  <c r="P510" i="13"/>
  <c r="P506" i="13"/>
  <c r="P519" i="13"/>
  <c r="P516" i="13"/>
  <c r="P513" i="13"/>
  <c r="P511" i="13"/>
  <c r="P517" i="13"/>
  <c r="P507" i="13"/>
  <c r="P501" i="13"/>
  <c r="P497" i="13"/>
  <c r="P523" i="13"/>
  <c r="P509" i="13"/>
  <c r="P508" i="13"/>
  <c r="P518" i="13"/>
  <c r="P515" i="13"/>
  <c r="P503" i="13"/>
  <c r="P499" i="13"/>
  <c r="P504" i="13"/>
  <c r="P494" i="13"/>
  <c r="P490" i="13"/>
  <c r="P505" i="13"/>
  <c r="P495" i="13"/>
  <c r="P491" i="13"/>
  <c r="P487" i="13"/>
  <c r="P483" i="13"/>
  <c r="P479" i="13"/>
  <c r="P475" i="13"/>
  <c r="P471" i="13"/>
  <c r="P514" i="13"/>
  <c r="P498" i="13"/>
  <c r="P496" i="13"/>
  <c r="P492" i="13"/>
  <c r="P488" i="13"/>
  <c r="P484" i="13"/>
  <c r="P480" i="13"/>
  <c r="P476" i="13"/>
  <c r="P500" i="13"/>
  <c r="P466" i="13"/>
  <c r="P462" i="13"/>
  <c r="P478" i="13"/>
  <c r="P481" i="13"/>
  <c r="P493" i="13"/>
  <c r="P489" i="13"/>
  <c r="P482" i="13"/>
  <c r="P468" i="13"/>
  <c r="P464" i="13"/>
  <c r="P460" i="13"/>
  <c r="P456" i="13"/>
  <c r="P452" i="13"/>
  <c r="P485" i="13"/>
  <c r="P474" i="13"/>
  <c r="P469" i="13"/>
  <c r="P465" i="13"/>
  <c r="P461" i="13"/>
  <c r="P457" i="13"/>
  <c r="P453" i="13"/>
  <c r="P473" i="13"/>
  <c r="P447" i="13"/>
  <c r="P486" i="13"/>
  <c r="P472" i="13"/>
  <c r="P467" i="13"/>
  <c r="P448" i="13"/>
  <c r="P444" i="13"/>
  <c r="P458" i="13"/>
  <c r="P454" i="13"/>
  <c r="P450" i="13"/>
  <c r="P470" i="13"/>
  <c r="P459" i="13"/>
  <c r="P455" i="13"/>
  <c r="P451" i="13"/>
  <c r="P449" i="13"/>
  <c r="P445" i="13"/>
  <c r="P441" i="13"/>
  <c r="P442" i="13"/>
  <c r="P477" i="13"/>
  <c r="P463" i="13"/>
  <c r="P446" i="13"/>
  <c r="P443" i="13"/>
  <c r="P438" i="13"/>
  <c r="P433" i="13"/>
  <c r="P425" i="13"/>
  <c r="P421" i="13"/>
  <c r="P417" i="13"/>
  <c r="P439" i="13"/>
  <c r="P437" i="13"/>
  <c r="P428" i="13"/>
  <c r="P436" i="13"/>
  <c r="P431" i="13"/>
  <c r="P422" i="13"/>
  <c r="P418" i="13"/>
  <c r="P414" i="13"/>
  <c r="P410" i="13"/>
  <c r="P502" i="13"/>
  <c r="P435" i="13"/>
  <c r="P434" i="13"/>
  <c r="P426" i="13"/>
  <c r="P429" i="13"/>
  <c r="P423" i="13"/>
  <c r="P419" i="13"/>
  <c r="P415" i="13"/>
  <c r="P411" i="13"/>
  <c r="P407" i="13"/>
  <c r="P427" i="13"/>
  <c r="P412" i="13"/>
  <c r="P403" i="13"/>
  <c r="P399" i="13"/>
  <c r="P395" i="13"/>
  <c r="P391" i="13"/>
  <c r="P387" i="13"/>
  <c r="P408" i="13"/>
  <c r="P404" i="13"/>
  <c r="P440" i="13"/>
  <c r="P432" i="13"/>
  <c r="P430" i="13"/>
  <c r="P416" i="13"/>
  <c r="P413" i="13"/>
  <c r="P424" i="13"/>
  <c r="P420" i="13"/>
  <c r="P405" i="13"/>
  <c r="P401" i="13"/>
  <c r="P406" i="13"/>
  <c r="P385" i="13"/>
  <c r="P384" i="13"/>
  <c r="P380" i="13"/>
  <c r="P376" i="13"/>
  <c r="P372" i="13"/>
  <c r="P368" i="13"/>
  <c r="P364" i="13"/>
  <c r="P397" i="13"/>
  <c r="P396" i="13"/>
  <c r="P381" i="13"/>
  <c r="P377" i="13"/>
  <c r="P373" i="13"/>
  <c r="P369" i="13"/>
  <c r="P365" i="13"/>
  <c r="P361" i="13"/>
  <c r="P398" i="13"/>
  <c r="P393" i="13"/>
  <c r="P392" i="13"/>
  <c r="P400" i="13"/>
  <c r="P394" i="13"/>
  <c r="P389" i="13"/>
  <c r="P388" i="13"/>
  <c r="P382" i="13"/>
  <c r="P378" i="13"/>
  <c r="P374" i="13"/>
  <c r="P370" i="13"/>
  <c r="P366" i="13"/>
  <c r="P362" i="13"/>
  <c r="P358" i="13"/>
  <c r="P375" i="13"/>
  <c r="P354" i="13"/>
  <c r="P343" i="13"/>
  <c r="P339" i="13"/>
  <c r="P335" i="13"/>
  <c r="P386" i="13"/>
  <c r="P353" i="13"/>
  <c r="P348" i="13"/>
  <c r="P402" i="13"/>
  <c r="P371" i="13"/>
  <c r="P344" i="13"/>
  <c r="P340" i="13"/>
  <c r="P336" i="13"/>
  <c r="P332" i="13"/>
  <c r="P357" i="13"/>
  <c r="P352" i="13"/>
  <c r="P347" i="13"/>
  <c r="P383" i="13"/>
  <c r="P367" i="13"/>
  <c r="P346" i="13"/>
  <c r="P341" i="13"/>
  <c r="P337" i="13"/>
  <c r="P409" i="13"/>
  <c r="P356" i="13"/>
  <c r="P351" i="13"/>
  <c r="P345" i="13"/>
  <c r="P379" i="13"/>
  <c r="P360" i="13"/>
  <c r="P338" i="13"/>
  <c r="P331" i="13"/>
  <c r="P323" i="13"/>
  <c r="P318" i="13"/>
  <c r="P315" i="13"/>
  <c r="P306" i="13"/>
  <c r="P302" i="13"/>
  <c r="P321" i="13"/>
  <c r="P311" i="13"/>
  <c r="P329" i="13"/>
  <c r="P363" i="13"/>
  <c r="P333" i="13"/>
  <c r="P330" i="13"/>
  <c r="P316" i="13"/>
  <c r="P309" i="13"/>
  <c r="P328" i="13"/>
  <c r="P322" i="13"/>
  <c r="P319" i="13"/>
  <c r="P314" i="13"/>
  <c r="P304" i="13"/>
  <c r="P300" i="13"/>
  <c r="P390" i="13"/>
  <c r="P342" i="13"/>
  <c r="P334" i="13"/>
  <c r="P327" i="13"/>
  <c r="P326" i="13"/>
  <c r="P325" i="13"/>
  <c r="P317" i="13"/>
  <c r="P313" i="13"/>
  <c r="P308" i="13"/>
  <c r="P350" i="13"/>
  <c r="P305" i="13"/>
  <c r="P301" i="13"/>
  <c r="P349" i="13"/>
  <c r="P320" i="13"/>
  <c r="P296" i="13"/>
  <c r="P288" i="13"/>
  <c r="P283" i="13"/>
  <c r="P279" i="13"/>
  <c r="P275" i="13"/>
  <c r="P271" i="13"/>
  <c r="P267" i="13"/>
  <c r="P263" i="13"/>
  <c r="P259" i="13"/>
  <c r="P255" i="13"/>
  <c r="P251" i="13"/>
  <c r="P247" i="13"/>
  <c r="P243" i="13"/>
  <c r="P239" i="13"/>
  <c r="P235" i="13"/>
  <c r="P231" i="13"/>
  <c r="P359" i="13"/>
  <c r="P355" i="13"/>
  <c r="P312" i="13"/>
  <c r="P291" i="13"/>
  <c r="P280" i="13"/>
  <c r="P276" i="13"/>
  <c r="P272" i="13"/>
  <c r="P268" i="13"/>
  <c r="P324" i="13"/>
  <c r="P307" i="13"/>
  <c r="P297" i="13"/>
  <c r="P294" i="13"/>
  <c r="P289" i="13"/>
  <c r="P286" i="13"/>
  <c r="P310" i="13"/>
  <c r="P292" i="13"/>
  <c r="P284" i="13"/>
  <c r="P281" i="13"/>
  <c r="P277" i="13"/>
  <c r="P273" i="13"/>
  <c r="P269" i="13"/>
  <c r="P265" i="13"/>
  <c r="P261" i="13"/>
  <c r="P257" i="13"/>
  <c r="P253" i="13"/>
  <c r="P249" i="13"/>
  <c r="P245" i="13"/>
  <c r="P241" i="13"/>
  <c r="P237" i="13"/>
  <c r="P233" i="13"/>
  <c r="P303" i="13"/>
  <c r="P299" i="13"/>
  <c r="P295" i="13"/>
  <c r="P287" i="13"/>
  <c r="P282" i="13"/>
  <c r="P278" i="13"/>
  <c r="P290" i="13"/>
  <c r="P266" i="13"/>
  <c r="P262" i="13"/>
  <c r="P254" i="13"/>
  <c r="P246" i="13"/>
  <c r="P242" i="13"/>
  <c r="P236" i="13"/>
  <c r="P232" i="13"/>
  <c r="P227" i="13"/>
  <c r="P223" i="13"/>
  <c r="P219" i="13"/>
  <c r="P215" i="13"/>
  <c r="P211" i="13"/>
  <c r="P207" i="13"/>
  <c r="P203" i="13"/>
  <c r="P199" i="13"/>
  <c r="P195" i="13"/>
  <c r="P191" i="13"/>
  <c r="P187" i="13"/>
  <c r="P183" i="13"/>
  <c r="P285" i="13"/>
  <c r="P264" i="13"/>
  <c r="P256" i="13"/>
  <c r="P248" i="13"/>
  <c r="P234" i="13"/>
  <c r="P228" i="13"/>
  <c r="P224" i="13"/>
  <c r="P220" i="13"/>
  <c r="P216" i="13"/>
  <c r="P212" i="13"/>
  <c r="P208" i="13"/>
  <c r="P204" i="13"/>
  <c r="P258" i="13"/>
  <c r="P250" i="13"/>
  <c r="P298" i="13"/>
  <c r="P229" i="13"/>
  <c r="P225" i="13"/>
  <c r="P221" i="13"/>
  <c r="P217" i="13"/>
  <c r="P213" i="13"/>
  <c r="P209" i="13"/>
  <c r="P205" i="13"/>
  <c r="P201" i="13"/>
  <c r="P197" i="13"/>
  <c r="P193" i="13"/>
  <c r="P189" i="13"/>
  <c r="P185" i="13"/>
  <c r="P274" i="13"/>
  <c r="P260" i="13"/>
  <c r="P252" i="13"/>
  <c r="P244" i="13"/>
  <c r="P240" i="13"/>
  <c r="P238" i="13"/>
  <c r="P202" i="13"/>
  <c r="P196" i="13"/>
  <c r="P230" i="13"/>
  <c r="P226" i="13"/>
  <c r="P222" i="13"/>
  <c r="P218" i="13"/>
  <c r="P214" i="13"/>
  <c r="P200" i="13"/>
  <c r="P178" i="13"/>
  <c r="P174" i="13"/>
  <c r="P170" i="13"/>
  <c r="P166" i="13"/>
  <c r="P162" i="13"/>
  <c r="P158" i="13"/>
  <c r="P154" i="13"/>
  <c r="P150" i="13"/>
  <c r="P146" i="13"/>
  <c r="P142" i="13"/>
  <c r="P138" i="13"/>
  <c r="P134" i="13"/>
  <c r="P130" i="13"/>
  <c r="P186" i="13"/>
  <c r="P182" i="13"/>
  <c r="P179" i="13"/>
  <c r="P175" i="13"/>
  <c r="P171" i="13"/>
  <c r="P167" i="13"/>
  <c r="P210" i="13"/>
  <c r="P184" i="13"/>
  <c r="P190" i="13"/>
  <c r="P180" i="13"/>
  <c r="P176" i="13"/>
  <c r="P172" i="13"/>
  <c r="P168" i="13"/>
  <c r="P164" i="13"/>
  <c r="P160" i="13"/>
  <c r="P156" i="13"/>
  <c r="P152" i="13"/>
  <c r="P148" i="13"/>
  <c r="P144" i="13"/>
  <c r="P140" i="13"/>
  <c r="P136" i="13"/>
  <c r="P132" i="13"/>
  <c r="P293" i="13"/>
  <c r="P206" i="13"/>
  <c r="P194" i="13"/>
  <c r="P188" i="13"/>
  <c r="P161" i="13"/>
  <c r="P151" i="13"/>
  <c r="P137" i="13"/>
  <c r="P126" i="13"/>
  <c r="P122" i="13"/>
  <c r="P118" i="13"/>
  <c r="P114" i="13"/>
  <c r="P110" i="13"/>
  <c r="P106" i="13"/>
  <c r="P102" i="13"/>
  <c r="P98" i="13"/>
  <c r="P94" i="13"/>
  <c r="P90" i="13"/>
  <c r="P86" i="13"/>
  <c r="P169" i="13"/>
  <c r="P163" i="13"/>
  <c r="P139" i="13"/>
  <c r="P153" i="13"/>
  <c r="P141" i="13"/>
  <c r="P127" i="13"/>
  <c r="P123" i="13"/>
  <c r="P119" i="13"/>
  <c r="P115" i="13"/>
  <c r="P111" i="13"/>
  <c r="P107" i="13"/>
  <c r="P103" i="13"/>
  <c r="P99" i="13"/>
  <c r="P95" i="13"/>
  <c r="P91" i="13"/>
  <c r="P87" i="13"/>
  <c r="P83" i="13"/>
  <c r="P165" i="13"/>
  <c r="P155" i="13"/>
  <c r="P143" i="13"/>
  <c r="P181" i="13"/>
  <c r="P145" i="13"/>
  <c r="P128" i="13"/>
  <c r="P124" i="13"/>
  <c r="P120" i="13"/>
  <c r="P116" i="13"/>
  <c r="P112" i="13"/>
  <c r="P108" i="13"/>
  <c r="P104" i="13"/>
  <c r="P100" i="13"/>
  <c r="P96" i="13"/>
  <c r="P92" i="13"/>
  <c r="P88" i="13"/>
  <c r="P84" i="13"/>
  <c r="P159" i="13"/>
  <c r="P133" i="13"/>
  <c r="P129" i="13"/>
  <c r="P125" i="13"/>
  <c r="P121" i="13"/>
  <c r="P117" i="13"/>
  <c r="P113" i="13"/>
  <c r="P109" i="13"/>
  <c r="P105" i="13"/>
  <c r="P101" i="13"/>
  <c r="P177" i="13"/>
  <c r="P66" i="13"/>
  <c r="P60" i="13"/>
  <c r="P56" i="13"/>
  <c r="P149" i="13"/>
  <c r="P81" i="13"/>
  <c r="P74" i="13"/>
  <c r="P67" i="13"/>
  <c r="P50" i="13"/>
  <c r="P44" i="13"/>
  <c r="P93" i="13"/>
  <c r="P61" i="13"/>
  <c r="P147" i="13"/>
  <c r="P131" i="13"/>
  <c r="P82" i="13"/>
  <c r="P75" i="13"/>
  <c r="P157" i="13"/>
  <c r="P135" i="13"/>
  <c r="P85" i="13"/>
  <c r="P69" i="13"/>
  <c r="P62" i="13"/>
  <c r="P58" i="13"/>
  <c r="P53" i="13"/>
  <c r="P40" i="13"/>
  <c r="P35" i="13"/>
  <c r="P198" i="13"/>
  <c r="P97" i="13"/>
  <c r="P79" i="13"/>
  <c r="P76" i="13"/>
  <c r="P70" i="13"/>
  <c r="P63" i="13"/>
  <c r="P54" i="13"/>
  <c r="P47" i="13"/>
  <c r="P78" i="13"/>
  <c r="P46" i="13"/>
  <c r="P34" i="13"/>
  <c r="P32" i="13"/>
  <c r="P11" i="13"/>
  <c r="P72" i="13"/>
  <c r="P52" i="13"/>
  <c r="P48" i="13"/>
  <c r="P43" i="13"/>
  <c r="P37" i="13"/>
  <c r="P33" i="13"/>
  <c r="P27" i="13"/>
  <c r="P22" i="13"/>
  <c r="P192" i="13"/>
  <c r="P173" i="13"/>
  <c r="P71" i="13"/>
  <c r="P9" i="13"/>
  <c r="P36" i="13"/>
  <c r="P8" i="13"/>
  <c r="P31" i="13"/>
  <c r="P21" i="13"/>
  <c r="P77" i="13"/>
  <c r="P64" i="13"/>
  <c r="P28" i="13"/>
  <c r="P23" i="13"/>
  <c r="P19" i="13"/>
  <c r="P12" i="13"/>
  <c r="P59" i="13"/>
  <c r="P89" i="13"/>
  <c r="P80" i="13"/>
  <c r="P65" i="13"/>
  <c r="P45" i="13"/>
  <c r="P41" i="13"/>
  <c r="P38" i="13"/>
  <c r="P29" i="13"/>
  <c r="P270" i="13"/>
  <c r="P57" i="13"/>
  <c r="P39" i="13"/>
  <c r="P73" i="13"/>
  <c r="P68" i="13"/>
  <c r="P55" i="13"/>
  <c r="P51" i="13"/>
  <c r="P49" i="13"/>
  <c r="P24" i="13"/>
  <c r="P20" i="13"/>
  <c r="P13" i="13"/>
  <c r="P10" i="13"/>
  <c r="P30" i="13"/>
  <c r="P25" i="13"/>
  <c r="P42" i="13"/>
  <c r="P26" i="13"/>
  <c r="Q36" i="5"/>
  <c r="S36" i="5" s="1"/>
  <c r="U10" i="13"/>
  <c r="V10" i="13"/>
  <c r="W547" i="13"/>
  <c r="W550" i="13"/>
  <c r="W529" i="13"/>
  <c r="W533" i="13"/>
  <c r="W521" i="13"/>
  <c r="W511" i="13"/>
  <c r="W513" i="13"/>
  <c r="W497" i="13"/>
  <c r="W501" i="13"/>
  <c r="W485" i="13"/>
  <c r="W468" i="13"/>
  <c r="W474" i="13"/>
  <c r="W459" i="13"/>
  <c r="W455" i="13"/>
  <c r="W451" i="13"/>
  <c r="W472" i="13"/>
  <c r="W446" i="13"/>
  <c r="W461" i="13"/>
  <c r="W457" i="13"/>
  <c r="W466" i="13"/>
  <c r="W453" i="13"/>
  <c r="W458" i="13"/>
  <c r="W454" i="13"/>
  <c r="W450" i="13"/>
  <c r="W415" i="13"/>
  <c r="W414" i="13"/>
  <c r="W413" i="13"/>
  <c r="W411" i="13"/>
  <c r="W426" i="13"/>
  <c r="W423" i="13"/>
  <c r="W419" i="13"/>
  <c r="W418" i="13"/>
  <c r="W417" i="13"/>
  <c r="W416" i="13"/>
  <c r="W434" i="13"/>
  <c r="W412" i="13"/>
  <c r="W398" i="13"/>
  <c r="W393" i="13"/>
  <c r="W385" i="13"/>
  <c r="W374" i="13"/>
  <c r="W406" i="13"/>
  <c r="W397" i="13"/>
  <c r="W370" i="13"/>
  <c r="W354" i="13"/>
  <c r="W326" i="13"/>
  <c r="W378" i="13"/>
  <c r="W346" i="13"/>
  <c r="W345" i="13"/>
  <c r="W342" i="13"/>
  <c r="W310" i="13"/>
  <c r="W401" i="13"/>
  <c r="W298" i="13"/>
  <c r="W293" i="13"/>
  <c r="W290" i="13"/>
  <c r="W285" i="13"/>
  <c r="W319" i="13"/>
  <c r="W322" i="13"/>
  <c r="W305" i="13"/>
  <c r="W338" i="13"/>
  <c r="W314" i="13"/>
  <c r="W313" i="13"/>
  <c r="W297" i="13"/>
  <c r="W294" i="13"/>
  <c r="W289" i="13"/>
  <c r="W286" i="13"/>
  <c r="W278" i="13"/>
  <c r="W282" i="13"/>
  <c r="W258" i="13"/>
  <c r="W250" i="13"/>
  <c r="W306" i="13"/>
  <c r="W242" i="13"/>
  <c r="W262" i="13"/>
  <c r="W254" i="13"/>
  <c r="W246" i="13"/>
  <c r="W195" i="13"/>
  <c r="W184" i="13"/>
  <c r="W210" i="13"/>
  <c r="W202" i="13"/>
  <c r="W241" i="13"/>
  <c r="W168" i="13"/>
  <c r="W156" i="13"/>
  <c r="W182" i="13"/>
  <c r="W180" i="13"/>
  <c r="W266" i="13"/>
  <c r="W207" i="13"/>
  <c r="W183" i="13"/>
  <c r="W191" i="13"/>
  <c r="W186" i="13"/>
  <c r="W144" i="13"/>
  <c r="W132" i="13"/>
  <c r="W146" i="13"/>
  <c r="W130" i="13"/>
  <c r="W172" i="13"/>
  <c r="W164" i="13"/>
  <c r="W134" i="13"/>
  <c r="W108" i="13"/>
  <c r="W102" i="13"/>
  <c r="W92" i="13"/>
  <c r="W90" i="13"/>
  <c r="W85" i="13"/>
  <c r="W187" i="13"/>
  <c r="W120" i="13"/>
  <c r="W117" i="13"/>
  <c r="W176" i="13"/>
  <c r="W116" i="13"/>
  <c r="W113" i="13"/>
  <c r="W110" i="13"/>
  <c r="W105" i="13"/>
  <c r="W100" i="13"/>
  <c r="W82" i="13"/>
  <c r="B46" i="13"/>
  <c r="W88" i="13"/>
  <c r="W101" i="13"/>
  <c r="W48" i="13"/>
  <c r="W35" i="13"/>
  <c r="W38" i="13"/>
  <c r="W70" i="13"/>
  <c r="W42" i="13"/>
  <c r="W41" i="13"/>
  <c r="W93" i="13"/>
  <c r="W76" i="13"/>
  <c r="W34" i="13"/>
  <c r="O9" i="13"/>
  <c r="AG9" i="13" s="1"/>
  <c r="W86" i="13"/>
  <c r="W59" i="13"/>
  <c r="W44" i="13"/>
  <c r="W98" i="13"/>
  <c r="W72" i="13"/>
  <c r="W61" i="13"/>
  <c r="W50" i="13"/>
  <c r="W54" i="13"/>
  <c r="W106" i="13"/>
  <c r="W78" i="13"/>
  <c r="W8" i="13"/>
  <c r="W97" i="13"/>
  <c r="W33" i="13"/>
  <c r="W52" i="13"/>
  <c r="W75" i="13"/>
  <c r="W81" i="13"/>
  <c r="W124" i="13"/>
  <c r="W43" i="13"/>
  <c r="W73" i="13"/>
  <c r="W118" i="13"/>
  <c r="W135" i="13"/>
  <c r="W151" i="13"/>
  <c r="W167" i="13"/>
  <c r="W158" i="13"/>
  <c r="W174" i="13"/>
  <c r="W199" i="13"/>
  <c r="W153" i="13"/>
  <c r="W169" i="13"/>
  <c r="W185" i="13"/>
  <c r="W201" i="13"/>
  <c r="W232" i="13"/>
  <c r="W214" i="13"/>
  <c r="W257" i="13"/>
  <c r="W273" i="13"/>
  <c r="W244" i="13"/>
  <c r="W252" i="13"/>
  <c r="W260" i="13"/>
  <c r="W268" i="13"/>
  <c r="W276" i="13"/>
  <c r="W243" i="13"/>
  <c r="W275" i="13"/>
  <c r="W358" i="13"/>
  <c r="W363" i="13"/>
  <c r="W334" i="13"/>
  <c r="W317" i="13"/>
  <c r="W333" i="13"/>
  <c r="W347" i="13"/>
  <c r="W324" i="13"/>
  <c r="W340" i="13"/>
  <c r="W323" i="13"/>
  <c r="W356" i="13"/>
  <c r="W372" i="13"/>
  <c r="W384" i="13"/>
  <c r="W399" i="13"/>
  <c r="W437" i="13"/>
  <c r="W444" i="13"/>
  <c r="W435" i="13"/>
  <c r="W470" i="13"/>
  <c r="W484" i="13"/>
  <c r="W505" i="13"/>
  <c r="W520" i="13"/>
  <c r="W536" i="13"/>
  <c r="W554" i="13"/>
  <c r="W557" i="13"/>
  <c r="W551" i="13"/>
  <c r="W481" i="13"/>
  <c r="W483" i="13"/>
  <c r="W482" i="13"/>
  <c r="W538" i="13"/>
  <c r="W558" i="13"/>
  <c r="W147" i="13"/>
  <c r="W149" i="13"/>
  <c r="W213" i="13"/>
  <c r="W216" i="13"/>
  <c r="W269" i="13"/>
  <c r="W440" i="13"/>
  <c r="W492" i="13"/>
  <c r="W502" i="13"/>
  <c r="W528" i="13"/>
  <c r="W540" i="13"/>
  <c r="W30" i="13"/>
  <c r="W104" i="13"/>
  <c r="W68" i="13"/>
  <c r="W152" i="13"/>
  <c r="W190" i="13"/>
  <c r="W291" i="13"/>
  <c r="W349" i="13"/>
  <c r="W392" i="13"/>
  <c r="W431" i="13"/>
  <c r="W28" i="13"/>
  <c r="W160" i="13"/>
  <c r="W32" i="13"/>
  <c r="W47" i="13"/>
  <c r="W21" i="13"/>
  <c r="W53" i="13"/>
  <c r="W69" i="13"/>
  <c r="W96" i="13"/>
  <c r="W138" i="13"/>
  <c r="W142" i="13"/>
  <c r="W49" i="13"/>
  <c r="W87" i="13"/>
  <c r="W103" i="13"/>
  <c r="W119" i="13"/>
  <c r="W148" i="13"/>
  <c r="W122" i="13"/>
  <c r="W129" i="13"/>
  <c r="W234" i="13"/>
  <c r="W200" i="13"/>
  <c r="W227" i="13"/>
  <c r="W255" i="13"/>
  <c r="W292" i="13"/>
  <c r="W309" i="13"/>
  <c r="W295" i="13"/>
  <c r="W327" i="13"/>
  <c r="W390" i="13"/>
  <c r="W369" i="13"/>
  <c r="W402" i="13"/>
  <c r="W360" i="13"/>
  <c r="W432" i="13"/>
  <c r="W396" i="13"/>
  <c r="W441" i="13"/>
  <c r="W452" i="13"/>
  <c r="W503" i="13"/>
  <c r="W491" i="13"/>
  <c r="W525" i="13"/>
  <c r="W478" i="13"/>
  <c r="W527" i="13"/>
  <c r="W500" i="13"/>
  <c r="W524" i="13"/>
  <c r="W537" i="13"/>
  <c r="W519" i="13"/>
  <c r="W514" i="13"/>
  <c r="W544" i="13"/>
  <c r="W531" i="13"/>
  <c r="W445" i="13"/>
  <c r="W448" i="13"/>
  <c r="W439" i="13"/>
  <c r="W488" i="13"/>
  <c r="W507" i="13"/>
  <c r="W508" i="13"/>
  <c r="W504" i="13"/>
  <c r="W509" i="13"/>
  <c r="W555" i="13"/>
  <c r="W179" i="13"/>
  <c r="W154" i="13"/>
  <c r="W181" i="13"/>
  <c r="W224" i="13"/>
  <c r="W348" i="13"/>
  <c r="W379" i="13"/>
  <c r="W428" i="13"/>
  <c r="W473" i="13"/>
  <c r="W480" i="13"/>
  <c r="W553" i="13"/>
  <c r="W51" i="13"/>
  <c r="W112" i="13"/>
  <c r="W263" i="13"/>
  <c r="W352" i="13"/>
  <c r="W387" i="13"/>
  <c r="W433" i="13"/>
  <c r="W479" i="13"/>
  <c r="W40" i="13"/>
  <c r="W79" i="13"/>
  <c r="W55" i="13"/>
  <c r="W77" i="13"/>
  <c r="W125" i="13"/>
  <c r="W203" i="13"/>
  <c r="W140" i="13"/>
  <c r="W126" i="13"/>
  <c r="W194" i="13"/>
  <c r="W139" i="13"/>
  <c r="W155" i="13"/>
  <c r="W171" i="13"/>
  <c r="W198" i="13"/>
  <c r="W162" i="13"/>
  <c r="W178" i="13"/>
  <c r="W133" i="13"/>
  <c r="W157" i="13"/>
  <c r="W173" i="13"/>
  <c r="W189" i="13"/>
  <c r="W205" i="13"/>
  <c r="W217" i="13"/>
  <c r="W225" i="13"/>
  <c r="W233" i="13"/>
  <c r="W212" i="13"/>
  <c r="W220" i="13"/>
  <c r="W228" i="13"/>
  <c r="W350" i="13"/>
  <c r="W211" i="13"/>
  <c r="W218" i="13"/>
  <c r="W230" i="13"/>
  <c r="W245" i="13"/>
  <c r="W261" i="13"/>
  <c r="W277" i="13"/>
  <c r="W311" i="13"/>
  <c r="W318" i="13"/>
  <c r="W267" i="13"/>
  <c r="W330" i="13"/>
  <c r="W321" i="13"/>
  <c r="W337" i="13"/>
  <c r="W308" i="13"/>
  <c r="W328" i="13"/>
  <c r="W344" i="13"/>
  <c r="W331" i="13"/>
  <c r="W355" i="13"/>
  <c r="W364" i="13"/>
  <c r="W376" i="13"/>
  <c r="W391" i="13"/>
  <c r="W469" i="13"/>
  <c r="W456" i="13"/>
  <c r="W496" i="13"/>
  <c r="W552" i="13"/>
  <c r="W221" i="13"/>
  <c r="W208" i="13"/>
  <c r="W253" i="13"/>
  <c r="W240" i="13"/>
  <c r="W357" i="13"/>
  <c r="W422" i="13"/>
  <c r="W427" i="13"/>
  <c r="W22" i="13"/>
  <c r="W37" i="13"/>
  <c r="W99" i="13"/>
  <c r="W114" i="13"/>
  <c r="W304" i="13"/>
  <c r="W546" i="13"/>
  <c r="W23" i="13"/>
  <c r="W27" i="13"/>
  <c r="W26" i="13"/>
  <c r="W58" i="13"/>
  <c r="W67" i="13"/>
  <c r="W80" i="13"/>
  <c r="W91" i="13"/>
  <c r="W107" i="13"/>
  <c r="W123" i="13"/>
  <c r="W137" i="13"/>
  <c r="W188" i="13"/>
  <c r="W204" i="13"/>
  <c r="W215" i="13"/>
  <c r="W231" i="13"/>
  <c r="W247" i="13"/>
  <c r="W279" i="13"/>
  <c r="W296" i="13"/>
  <c r="W382" i="13"/>
  <c r="W299" i="13"/>
  <c r="W315" i="13"/>
  <c r="W409" i="13"/>
  <c r="W312" i="13"/>
  <c r="W394" i="13"/>
  <c r="W335" i="13"/>
  <c r="W420" i="13"/>
  <c r="W407" i="13"/>
  <c r="W373" i="13"/>
  <c r="W424" i="13"/>
  <c r="W367" i="13"/>
  <c r="W408" i="13"/>
  <c r="W400" i="13"/>
  <c r="W442" i="13"/>
  <c r="W403" i="13"/>
  <c r="W438" i="13"/>
  <c r="W462" i="13"/>
  <c r="W465" i="13"/>
  <c r="W460" i="13"/>
  <c r="W471" i="13"/>
  <c r="W486" i="13"/>
  <c r="W489" i="13"/>
  <c r="W523" i="13"/>
  <c r="W518" i="13"/>
  <c r="W542" i="13"/>
  <c r="W539" i="13"/>
  <c r="W526" i="13"/>
  <c r="W548" i="13"/>
  <c r="W556" i="13"/>
  <c r="W45" i="13"/>
  <c r="W64" i="13"/>
  <c r="W31" i="13"/>
  <c r="W39" i="13"/>
  <c r="W170" i="13"/>
  <c r="W270" i="13"/>
  <c r="W251" i="13"/>
  <c r="W336" i="13"/>
  <c r="W447" i="13"/>
  <c r="W494" i="13"/>
  <c r="W84" i="13"/>
  <c r="W71" i="13"/>
  <c r="W46" i="13"/>
  <c r="W83" i="13"/>
  <c r="W196" i="13"/>
  <c r="W307" i="13"/>
  <c r="W353" i="13"/>
  <c r="W383" i="13"/>
  <c r="W467" i="13"/>
  <c r="W515" i="13"/>
  <c r="W532" i="13"/>
  <c r="W25" i="13"/>
  <c r="W109" i="13"/>
  <c r="W89" i="13"/>
  <c r="W56" i="13"/>
  <c r="W128" i="13"/>
  <c r="W143" i="13"/>
  <c r="W159" i="13"/>
  <c r="W175" i="13"/>
  <c r="W150" i="13"/>
  <c r="W166" i="13"/>
  <c r="W141" i="13"/>
  <c r="W161" i="13"/>
  <c r="W177" i="13"/>
  <c r="W193" i="13"/>
  <c r="W209" i="13"/>
  <c r="W236" i="13"/>
  <c r="W222" i="13"/>
  <c r="W249" i="13"/>
  <c r="W265" i="13"/>
  <c r="W281" i="13"/>
  <c r="W405" i="13"/>
  <c r="W248" i="13"/>
  <c r="W256" i="13"/>
  <c r="W264" i="13"/>
  <c r="W272" i="13"/>
  <c r="W280" i="13"/>
  <c r="W235" i="13"/>
  <c r="W259" i="13"/>
  <c r="W366" i="13"/>
  <c r="W361" i="13"/>
  <c r="W325" i="13"/>
  <c r="W341" i="13"/>
  <c r="W389" i="13"/>
  <c r="W316" i="13"/>
  <c r="W332" i="13"/>
  <c r="W359" i="13"/>
  <c r="W339" i="13"/>
  <c r="W421" i="13"/>
  <c r="W380" i="13"/>
  <c r="W371" i="13"/>
  <c r="W449" i="13"/>
  <c r="W436" i="13"/>
  <c r="W443" i="13"/>
  <c r="W464" i="13"/>
  <c r="W476" i="13"/>
  <c r="W475" i="13"/>
  <c r="W490" i="13"/>
  <c r="W493" i="13"/>
  <c r="W498" i="13"/>
  <c r="W517" i="13"/>
  <c r="W535" i="13"/>
  <c r="W545" i="13"/>
  <c r="W559" i="13"/>
  <c r="W36" i="13"/>
  <c r="W74" i="13"/>
  <c r="W66" i="13"/>
  <c r="W131" i="13"/>
  <c r="W197" i="13"/>
  <c r="W226" i="13"/>
  <c r="W283" i="13"/>
  <c r="W329" i="13"/>
  <c r="W429" i="13"/>
  <c r="W560" i="13"/>
  <c r="W19" i="13"/>
  <c r="W57" i="13"/>
  <c r="W94" i="13"/>
  <c r="W223" i="13"/>
  <c r="W381" i="13"/>
  <c r="W410" i="13"/>
  <c r="W477" i="13"/>
  <c r="W516" i="13"/>
  <c r="W543" i="13"/>
  <c r="W63" i="13"/>
  <c r="W62" i="13"/>
  <c r="W60" i="13"/>
  <c r="W65" i="13"/>
  <c r="W95" i="13"/>
  <c r="W111" i="13"/>
  <c r="W127" i="13"/>
  <c r="W206" i="13"/>
  <c r="W136" i="13"/>
  <c r="W274" i="13"/>
  <c r="W238" i="13"/>
  <c r="W145" i="13"/>
  <c r="W192" i="13"/>
  <c r="W219" i="13"/>
  <c r="W302" i="13"/>
  <c r="W239" i="13"/>
  <c r="W271" i="13"/>
  <c r="W301" i="13"/>
  <c r="W284" i="13"/>
  <c r="W300" i="13"/>
  <c r="W351" i="13"/>
  <c r="W287" i="13"/>
  <c r="W303" i="13"/>
  <c r="W362" i="13"/>
  <c r="W343" i="13"/>
  <c r="W377" i="13"/>
  <c r="W386" i="13"/>
  <c r="W368" i="13"/>
  <c r="W375" i="13"/>
  <c r="W388" i="13"/>
  <c r="W404" i="13"/>
  <c r="W395" i="13"/>
  <c r="W463" i="13"/>
  <c r="W499" i="13"/>
  <c r="W487" i="13"/>
  <c r="W495" i="13"/>
  <c r="W506" i="13"/>
  <c r="W522" i="13"/>
  <c r="W530" i="13"/>
  <c r="W541" i="13"/>
  <c r="W549" i="13"/>
  <c r="W24" i="13"/>
  <c r="W29" i="13"/>
  <c r="W20" i="13"/>
  <c r="W121" i="13"/>
  <c r="W163" i="13"/>
  <c r="W165" i="13"/>
  <c r="W229" i="13"/>
  <c r="W237" i="13"/>
  <c r="W320" i="13"/>
  <c r="W430" i="13"/>
  <c r="W425" i="13"/>
  <c r="W512" i="13"/>
  <c r="W115" i="13"/>
  <c r="W288" i="13"/>
  <c r="W365" i="13"/>
  <c r="W510" i="13"/>
  <c r="W534" i="13"/>
  <c r="W13" i="13"/>
  <c r="W12" i="13"/>
  <c r="X147" i="4"/>
  <c r="Q559" i="5"/>
  <c r="S559" i="5" s="1"/>
  <c r="Q238" i="5"/>
  <c r="S238" i="5" s="1"/>
  <c r="Q124" i="5"/>
  <c r="S124" i="5" s="1"/>
  <c r="Q88" i="5"/>
  <c r="R88" i="5" s="1"/>
  <c r="Q261" i="5"/>
  <c r="R261" i="5" s="1"/>
  <c r="Q389" i="5"/>
  <c r="S389" i="5" s="1"/>
  <c r="Q95" i="5"/>
  <c r="S95" i="5" s="1"/>
  <c r="Q35" i="5"/>
  <c r="R35" i="5" s="1"/>
  <c r="Q477" i="5"/>
  <c r="S477" i="5" s="1"/>
  <c r="Q353" i="5"/>
  <c r="R353" i="5" s="1"/>
  <c r="Q313" i="5"/>
  <c r="R313" i="5" s="1"/>
  <c r="Q366" i="5"/>
  <c r="R366" i="5" s="1"/>
  <c r="V136" i="4"/>
  <c r="W136" i="4" s="1"/>
  <c r="Q115" i="5"/>
  <c r="S115" i="5" s="1"/>
  <c r="Q444" i="5"/>
  <c r="R444" i="5" s="1"/>
  <c r="Q547" i="5"/>
  <c r="S547" i="5" s="1"/>
  <c r="Q120" i="5"/>
  <c r="S120" i="5" s="1"/>
  <c r="Q162" i="5"/>
  <c r="R162" i="5" s="1"/>
  <c r="Q197" i="5"/>
  <c r="S197" i="5" s="1"/>
  <c r="Q416" i="5"/>
  <c r="S416" i="5" s="1"/>
  <c r="Q486" i="5"/>
  <c r="S486" i="5" s="1"/>
  <c r="Q297" i="5"/>
  <c r="S297" i="5" s="1"/>
  <c r="Q305" i="5"/>
  <c r="R305" i="5" s="1"/>
  <c r="Q544" i="5"/>
  <c r="R544" i="5" s="1"/>
  <c r="Q469" i="5"/>
  <c r="R469" i="5" s="1"/>
  <c r="Q290" i="5"/>
  <c r="Q520" i="5"/>
  <c r="R520" i="5" s="1"/>
  <c r="Q130" i="5"/>
  <c r="S130" i="5" s="1"/>
  <c r="Q92" i="5"/>
  <c r="S92" i="5" s="1"/>
  <c r="Q483" i="5"/>
  <c r="S483" i="5" s="1"/>
  <c r="Q275" i="5"/>
  <c r="R275" i="5" s="1"/>
  <c r="Q427" i="5"/>
  <c r="R427" i="5" s="1"/>
  <c r="Q368" i="5"/>
  <c r="S368" i="5" s="1"/>
  <c r="Q183" i="5"/>
  <c r="S183" i="5" s="1"/>
  <c r="Q195" i="5"/>
  <c r="R195" i="5" s="1"/>
  <c r="Q164" i="5"/>
  <c r="S164" i="5" s="1"/>
  <c r="Q514" i="5"/>
  <c r="R514" i="5" s="1"/>
  <c r="Q334" i="5"/>
  <c r="R334" i="5" s="1"/>
  <c r="B43" i="5"/>
  <c r="Q446" i="5"/>
  <c r="S446" i="5" s="1"/>
  <c r="Q173" i="5"/>
  <c r="S173" i="5" s="1"/>
  <c r="Q69" i="5"/>
  <c r="R69" i="5" s="1"/>
  <c r="Q392" i="5"/>
  <c r="R392" i="5" s="1"/>
  <c r="Q47" i="5"/>
  <c r="S47" i="5" s="1"/>
  <c r="Q71" i="5"/>
  <c r="R71" i="5" s="1"/>
  <c r="Q478" i="5"/>
  <c r="S478" i="5" s="1"/>
  <c r="Q188" i="5"/>
  <c r="S188" i="5" s="1"/>
  <c r="Q522" i="5"/>
  <c r="R522" i="5" s="1"/>
  <c r="Q259" i="5"/>
  <c r="S259" i="5" s="1"/>
  <c r="Q67" i="5"/>
  <c r="R67" i="5" s="1"/>
  <c r="Q84" i="5"/>
  <c r="R84" i="5" s="1"/>
  <c r="Q363" i="5"/>
  <c r="S363" i="5" s="1"/>
  <c r="Q235" i="5"/>
  <c r="S235" i="5" s="1"/>
  <c r="Q523" i="5"/>
  <c r="R523" i="5" s="1"/>
  <c r="Q222" i="5"/>
  <c r="S222" i="5" s="1"/>
  <c r="Q196" i="5"/>
  <c r="S196" i="5" s="1"/>
  <c r="Q133" i="5"/>
  <c r="S133" i="5" s="1"/>
  <c r="Q218" i="5"/>
  <c r="S218" i="5" s="1"/>
  <c r="Q473" i="5"/>
  <c r="S473" i="5" s="1"/>
  <c r="Q54" i="5"/>
  <c r="R54" i="5" s="1"/>
  <c r="Q241" i="5"/>
  <c r="R241" i="5" s="1"/>
  <c r="Q203" i="5"/>
  <c r="S203" i="5" s="1"/>
  <c r="Q371" i="5"/>
  <c r="R371" i="5" s="1"/>
  <c r="Q343" i="5"/>
  <c r="S343" i="5" s="1"/>
  <c r="Q122" i="5"/>
  <c r="S122" i="5" s="1"/>
  <c r="Q425" i="5"/>
  <c r="S425" i="5" s="1"/>
  <c r="Q298" i="5"/>
  <c r="R298" i="5" s="1"/>
  <c r="Q471" i="5"/>
  <c r="R471" i="5" s="1"/>
  <c r="Q332" i="5"/>
  <c r="R332" i="5" s="1"/>
  <c r="Q337" i="5"/>
  <c r="S337" i="5" s="1"/>
  <c r="Q317" i="5"/>
  <c r="S317" i="5" s="1"/>
  <c r="Q24" i="5"/>
  <c r="S24" i="5" s="1"/>
  <c r="Q346" i="5"/>
  <c r="S346" i="5" s="1"/>
  <c r="Q161" i="5"/>
  <c r="R161" i="5" s="1"/>
  <c r="Q79" i="5"/>
  <c r="S79" i="5" s="1"/>
  <c r="Q438" i="5"/>
  <c r="R438" i="5" s="1"/>
  <c r="Q152" i="5"/>
  <c r="R152" i="5" s="1"/>
  <c r="Q132" i="5"/>
  <c r="R132" i="5" s="1"/>
  <c r="Q20" i="5"/>
  <c r="S20" i="5" s="1"/>
  <c r="Q215" i="5"/>
  <c r="R215" i="5" s="1"/>
  <c r="Q489" i="5"/>
  <c r="R489" i="5" s="1"/>
  <c r="Q154" i="5"/>
  <c r="R154" i="5" s="1"/>
  <c r="Q345" i="5"/>
  <c r="R345" i="5" s="1"/>
  <c r="Q223" i="5"/>
  <c r="R223" i="5" s="1"/>
  <c r="Q386" i="5"/>
  <c r="R386" i="5" s="1"/>
  <c r="Q273" i="5"/>
  <c r="S273" i="5" s="1"/>
  <c r="Q296" i="5"/>
  <c r="S296" i="5" s="1"/>
  <c r="Q108" i="5"/>
  <c r="R108" i="5" s="1"/>
  <c r="Q467" i="5"/>
  <c r="S467" i="5" s="1"/>
  <c r="Q89" i="5"/>
  <c r="R89" i="5" s="1"/>
  <c r="Q510" i="5"/>
  <c r="R510" i="5" s="1"/>
  <c r="Q309" i="5"/>
  <c r="R309" i="5" s="1"/>
  <c r="Q221" i="5"/>
  <c r="R221" i="5" s="1"/>
  <c r="Q445" i="5"/>
  <c r="S445" i="5" s="1"/>
  <c r="Q87" i="5"/>
  <c r="S87" i="5" s="1"/>
  <c r="Q468" i="5"/>
  <c r="S468" i="5" s="1"/>
  <c r="Q48" i="5"/>
  <c r="R48" i="5" s="1"/>
  <c r="Q165" i="5"/>
  <c r="R165" i="5" s="1"/>
  <c r="Q388" i="5"/>
  <c r="R388" i="5" s="1"/>
  <c r="Q409" i="5"/>
  <c r="S409" i="5" s="1"/>
  <c r="Q34" i="5"/>
  <c r="R34" i="5" s="1"/>
  <c r="Q72" i="5"/>
  <c r="R72" i="5" s="1"/>
  <c r="Q384" i="5"/>
  <c r="R384" i="5" s="1"/>
  <c r="Q509" i="5"/>
  <c r="S509" i="5" s="1"/>
  <c r="Q451" i="5"/>
  <c r="R451" i="5" s="1"/>
  <c r="Q443" i="5"/>
  <c r="S443" i="5" s="1"/>
  <c r="Q442" i="5"/>
  <c r="R442" i="5" s="1"/>
  <c r="Q146" i="5"/>
  <c r="R146" i="5" s="1"/>
  <c r="Q267" i="5"/>
  <c r="R267" i="5" s="1"/>
  <c r="Q39" i="5"/>
  <c r="Q266" i="5"/>
  <c r="R266" i="5" s="1"/>
  <c r="Q185" i="5"/>
  <c r="R185" i="5" s="1"/>
  <c r="Q488" i="5"/>
  <c r="R488" i="5" s="1"/>
  <c r="Q476" i="5"/>
  <c r="S476" i="5" s="1"/>
  <c r="Q482" i="5"/>
  <c r="R482" i="5" s="1"/>
  <c r="Q102" i="5"/>
  <c r="S102" i="5" s="1"/>
  <c r="Q224" i="5"/>
  <c r="Q439" i="5"/>
  <c r="R439" i="5" s="1"/>
  <c r="Q454" i="5"/>
  <c r="R454" i="5" s="1"/>
  <c r="Q295" i="5"/>
  <c r="S295" i="5" s="1"/>
  <c r="Q355" i="5"/>
  <c r="R355" i="5" s="1"/>
  <c r="Q186" i="5"/>
  <c r="R186" i="5" s="1"/>
  <c r="Q271" i="5"/>
  <c r="Q101" i="5"/>
  <c r="R101" i="5" s="1"/>
  <c r="Q342" i="5"/>
  <c r="S342" i="5" s="1"/>
  <c r="Q85" i="5"/>
  <c r="S85" i="5" s="1"/>
  <c r="Q534" i="5"/>
  <c r="S534" i="5" s="1"/>
  <c r="Q306" i="5"/>
  <c r="S306" i="5" s="1"/>
  <c r="Q452" i="5"/>
  <c r="S452" i="5" s="1"/>
  <c r="Q507" i="5"/>
  <c r="Q318" i="5"/>
  <c r="S318" i="5" s="1"/>
  <c r="Q362" i="5"/>
  <c r="S362" i="5" s="1"/>
  <c r="W251" i="5"/>
  <c r="X251" i="5" s="1"/>
  <c r="W522" i="5"/>
  <c r="W130" i="5"/>
  <c r="Y130" i="5" s="1"/>
  <c r="W24" i="5"/>
  <c r="Y24" i="5" s="1"/>
  <c r="W291" i="5"/>
  <c r="X291" i="5" s="1"/>
  <c r="W44" i="5"/>
  <c r="Y44" i="5" s="1"/>
  <c r="W432" i="5"/>
  <c r="X432" i="5" s="1"/>
  <c r="V134" i="4"/>
  <c r="Z134" i="4" s="1"/>
  <c r="W10" i="5"/>
  <c r="X10" i="5" s="1"/>
  <c r="W152" i="5"/>
  <c r="Y152" i="5" s="1"/>
  <c r="W268" i="5"/>
  <c r="Y268" i="5" s="1"/>
  <c r="W22" i="5"/>
  <c r="Y22" i="5" s="1"/>
  <c r="W378" i="5"/>
  <c r="Y378" i="5" s="1"/>
  <c r="W62" i="5"/>
  <c r="Y62" i="5" s="1"/>
  <c r="W90" i="5"/>
  <c r="X90" i="5" s="1"/>
  <c r="W133" i="5"/>
  <c r="Y133" i="5" s="1"/>
  <c r="W437" i="5"/>
  <c r="X437" i="5" s="1"/>
  <c r="W186" i="5"/>
  <c r="X186" i="5" s="1"/>
  <c r="W406" i="5"/>
  <c r="X406" i="5" s="1"/>
  <c r="W288" i="5"/>
  <c r="Y288" i="5" s="1"/>
  <c r="O9" i="5"/>
  <c r="Z9" i="5" s="1"/>
  <c r="W450" i="5"/>
  <c r="X450" i="5" s="1"/>
  <c r="W458" i="5"/>
  <c r="Y458" i="5" s="1"/>
  <c r="W428" i="5"/>
  <c r="X428" i="5" s="1"/>
  <c r="W84" i="5"/>
  <c r="W41" i="5"/>
  <c r="W340" i="5"/>
  <c r="X340" i="5" s="1"/>
  <c r="W316" i="5"/>
  <c r="Y316" i="5" s="1"/>
  <c r="W452" i="5"/>
  <c r="X452" i="5" s="1"/>
  <c r="W285" i="5"/>
  <c r="Y285" i="5" s="1"/>
  <c r="W209" i="5"/>
  <c r="X209" i="5" s="1"/>
  <c r="W69" i="5"/>
  <c r="W517" i="5"/>
  <c r="W426" i="5"/>
  <c r="X426" i="5" s="1"/>
  <c r="W12" i="5"/>
  <c r="Y12" i="5" s="1"/>
  <c r="W336" i="5"/>
  <c r="X336" i="5" s="1"/>
  <c r="W63" i="5"/>
  <c r="X63" i="5" s="1"/>
  <c r="W422" i="5"/>
  <c r="X422" i="5" s="1"/>
  <c r="W154" i="5"/>
  <c r="W85" i="5"/>
  <c r="X85" i="5" s="1"/>
  <c r="W21" i="5"/>
  <c r="Y21" i="5" s="1"/>
  <c r="W302" i="5"/>
  <c r="Y302" i="5" s="1"/>
  <c r="W510" i="5"/>
  <c r="Y510" i="5" s="1"/>
  <c r="W375" i="5"/>
  <c r="X375" i="5" s="1"/>
  <c r="W327" i="5"/>
  <c r="Y327" i="5" s="1"/>
  <c r="W317" i="5"/>
  <c r="W176" i="5"/>
  <c r="X176" i="5" s="1"/>
  <c r="W210" i="5"/>
  <c r="X210" i="5" s="1"/>
  <c r="W502" i="5"/>
  <c r="Y502" i="5" s="1"/>
  <c r="W410" i="5"/>
  <c r="X410" i="5" s="1"/>
  <c r="W490" i="5"/>
  <c r="Y490" i="5" s="1"/>
  <c r="W442" i="5"/>
  <c r="X442" i="5" s="1"/>
  <c r="W448" i="5"/>
  <c r="Y448" i="5" s="1"/>
  <c r="W346" i="5"/>
  <c r="X346" i="5" s="1"/>
  <c r="W52" i="5"/>
  <c r="Y52" i="5" s="1"/>
  <c r="W78" i="5"/>
  <c r="X78" i="5" s="1"/>
  <c r="W350" i="5"/>
  <c r="X350" i="5" s="1"/>
  <c r="W369" i="5"/>
  <c r="X369" i="5" s="1"/>
  <c r="W339" i="5"/>
  <c r="X339" i="5" s="1"/>
  <c r="W223" i="5"/>
  <c r="Y223" i="5" s="1"/>
  <c r="W267" i="5"/>
  <c r="W196" i="5"/>
  <c r="W307" i="5"/>
  <c r="W105" i="5"/>
  <c r="W166" i="5"/>
  <c r="Y166" i="5" s="1"/>
  <c r="W278" i="5"/>
  <c r="W198" i="5"/>
  <c r="Y198" i="5" s="1"/>
  <c r="W365" i="5"/>
  <c r="X365" i="5" s="1"/>
  <c r="W59" i="5"/>
  <c r="X59" i="5" s="1"/>
  <c r="W13" i="5"/>
  <c r="Y13" i="5" s="1"/>
  <c r="W521" i="5"/>
  <c r="Y521" i="5" s="1"/>
  <c r="W541" i="5"/>
  <c r="X541" i="5" s="1"/>
  <c r="W178" i="5"/>
  <c r="Y178" i="5" s="1"/>
  <c r="W157" i="5"/>
  <c r="X157" i="5" s="1"/>
  <c r="W530" i="5"/>
  <c r="X530" i="5" s="1"/>
  <c r="W433" i="5"/>
  <c r="X433" i="5" s="1"/>
  <c r="W401" i="5"/>
  <c r="X401" i="5" s="1"/>
  <c r="W461" i="5"/>
  <c r="X461" i="5" s="1"/>
  <c r="W229" i="5"/>
  <c r="X229" i="5" s="1"/>
  <c r="W314" i="5"/>
  <c r="X314" i="5" s="1"/>
  <c r="W47" i="5"/>
  <c r="X47" i="5" s="1"/>
  <c r="W224" i="5"/>
  <c r="Y224" i="5" s="1"/>
  <c r="W106" i="5"/>
  <c r="W476" i="5"/>
  <c r="Y476" i="5" s="1"/>
  <c r="W483" i="5"/>
  <c r="W318" i="5"/>
  <c r="Y318" i="5" s="1"/>
  <c r="W390" i="5"/>
  <c r="X390" i="5" s="1"/>
  <c r="W123" i="5"/>
  <c r="X123" i="5" s="1"/>
  <c r="W480" i="5"/>
  <c r="X480" i="5" s="1"/>
  <c r="W76" i="5"/>
  <c r="X76" i="5" s="1"/>
  <c r="W26" i="5"/>
  <c r="W82" i="5"/>
  <c r="X82" i="5" s="1"/>
  <c r="W529" i="5"/>
  <c r="Y529" i="5" s="1"/>
  <c r="W424" i="5"/>
  <c r="X424" i="5" s="1"/>
  <c r="W275" i="5"/>
  <c r="Y275" i="5" s="1"/>
  <c r="W395" i="5"/>
  <c r="X395" i="5" s="1"/>
  <c r="W415" i="5"/>
  <c r="W220" i="5"/>
  <c r="X220" i="5" s="1"/>
  <c r="W399" i="5"/>
  <c r="X399" i="5" s="1"/>
  <c r="W125" i="5"/>
  <c r="Y125" i="5" s="1"/>
  <c r="W140" i="5"/>
  <c r="Y140" i="5" s="1"/>
  <c r="W357" i="5"/>
  <c r="Y357" i="5" s="1"/>
  <c r="W217" i="5"/>
  <c r="W148" i="5"/>
  <c r="X148" i="5" s="1"/>
  <c r="W305" i="5"/>
  <c r="X305" i="5" s="1"/>
  <c r="W534" i="5"/>
  <c r="Y534" i="5" s="1"/>
  <c r="W434" i="5"/>
  <c r="Y434" i="5" s="1"/>
  <c r="W242" i="5"/>
  <c r="X242" i="5" s="1"/>
  <c r="W334" i="5"/>
  <c r="Y334" i="5" s="1"/>
  <c r="W37" i="5"/>
  <c r="X37" i="5" s="1"/>
  <c r="W518" i="5"/>
  <c r="W557" i="5"/>
  <c r="W277" i="5"/>
  <c r="X277" i="5" s="1"/>
  <c r="W335" i="5"/>
  <c r="Y335" i="5" s="1"/>
  <c r="W554" i="5"/>
  <c r="X554" i="5" s="1"/>
  <c r="W187" i="5"/>
  <c r="Y187" i="5" s="1"/>
  <c r="W282" i="5"/>
  <c r="W51" i="5"/>
  <c r="X51" i="5" s="1"/>
  <c r="W449" i="5"/>
  <c r="Y449" i="5" s="1"/>
  <c r="W456" i="5"/>
  <c r="Y456" i="5" s="1"/>
  <c r="W260" i="5"/>
  <c r="Y260" i="5" s="1"/>
  <c r="W475" i="5"/>
  <c r="X475" i="5" s="1"/>
  <c r="W427" i="5"/>
  <c r="W353" i="5"/>
  <c r="X353" i="5" s="1"/>
  <c r="W233" i="5"/>
  <c r="Y233" i="5" s="1"/>
  <c r="W55" i="5"/>
  <c r="Y55" i="5" s="1"/>
  <c r="W48" i="5"/>
  <c r="W386" i="5"/>
  <c r="Y386" i="5" s="1"/>
  <c r="W393" i="5"/>
  <c r="W457" i="5"/>
  <c r="X457" i="5" s="1"/>
  <c r="W103" i="5"/>
  <c r="Y103" i="5" s="1"/>
  <c r="W419" i="5"/>
  <c r="X419" i="5" s="1"/>
  <c r="W230" i="5"/>
  <c r="X230" i="5" s="1"/>
  <c r="W389" i="5"/>
  <c r="X389" i="5" s="1"/>
  <c r="W511" i="5"/>
  <c r="Y511" i="5" s="1"/>
  <c r="W203" i="5"/>
  <c r="W320" i="5"/>
  <c r="Y320" i="5" s="1"/>
  <c r="W544" i="5"/>
  <c r="Y544" i="5" s="1"/>
  <c r="W247" i="5"/>
  <c r="Y247" i="5" s="1"/>
  <c r="W539" i="5"/>
  <c r="X539" i="5" s="1"/>
  <c r="W137" i="5"/>
  <c r="Y137" i="5" s="1"/>
  <c r="W91" i="5"/>
  <c r="W258" i="5"/>
  <c r="X258" i="5" s="1"/>
  <c r="W398" i="5"/>
  <c r="Y398" i="5" s="1"/>
  <c r="W351" i="5"/>
  <c r="Y351" i="5" s="1"/>
  <c r="W512" i="5"/>
  <c r="Y512" i="5" s="1"/>
  <c r="W459" i="5"/>
  <c r="X459" i="5" s="1"/>
  <c r="W252" i="5"/>
  <c r="Y252" i="5" s="1"/>
  <c r="W192" i="5"/>
  <c r="W25" i="5"/>
  <c r="Y25" i="5" s="1"/>
  <c r="W237" i="5"/>
  <c r="X237" i="5" s="1"/>
  <c r="W118" i="5"/>
  <c r="Y118" i="5" s="1"/>
  <c r="W397" i="5"/>
  <c r="X397" i="5" s="1"/>
  <c r="W383" i="5"/>
  <c r="X383" i="5" s="1"/>
  <c r="W315" i="5"/>
  <c r="Y315" i="5" s="1"/>
  <c r="W466" i="5"/>
  <c r="Y466" i="5" s="1"/>
  <c r="W301" i="5"/>
  <c r="Y301" i="5" s="1"/>
  <c r="W469" i="5"/>
  <c r="W342" i="5"/>
  <c r="Y342" i="5" s="1"/>
  <c r="W42" i="5"/>
  <c r="Y42" i="5" s="1"/>
  <c r="W71" i="5"/>
  <c r="Y71" i="5" s="1"/>
  <c r="W418" i="5"/>
  <c r="X418" i="5" s="1"/>
  <c r="W550" i="5"/>
  <c r="Y550" i="5" s="1"/>
  <c r="W549" i="5"/>
  <c r="Y549" i="5" s="1"/>
  <c r="W273" i="5"/>
  <c r="W376" i="5"/>
  <c r="X376" i="5" s="1"/>
  <c r="W204" i="5"/>
  <c r="Y204" i="5" s="1"/>
  <c r="W311" i="5"/>
  <c r="W121" i="5"/>
  <c r="X121" i="5" s="1"/>
  <c r="W197" i="5"/>
  <c r="X197" i="5" s="1"/>
  <c r="W266" i="5"/>
  <c r="X266" i="5" s="1"/>
  <c r="W281" i="5"/>
  <c r="X281" i="5" s="1"/>
  <c r="W29" i="5"/>
  <c r="Y29" i="5" s="1"/>
  <c r="W414" i="5"/>
  <c r="Y414" i="5" s="1"/>
  <c r="W560" i="5"/>
  <c r="Y560" i="5" s="1"/>
  <c r="W308" i="5"/>
  <c r="X308" i="5" s="1"/>
  <c r="W208" i="5"/>
  <c r="Y208" i="5" s="1"/>
  <c r="W271" i="5"/>
  <c r="Y271" i="5" s="1"/>
  <c r="W39" i="5"/>
  <c r="Y39" i="5" s="1"/>
  <c r="W396" i="5"/>
  <c r="X396" i="5" s="1"/>
  <c r="W527" i="5"/>
  <c r="Y527" i="5" s="1"/>
  <c r="W492" i="5"/>
  <c r="X492" i="5" s="1"/>
  <c r="W329" i="5"/>
  <c r="W525" i="5"/>
  <c r="Y525" i="5" s="1"/>
  <c r="W173" i="5"/>
  <c r="Y173" i="5" s="1"/>
  <c r="W221" i="5"/>
  <c r="Y221" i="5" s="1"/>
  <c r="W20" i="5"/>
  <c r="X20" i="5" s="1"/>
  <c r="W300" i="5"/>
  <c r="Y300" i="5" s="1"/>
  <c r="W508" i="5"/>
  <c r="W225" i="5"/>
  <c r="Y225" i="5" s="1"/>
  <c r="W385" i="5"/>
  <c r="X385" i="5" s="1"/>
  <c r="W467" i="5"/>
  <c r="X467" i="5" s="1"/>
  <c r="W444" i="5"/>
  <c r="Y444" i="5" s="1"/>
  <c r="W344" i="5"/>
  <c r="Y344" i="5" s="1"/>
  <c r="W264" i="5"/>
  <c r="X264" i="5" s="1"/>
  <c r="W60" i="5"/>
  <c r="W421" i="5"/>
  <c r="X421" i="5" s="1"/>
  <c r="W256" i="5"/>
  <c r="Y256" i="5" s="1"/>
  <c r="W496" i="5"/>
  <c r="Y496" i="5" s="1"/>
  <c r="W94" i="5"/>
  <c r="W249" i="5"/>
  <c r="X249" i="5" s="1"/>
  <c r="W122" i="5"/>
  <c r="Y122" i="5" s="1"/>
  <c r="W488" i="5"/>
  <c r="Y488" i="5" s="1"/>
  <c r="W435" i="5"/>
  <c r="X435" i="5" s="1"/>
  <c r="W19" i="5"/>
  <c r="W332" i="5"/>
  <c r="X332" i="5" s="1"/>
  <c r="W515" i="5"/>
  <c r="X515" i="5" s="1"/>
  <c r="W182" i="5"/>
  <c r="X182" i="5" s="1"/>
  <c r="W184" i="5"/>
  <c r="Y184" i="5" s="1"/>
  <c r="W343" i="5"/>
  <c r="W481" i="5"/>
  <c r="X481" i="5" s="1"/>
  <c r="W149" i="5"/>
  <c r="Y149" i="5" s="1"/>
  <c r="W526" i="5"/>
  <c r="W520" i="5"/>
  <c r="X520" i="5" s="1"/>
  <c r="W400" i="5"/>
  <c r="X400" i="5" s="1"/>
  <c r="W355" i="5"/>
  <c r="W431" i="5"/>
  <c r="Y431" i="5" s="1"/>
  <c r="W262" i="5"/>
  <c r="Y262" i="5" s="1"/>
  <c r="W413" i="5"/>
  <c r="X413" i="5" s="1"/>
  <c r="W170" i="5"/>
  <c r="Y170" i="5" s="1"/>
  <c r="W191" i="5"/>
  <c r="W384" i="5"/>
  <c r="X384" i="5" s="1"/>
  <c r="W478" i="5"/>
  <c r="W239" i="5"/>
  <c r="W388" i="5"/>
  <c r="X388" i="5" s="1"/>
  <c r="W354" i="5"/>
  <c r="X354" i="5" s="1"/>
  <c r="W495" i="5"/>
  <c r="X495" i="5" s="1"/>
  <c r="W408" i="5"/>
  <c r="X408" i="5" s="1"/>
  <c r="W338" i="5"/>
  <c r="W30" i="5"/>
  <c r="X30" i="5" s="1"/>
  <c r="W349" i="5"/>
  <c r="Y349" i="5" s="1"/>
  <c r="W487" i="5"/>
  <c r="X487" i="5" s="1"/>
  <c r="W500" i="5"/>
  <c r="X500" i="5" s="1"/>
  <c r="W200" i="5"/>
  <c r="X200" i="5" s="1"/>
  <c r="W392" i="5"/>
  <c r="Y392" i="5" s="1"/>
  <c r="W142" i="5"/>
  <c r="X142" i="5" s="1"/>
  <c r="W254" i="5"/>
  <c r="X254" i="5" s="1"/>
  <c r="W88" i="5"/>
  <c r="Y88" i="5" s="1"/>
  <c r="W493" i="5"/>
  <c r="X493" i="5" s="1"/>
  <c r="W319" i="5"/>
  <c r="Y319" i="5" s="1"/>
  <c r="W394" i="5"/>
  <c r="Y394" i="5" s="1"/>
  <c r="W246" i="5"/>
  <c r="X246" i="5" s="1"/>
  <c r="W310" i="5"/>
  <c r="X310" i="5" s="1"/>
  <c r="W552" i="5"/>
  <c r="X552" i="5" s="1"/>
  <c r="W227" i="5"/>
  <c r="W183" i="5"/>
  <c r="Y183" i="5" s="1"/>
  <c r="W306" i="5"/>
  <c r="X306" i="5" s="1"/>
  <c r="W112" i="5"/>
  <c r="Y112" i="5" s="1"/>
  <c r="W261" i="5"/>
  <c r="X261" i="5" s="1"/>
  <c r="W473" i="5"/>
  <c r="X473" i="5" s="1"/>
  <c r="W546" i="5"/>
  <c r="X546" i="5" s="1"/>
  <c r="W194" i="5"/>
  <c r="Y194" i="5" s="1"/>
  <c r="W374" i="5"/>
  <c r="W113" i="5"/>
  <c r="X113" i="5" s="1"/>
  <c r="W212" i="5"/>
  <c r="X212" i="5" s="1"/>
  <c r="W81" i="5"/>
  <c r="X81" i="5" s="1"/>
  <c r="W298" i="5"/>
  <c r="Y298" i="5" s="1"/>
  <c r="W441" i="5"/>
  <c r="Y441" i="5" s="1"/>
  <c r="W172" i="5"/>
  <c r="Y172" i="5" s="1"/>
  <c r="W97" i="5"/>
  <c r="X97" i="5" s="1"/>
  <c r="W438" i="5"/>
  <c r="X438" i="5" s="1"/>
  <c r="W253" i="5"/>
  <c r="X253" i="5" s="1"/>
  <c r="W257" i="5"/>
  <c r="Y257" i="5" s="1"/>
  <c r="W347" i="5"/>
  <c r="W179" i="5"/>
  <c r="W177" i="5"/>
  <c r="X177" i="5" s="1"/>
  <c r="W119" i="5"/>
  <c r="Y119" i="5" s="1"/>
  <c r="W489" i="5"/>
  <c r="W337" i="5"/>
  <c r="Y337" i="5" s="1"/>
  <c r="W280" i="5"/>
  <c r="Y280" i="5" s="1"/>
  <c r="W104" i="5"/>
  <c r="Y104" i="5" s="1"/>
  <c r="W293" i="5"/>
  <c r="X293" i="5" s="1"/>
  <c r="W497" i="5"/>
  <c r="Y497" i="5" s="1"/>
  <c r="W553" i="5"/>
  <c r="X553" i="5" s="1"/>
  <c r="W211" i="5"/>
  <c r="X211" i="5" s="1"/>
  <c r="B46" i="5"/>
  <c r="W504" i="5"/>
  <c r="X504" i="5" s="1"/>
  <c r="W358" i="5"/>
  <c r="X358" i="5" s="1"/>
  <c r="W99" i="5"/>
  <c r="W289" i="5"/>
  <c r="W141" i="5"/>
  <c r="X141" i="5" s="1"/>
  <c r="W98" i="5"/>
  <c r="X98" i="5" s="1"/>
  <c r="W269" i="5"/>
  <c r="Y269" i="5" s="1"/>
  <c r="W193" i="5"/>
  <c r="Y193" i="5" s="1"/>
  <c r="W161" i="5"/>
  <c r="W482" i="5"/>
  <c r="X482" i="5" s="1"/>
  <c r="W234" i="5"/>
  <c r="Y234" i="5" s="1"/>
  <c r="W352" i="5"/>
  <c r="X352" i="5" s="1"/>
  <c r="W180" i="5"/>
  <c r="X180" i="5" s="1"/>
  <c r="W548" i="5"/>
  <c r="X548" i="5" s="1"/>
  <c r="W313" i="5"/>
  <c r="X313" i="5" s="1"/>
  <c r="W363" i="5"/>
  <c r="Y363" i="5" s="1"/>
  <c r="W202" i="5"/>
  <c r="W34" i="5"/>
  <c r="Y34" i="5" s="1"/>
  <c r="W429" i="5"/>
  <c r="X429" i="5" s="1"/>
  <c r="W391" i="5"/>
  <c r="X391" i="5" s="1"/>
  <c r="W228" i="5"/>
  <c r="X228" i="5" s="1"/>
  <c r="W322" i="5"/>
  <c r="Y322" i="5" s="1"/>
  <c r="W50" i="5"/>
  <c r="X50" i="5" s="1"/>
  <c r="W240" i="5"/>
  <c r="Y240" i="5" s="1"/>
  <c r="W371" i="5"/>
  <c r="Y371" i="5" s="1"/>
  <c r="W558" i="5"/>
  <c r="X558" i="5" s="1"/>
  <c r="W132" i="5"/>
  <c r="Y132" i="5" s="1"/>
  <c r="W321" i="5"/>
  <c r="W153" i="5"/>
  <c r="Y153" i="5" s="1"/>
  <c r="W304" i="5"/>
  <c r="Y304" i="5" s="1"/>
  <c r="W75" i="5"/>
  <c r="Y75" i="5" s="1"/>
  <c r="W472" i="5"/>
  <c r="X472" i="5" s="1"/>
  <c r="W189" i="5"/>
  <c r="Y189" i="5" s="1"/>
  <c r="W412" i="5"/>
  <c r="Y412" i="5" s="1"/>
  <c r="W360" i="5"/>
  <c r="Y360" i="5" s="1"/>
  <c r="W556" i="5"/>
  <c r="Y556" i="5" s="1"/>
  <c r="W462" i="5"/>
  <c r="Y462" i="5" s="1"/>
  <c r="W128" i="5"/>
  <c r="Y128" i="5" s="1"/>
  <c r="W144" i="5"/>
  <c r="Y144" i="5" s="1"/>
  <c r="W286" i="5"/>
  <c r="X286" i="5" s="1"/>
  <c r="W241" i="5"/>
  <c r="W356" i="5"/>
  <c r="X356" i="5" s="1"/>
  <c r="W409" i="5"/>
  <c r="Y409" i="5" s="1"/>
  <c r="W523" i="5"/>
  <c r="Y523" i="5" s="1"/>
  <c r="W102" i="5"/>
  <c r="Y102" i="5" s="1"/>
  <c r="W359" i="5"/>
  <c r="X359" i="5" s="1"/>
  <c r="W109" i="5"/>
  <c r="X109" i="5" s="1"/>
  <c r="W175" i="5"/>
  <c r="Y175" i="5" s="1"/>
  <c r="W108" i="5"/>
  <c r="W324" i="5"/>
  <c r="Y324" i="5" s="1"/>
  <c r="W528" i="5"/>
  <c r="W171" i="5"/>
  <c r="Y171" i="5" s="1"/>
  <c r="W407" i="5"/>
  <c r="X407" i="5" s="1"/>
  <c r="W551" i="5"/>
  <c r="Y551" i="5" s="1"/>
  <c r="W370" i="5"/>
  <c r="X370" i="5" s="1"/>
  <c r="W294" i="5"/>
  <c r="X294" i="5" s="1"/>
  <c r="W272" i="5"/>
  <c r="X272" i="5" s="1"/>
  <c r="W542" i="5"/>
  <c r="Y542" i="5" s="1"/>
  <c r="W126" i="5"/>
  <c r="X126" i="5" s="1"/>
  <c r="W65" i="5"/>
  <c r="X65" i="5" s="1"/>
  <c r="W506" i="5"/>
  <c r="X506" i="5" s="1"/>
  <c r="W107" i="5"/>
  <c r="X107" i="5" s="1"/>
  <c r="W162" i="5"/>
  <c r="Y162" i="5" s="1"/>
  <c r="W68" i="5"/>
  <c r="Y68" i="5" s="1"/>
  <c r="W372" i="5"/>
  <c r="X372" i="5" s="1"/>
  <c r="W380" i="5"/>
  <c r="Y380" i="5" s="1"/>
  <c r="W531" i="5"/>
  <c r="X531" i="5" s="1"/>
  <c r="W150" i="5"/>
  <c r="X150" i="5" s="1"/>
  <c r="W416" i="5"/>
  <c r="Y416" i="5" s="1"/>
  <c r="W368" i="5"/>
  <c r="X368" i="5" s="1"/>
  <c r="W516" i="5"/>
  <c r="X516" i="5" s="1"/>
  <c r="W540" i="5"/>
  <c r="X540" i="5" s="1"/>
  <c r="W402" i="5"/>
  <c r="W274" i="5"/>
  <c r="X274" i="5" s="1"/>
  <c r="W67" i="5"/>
  <c r="Y67" i="5" s="1"/>
  <c r="W61" i="5"/>
  <c r="X61" i="5" s="1"/>
  <c r="W28" i="5"/>
  <c r="X28" i="5" s="1"/>
  <c r="W309" i="5"/>
  <c r="X309" i="5" s="1"/>
  <c r="W244" i="5"/>
  <c r="X244" i="5" s="1"/>
  <c r="W325" i="5"/>
  <c r="Y325" i="5" s="1"/>
  <c r="W135" i="5"/>
  <c r="W485" i="5"/>
  <c r="X485" i="5" s="1"/>
  <c r="W265" i="5"/>
  <c r="X265" i="5" s="1"/>
  <c r="W423" i="5"/>
  <c r="X423" i="5" s="1"/>
  <c r="W134" i="5"/>
  <c r="X134" i="5" s="1"/>
  <c r="W387" i="5"/>
  <c r="Y387" i="5" s="1"/>
  <c r="W439" i="5"/>
  <c r="X439" i="5" s="1"/>
  <c r="W366" i="5"/>
  <c r="X366" i="5" s="1"/>
  <c r="W131" i="5"/>
  <c r="W129" i="5"/>
  <c r="W95" i="5"/>
  <c r="X95" i="5" s="1"/>
  <c r="W167" i="5"/>
  <c r="Y167" i="5" s="1"/>
  <c r="W110" i="5"/>
  <c r="W404" i="5"/>
  <c r="Y404" i="5" s="1"/>
  <c r="W45" i="5"/>
  <c r="X45" i="5" s="1"/>
  <c r="W299" i="5"/>
  <c r="X299" i="5" s="1"/>
  <c r="W100" i="5"/>
  <c r="W232" i="5"/>
  <c r="X232" i="5" s="1"/>
  <c r="W57" i="5"/>
  <c r="Y57" i="5" s="1"/>
  <c r="W513" i="5"/>
  <c r="Y513" i="5" s="1"/>
  <c r="W477" i="5"/>
  <c r="W333" i="5"/>
  <c r="Y333" i="5" s="1"/>
  <c r="W440" i="5"/>
  <c r="Y440" i="5" s="1"/>
  <c r="W181" i="5"/>
  <c r="X181" i="5" s="1"/>
  <c r="W453" i="5"/>
  <c r="X453" i="5" s="1"/>
  <c r="W43" i="5"/>
  <c r="X43" i="5" s="1"/>
  <c r="W127" i="5"/>
  <c r="W195" i="5"/>
  <c r="Y195" i="5" s="1"/>
  <c r="W543" i="5"/>
  <c r="X543" i="5" s="1"/>
  <c r="W169" i="5"/>
  <c r="X169" i="5" s="1"/>
  <c r="W341" i="5"/>
  <c r="Y341" i="5" s="1"/>
  <c r="W514" i="5"/>
  <c r="Y514" i="5" s="1"/>
  <c r="W216" i="5"/>
  <c r="X216" i="5" s="1"/>
  <c r="W250" i="5"/>
  <c r="X250" i="5" s="1"/>
  <c r="W36" i="5"/>
  <c r="Y36" i="5" s="1"/>
  <c r="W124" i="5"/>
  <c r="Y124" i="5" s="1"/>
  <c r="W168" i="5"/>
  <c r="Y168" i="5" s="1"/>
  <c r="W287" i="5"/>
  <c r="X287" i="5" s="1"/>
  <c r="W463" i="5"/>
  <c r="Y463" i="5" s="1"/>
  <c r="W58" i="5"/>
  <c r="Y58" i="5" s="1"/>
  <c r="W491" i="5"/>
  <c r="Y491" i="5" s="1"/>
  <c r="W533" i="5"/>
  <c r="X533" i="5" s="1"/>
  <c r="W255" i="5"/>
  <c r="X255" i="5" s="1"/>
  <c r="W222" i="5"/>
  <c r="Y222" i="5" s="1"/>
  <c r="W205" i="5"/>
  <c r="X205" i="5" s="1"/>
  <c r="W505" i="5"/>
  <c r="Y505" i="5" s="1"/>
  <c r="W86" i="5"/>
  <c r="Y86" i="5" s="1"/>
  <c r="W35" i="5"/>
  <c r="Y35" i="5" s="1"/>
  <c r="W405" i="5"/>
  <c r="X405" i="5" s="1"/>
  <c r="W214" i="5"/>
  <c r="W120" i="5"/>
  <c r="W46" i="5"/>
  <c r="W160" i="5"/>
  <c r="W420" i="5"/>
  <c r="X420" i="5" s="1"/>
  <c r="W460" i="5"/>
  <c r="X460" i="5" s="1"/>
  <c r="W40" i="5"/>
  <c r="Y40" i="5" s="1"/>
  <c r="W445" i="5"/>
  <c r="W188" i="5"/>
  <c r="W66" i="5"/>
  <c r="W297" i="5"/>
  <c r="X297" i="5" s="1"/>
  <c r="W235" i="5"/>
  <c r="X235" i="5" s="1"/>
  <c r="W101" i="5"/>
  <c r="X101" i="5" s="1"/>
  <c r="W330" i="5"/>
  <c r="Y330" i="5" s="1"/>
  <c r="W417" i="5"/>
  <c r="X417" i="5" s="1"/>
  <c r="W245" i="5"/>
  <c r="W362" i="5"/>
  <c r="Y362" i="5" s="1"/>
  <c r="W165" i="5"/>
  <c r="X165" i="5" s="1"/>
  <c r="W185" i="5"/>
  <c r="X185" i="5" s="1"/>
  <c r="W136" i="5"/>
  <c r="X136" i="5" s="1"/>
  <c r="W290" i="5"/>
  <c r="X290" i="5" s="1"/>
  <c r="W238" i="5"/>
  <c r="W403" i="5"/>
  <c r="Y403" i="5" s="1"/>
  <c r="W8" i="5"/>
  <c r="W509" i="5"/>
  <c r="Y509" i="5" s="1"/>
  <c r="W559" i="5"/>
  <c r="W292" i="5"/>
  <c r="Y292" i="5" s="1"/>
  <c r="W145" i="5"/>
  <c r="X145" i="5" s="1"/>
  <c r="W215" i="5"/>
  <c r="W23" i="5"/>
  <c r="Y23" i="5" s="1"/>
  <c r="W147" i="5"/>
  <c r="Y147" i="5" s="1"/>
  <c r="W73" i="5"/>
  <c r="Y73" i="5" s="1"/>
  <c r="W411" i="5"/>
  <c r="X411" i="5" s="1"/>
  <c r="W464" i="5"/>
  <c r="X464" i="5" s="1"/>
  <c r="W295" i="5"/>
  <c r="Y295" i="5" s="1"/>
  <c r="W83" i="5"/>
  <c r="Y83" i="5" s="1"/>
  <c r="W201" i="5"/>
  <c r="Y201" i="5" s="1"/>
  <c r="W33" i="5"/>
  <c r="Y33" i="5" s="1"/>
  <c r="W443" i="5"/>
  <c r="X443" i="5" s="1"/>
  <c r="W471" i="5"/>
  <c r="X471" i="5" s="1"/>
  <c r="W279" i="5"/>
  <c r="W296" i="5"/>
  <c r="Y296" i="5" s="1"/>
  <c r="W345" i="5"/>
  <c r="W430" i="5"/>
  <c r="Y430" i="5" s="1"/>
  <c r="W303" i="5"/>
  <c r="Y303" i="5" s="1"/>
  <c r="W89" i="5"/>
  <c r="Y89" i="5" s="1"/>
  <c r="W159" i="5"/>
  <c r="W547" i="5"/>
  <c r="Y547" i="5" s="1"/>
  <c r="W116" i="5"/>
  <c r="X116" i="5" s="1"/>
  <c r="W115" i="5"/>
  <c r="Y115" i="5" s="1"/>
  <c r="W535" i="5"/>
  <c r="X535" i="5" s="1"/>
  <c r="W379" i="5"/>
  <c r="X379" i="5" s="1"/>
  <c r="W270" i="5"/>
  <c r="W38" i="5"/>
  <c r="Y38" i="5" s="1"/>
  <c r="W156" i="5"/>
  <c r="Y156" i="5" s="1"/>
  <c r="W519" i="5"/>
  <c r="X519" i="5" s="1"/>
  <c r="W218" i="5"/>
  <c r="X218" i="5" s="1"/>
  <c r="W367" i="5"/>
  <c r="X367" i="5" s="1"/>
  <c r="W243" i="5"/>
  <c r="Y243" i="5" s="1"/>
  <c r="W486" i="5"/>
  <c r="X486" i="5" s="1"/>
  <c r="W474" i="5"/>
  <c r="Y474" i="5" s="1"/>
  <c r="W248" i="5"/>
  <c r="Y248" i="5" s="1"/>
  <c r="W199" i="5"/>
  <c r="X199" i="5" s="1"/>
  <c r="W155" i="5"/>
  <c r="W436" i="5"/>
  <c r="X436" i="5" s="1"/>
  <c r="W31" i="5"/>
  <c r="W139" i="5"/>
  <c r="Y139" i="5" s="1"/>
  <c r="W381" i="5"/>
  <c r="Y381" i="5" s="1"/>
  <c r="W536" i="5"/>
  <c r="W138" i="5"/>
  <c r="X138" i="5" s="1"/>
  <c r="W53" i="5"/>
  <c r="X53" i="5" s="1"/>
  <c r="W143" i="5"/>
  <c r="W87" i="5"/>
  <c r="Y87" i="5" s="1"/>
  <c r="W447" i="5"/>
  <c r="Y447" i="5" s="1"/>
  <c r="W484" i="5"/>
  <c r="Y484" i="5" s="1"/>
  <c r="W226" i="5"/>
  <c r="X226" i="5" s="1"/>
  <c r="W32" i="5"/>
  <c r="Y32" i="5" s="1"/>
  <c r="W331" i="5"/>
  <c r="X331" i="5" s="1"/>
  <c r="W507" i="5"/>
  <c r="Y507" i="5" s="1"/>
  <c r="W501" i="5"/>
  <c r="Y501" i="5" s="1"/>
  <c r="W163" i="5"/>
  <c r="X163" i="5" s="1"/>
  <c r="W494" i="5"/>
  <c r="Y494" i="5" s="1"/>
  <c r="W213" i="5"/>
  <c r="X213" i="5" s="1"/>
  <c r="W77" i="5"/>
  <c r="X77" i="5" s="1"/>
  <c r="W348" i="5"/>
  <c r="X348" i="5" s="1"/>
  <c r="W111" i="5"/>
  <c r="W263" i="5"/>
  <c r="Y263" i="5" s="1"/>
  <c r="W70" i="5"/>
  <c r="W451" i="5"/>
  <c r="W231" i="5"/>
  <c r="Y231" i="5" s="1"/>
  <c r="W259" i="5"/>
  <c r="W164" i="5"/>
  <c r="W498" i="5"/>
  <c r="Y498" i="5" s="1"/>
  <c r="W425" i="5"/>
  <c r="W207" i="5"/>
  <c r="X207" i="5" s="1"/>
  <c r="W114" i="5"/>
  <c r="W219" i="5"/>
  <c r="Y219" i="5" s="1"/>
  <c r="W454" i="5"/>
  <c r="Y454" i="5" s="1"/>
  <c r="W92" i="5"/>
  <c r="W49" i="5"/>
  <c r="X49" i="5" s="1"/>
  <c r="W455" i="5"/>
  <c r="X455" i="5" s="1"/>
  <c r="W373" i="5"/>
  <c r="Y373" i="5" s="1"/>
  <c r="W326" i="5"/>
  <c r="X326" i="5" s="1"/>
  <c r="W54" i="5"/>
  <c r="X54" i="5" s="1"/>
  <c r="W151" i="5"/>
  <c r="X151" i="5" s="1"/>
  <c r="W79" i="5"/>
  <c r="W465" i="5"/>
  <c r="Y465" i="5" s="1"/>
  <c r="W284" i="5"/>
  <c r="Y284" i="5" s="1"/>
  <c r="W283" i="5"/>
  <c r="Y283" i="5" s="1"/>
  <c r="W446" i="5"/>
  <c r="Y446" i="5" s="1"/>
  <c r="W236" i="5"/>
  <c r="X236" i="5" s="1"/>
  <c r="W470" i="5"/>
  <c r="X470" i="5" s="1"/>
  <c r="W276" i="5"/>
  <c r="Y276" i="5" s="1"/>
  <c r="W80" i="5"/>
  <c r="Y80" i="5" s="1"/>
  <c r="W93" i="5"/>
  <c r="Y93" i="5" s="1"/>
  <c r="W537" i="5"/>
  <c r="Y537" i="5" s="1"/>
  <c r="W96" i="5"/>
  <c r="Y96" i="5" s="1"/>
  <c r="W74" i="5"/>
  <c r="W361" i="5"/>
  <c r="W524" i="5"/>
  <c r="W312" i="5"/>
  <c r="Y312" i="5" s="1"/>
  <c r="W382" i="5"/>
  <c r="X382" i="5" s="1"/>
  <c r="W117" i="5"/>
  <c r="X117" i="5" s="1"/>
  <c r="W499" i="5"/>
  <c r="X499" i="5" s="1"/>
  <c r="W538" i="5"/>
  <c r="Y538" i="5" s="1"/>
  <c r="W377" i="5"/>
  <c r="X377" i="5" s="1"/>
  <c r="W364" i="5"/>
  <c r="Y364" i="5" s="1"/>
  <c r="W27" i="5"/>
  <c r="W545" i="5"/>
  <c r="X545" i="5" s="1"/>
  <c r="W158" i="5"/>
  <c r="Y158" i="5" s="1"/>
  <c r="W174" i="5"/>
  <c r="X174" i="5" s="1"/>
  <c r="W146" i="5"/>
  <c r="Y146" i="5" s="1"/>
  <c r="W503" i="5"/>
  <c r="X503" i="5" s="1"/>
  <c r="W468" i="5"/>
  <c r="X468" i="5" s="1"/>
  <c r="W328" i="5"/>
  <c r="X328" i="5" s="1"/>
  <c r="W323" i="5"/>
  <c r="X323" i="5" s="1"/>
  <c r="W190" i="5"/>
  <c r="Y190" i="5" s="1"/>
  <c r="W56" i="5"/>
  <c r="X56" i="5" s="1"/>
  <c r="W532" i="5"/>
  <c r="X532" i="5" s="1"/>
  <c r="W72" i="5"/>
  <c r="Y72" i="5" s="1"/>
  <c r="W64" i="5"/>
  <c r="X64" i="5" s="1"/>
  <c r="W479" i="5"/>
  <c r="Q428" i="5"/>
  <c r="S428" i="5" s="1"/>
  <c r="Q126" i="5"/>
  <c r="Q542" i="5"/>
  <c r="R542" i="5" s="1"/>
  <c r="Q40" i="5"/>
  <c r="R40" i="5" s="1"/>
  <c r="Q284" i="5"/>
  <c r="R284" i="5" s="1"/>
  <c r="Q182" i="5"/>
  <c r="R182" i="5" s="1"/>
  <c r="Q55" i="5"/>
  <c r="S55" i="5" s="1"/>
  <c r="Q236" i="5"/>
  <c r="S236" i="5" s="1"/>
  <c r="Q289" i="5"/>
  <c r="S289" i="5" s="1"/>
  <c r="Q282" i="5"/>
  <c r="Q323" i="5"/>
  <c r="S323" i="5" s="1"/>
  <c r="Q357" i="5"/>
  <c r="R357" i="5" s="1"/>
  <c r="Q404" i="5"/>
  <c r="Q80" i="5"/>
  <c r="R80" i="5" s="1"/>
  <c r="Q129" i="5"/>
  <c r="R129" i="5" s="1"/>
  <c r="Q423" i="5"/>
  <c r="Q160" i="5"/>
  <c r="S160" i="5" s="1"/>
  <c r="Q299" i="5"/>
  <c r="R299" i="5" s="1"/>
  <c r="Q214" i="5"/>
  <c r="S214" i="5" s="1"/>
  <c r="Q149" i="5"/>
  <c r="S149" i="5" s="1"/>
  <c r="Q75" i="5"/>
  <c r="Q541" i="5"/>
  <c r="S541" i="5" s="1"/>
  <c r="Q403" i="5"/>
  <c r="R403" i="5" s="1"/>
  <c r="Q134" i="5"/>
  <c r="Q485" i="5"/>
  <c r="S485" i="5" s="1"/>
  <c r="Q25" i="5"/>
  <c r="Q151" i="5"/>
  <c r="R151" i="5" s="1"/>
  <c r="Q459" i="5"/>
  <c r="S459" i="5" s="1"/>
  <c r="Q174" i="5"/>
  <c r="S174" i="5" s="1"/>
  <c r="Q211" i="5"/>
  <c r="R211" i="5" s="1"/>
  <c r="Q270" i="5"/>
  <c r="S270" i="5" s="1"/>
  <c r="Q262" i="5"/>
  <c r="Q460" i="5"/>
  <c r="R460" i="5" s="1"/>
  <c r="Q138" i="5"/>
  <c r="Q172" i="5"/>
  <c r="S172" i="5" s="1"/>
  <c r="Q233" i="5"/>
  <c r="S233" i="5" s="1"/>
  <c r="Q26" i="5"/>
  <c r="S26" i="5" s="1"/>
  <c r="Q179" i="5"/>
  <c r="R179" i="5" s="1"/>
  <c r="Q279" i="5"/>
  <c r="S279" i="5" s="1"/>
  <c r="Q530" i="5"/>
  <c r="Q158" i="5"/>
  <c r="R158" i="5" s="1"/>
  <c r="Q495" i="5"/>
  <c r="R495" i="5" s="1"/>
  <c r="Q21" i="5"/>
  <c r="R21" i="5" s="1"/>
  <c r="Q178" i="5"/>
  <c r="Q494" i="5"/>
  <c r="R494" i="5" s="1"/>
  <c r="Q127" i="5"/>
  <c r="S127" i="5" s="1"/>
  <c r="Q475" i="5"/>
  <c r="S475" i="5" s="1"/>
  <c r="Q8" i="5"/>
  <c r="Q136" i="5"/>
  <c r="R136" i="5" s="1"/>
  <c r="Q169" i="5"/>
  <c r="S169" i="5" s="1"/>
  <c r="Q216" i="5"/>
  <c r="R216" i="5" s="1"/>
  <c r="Q171" i="5"/>
  <c r="Q157" i="5"/>
  <c r="R157" i="5" s="1"/>
  <c r="Q293" i="5"/>
  <c r="R293" i="5" s="1"/>
  <c r="Q328" i="5"/>
  <c r="Q410" i="5"/>
  <c r="Q252" i="5"/>
  <c r="R252" i="5" s="1"/>
  <c r="Q480" i="5"/>
  <c r="Q112" i="5"/>
  <c r="R112" i="5" s="1"/>
  <c r="Q396" i="5"/>
  <c r="Q462" i="5"/>
  <c r="S462" i="5" s="1"/>
  <c r="Q258" i="5"/>
  <c r="S258" i="5" s="1"/>
  <c r="Q407" i="5"/>
  <c r="R407" i="5" s="1"/>
  <c r="Q184" i="5"/>
  <c r="Q113" i="5"/>
  <c r="R113" i="5" s="1"/>
  <c r="Q118" i="5"/>
  <c r="Q144" i="5"/>
  <c r="R144" i="5" s="1"/>
  <c r="Q525" i="5"/>
  <c r="Q10" i="5"/>
  <c r="R10" i="5" s="1"/>
  <c r="Q131" i="5"/>
  <c r="S131" i="5" s="1"/>
  <c r="Q400" i="5"/>
  <c r="S400" i="5" s="1"/>
  <c r="Q490" i="5"/>
  <c r="S490" i="5" s="1"/>
  <c r="Q333" i="5"/>
  <c r="R333" i="5" s="1"/>
  <c r="Q256" i="5"/>
  <c r="Q156" i="5"/>
  <c r="Q419" i="5"/>
  <c r="R419" i="5" s="1"/>
  <c r="Q405" i="5"/>
  <c r="S405" i="5" s="1"/>
  <c r="Q253" i="5"/>
  <c r="R253" i="5" s="1"/>
  <c r="Q424" i="5"/>
  <c r="R424" i="5" s="1"/>
  <c r="Q167" i="5"/>
  <c r="R167" i="5" s="1"/>
  <c r="Q348" i="5"/>
  <c r="R348" i="5" s="1"/>
  <c r="Q340" i="5"/>
  <c r="Q395" i="5"/>
  <c r="S395" i="5" s="1"/>
  <c r="Q316" i="5"/>
  <c r="Q66" i="5"/>
  <c r="S66" i="5" s="1"/>
  <c r="Q504" i="5"/>
  <c r="R504" i="5" s="1"/>
  <c r="Q208" i="5"/>
  <c r="R208" i="5" s="1"/>
  <c r="Q234" i="5"/>
  <c r="S234" i="5" s="1"/>
  <c r="Q41" i="5"/>
  <c r="S41" i="5" s="1"/>
  <c r="Q251" i="5"/>
  <c r="R251" i="5" s="1"/>
  <c r="Q351" i="5"/>
  <c r="S351" i="5" s="1"/>
  <c r="Q411" i="5"/>
  <c r="Q344" i="5"/>
  <c r="S344" i="5" s="1"/>
  <c r="Q365" i="5"/>
  <c r="R365" i="5" s="1"/>
  <c r="Q254" i="5"/>
  <c r="R254" i="5" s="1"/>
  <c r="Q45" i="5"/>
  <c r="S45" i="5" s="1"/>
  <c r="Q217" i="5"/>
  <c r="S217" i="5" s="1"/>
  <c r="Q44" i="5"/>
  <c r="R44" i="5" s="1"/>
  <c r="Q516" i="5"/>
  <c r="R516" i="5" s="1"/>
  <c r="Q518" i="5"/>
  <c r="S518" i="5" s="1"/>
  <c r="Q116" i="5"/>
  <c r="S116" i="5" s="1"/>
  <c r="Q335" i="5"/>
  <c r="R335" i="5" s="1"/>
  <c r="Q117" i="5"/>
  <c r="R117" i="5" s="1"/>
  <c r="Q493" i="5"/>
  <c r="S493" i="5" s="1"/>
  <c r="Q139" i="5"/>
  <c r="S139" i="5" s="1"/>
  <c r="Q220" i="5"/>
  <c r="Q19" i="5"/>
  <c r="R19" i="5" s="1"/>
  <c r="Q240" i="5"/>
  <c r="Q281" i="5"/>
  <c r="Q539" i="5"/>
  <c r="Q433" i="5"/>
  <c r="S433" i="5" s="1"/>
  <c r="Q390" i="5"/>
  <c r="S390" i="5" s="1"/>
  <c r="Q110" i="5"/>
  <c r="R110" i="5" s="1"/>
  <c r="Q310" i="5"/>
  <c r="S310" i="5" s="1"/>
  <c r="Q77" i="5"/>
  <c r="S77" i="5" s="1"/>
  <c r="Q242" i="5"/>
  <c r="Q503" i="5"/>
  <c r="R503" i="5" s="1"/>
  <c r="Q533" i="5"/>
  <c r="R533" i="5" s="1"/>
  <c r="Q268" i="5"/>
  <c r="Q437" i="5"/>
  <c r="R437" i="5" s="1"/>
  <c r="Q155" i="5"/>
  <c r="S155" i="5" s="1"/>
  <c r="Q68" i="5"/>
  <c r="R68" i="5" s="1"/>
  <c r="Q418" i="5"/>
  <c r="Q121" i="5"/>
  <c r="Q257" i="5"/>
  <c r="S257" i="5" s="1"/>
  <c r="Q519" i="5"/>
  <c r="R519" i="5" s="1"/>
  <c r="Q191" i="5"/>
  <c r="R191" i="5" s="1"/>
  <c r="Q308" i="5"/>
  <c r="S308" i="5" s="1"/>
  <c r="Q320" i="5"/>
  <c r="Q474" i="5"/>
  <c r="R474" i="5" s="1"/>
  <c r="Q31" i="5"/>
  <c r="R31" i="5" s="1"/>
  <c r="Q372" i="5"/>
  <c r="S372" i="5" s="1"/>
  <c r="Q502" i="5"/>
  <c r="S502" i="5" s="1"/>
  <c r="Q123" i="5"/>
  <c r="R123" i="5" s="1"/>
  <c r="Q202" i="5"/>
  <c r="Q512" i="5"/>
  <c r="Q73" i="5"/>
  <c r="R73" i="5" s="1"/>
  <c r="Q13" i="5"/>
  <c r="Q43" i="5"/>
  <c r="R43" i="5" s="1"/>
  <c r="Q177" i="5"/>
  <c r="R177" i="5" s="1"/>
  <c r="Q412" i="5"/>
  <c r="R412" i="5" s="1"/>
  <c r="Q430" i="5"/>
  <c r="Q209" i="5"/>
  <c r="S209" i="5" s="1"/>
  <c r="Q119" i="5"/>
  <c r="R119" i="5" s="1"/>
  <c r="Q551" i="5"/>
  <c r="R551" i="5" s="1"/>
  <c r="Q560" i="5"/>
  <c r="Q53" i="5"/>
  <c r="Q381" i="5"/>
  <c r="R381" i="5" s="1"/>
  <c r="Q327" i="5"/>
  <c r="R327" i="5" s="1"/>
  <c r="Q264" i="5"/>
  <c r="R264" i="5" s="1"/>
  <c r="Q497" i="5"/>
  <c r="R497" i="5" s="1"/>
  <c r="Q198" i="5"/>
  <c r="S198" i="5" s="1"/>
  <c r="Q192" i="5"/>
  <c r="S192" i="5" s="1"/>
  <c r="Q245" i="5"/>
  <c r="Q204" i="5"/>
  <c r="S204" i="5" s="1"/>
  <c r="Q435" i="5"/>
  <c r="Q145" i="5"/>
  <c r="S145" i="5" s="1"/>
  <c r="Q49" i="5"/>
  <c r="S49" i="5" s="1"/>
  <c r="Q201" i="5"/>
  <c r="R201" i="5" s="1"/>
  <c r="Q292" i="5"/>
  <c r="Q90" i="5"/>
  <c r="S90" i="5" s="1"/>
  <c r="Q376" i="5"/>
  <c r="R376" i="5" s="1"/>
  <c r="Q243" i="5"/>
  <c r="S243" i="5" s="1"/>
  <c r="Q250" i="5"/>
  <c r="S250" i="5" s="1"/>
  <c r="Q248" i="5"/>
  <c r="R248" i="5" s="1"/>
  <c r="Q463" i="5"/>
  <c r="S463" i="5" s="1"/>
  <c r="Q382" i="5"/>
  <c r="S382" i="5" s="1"/>
  <c r="Q484" i="5"/>
  <c r="S484" i="5" s="1"/>
  <c r="Q180" i="5"/>
  <c r="S180" i="5" s="1"/>
  <c r="Q230" i="5"/>
  <c r="Q496" i="5"/>
  <c r="R496" i="5" s="1"/>
  <c r="Q326" i="5"/>
  <c r="R326" i="5" s="1"/>
  <c r="Q558" i="5"/>
  <c r="S558" i="5" s="1"/>
  <c r="Q76" i="5"/>
  <c r="Q141" i="5"/>
  <c r="R141" i="5" s="1"/>
  <c r="Q176" i="5"/>
  <c r="S176" i="5" s="1"/>
  <c r="Q60" i="5"/>
  <c r="R60" i="5" s="1"/>
  <c r="Q30" i="5"/>
  <c r="Q56" i="5"/>
  <c r="S56" i="5" s="1"/>
  <c r="Q441" i="5"/>
  <c r="R441" i="5" s="1"/>
  <c r="Q406" i="5"/>
  <c r="Q385" i="5"/>
  <c r="S385" i="5" s="1"/>
  <c r="Q436" i="5"/>
  <c r="R436" i="5" s="1"/>
  <c r="O11" i="5"/>
  <c r="Q557" i="5"/>
  <c r="S557" i="5" s="1"/>
  <c r="Q378" i="5"/>
  <c r="R378" i="5" s="1"/>
  <c r="Q341" i="5"/>
  <c r="R341" i="5" s="1"/>
  <c r="Q461" i="5"/>
  <c r="S461" i="5" s="1"/>
  <c r="Q22" i="5"/>
  <c r="S22" i="5" s="1"/>
  <c r="Q465" i="5"/>
  <c r="R465" i="5" s="1"/>
  <c r="Q283" i="5"/>
  <c r="S283" i="5" s="1"/>
  <c r="Q380" i="5"/>
  <c r="Q373" i="5"/>
  <c r="Q170" i="5"/>
  <c r="Q194" i="5"/>
  <c r="S194" i="5" s="1"/>
  <c r="Q513" i="5"/>
  <c r="R513" i="5" s="1"/>
  <c r="Q543" i="5"/>
  <c r="R543" i="5" s="1"/>
  <c r="Q74" i="5"/>
  <c r="R74" i="5" s="1"/>
  <c r="Q255" i="5"/>
  <c r="R255" i="5" s="1"/>
  <c r="Q349" i="5"/>
  <c r="S349" i="5" s="1"/>
  <c r="Q331" i="5"/>
  <c r="R331" i="5" s="1"/>
  <c r="Q93" i="5"/>
  <c r="R93" i="5" s="1"/>
  <c r="Q128" i="5"/>
  <c r="Q272" i="5"/>
  <c r="Q81" i="5"/>
  <c r="R81" i="5" s="1"/>
  <c r="Q408" i="5"/>
  <c r="Q524" i="5"/>
  <c r="R524" i="5" s="1"/>
  <c r="Q148" i="5"/>
  <c r="R148" i="5" s="1"/>
  <c r="Q521" i="5"/>
  <c r="S521" i="5" s="1"/>
  <c r="Q549" i="5"/>
  <c r="S549" i="5" s="1"/>
  <c r="Q393" i="5"/>
  <c r="S393" i="5" s="1"/>
  <c r="Q226" i="5"/>
  <c r="Q142" i="5"/>
  <c r="R142" i="5" s="1"/>
  <c r="Q517" i="5"/>
  <c r="R517" i="5" s="1"/>
  <c r="Q322" i="5"/>
  <c r="R322" i="5" s="1"/>
  <c r="Q62" i="5"/>
  <c r="R62" i="5" s="1"/>
  <c r="Q105" i="5"/>
  <c r="S105" i="5" s="1"/>
  <c r="Q457" i="5"/>
  <c r="Q168" i="5"/>
  <c r="Q391" i="5"/>
  <c r="Q187" i="5"/>
  <c r="S187" i="5" s="1"/>
  <c r="Q456" i="5"/>
  <c r="S456" i="5" s="1"/>
  <c r="Q458" i="5"/>
  <c r="S458" i="5" s="1"/>
  <c r="Q229" i="5"/>
  <c r="Q532" i="5"/>
  <c r="S532" i="5" s="1"/>
  <c r="Q106" i="5"/>
  <c r="Q206" i="5"/>
  <c r="Q350" i="5"/>
  <c r="R350" i="5" s="1"/>
  <c r="Q94" i="5"/>
  <c r="S94" i="5" s="1"/>
  <c r="Q422" i="5"/>
  <c r="R422" i="5" s="1"/>
  <c r="Q249" i="5"/>
  <c r="R249" i="5" s="1"/>
  <c r="Q210" i="5"/>
  <c r="R210" i="5" s="1"/>
  <c r="Q455" i="5"/>
  <c r="S455" i="5" s="1"/>
  <c r="Q12" i="5"/>
  <c r="R12" i="5" s="1"/>
  <c r="Q499" i="5"/>
  <c r="R499" i="5" s="1"/>
  <c r="Q312" i="5"/>
  <c r="Q415" i="5"/>
  <c r="S415" i="5" s="1"/>
  <c r="Q429" i="5"/>
  <c r="R429" i="5" s="1"/>
  <c r="Q29" i="5"/>
  <c r="R29" i="5" s="1"/>
  <c r="Q515" i="5"/>
  <c r="Q199" i="5"/>
  <c r="R199" i="5" s="1"/>
  <c r="Q150" i="5"/>
  <c r="Q99" i="5"/>
  <c r="S99" i="5" s="1"/>
  <c r="Q325" i="5"/>
  <c r="Q347" i="5"/>
  <c r="R347" i="5" s="1"/>
  <c r="Q190" i="5"/>
  <c r="S190" i="5" s="1"/>
  <c r="Q397" i="5"/>
  <c r="R397" i="5" s="1"/>
  <c r="Q291" i="5"/>
  <c r="Q285" i="5"/>
  <c r="R285" i="5" s="1"/>
  <c r="Q448" i="5"/>
  <c r="Q303" i="5"/>
  <c r="R303" i="5" s="1"/>
  <c r="Q464" i="5"/>
  <c r="S464" i="5" s="1"/>
  <c r="Q369" i="5"/>
  <c r="R369" i="5" s="1"/>
  <c r="Q263" i="5"/>
  <c r="S263" i="5" s="1"/>
  <c r="Q143" i="5"/>
  <c r="R143" i="5" s="1"/>
  <c r="Q432" i="5"/>
  <c r="Q213" i="5"/>
  <c r="S213" i="5" s="1"/>
  <c r="Q538" i="5"/>
  <c r="Q472" i="5"/>
  <c r="R472" i="5" s="1"/>
  <c r="Q237" i="5"/>
  <c r="Q114" i="5"/>
  <c r="S114" i="5" s="1"/>
  <c r="Q109" i="5"/>
  <c r="R109" i="5" s="1"/>
  <c r="Q107" i="5"/>
  <c r="S107" i="5" s="1"/>
  <c r="Q470" i="5"/>
  <c r="Q537" i="5"/>
  <c r="S537" i="5" s="1"/>
  <c r="Q398" i="5"/>
  <c r="Q82" i="5"/>
  <c r="S82" i="5" s="1"/>
  <c r="Q163" i="5"/>
  <c r="S163" i="5" s="1"/>
  <c r="Q527" i="5"/>
  <c r="R527" i="5" s="1"/>
  <c r="Q232" i="5"/>
  <c r="S232" i="5" s="1"/>
  <c r="Q550" i="5"/>
  <c r="S550" i="5" s="1"/>
  <c r="Q367" i="5"/>
  <c r="Q64" i="5"/>
  <c r="S64" i="5" s="1"/>
  <c r="Q450" i="5"/>
  <c r="S450" i="5" s="1"/>
  <c r="Q540" i="5"/>
  <c r="S540" i="5" s="1"/>
  <c r="Q153" i="5"/>
  <c r="Q100" i="5"/>
  <c r="R100" i="5" s="1"/>
  <c r="Q91" i="5"/>
  <c r="R91" i="5" s="1"/>
  <c r="Q207" i="5"/>
  <c r="S207" i="5" s="1"/>
  <c r="Q374" i="5"/>
  <c r="R374" i="5" s="1"/>
  <c r="Q239" i="5"/>
  <c r="S239" i="5" s="1"/>
  <c r="Q383" i="5"/>
  <c r="Q505" i="5"/>
  <c r="S505" i="5" s="1"/>
  <c r="Q319" i="5"/>
  <c r="Q228" i="5"/>
  <c r="R228" i="5" s="1"/>
  <c r="Q27" i="5"/>
  <c r="S27" i="5" s="1"/>
  <c r="Q555" i="5"/>
  <c r="Q137" i="5"/>
  <c r="S137" i="5" s="1"/>
  <c r="Q38" i="5"/>
  <c r="R38" i="5" s="1"/>
  <c r="Q57" i="5"/>
  <c r="S57" i="5" s="1"/>
  <c r="Q277" i="5"/>
  <c r="R277" i="5" s="1"/>
  <c r="Q487" i="5"/>
  <c r="Q440" i="5"/>
  <c r="S440" i="5" s="1"/>
  <c r="Q111" i="5"/>
  <c r="R111" i="5" s="1"/>
  <c r="Q506" i="5"/>
  <c r="R506" i="5" s="1"/>
  <c r="Q175" i="5"/>
  <c r="R175" i="5" s="1"/>
  <c r="Q536" i="5"/>
  <c r="S536" i="5" s="1"/>
  <c r="Q421" i="5"/>
  <c r="Q205" i="5"/>
  <c r="R205" i="5" s="1"/>
  <c r="Q511" i="5"/>
  <c r="Q98" i="5"/>
  <c r="R98" i="5" s="1"/>
  <c r="Q307" i="5"/>
  <c r="S307" i="5" s="1"/>
  <c r="Q501" i="5"/>
  <c r="R501" i="5" s="1"/>
  <c r="Q402" i="5"/>
  <c r="R402" i="5" s="1"/>
  <c r="Q449" i="5"/>
  <c r="S449" i="5" s="1"/>
  <c r="Q315" i="5"/>
  <c r="S315" i="5" s="1"/>
  <c r="Q354" i="5"/>
  <c r="Q58" i="5"/>
  <c r="Q287" i="5"/>
  <c r="Q361" i="5"/>
  <c r="S361" i="5" s="1"/>
  <c r="Q379" i="5"/>
  <c r="R379" i="5" s="1"/>
  <c r="Q244" i="5"/>
  <c r="R244" i="5" s="1"/>
  <c r="Q431" i="5"/>
  <c r="R431" i="5" s="1"/>
  <c r="Q42" i="5"/>
  <c r="Q189" i="5"/>
  <c r="S189" i="5" s="1"/>
  <c r="Q481" i="5"/>
  <c r="R481" i="5" s="1"/>
  <c r="Q420" i="5"/>
  <c r="R420" i="5" s="1"/>
  <c r="Q181" i="5"/>
  <c r="Q294" i="5"/>
  <c r="R294" i="5" s="1"/>
  <c r="Q125" i="5"/>
  <c r="S125" i="5" s="1"/>
  <c r="Q314" i="5"/>
  <c r="S314" i="5" s="1"/>
  <c r="Q545" i="5"/>
  <c r="R545" i="5" s="1"/>
  <c r="Q330" i="5"/>
  <c r="S330" i="5" s="1"/>
  <c r="Q553" i="5"/>
  <c r="Q300" i="5"/>
  <c r="S300" i="5" s="1"/>
  <c r="Q33" i="5"/>
  <c r="S33" i="5" s="1"/>
  <c r="Q46" i="5"/>
  <c r="S46" i="5" s="1"/>
  <c r="Q225" i="5"/>
  <c r="R225" i="5" s="1"/>
  <c r="Q51" i="5"/>
  <c r="S51" i="5" s="1"/>
  <c r="Q260" i="5"/>
  <c r="Q311" i="5"/>
  <c r="R311" i="5" s="1"/>
  <c r="Q498" i="5"/>
  <c r="Q52" i="5"/>
  <c r="R52" i="5" s="1"/>
  <c r="Q159" i="5"/>
  <c r="S159" i="5" s="1"/>
  <c r="Q356" i="5"/>
  <c r="R356" i="5" s="1"/>
  <c r="Q426" i="5"/>
  <c r="R426" i="5" s="1"/>
  <c r="Q78" i="5"/>
  <c r="R78" i="5" s="1"/>
  <c r="Q548" i="5"/>
  <c r="Q140" i="5"/>
  <c r="R140" i="5" s="1"/>
  <c r="Q338" i="5"/>
  <c r="Q247" i="5"/>
  <c r="R247" i="5" s="1"/>
  <c r="Q265" i="5"/>
  <c r="R265" i="5" s="1"/>
  <c r="Q227" i="5"/>
  <c r="R227" i="5" s="1"/>
  <c r="Q508" i="5"/>
  <c r="S508" i="5" s="1"/>
  <c r="Q61" i="5"/>
  <c r="R61" i="5" s="1"/>
  <c r="Q276" i="5"/>
  <c r="S276" i="5" s="1"/>
  <c r="Q394" i="5"/>
  <c r="Q193" i="5"/>
  <c r="Q288" i="5"/>
  <c r="Q147" i="5"/>
  <c r="Q83" i="5"/>
  <c r="R83" i="5" s="1"/>
  <c r="Q453" i="5"/>
  <c r="R453" i="5" s="1"/>
  <c r="Q231" i="5"/>
  <c r="R231" i="5" s="1"/>
  <c r="Q556" i="5"/>
  <c r="Q304" i="5"/>
  <c r="Q417" i="5"/>
  <c r="Q50" i="5"/>
  <c r="S50" i="5" s="1"/>
  <c r="Q546" i="5"/>
  <c r="R546" i="5" s="1"/>
  <c r="Q219" i="5"/>
  <c r="R219" i="5" s="1"/>
  <c r="Q336" i="5"/>
  <c r="S336" i="5" s="1"/>
  <c r="Q246" i="5"/>
  <c r="S246" i="5" s="1"/>
  <c r="Q359" i="5"/>
  <c r="R359" i="5" s="1"/>
  <c r="Q352" i="5"/>
  <c r="Q135" i="5"/>
  <c r="Q528" i="5"/>
  <c r="R528" i="5" s="1"/>
  <c r="Q86" i="5"/>
  <c r="R86" i="5" s="1"/>
  <c r="Q399" i="5"/>
  <c r="Q364" i="5"/>
  <c r="S364" i="5" s="1"/>
  <c r="Q535" i="5"/>
  <c r="S535" i="5" s="1"/>
  <c r="Q23" i="5"/>
  <c r="Q413" i="5"/>
  <c r="S413" i="5" s="1"/>
  <c r="Q324" i="5"/>
  <c r="Q280" i="5"/>
  <c r="R280" i="5" s="1"/>
  <c r="Q370" i="5"/>
  <c r="R370" i="5" s="1"/>
  <c r="Q59" i="5"/>
  <c r="R59" i="5" s="1"/>
  <c r="Q554" i="5"/>
  <c r="R554" i="5" s="1"/>
  <c r="Q97" i="5"/>
  <c r="S97" i="5" s="1"/>
  <c r="Q65" i="5"/>
  <c r="S65" i="5" s="1"/>
  <c r="Q269" i="5"/>
  <c r="S269" i="5" s="1"/>
  <c r="Q414" i="5"/>
  <c r="Q531" i="5"/>
  <c r="S531" i="5" s="1"/>
  <c r="Q358" i="5"/>
  <c r="R358" i="5" s="1"/>
  <c r="Q70" i="5"/>
  <c r="S70" i="5" s="1"/>
  <c r="Q434" i="5"/>
  <c r="S434" i="5" s="1"/>
  <c r="Q301" i="5"/>
  <c r="S301" i="5" s="1"/>
  <c r="Q491" i="5"/>
  <c r="Q103" i="5"/>
  <c r="Q401" i="5"/>
  <c r="S401" i="5" s="1"/>
  <c r="Q529" i="5"/>
  <c r="Q321" i="5"/>
  <c r="R321" i="5" s="1"/>
  <c r="Q166" i="5"/>
  <c r="R166" i="5" s="1"/>
  <c r="Q32" i="5"/>
  <c r="R32" i="5" s="1"/>
  <c r="Q278" i="5"/>
  <c r="S278" i="5" s="1"/>
  <c r="Q500" i="5"/>
  <c r="Q492" i="5"/>
  <c r="R492" i="5" s="1"/>
  <c r="Q479" i="5"/>
  <c r="Q387" i="5"/>
  <c r="S387" i="5" s="1"/>
  <c r="Q212" i="5"/>
  <c r="R212" i="5" s="1"/>
  <c r="Q96" i="5"/>
  <c r="Q447" i="5"/>
  <c r="Q37" i="5"/>
  <c r="S37" i="5" s="1"/>
  <c r="Q274" i="5"/>
  <c r="Q377" i="5"/>
  <c r="S377" i="5" s="1"/>
  <c r="Q302" i="5"/>
  <c r="R302" i="5" s="1"/>
  <c r="Q28" i="5"/>
  <c r="S28" i="5" s="1"/>
  <c r="Q360" i="5"/>
  <c r="R360" i="5" s="1"/>
  <c r="Q375" i="5"/>
  <c r="S375" i="5" s="1"/>
  <c r="Q63" i="5"/>
  <c r="Q552" i="5"/>
  <c r="S552" i="5" s="1"/>
  <c r="Q104" i="5"/>
  <c r="R104" i="5" s="1"/>
  <c r="Q200" i="5"/>
  <c r="X130" i="4"/>
  <c r="V151" i="4"/>
  <c r="W151" i="4" s="1"/>
  <c r="V131" i="4"/>
  <c r="W131" i="4" s="1"/>
  <c r="X127" i="4"/>
  <c r="V146" i="4"/>
  <c r="W146" i="4" s="1"/>
  <c r="X108" i="4"/>
  <c r="X154" i="4"/>
  <c r="X117" i="4"/>
  <c r="X152" i="4"/>
  <c r="AH10" i="5"/>
  <c r="X157" i="4"/>
  <c r="AB10" i="5"/>
  <c r="X125" i="4"/>
  <c r="AO10" i="5"/>
  <c r="AN10" i="5"/>
  <c r="X122" i="4"/>
  <c r="V155" i="4"/>
  <c r="Z155" i="4" s="1"/>
  <c r="AS10" i="5"/>
  <c r="U10" i="5"/>
  <c r="V10" i="5"/>
  <c r="V121" i="4"/>
  <c r="W121" i="4" s="1"/>
  <c r="X140" i="4"/>
  <c r="X132" i="4"/>
  <c r="X142" i="4"/>
  <c r="V126" i="4"/>
  <c r="W126" i="4" s="1"/>
  <c r="V123" i="4"/>
  <c r="W123" i="4" s="1"/>
  <c r="V129" i="4"/>
  <c r="W129" i="4" s="1"/>
  <c r="X114" i="4"/>
  <c r="X124" i="4"/>
  <c r="V141" i="4"/>
  <c r="X135" i="4"/>
  <c r="V156" i="4"/>
  <c r="W156" i="4" s="1"/>
  <c r="X139" i="4"/>
  <c r="X138" i="4"/>
  <c r="X150" i="4"/>
  <c r="AE7" i="5"/>
  <c r="V113" i="4"/>
  <c r="W113" i="4" s="1"/>
  <c r="H80" i="1"/>
  <c r="X137" i="4"/>
  <c r="AV7" i="5"/>
  <c r="AW7" i="5" s="1"/>
  <c r="X143" i="4"/>
  <c r="X148" i="4"/>
  <c r="X100" i="4"/>
  <c r="X109" i="4"/>
  <c r="X119" i="4"/>
  <c r="X115" i="4"/>
  <c r="X120" i="4"/>
  <c r="X106" i="4"/>
  <c r="X110" i="4"/>
  <c r="X107" i="4"/>
  <c r="X103" i="4"/>
  <c r="X112" i="4"/>
  <c r="X105" i="4"/>
  <c r="X101" i="4"/>
  <c r="X102" i="4"/>
  <c r="X52" i="4"/>
  <c r="X72" i="4"/>
  <c r="X39" i="4"/>
  <c r="X66" i="4"/>
  <c r="X79" i="4"/>
  <c r="X89" i="4"/>
  <c r="X63" i="4"/>
  <c r="X61" i="4"/>
  <c r="X70" i="4"/>
  <c r="X55" i="4"/>
  <c r="X56" i="4"/>
  <c r="W80" i="4"/>
  <c r="X80" i="4" s="1"/>
  <c r="W48" i="4"/>
  <c r="X48" i="4" s="1"/>
  <c r="X29" i="4"/>
  <c r="Z12" i="4"/>
  <c r="Y12" i="4"/>
  <c r="Z93" i="4"/>
  <c r="Y93" i="4"/>
  <c r="Z60" i="4"/>
  <c r="Y60" i="4"/>
  <c r="Z144" i="4"/>
  <c r="Y144" i="4"/>
  <c r="Z76" i="4"/>
  <c r="Y76" i="4"/>
  <c r="Z99" i="4"/>
  <c r="Y99" i="4"/>
  <c r="Z46" i="4"/>
  <c r="Y46" i="4"/>
  <c r="Z59" i="4"/>
  <c r="Y59" i="4"/>
  <c r="Z32" i="4"/>
  <c r="Y32" i="4"/>
  <c r="Z116" i="4"/>
  <c r="Y116" i="4"/>
  <c r="Z128" i="4"/>
  <c r="Y128" i="4"/>
  <c r="Z88" i="4"/>
  <c r="Y88" i="4"/>
  <c r="Z53" i="4"/>
  <c r="Y53" i="4"/>
  <c r="Z31" i="4"/>
  <c r="Y31" i="4"/>
  <c r="Z22" i="4"/>
  <c r="Y22" i="4"/>
  <c r="Z34" i="4"/>
  <c r="Y34" i="4"/>
  <c r="Z47" i="4"/>
  <c r="Y47" i="4"/>
  <c r="Z154" i="4"/>
  <c r="Y154" i="4"/>
  <c r="Z40" i="4"/>
  <c r="Y40" i="4"/>
  <c r="Z42" i="4"/>
  <c r="Y42" i="4"/>
  <c r="Z15" i="4"/>
  <c r="Y15" i="4"/>
  <c r="Z107" i="4"/>
  <c r="Y107" i="4"/>
  <c r="Z143" i="4"/>
  <c r="Y143" i="4"/>
  <c r="W7" i="4"/>
  <c r="X7" i="4" s="1"/>
  <c r="X83" i="4"/>
  <c r="Z21" i="4"/>
  <c r="Y21" i="4"/>
  <c r="Z105" i="4"/>
  <c r="Y105" i="4"/>
  <c r="Z58" i="4"/>
  <c r="Y58" i="4"/>
  <c r="Z94" i="4"/>
  <c r="Y94" i="4"/>
  <c r="Z69" i="4"/>
  <c r="Y69" i="4"/>
  <c r="Z85" i="4"/>
  <c r="Y85" i="4"/>
  <c r="Z19" i="4"/>
  <c r="Y19" i="4"/>
  <c r="Z84" i="4"/>
  <c r="Y84" i="4"/>
  <c r="Z51" i="4"/>
  <c r="Y51" i="4"/>
  <c r="Z56" i="4"/>
  <c r="Y56" i="4"/>
  <c r="Z130" i="4"/>
  <c r="Y130" i="4"/>
  <c r="Z72" i="4"/>
  <c r="Y72" i="4"/>
  <c r="Z96" i="4"/>
  <c r="Y96" i="4"/>
  <c r="Z117" i="4"/>
  <c r="Y117" i="4"/>
  <c r="Z39" i="4"/>
  <c r="Y39" i="4"/>
  <c r="Z89" i="4"/>
  <c r="Y89" i="4"/>
  <c r="Z63" i="4"/>
  <c r="Y63" i="4"/>
  <c r="Z152" i="4"/>
  <c r="Y152" i="4"/>
  <c r="Z145" i="4"/>
  <c r="Y145" i="4"/>
  <c r="Z127" i="4"/>
  <c r="Y127" i="4"/>
  <c r="Z139" i="4"/>
  <c r="Y139" i="4"/>
  <c r="Z80" i="4"/>
  <c r="Y80" i="4"/>
  <c r="Z13" i="4"/>
  <c r="Y13" i="4"/>
  <c r="Z18" i="4"/>
  <c r="Y18" i="4"/>
  <c r="Z33" i="4"/>
  <c r="Y33" i="4"/>
  <c r="Z78" i="4"/>
  <c r="Y78" i="4"/>
  <c r="Z132" i="4"/>
  <c r="Y132" i="4"/>
  <c r="Z153" i="4"/>
  <c r="Y153" i="4"/>
  <c r="Z29" i="4"/>
  <c r="Y29" i="4"/>
  <c r="Z37" i="4"/>
  <c r="Y37" i="4"/>
  <c r="Z27" i="4"/>
  <c r="Y27" i="4"/>
  <c r="Z148" i="4"/>
  <c r="Y148" i="4"/>
  <c r="Z24" i="4"/>
  <c r="Y24" i="4"/>
  <c r="Z28" i="4"/>
  <c r="Y28" i="4"/>
  <c r="Z11" i="4"/>
  <c r="Y11" i="4"/>
  <c r="Z91" i="4"/>
  <c r="Y91" i="4"/>
  <c r="Z50" i="4"/>
  <c r="Y50" i="4"/>
  <c r="X62" i="4"/>
  <c r="Z101" i="4"/>
  <c r="Y101" i="4"/>
  <c r="X54" i="4"/>
  <c r="W87" i="4"/>
  <c r="X87" i="4" s="1"/>
  <c r="W23" i="4"/>
  <c r="X23" i="4" s="1"/>
  <c r="X16" i="4"/>
  <c r="W86" i="4"/>
  <c r="X86" i="4" s="1"/>
  <c r="X30" i="4"/>
  <c r="Z115" i="4"/>
  <c r="Y115" i="4"/>
  <c r="X77" i="4"/>
  <c r="Z140" i="4"/>
  <c r="Y140" i="4"/>
  <c r="Z83" i="4"/>
  <c r="Y83" i="4"/>
  <c r="Z114" i="4"/>
  <c r="Y114" i="4"/>
  <c r="Z142" i="4"/>
  <c r="Y142" i="4"/>
  <c r="Z133" i="4"/>
  <c r="Y133" i="4"/>
  <c r="Z104" i="4"/>
  <c r="Y104" i="4"/>
  <c r="Z98" i="4"/>
  <c r="Y98" i="4"/>
  <c r="Z74" i="4"/>
  <c r="Y74" i="4"/>
  <c r="Z82" i="4"/>
  <c r="Y82" i="4"/>
  <c r="Z38" i="4"/>
  <c r="Y38" i="4"/>
  <c r="Z122" i="4"/>
  <c r="Y122" i="4"/>
  <c r="Z119" i="4"/>
  <c r="Y119" i="4"/>
  <c r="Z45" i="4"/>
  <c r="Y45" i="4"/>
  <c r="Z90" i="4"/>
  <c r="Y90" i="4"/>
  <c r="Z67" i="4"/>
  <c r="Y67" i="4"/>
  <c r="Z95" i="4"/>
  <c r="Y95" i="4"/>
  <c r="Z8" i="4"/>
  <c r="Y8" i="4"/>
  <c r="Z17" i="4"/>
  <c r="Y17" i="4"/>
  <c r="Z71" i="4"/>
  <c r="Y71" i="4"/>
  <c r="B121" i="2"/>
  <c r="B122" i="2"/>
  <c r="R466" i="5"/>
  <c r="S466" i="5"/>
  <c r="X41" i="4"/>
  <c r="Z120" i="4"/>
  <c r="Y120" i="4"/>
  <c r="Z52" i="4"/>
  <c r="Y52" i="4"/>
  <c r="X92" i="4"/>
  <c r="X26" i="4"/>
  <c r="Z61" i="4"/>
  <c r="Y61" i="4"/>
  <c r="Z124" i="4"/>
  <c r="Y124" i="4"/>
  <c r="X36" i="4"/>
  <c r="X65" i="4"/>
  <c r="Z68" i="4"/>
  <c r="Y68" i="4"/>
  <c r="X97" i="4"/>
  <c r="X49" i="4"/>
  <c r="W57" i="4"/>
  <c r="X57" i="4" s="1"/>
  <c r="Z62" i="4"/>
  <c r="Y62" i="4"/>
  <c r="Z54" i="4"/>
  <c r="Y54" i="4"/>
  <c r="Z23" i="4"/>
  <c r="Y23" i="4"/>
  <c r="Z16" i="4"/>
  <c r="Y16" i="4"/>
  <c r="Z86" i="4"/>
  <c r="Y86" i="4"/>
  <c r="Z30" i="4"/>
  <c r="Y30" i="4"/>
  <c r="Z109" i="4"/>
  <c r="Y109" i="4"/>
  <c r="Z125" i="4"/>
  <c r="Y125" i="4"/>
  <c r="Z77" i="4"/>
  <c r="Y77" i="4"/>
  <c r="Z106" i="4"/>
  <c r="Y106" i="4"/>
  <c r="X9" i="4"/>
  <c r="Z20" i="4"/>
  <c r="Y20" i="4"/>
  <c r="Z70" i="4"/>
  <c r="Y70" i="4"/>
  <c r="Z111" i="4"/>
  <c r="Y111" i="4"/>
  <c r="Z10" i="4"/>
  <c r="Y10" i="4"/>
  <c r="Z118" i="4"/>
  <c r="Y118" i="4"/>
  <c r="Z103" i="4"/>
  <c r="Y103" i="4"/>
  <c r="Z87" i="4"/>
  <c r="Y87" i="4"/>
  <c r="Z43" i="4"/>
  <c r="Y43" i="4"/>
  <c r="Z135" i="4"/>
  <c r="Y135" i="4"/>
  <c r="Z108" i="4"/>
  <c r="Y108" i="4"/>
  <c r="Z44" i="4"/>
  <c r="Y44" i="4"/>
  <c r="Z100" i="4"/>
  <c r="Y100" i="4"/>
  <c r="Z66" i="4"/>
  <c r="Y66" i="4"/>
  <c r="W93" i="4"/>
  <c r="X93" i="4" s="1"/>
  <c r="Z48" i="4"/>
  <c r="Y48" i="4"/>
  <c r="Z25" i="4"/>
  <c r="Y25" i="4"/>
  <c r="Z73" i="4"/>
  <c r="Y73" i="4"/>
  <c r="Z41" i="4"/>
  <c r="Y41" i="4"/>
  <c r="Z147" i="4"/>
  <c r="Y147" i="4"/>
  <c r="Z102" i="4"/>
  <c r="Y102" i="4"/>
  <c r="Z92" i="4"/>
  <c r="Y92" i="4"/>
  <c r="Z26" i="4"/>
  <c r="Y26" i="4"/>
  <c r="Z157" i="4"/>
  <c r="Y157" i="4"/>
  <c r="Z36" i="4"/>
  <c r="Y36" i="4"/>
  <c r="Z65" i="4"/>
  <c r="Y65" i="4"/>
  <c r="Z97" i="4"/>
  <c r="Y97" i="4"/>
  <c r="Z49" i="4"/>
  <c r="Y49" i="4"/>
  <c r="Z57" i="4"/>
  <c r="Y57" i="4"/>
  <c r="Z149" i="4"/>
  <c r="Y149" i="4"/>
  <c r="Z110" i="4"/>
  <c r="Y110" i="4"/>
  <c r="Z112" i="4"/>
  <c r="Y112" i="4"/>
  <c r="W88" i="4"/>
  <c r="X88" i="4" s="1"/>
  <c r="W111" i="4"/>
  <c r="X111" i="4" s="1"/>
  <c r="W10" i="4"/>
  <c r="X10" i="4" s="1"/>
  <c r="Z64" i="4"/>
  <c r="Y64" i="4"/>
  <c r="W118" i="4"/>
  <c r="X118" i="4" s="1"/>
  <c r="W12" i="4"/>
  <c r="X12" i="4" s="1"/>
  <c r="Z55" i="4"/>
  <c r="Y55" i="4"/>
  <c r="W82" i="4"/>
  <c r="X82" i="4" s="1"/>
  <c r="Z14" i="4"/>
  <c r="Y14" i="4"/>
  <c r="Z137" i="4"/>
  <c r="Y137" i="4"/>
  <c r="W60" i="4"/>
  <c r="X60" i="4" s="1"/>
  <c r="Z150" i="4"/>
  <c r="Y150" i="4"/>
  <c r="W144" i="4"/>
  <c r="X144" i="4" s="1"/>
  <c r="W76" i="4"/>
  <c r="X76" i="4" s="1"/>
  <c r="CE7" i="4"/>
  <c r="AD7" i="4"/>
  <c r="AE7" i="4" s="1"/>
  <c r="CH7" i="4" s="1"/>
  <c r="AH7" i="4"/>
  <c r="AJ7" i="4" s="1"/>
  <c r="Z9" i="4"/>
  <c r="Y9" i="4"/>
  <c r="W99" i="4"/>
  <c r="X99" i="4" s="1"/>
  <c r="W46" i="4"/>
  <c r="X46" i="4" s="1"/>
  <c r="Z138" i="4"/>
  <c r="Y138" i="4"/>
  <c r="Z35" i="4"/>
  <c r="Y35" i="4"/>
  <c r="Z79" i="4"/>
  <c r="Y79" i="4"/>
  <c r="W59" i="4"/>
  <c r="X59" i="4" s="1"/>
  <c r="W32" i="4"/>
  <c r="X32" i="4" s="1"/>
  <c r="Z81" i="4"/>
  <c r="Y81" i="4"/>
  <c r="W116" i="4"/>
  <c r="X116" i="4" s="1"/>
  <c r="Z75" i="4"/>
  <c r="Y75" i="4"/>
  <c r="B151" i="2"/>
  <c r="B153" i="2" s="1"/>
  <c r="H40" i="1" s="1"/>
  <c r="B161" i="2"/>
  <c r="B163" i="2" s="1"/>
  <c r="N40" i="1" s="1"/>
  <c r="B171" i="2"/>
  <c r="B173" i="2" s="1"/>
  <c r="B181" i="2"/>
  <c r="B183" i="2" s="1"/>
  <c r="AD40" i="1" s="1"/>
  <c r="X84" i="4"/>
  <c r="W128" i="4"/>
  <c r="X128" i="4" s="1"/>
  <c r="Y339" i="5" l="1"/>
  <c r="Y555" i="5"/>
  <c r="S339" i="5"/>
  <c r="S329" i="5"/>
  <c r="Y206" i="5"/>
  <c r="AC530" i="5"/>
  <c r="AE530" i="5" s="1"/>
  <c r="AC96" i="5"/>
  <c r="AD96" i="5" s="1"/>
  <c r="AC421" i="5"/>
  <c r="AE421" i="5" s="1"/>
  <c r="R173" i="5"/>
  <c r="X151" i="4"/>
  <c r="X146" i="4"/>
  <c r="X131" i="4"/>
  <c r="X129" i="4"/>
  <c r="X136" i="4"/>
  <c r="X126" i="4"/>
  <c r="X156" i="4"/>
  <c r="X123" i="4"/>
  <c r="X121" i="4"/>
  <c r="X113" i="4"/>
  <c r="AC430" i="5"/>
  <c r="AD430" i="5" s="1"/>
  <c r="R36" i="5"/>
  <c r="R559" i="5"/>
  <c r="AC79" i="5"/>
  <c r="AV79" i="5" s="1"/>
  <c r="AC329" i="5"/>
  <c r="AE329" i="5" s="1"/>
  <c r="Y291" i="5"/>
  <c r="AC555" i="5"/>
  <c r="AD555" i="5" s="1"/>
  <c r="AC10" i="13"/>
  <c r="AV10" i="13" s="1"/>
  <c r="AC206" i="5"/>
  <c r="AV206" i="5" s="1"/>
  <c r="Y432" i="5"/>
  <c r="R526" i="5"/>
  <c r="AC282" i="5"/>
  <c r="AC526" i="5"/>
  <c r="AV526" i="5" s="1"/>
  <c r="S88" i="5"/>
  <c r="X394" i="5"/>
  <c r="X130" i="5"/>
  <c r="X330" i="5"/>
  <c r="X510" i="5"/>
  <c r="X268" i="5"/>
  <c r="X490" i="5"/>
  <c r="R95" i="5"/>
  <c r="AC339" i="5"/>
  <c r="AD339" i="5" s="1"/>
  <c r="Y406" i="5"/>
  <c r="Y340" i="5"/>
  <c r="R10" i="13"/>
  <c r="AP9" i="13"/>
  <c r="AJ9" i="13"/>
  <c r="AP11" i="13"/>
  <c r="AJ11" i="13"/>
  <c r="S366" i="5"/>
  <c r="X319" i="5"/>
  <c r="S471" i="5"/>
  <c r="S313" i="5"/>
  <c r="R79" i="5"/>
  <c r="R124" i="5"/>
  <c r="AC43" i="13"/>
  <c r="AE43" i="13" s="1"/>
  <c r="AC198" i="13"/>
  <c r="AV198" i="13" s="1"/>
  <c r="AC125" i="13"/>
  <c r="AD125" i="13" s="1"/>
  <c r="AC100" i="13"/>
  <c r="AD100" i="13" s="1"/>
  <c r="AC164" i="13"/>
  <c r="AV164" i="13" s="1"/>
  <c r="AC199" i="13"/>
  <c r="AV199" i="13" s="1"/>
  <c r="AC68" i="13"/>
  <c r="AV68" i="13" s="1"/>
  <c r="AC28" i="13"/>
  <c r="AV28" i="13" s="1"/>
  <c r="Y51" i="5"/>
  <c r="R238" i="5"/>
  <c r="S186" i="5"/>
  <c r="S67" i="5"/>
  <c r="S353" i="5"/>
  <c r="R286" i="5"/>
  <c r="S388" i="5"/>
  <c r="AC103" i="5"/>
  <c r="AD103" i="5" s="1"/>
  <c r="AC105" i="13"/>
  <c r="AD105" i="13" s="1"/>
  <c r="X198" i="5"/>
  <c r="AC340" i="5"/>
  <c r="AD340" i="5" s="1"/>
  <c r="S275" i="5"/>
  <c r="Y439" i="5"/>
  <c r="AC399" i="5"/>
  <c r="AD399" i="5" s="1"/>
  <c r="AC268" i="5"/>
  <c r="AE268" i="5" s="1"/>
  <c r="AC313" i="5"/>
  <c r="AV313" i="5" s="1"/>
  <c r="AC45" i="13"/>
  <c r="AV45" i="13" s="1"/>
  <c r="AC135" i="13"/>
  <c r="AD135" i="13" s="1"/>
  <c r="AC66" i="13"/>
  <c r="AV66" i="13" s="1"/>
  <c r="AC145" i="13"/>
  <c r="AE145" i="13" s="1"/>
  <c r="AC95" i="13"/>
  <c r="AV95" i="13" s="1"/>
  <c r="AC127" i="13"/>
  <c r="AE127" i="13" s="1"/>
  <c r="AC126" i="13"/>
  <c r="AV126" i="13" s="1"/>
  <c r="AC138" i="13"/>
  <c r="AE138" i="13" s="1"/>
  <c r="AC170" i="13"/>
  <c r="AV170" i="13" s="1"/>
  <c r="AC213" i="13"/>
  <c r="AE213" i="13" s="1"/>
  <c r="AC204" i="13"/>
  <c r="AV204" i="13" s="1"/>
  <c r="AC248" i="13"/>
  <c r="AE248" i="13" s="1"/>
  <c r="AC241" i="13"/>
  <c r="AV241" i="13" s="1"/>
  <c r="AC273" i="13"/>
  <c r="AV273" i="13" s="1"/>
  <c r="AC294" i="13"/>
  <c r="AE294" i="13" s="1"/>
  <c r="AC291" i="13"/>
  <c r="AD291" i="13" s="1"/>
  <c r="AC247" i="13"/>
  <c r="AV247" i="13" s="1"/>
  <c r="AC350" i="13"/>
  <c r="AV350" i="13" s="1"/>
  <c r="AC342" i="13"/>
  <c r="AE342" i="13" s="1"/>
  <c r="AC367" i="13"/>
  <c r="AE367" i="13" s="1"/>
  <c r="AC378" i="13"/>
  <c r="AE378" i="13" s="1"/>
  <c r="AC398" i="13"/>
  <c r="AV398" i="13" s="1"/>
  <c r="AC406" i="13"/>
  <c r="AV406" i="13" s="1"/>
  <c r="AC432" i="13"/>
  <c r="AE432" i="13" s="1"/>
  <c r="AC403" i="13"/>
  <c r="AV403" i="13" s="1"/>
  <c r="AC429" i="13"/>
  <c r="AE429" i="13" s="1"/>
  <c r="AC422" i="13"/>
  <c r="AV422" i="13" s="1"/>
  <c r="AC425" i="13"/>
  <c r="AE425" i="13" s="1"/>
  <c r="AC441" i="13"/>
  <c r="AV441" i="13" s="1"/>
  <c r="AC454" i="13"/>
  <c r="AV454" i="13" s="1"/>
  <c r="AC473" i="13"/>
  <c r="AV473" i="13" s="1"/>
  <c r="AC452" i="13"/>
  <c r="AV452" i="13" s="1"/>
  <c r="AC481" i="13"/>
  <c r="AV481" i="13" s="1"/>
  <c r="AC539" i="13"/>
  <c r="AV539" i="13" s="1"/>
  <c r="S482" i="5"/>
  <c r="AC406" i="5"/>
  <c r="AE406" i="5" s="1"/>
  <c r="AC75" i="5"/>
  <c r="AE75" i="5" s="1"/>
  <c r="X146" i="5"/>
  <c r="AC238" i="5"/>
  <c r="AD238" i="5" s="1"/>
  <c r="AC30" i="13"/>
  <c r="AD30" i="13" s="1"/>
  <c r="AC78" i="13"/>
  <c r="AD78" i="13" s="1"/>
  <c r="AC44" i="13"/>
  <c r="AV44" i="13" s="1"/>
  <c r="AC279" i="13"/>
  <c r="AV279" i="13" s="1"/>
  <c r="AC309" i="13"/>
  <c r="AE309" i="13" s="1"/>
  <c r="AC302" i="13"/>
  <c r="AV302" i="13" s="1"/>
  <c r="AC379" i="13"/>
  <c r="AE379" i="13" s="1"/>
  <c r="AC344" i="13"/>
  <c r="AV344" i="13" s="1"/>
  <c r="AC343" i="13"/>
  <c r="AV343" i="13" s="1"/>
  <c r="AC488" i="13"/>
  <c r="AV488" i="13" s="1"/>
  <c r="AC483" i="13"/>
  <c r="AV483" i="13" s="1"/>
  <c r="AC501" i="13"/>
  <c r="AV501" i="13" s="1"/>
  <c r="AC510" i="13"/>
  <c r="AV510" i="13" s="1"/>
  <c r="AC546" i="13"/>
  <c r="AV546" i="13" s="1"/>
  <c r="AC556" i="13"/>
  <c r="AE556" i="13" s="1"/>
  <c r="AC557" i="13"/>
  <c r="AD557" i="13" s="1"/>
  <c r="Y320" i="13"/>
  <c r="X320" i="13"/>
  <c r="X94" i="13"/>
  <c r="Y94" i="13"/>
  <c r="Y249" i="13"/>
  <c r="X249" i="13"/>
  <c r="Y408" i="13"/>
  <c r="X408" i="13"/>
  <c r="Y321" i="13"/>
  <c r="X321" i="13"/>
  <c r="Y428" i="13"/>
  <c r="X428" i="13"/>
  <c r="Y21" i="13"/>
  <c r="X21" i="13"/>
  <c r="Y276" i="13"/>
  <c r="X276" i="13"/>
  <c r="Y48" i="13"/>
  <c r="X48" i="13"/>
  <c r="Y305" i="13"/>
  <c r="X305" i="13"/>
  <c r="AC132" i="13"/>
  <c r="AC230" i="13"/>
  <c r="S289" i="13"/>
  <c r="R289" i="13"/>
  <c r="R130" i="13"/>
  <c r="S130" i="13"/>
  <c r="S346" i="13"/>
  <c r="R346" i="13"/>
  <c r="S22" i="13"/>
  <c r="R22" i="13"/>
  <c r="S20" i="13"/>
  <c r="R20" i="13"/>
  <c r="S70" i="13"/>
  <c r="R70" i="13"/>
  <c r="S29" i="13"/>
  <c r="R29" i="13"/>
  <c r="S43" i="13"/>
  <c r="R43" i="13"/>
  <c r="S161" i="13"/>
  <c r="R161" i="13"/>
  <c r="S165" i="13"/>
  <c r="R165" i="13"/>
  <c r="S185" i="13"/>
  <c r="R185" i="13"/>
  <c r="S251" i="13"/>
  <c r="R251" i="13"/>
  <c r="S228" i="13"/>
  <c r="R228" i="13"/>
  <c r="S315" i="13"/>
  <c r="R315" i="13"/>
  <c r="S354" i="13"/>
  <c r="R354" i="13"/>
  <c r="S371" i="13"/>
  <c r="R371" i="13"/>
  <c r="S406" i="13"/>
  <c r="R406" i="13"/>
  <c r="R463" i="13"/>
  <c r="S463" i="13"/>
  <c r="Y499" i="5"/>
  <c r="Y510" i="13"/>
  <c r="X510" i="13"/>
  <c r="Y237" i="13"/>
  <c r="X237" i="13"/>
  <c r="Y549" i="13"/>
  <c r="X549" i="13"/>
  <c r="Y463" i="13"/>
  <c r="X463" i="13"/>
  <c r="X343" i="13"/>
  <c r="Y343" i="13"/>
  <c r="X271" i="13"/>
  <c r="Y271" i="13"/>
  <c r="Y136" i="13"/>
  <c r="X136" i="13"/>
  <c r="Y63" i="13"/>
  <c r="X63" i="13"/>
  <c r="Y57" i="13"/>
  <c r="X57" i="13"/>
  <c r="Y131" i="13"/>
  <c r="X131" i="13"/>
  <c r="Y498" i="13"/>
  <c r="X498" i="13"/>
  <c r="Y449" i="13"/>
  <c r="X449" i="13"/>
  <c r="Y389" i="13"/>
  <c r="X389" i="13"/>
  <c r="Y272" i="13"/>
  <c r="X272" i="13"/>
  <c r="Y222" i="13"/>
  <c r="X222" i="13"/>
  <c r="Y150" i="13"/>
  <c r="X150" i="13"/>
  <c r="X25" i="13"/>
  <c r="Y25" i="13"/>
  <c r="X83" i="13"/>
  <c r="Y83" i="13"/>
  <c r="Y270" i="13"/>
  <c r="X270" i="13"/>
  <c r="X526" i="13"/>
  <c r="Y526" i="13"/>
  <c r="X460" i="13"/>
  <c r="Y460" i="13"/>
  <c r="Y367" i="13"/>
  <c r="X367" i="13"/>
  <c r="Y409" i="13"/>
  <c r="X409" i="13"/>
  <c r="Y215" i="13"/>
  <c r="X215" i="13"/>
  <c r="Y67" i="13"/>
  <c r="X67" i="13"/>
  <c r="X99" i="13"/>
  <c r="Y99" i="13"/>
  <c r="X208" i="13"/>
  <c r="Y208" i="13"/>
  <c r="X364" i="13"/>
  <c r="Y364" i="13"/>
  <c r="Y330" i="13"/>
  <c r="X330" i="13"/>
  <c r="Y218" i="13"/>
  <c r="X218" i="13"/>
  <c r="Y217" i="13"/>
  <c r="X217" i="13"/>
  <c r="Y198" i="13"/>
  <c r="X198" i="13"/>
  <c r="X125" i="13"/>
  <c r="Y125" i="13"/>
  <c r="Y352" i="13"/>
  <c r="X352" i="13"/>
  <c r="Y379" i="13"/>
  <c r="X379" i="13"/>
  <c r="Y504" i="13"/>
  <c r="X504" i="13"/>
  <c r="Y544" i="13"/>
  <c r="X544" i="13"/>
  <c r="Y525" i="13"/>
  <c r="X525" i="13"/>
  <c r="Y402" i="13"/>
  <c r="X402" i="13"/>
  <c r="Y227" i="13"/>
  <c r="X227" i="13"/>
  <c r="X87" i="13"/>
  <c r="Y87" i="13"/>
  <c r="Y47" i="13"/>
  <c r="X47" i="13"/>
  <c r="Y291" i="13"/>
  <c r="X291" i="13"/>
  <c r="Y502" i="13"/>
  <c r="X502" i="13"/>
  <c r="Y558" i="13"/>
  <c r="X558" i="13"/>
  <c r="Y536" i="13"/>
  <c r="X536" i="13"/>
  <c r="X399" i="13"/>
  <c r="Y399" i="13"/>
  <c r="Y333" i="13"/>
  <c r="X333" i="13"/>
  <c r="Y268" i="13"/>
  <c r="X268" i="13"/>
  <c r="Y201" i="13"/>
  <c r="X201" i="13"/>
  <c r="Y151" i="13"/>
  <c r="X151" i="13"/>
  <c r="Y52" i="13"/>
  <c r="X52" i="13"/>
  <c r="Y61" i="13"/>
  <c r="X61" i="13"/>
  <c r="Y76" i="13"/>
  <c r="X76" i="13"/>
  <c r="X101" i="13"/>
  <c r="Y101" i="13"/>
  <c r="Y116" i="13"/>
  <c r="X116" i="13"/>
  <c r="X102" i="13"/>
  <c r="Y102" i="13"/>
  <c r="Y144" i="13"/>
  <c r="X144" i="13"/>
  <c r="Y156" i="13"/>
  <c r="X156" i="13"/>
  <c r="Y254" i="13"/>
  <c r="X254" i="13"/>
  <c r="Y286" i="13"/>
  <c r="X286" i="13"/>
  <c r="Y322" i="13"/>
  <c r="X322" i="13"/>
  <c r="Y342" i="13"/>
  <c r="X342" i="13"/>
  <c r="Y406" i="13"/>
  <c r="X406" i="13"/>
  <c r="X417" i="13"/>
  <c r="Y417" i="13"/>
  <c r="X415" i="13"/>
  <c r="Y415" i="13"/>
  <c r="Y446" i="13"/>
  <c r="X446" i="13"/>
  <c r="Y501" i="13"/>
  <c r="X501" i="13"/>
  <c r="Y547" i="13"/>
  <c r="X547" i="13"/>
  <c r="AC73" i="13"/>
  <c r="AC65" i="13"/>
  <c r="AC64" i="13"/>
  <c r="AC71" i="13"/>
  <c r="AC48" i="13"/>
  <c r="AC47" i="13"/>
  <c r="AC35" i="13"/>
  <c r="AC157" i="13"/>
  <c r="AC50" i="13"/>
  <c r="AC177" i="13"/>
  <c r="AC129" i="13"/>
  <c r="AC104" i="13"/>
  <c r="AC181" i="13"/>
  <c r="AC99" i="13"/>
  <c r="AC141" i="13"/>
  <c r="AC98" i="13"/>
  <c r="AC137" i="13"/>
  <c r="AC136" i="13"/>
  <c r="AC168" i="13"/>
  <c r="AC171" i="13"/>
  <c r="AC142" i="13"/>
  <c r="AC174" i="13"/>
  <c r="AC196" i="13"/>
  <c r="AC185" i="13"/>
  <c r="AC217" i="13"/>
  <c r="AC208" i="13"/>
  <c r="AC256" i="13"/>
  <c r="AC203" i="13"/>
  <c r="AC236" i="13"/>
  <c r="AC282" i="13"/>
  <c r="AC245" i="13"/>
  <c r="AC277" i="13"/>
  <c r="AC297" i="13"/>
  <c r="AC312" i="13"/>
  <c r="AC251" i="13"/>
  <c r="AC283" i="13"/>
  <c r="AC308" i="13"/>
  <c r="AC390" i="13"/>
  <c r="AC316" i="13"/>
  <c r="AC306" i="13"/>
  <c r="AC345" i="13"/>
  <c r="AC383" i="13"/>
  <c r="AC371" i="13"/>
  <c r="AC354" i="13"/>
  <c r="AC382" i="13"/>
  <c r="AC361" i="13"/>
  <c r="AC364" i="13"/>
  <c r="AC401" i="13"/>
  <c r="AC440" i="13"/>
  <c r="AC412" i="13"/>
  <c r="AC426" i="13"/>
  <c r="AC431" i="13"/>
  <c r="AC433" i="13"/>
  <c r="AC445" i="13"/>
  <c r="AC458" i="13"/>
  <c r="AC453" i="13"/>
  <c r="AC456" i="13"/>
  <c r="AC478" i="13"/>
  <c r="AC492" i="13"/>
  <c r="AC487" i="13"/>
  <c r="AC503" i="13"/>
  <c r="AC507" i="13"/>
  <c r="AC512" i="13"/>
  <c r="AC524" i="13"/>
  <c r="AC530" i="13"/>
  <c r="AC541" i="13"/>
  <c r="AC544" i="13"/>
  <c r="AC559" i="13"/>
  <c r="S531" i="13"/>
  <c r="R531" i="13"/>
  <c r="R7" i="13"/>
  <c r="S7" i="13"/>
  <c r="S423" i="13"/>
  <c r="R423" i="13"/>
  <c r="S357" i="13"/>
  <c r="R357" i="13"/>
  <c r="S223" i="13"/>
  <c r="R223" i="13"/>
  <c r="S164" i="13"/>
  <c r="R164" i="13"/>
  <c r="S71" i="13"/>
  <c r="R71" i="13"/>
  <c r="S488" i="13"/>
  <c r="R488" i="13"/>
  <c r="S288" i="13"/>
  <c r="R288" i="13"/>
  <c r="R472" i="13"/>
  <c r="S472" i="13"/>
  <c r="S374" i="13"/>
  <c r="R374" i="13"/>
  <c r="S254" i="13"/>
  <c r="R254" i="13"/>
  <c r="S203" i="13"/>
  <c r="R203" i="13"/>
  <c r="S334" i="13"/>
  <c r="R334" i="13"/>
  <c r="S519" i="13"/>
  <c r="R519" i="13"/>
  <c r="S473" i="13"/>
  <c r="R473" i="13"/>
  <c r="S329" i="13"/>
  <c r="R329" i="13"/>
  <c r="S174" i="13"/>
  <c r="R174" i="13"/>
  <c r="S180" i="13"/>
  <c r="R180" i="13"/>
  <c r="S79" i="13"/>
  <c r="R79" i="13"/>
  <c r="S438" i="13"/>
  <c r="R438" i="13"/>
  <c r="S306" i="13"/>
  <c r="R306" i="13"/>
  <c r="S198" i="13"/>
  <c r="R198" i="13"/>
  <c r="R40" i="13"/>
  <c r="S40" i="13"/>
  <c r="S394" i="13"/>
  <c r="R394" i="13"/>
  <c r="R515" i="13"/>
  <c r="S515" i="13"/>
  <c r="S436" i="13"/>
  <c r="R436" i="13"/>
  <c r="S325" i="13"/>
  <c r="R325" i="13"/>
  <c r="R170" i="13"/>
  <c r="S170" i="13"/>
  <c r="S38" i="13"/>
  <c r="R38" i="13"/>
  <c r="S101" i="13"/>
  <c r="R101" i="13"/>
  <c r="S535" i="13"/>
  <c r="R535" i="13"/>
  <c r="S432" i="13"/>
  <c r="R432" i="13"/>
  <c r="R264" i="13"/>
  <c r="S264" i="13"/>
  <c r="R209" i="13"/>
  <c r="S209" i="13"/>
  <c r="S156" i="13"/>
  <c r="R156" i="13"/>
  <c r="R57" i="13"/>
  <c r="S57" i="13"/>
  <c r="S46" i="13"/>
  <c r="R46" i="13"/>
  <c r="S35" i="13"/>
  <c r="R35" i="13"/>
  <c r="S23" i="13"/>
  <c r="R23" i="13"/>
  <c r="S56" i="13"/>
  <c r="R56" i="13"/>
  <c r="S52" i="13"/>
  <c r="R52" i="13"/>
  <c r="S68" i="13"/>
  <c r="R68" i="13"/>
  <c r="R118" i="13"/>
  <c r="S118" i="13"/>
  <c r="S211" i="13"/>
  <c r="R211" i="13"/>
  <c r="R111" i="13"/>
  <c r="S111" i="13"/>
  <c r="S169" i="13"/>
  <c r="R169" i="13"/>
  <c r="S187" i="13"/>
  <c r="R187" i="13"/>
  <c r="S171" i="13"/>
  <c r="R171" i="13"/>
  <c r="S259" i="13"/>
  <c r="R259" i="13"/>
  <c r="S275" i="13"/>
  <c r="R275" i="13"/>
  <c r="S239" i="13"/>
  <c r="R239" i="13"/>
  <c r="S287" i="13"/>
  <c r="R287" i="13"/>
  <c r="R291" i="13"/>
  <c r="S291" i="13"/>
  <c r="R308" i="13"/>
  <c r="S308" i="13"/>
  <c r="S375" i="13"/>
  <c r="R375" i="13"/>
  <c r="S387" i="13"/>
  <c r="R387" i="13"/>
  <c r="S402" i="13"/>
  <c r="R402" i="13"/>
  <c r="S399" i="13"/>
  <c r="R399" i="13"/>
  <c r="S425" i="13"/>
  <c r="R425" i="13"/>
  <c r="S429" i="13"/>
  <c r="R429" i="13"/>
  <c r="S437" i="13"/>
  <c r="R437" i="13"/>
  <c r="S459" i="13"/>
  <c r="R459" i="13"/>
  <c r="S486" i="13"/>
  <c r="R486" i="13"/>
  <c r="S498" i="13"/>
  <c r="R498" i="13"/>
  <c r="S494" i="13"/>
  <c r="R494" i="13"/>
  <c r="S512" i="13"/>
  <c r="R512" i="13"/>
  <c r="S539" i="13"/>
  <c r="R539" i="13"/>
  <c r="Y301" i="13"/>
  <c r="X301" i="13"/>
  <c r="Y280" i="13"/>
  <c r="X280" i="13"/>
  <c r="Y548" i="13"/>
  <c r="X548" i="13"/>
  <c r="X114" i="13"/>
  <c r="Y114" i="13"/>
  <c r="X203" i="13"/>
  <c r="Y203" i="13"/>
  <c r="X103" i="13"/>
  <c r="Y103" i="13"/>
  <c r="Y554" i="13"/>
  <c r="X554" i="13"/>
  <c r="Y50" i="13"/>
  <c r="X50" i="13"/>
  <c r="Y246" i="13"/>
  <c r="X246" i="13"/>
  <c r="X416" i="13"/>
  <c r="Y416" i="13"/>
  <c r="Y550" i="13"/>
  <c r="X550" i="13"/>
  <c r="AC94" i="13"/>
  <c r="AC397" i="13"/>
  <c r="S190" i="13"/>
  <c r="R190" i="13"/>
  <c r="R248" i="13"/>
  <c r="S248" i="13"/>
  <c r="S250" i="13"/>
  <c r="R250" i="13"/>
  <c r="S397" i="13"/>
  <c r="R397" i="13"/>
  <c r="S350" i="13"/>
  <c r="R350" i="13"/>
  <c r="R32" i="13"/>
  <c r="S32" i="13"/>
  <c r="S19" i="13"/>
  <c r="R19" i="13"/>
  <c r="AM11" i="13"/>
  <c r="W11" i="13"/>
  <c r="Z11" i="13"/>
  <c r="T11" i="13"/>
  <c r="Q11" i="13"/>
  <c r="S117" i="13"/>
  <c r="R117" i="13"/>
  <c r="R192" i="13"/>
  <c r="S192" i="13"/>
  <c r="S139" i="13"/>
  <c r="R139" i="13"/>
  <c r="S167" i="13"/>
  <c r="R167" i="13"/>
  <c r="R205" i="13"/>
  <c r="S205" i="13"/>
  <c r="S298" i="13"/>
  <c r="R298" i="13"/>
  <c r="R359" i="13"/>
  <c r="S359" i="13"/>
  <c r="S352" i="13"/>
  <c r="R352" i="13"/>
  <c r="S398" i="13"/>
  <c r="R398" i="13"/>
  <c r="R412" i="13"/>
  <c r="S412" i="13"/>
  <c r="S456" i="13"/>
  <c r="R456" i="13"/>
  <c r="X284" i="5"/>
  <c r="Y249" i="5"/>
  <c r="Y365" i="13"/>
  <c r="X365" i="13"/>
  <c r="Y229" i="13"/>
  <c r="X229" i="13"/>
  <c r="Y541" i="13"/>
  <c r="X541" i="13"/>
  <c r="X395" i="13"/>
  <c r="Y395" i="13"/>
  <c r="X362" i="13"/>
  <c r="Y362" i="13"/>
  <c r="X239" i="13"/>
  <c r="Y239" i="13"/>
  <c r="Y206" i="13"/>
  <c r="X206" i="13"/>
  <c r="X543" i="13"/>
  <c r="Y543" i="13"/>
  <c r="Y19" i="13"/>
  <c r="X19" i="13"/>
  <c r="X66" i="13"/>
  <c r="Y66" i="13"/>
  <c r="Y493" i="13"/>
  <c r="X493" i="13"/>
  <c r="X371" i="13"/>
  <c r="Y371" i="13"/>
  <c r="Y341" i="13"/>
  <c r="X341" i="13"/>
  <c r="Y264" i="13"/>
  <c r="X264" i="13"/>
  <c r="Y236" i="13"/>
  <c r="X236" i="13"/>
  <c r="Y175" i="13"/>
  <c r="X175" i="13"/>
  <c r="Y532" i="13"/>
  <c r="X532" i="13"/>
  <c r="Y46" i="13"/>
  <c r="X46" i="13"/>
  <c r="Y170" i="13"/>
  <c r="X170" i="13"/>
  <c r="Y539" i="13"/>
  <c r="X539" i="13"/>
  <c r="Y465" i="13"/>
  <c r="X465" i="13"/>
  <c r="Y424" i="13"/>
  <c r="X424" i="13"/>
  <c r="Y315" i="13"/>
  <c r="X315" i="13"/>
  <c r="X204" i="13"/>
  <c r="Y204" i="13"/>
  <c r="X58" i="13"/>
  <c r="Y58" i="13"/>
  <c r="Y37" i="13"/>
  <c r="X37" i="13"/>
  <c r="Y221" i="13"/>
  <c r="X221" i="13"/>
  <c r="X355" i="13"/>
  <c r="Y355" i="13"/>
  <c r="X267" i="13"/>
  <c r="Y267" i="13"/>
  <c r="X211" i="13"/>
  <c r="Y211" i="13"/>
  <c r="Y205" i="13"/>
  <c r="X205" i="13"/>
  <c r="Y171" i="13"/>
  <c r="X171" i="13"/>
  <c r="Y77" i="13"/>
  <c r="X77" i="13"/>
  <c r="X263" i="13"/>
  <c r="Y263" i="13"/>
  <c r="Y348" i="13"/>
  <c r="X348" i="13"/>
  <c r="Y508" i="13"/>
  <c r="X508" i="13"/>
  <c r="Y514" i="13"/>
  <c r="X514" i="13"/>
  <c r="Y491" i="13"/>
  <c r="X491" i="13"/>
  <c r="Y369" i="13"/>
  <c r="X369" i="13"/>
  <c r="Y200" i="13"/>
  <c r="X200" i="13"/>
  <c r="Y49" i="13"/>
  <c r="X49" i="13"/>
  <c r="X32" i="13"/>
  <c r="Y32" i="13"/>
  <c r="Y190" i="13"/>
  <c r="X190" i="13"/>
  <c r="Y492" i="13"/>
  <c r="X492" i="13"/>
  <c r="Y538" i="13"/>
  <c r="X538" i="13"/>
  <c r="Y520" i="13"/>
  <c r="X520" i="13"/>
  <c r="Y384" i="13"/>
  <c r="X384" i="13"/>
  <c r="Y317" i="13"/>
  <c r="X317" i="13"/>
  <c r="Y260" i="13"/>
  <c r="X260" i="13"/>
  <c r="X185" i="13"/>
  <c r="Y185" i="13"/>
  <c r="Y135" i="13"/>
  <c r="X135" i="13"/>
  <c r="Y33" i="13"/>
  <c r="X33" i="13"/>
  <c r="Y72" i="13"/>
  <c r="X72" i="13"/>
  <c r="Y93" i="13"/>
  <c r="X93" i="13"/>
  <c r="Y88" i="13"/>
  <c r="X88" i="13"/>
  <c r="Y176" i="13"/>
  <c r="X176" i="13"/>
  <c r="Y108" i="13"/>
  <c r="X108" i="13"/>
  <c r="Y186" i="13"/>
  <c r="X186" i="13"/>
  <c r="Y168" i="13"/>
  <c r="X168" i="13"/>
  <c r="Y262" i="13"/>
  <c r="X262" i="13"/>
  <c r="Y289" i="13"/>
  <c r="X289" i="13"/>
  <c r="Y319" i="13"/>
  <c r="X319" i="13"/>
  <c r="Y345" i="13"/>
  <c r="X345" i="13"/>
  <c r="Y374" i="13"/>
  <c r="X374" i="13"/>
  <c r="X418" i="13"/>
  <c r="Y418" i="13"/>
  <c r="Y450" i="13"/>
  <c r="X450" i="13"/>
  <c r="Y472" i="13"/>
  <c r="X472" i="13"/>
  <c r="X497" i="13"/>
  <c r="Y497" i="13"/>
  <c r="AC13" i="13"/>
  <c r="AC39" i="13"/>
  <c r="AC80" i="13"/>
  <c r="AC77" i="13"/>
  <c r="AC173" i="13"/>
  <c r="AC52" i="13"/>
  <c r="AC54" i="13"/>
  <c r="AC40" i="13"/>
  <c r="AC75" i="13"/>
  <c r="AC67" i="13"/>
  <c r="AC101" i="13"/>
  <c r="AC133" i="13"/>
  <c r="AC108" i="13"/>
  <c r="AC143" i="13"/>
  <c r="AC103" i="13"/>
  <c r="AC153" i="13"/>
  <c r="AC102" i="13"/>
  <c r="AC151" i="13"/>
  <c r="AC140" i="13"/>
  <c r="AC172" i="13"/>
  <c r="AC175" i="13"/>
  <c r="AC146" i="13"/>
  <c r="AC178" i="13"/>
  <c r="AC202" i="13"/>
  <c r="AC189" i="13"/>
  <c r="AC221" i="13"/>
  <c r="AC212" i="13"/>
  <c r="AC264" i="13"/>
  <c r="AC207" i="13"/>
  <c r="AC242" i="13"/>
  <c r="AC287" i="13"/>
  <c r="AC249" i="13"/>
  <c r="AC281" i="13"/>
  <c r="AC307" i="13"/>
  <c r="AC355" i="13"/>
  <c r="AC255" i="13"/>
  <c r="AC288" i="13"/>
  <c r="AC313" i="13"/>
  <c r="AC300" i="13"/>
  <c r="AC330" i="13"/>
  <c r="AC315" i="13"/>
  <c r="AC351" i="13"/>
  <c r="AC347" i="13"/>
  <c r="AC402" i="13"/>
  <c r="AC375" i="13"/>
  <c r="AC388" i="13"/>
  <c r="AC365" i="13"/>
  <c r="AC368" i="13"/>
  <c r="AC405" i="13"/>
  <c r="AC404" i="13"/>
  <c r="AC427" i="13"/>
  <c r="AC434" i="13"/>
  <c r="AC436" i="13"/>
  <c r="AC438" i="13"/>
  <c r="AC449" i="13"/>
  <c r="AC444" i="13"/>
  <c r="AC457" i="13"/>
  <c r="AC460" i="13"/>
  <c r="AC462" i="13"/>
  <c r="AC496" i="13"/>
  <c r="AC491" i="13"/>
  <c r="AC515" i="13"/>
  <c r="AC517" i="13"/>
  <c r="AC520" i="13"/>
  <c r="AC535" i="13"/>
  <c r="AC548" i="13"/>
  <c r="AC551" i="13"/>
  <c r="AC555" i="13"/>
  <c r="S421" i="13"/>
  <c r="R421" i="13"/>
  <c r="R560" i="13"/>
  <c r="S560" i="13"/>
  <c r="S381" i="13"/>
  <c r="R381" i="13"/>
  <c r="S318" i="13"/>
  <c r="R318" i="13"/>
  <c r="S233" i="13"/>
  <c r="R233" i="13"/>
  <c r="S148" i="13"/>
  <c r="R148" i="13"/>
  <c r="S36" i="13"/>
  <c r="R36" i="13"/>
  <c r="S358" i="13"/>
  <c r="R358" i="13"/>
  <c r="S281" i="13"/>
  <c r="R281" i="13"/>
  <c r="S485" i="13"/>
  <c r="R485" i="13"/>
  <c r="S362" i="13"/>
  <c r="R362" i="13"/>
  <c r="S229" i="13"/>
  <c r="R229" i="13"/>
  <c r="S81" i="13"/>
  <c r="R81" i="13"/>
  <c r="R166" i="13"/>
  <c r="S166" i="13"/>
  <c r="S537" i="13"/>
  <c r="R537" i="13"/>
  <c r="S440" i="13"/>
  <c r="R440" i="13"/>
  <c r="S389" i="13"/>
  <c r="R389" i="13"/>
  <c r="S158" i="13"/>
  <c r="R158" i="13"/>
  <c r="R106" i="13"/>
  <c r="S106" i="13"/>
  <c r="R51" i="13"/>
  <c r="S51" i="13"/>
  <c r="R419" i="13"/>
  <c r="S419" i="13"/>
  <c r="R256" i="13"/>
  <c r="S256" i="13"/>
  <c r="R186" i="13"/>
  <c r="S186" i="13"/>
  <c r="R48" i="13"/>
  <c r="S48" i="13"/>
  <c r="S246" i="13"/>
  <c r="R246" i="13"/>
  <c r="S552" i="13"/>
  <c r="R552" i="13"/>
  <c r="S465" i="13"/>
  <c r="R465" i="13"/>
  <c r="S382" i="13"/>
  <c r="R382" i="13"/>
  <c r="S154" i="13"/>
  <c r="R154" i="13"/>
  <c r="S25" i="13"/>
  <c r="R25" i="13"/>
  <c r="S160" i="13"/>
  <c r="R160" i="13"/>
  <c r="R544" i="13"/>
  <c r="S544" i="13"/>
  <c r="S401" i="13"/>
  <c r="R401" i="13"/>
  <c r="S270" i="13"/>
  <c r="R270" i="13"/>
  <c r="S258" i="13"/>
  <c r="R258" i="13"/>
  <c r="S136" i="13"/>
  <c r="R136" i="13"/>
  <c r="S47" i="13"/>
  <c r="R47" i="13"/>
  <c r="S49" i="13"/>
  <c r="R49" i="13"/>
  <c r="S28" i="13"/>
  <c r="R28" i="13"/>
  <c r="S62" i="13"/>
  <c r="R62" i="13"/>
  <c r="R87" i="13"/>
  <c r="S87" i="13"/>
  <c r="S75" i="13"/>
  <c r="R75" i="13"/>
  <c r="R91" i="13"/>
  <c r="S91" i="13"/>
  <c r="S131" i="13"/>
  <c r="R131" i="13"/>
  <c r="R115" i="13"/>
  <c r="S115" i="13"/>
  <c r="S181" i="13"/>
  <c r="R181" i="13"/>
  <c r="S195" i="13"/>
  <c r="R195" i="13"/>
  <c r="S175" i="13"/>
  <c r="R175" i="13"/>
  <c r="S271" i="13"/>
  <c r="R271" i="13"/>
  <c r="S360" i="13"/>
  <c r="R360" i="13"/>
  <c r="R231" i="13"/>
  <c r="S231" i="13"/>
  <c r="S295" i="13"/>
  <c r="R295" i="13"/>
  <c r="S323" i="13"/>
  <c r="R323" i="13"/>
  <c r="S327" i="13"/>
  <c r="R327" i="13"/>
  <c r="S364" i="13"/>
  <c r="R364" i="13"/>
  <c r="S324" i="13"/>
  <c r="R324" i="13"/>
  <c r="S348" i="13"/>
  <c r="R348" i="13"/>
  <c r="S427" i="13"/>
  <c r="R427" i="13"/>
  <c r="S447" i="13"/>
  <c r="R447" i="13"/>
  <c r="S462" i="13"/>
  <c r="R462" i="13"/>
  <c r="S441" i="13"/>
  <c r="R441" i="13"/>
  <c r="S460" i="13"/>
  <c r="R460" i="13"/>
  <c r="R471" i="13"/>
  <c r="S471" i="13"/>
  <c r="S479" i="13"/>
  <c r="R479" i="13"/>
  <c r="S504" i="13"/>
  <c r="R504" i="13"/>
  <c r="S528" i="13"/>
  <c r="R528" i="13"/>
  <c r="S551" i="13"/>
  <c r="R551" i="13"/>
  <c r="X62" i="13"/>
  <c r="Y62" i="13"/>
  <c r="X251" i="13"/>
  <c r="Y251" i="13"/>
  <c r="Y376" i="13"/>
  <c r="X376" i="13"/>
  <c r="Y360" i="13"/>
  <c r="X360" i="13"/>
  <c r="Y347" i="13"/>
  <c r="X347" i="13"/>
  <c r="Y132" i="13"/>
  <c r="X132" i="13"/>
  <c r="Y485" i="13"/>
  <c r="X485" i="13"/>
  <c r="S337" i="13"/>
  <c r="R337" i="13"/>
  <c r="S489" i="13"/>
  <c r="R489" i="13"/>
  <c r="S297" i="13"/>
  <c r="R297" i="13"/>
  <c r="S541" i="13"/>
  <c r="R541" i="13"/>
  <c r="S500" i="13"/>
  <c r="R500" i="13"/>
  <c r="Y49" i="5"/>
  <c r="Y288" i="13"/>
  <c r="X288" i="13"/>
  <c r="Y165" i="13"/>
  <c r="X165" i="13"/>
  <c r="X530" i="13"/>
  <c r="Y530" i="13"/>
  <c r="Y404" i="13"/>
  <c r="X404" i="13"/>
  <c r="Y303" i="13"/>
  <c r="X303" i="13"/>
  <c r="X302" i="13"/>
  <c r="Y302" i="13"/>
  <c r="Y127" i="13"/>
  <c r="X127" i="13"/>
  <c r="Y516" i="13"/>
  <c r="X516" i="13"/>
  <c r="Y560" i="13"/>
  <c r="X560" i="13"/>
  <c r="Y74" i="13"/>
  <c r="X74" i="13"/>
  <c r="Y490" i="13"/>
  <c r="X490" i="13"/>
  <c r="Y380" i="13"/>
  <c r="X380" i="13"/>
  <c r="Y325" i="13"/>
  <c r="X325" i="13"/>
  <c r="Y256" i="13"/>
  <c r="X256" i="13"/>
  <c r="Y209" i="13"/>
  <c r="X209" i="13"/>
  <c r="Y159" i="13"/>
  <c r="X159" i="13"/>
  <c r="Y515" i="13"/>
  <c r="X515" i="13"/>
  <c r="Y71" i="13"/>
  <c r="X71" i="13"/>
  <c r="Y39" i="13"/>
  <c r="X39" i="13"/>
  <c r="Y542" i="13"/>
  <c r="X542" i="13"/>
  <c r="X462" i="13"/>
  <c r="Y462" i="13"/>
  <c r="Y373" i="13"/>
  <c r="X373" i="13"/>
  <c r="Y299" i="13"/>
  <c r="X299" i="13"/>
  <c r="Y188" i="13"/>
  <c r="X188" i="13"/>
  <c r="Y26" i="13"/>
  <c r="X26" i="13"/>
  <c r="Y22" i="13"/>
  <c r="X22" i="13"/>
  <c r="Y552" i="13"/>
  <c r="X552" i="13"/>
  <c r="Y331" i="13"/>
  <c r="X331" i="13"/>
  <c r="Y318" i="13"/>
  <c r="X318" i="13"/>
  <c r="Y350" i="13"/>
  <c r="X350" i="13"/>
  <c r="Y189" i="13"/>
  <c r="X189" i="13"/>
  <c r="Y155" i="13"/>
  <c r="X155" i="13"/>
  <c r="Y55" i="13"/>
  <c r="X55" i="13"/>
  <c r="Y112" i="13"/>
  <c r="X112" i="13"/>
  <c r="Y224" i="13"/>
  <c r="X224" i="13"/>
  <c r="Y507" i="13"/>
  <c r="X507" i="13"/>
  <c r="Y519" i="13"/>
  <c r="X519" i="13"/>
  <c r="Y503" i="13"/>
  <c r="X503" i="13"/>
  <c r="Y390" i="13"/>
  <c r="X390" i="13"/>
  <c r="Y234" i="13"/>
  <c r="X234" i="13"/>
  <c r="Y142" i="13"/>
  <c r="X142" i="13"/>
  <c r="Y160" i="13"/>
  <c r="X160" i="13"/>
  <c r="Y152" i="13"/>
  <c r="X152" i="13"/>
  <c r="Y440" i="13"/>
  <c r="X440" i="13"/>
  <c r="Y482" i="13"/>
  <c r="X482" i="13"/>
  <c r="Y505" i="13"/>
  <c r="X505" i="13"/>
  <c r="Y372" i="13"/>
  <c r="X372" i="13"/>
  <c r="Y334" i="13"/>
  <c r="X334" i="13"/>
  <c r="Y252" i="13"/>
  <c r="X252" i="13"/>
  <c r="Y169" i="13"/>
  <c r="X169" i="13"/>
  <c r="X118" i="13"/>
  <c r="Y118" i="13"/>
  <c r="Y97" i="13"/>
  <c r="X97" i="13"/>
  <c r="X98" i="13"/>
  <c r="Y98" i="13"/>
  <c r="Y41" i="13"/>
  <c r="X41" i="13"/>
  <c r="X117" i="13"/>
  <c r="Y117" i="13"/>
  <c r="Y134" i="13"/>
  <c r="X134" i="13"/>
  <c r="X191" i="13"/>
  <c r="Y191" i="13"/>
  <c r="Y241" i="13"/>
  <c r="X241" i="13"/>
  <c r="Y242" i="13"/>
  <c r="X242" i="13"/>
  <c r="Y294" i="13"/>
  <c r="X294" i="13"/>
  <c r="Y285" i="13"/>
  <c r="X285" i="13"/>
  <c r="Y346" i="13"/>
  <c r="X346" i="13"/>
  <c r="Y385" i="13"/>
  <c r="X385" i="13"/>
  <c r="X419" i="13"/>
  <c r="Y419" i="13"/>
  <c r="Y454" i="13"/>
  <c r="X454" i="13"/>
  <c r="Y451" i="13"/>
  <c r="X451" i="13"/>
  <c r="Y513" i="13"/>
  <c r="X513" i="13"/>
  <c r="AC20" i="13"/>
  <c r="AC57" i="13"/>
  <c r="AC89" i="13"/>
  <c r="AC21" i="13"/>
  <c r="AC192" i="13"/>
  <c r="AC72" i="13"/>
  <c r="AC63" i="13"/>
  <c r="AC53" i="13"/>
  <c r="AC82" i="13"/>
  <c r="AC74" i="13"/>
  <c r="AC159" i="13"/>
  <c r="AC112" i="13"/>
  <c r="AC155" i="13"/>
  <c r="AC107" i="13"/>
  <c r="AC139" i="13"/>
  <c r="AC106" i="13"/>
  <c r="AC161" i="13"/>
  <c r="AC144" i="13"/>
  <c r="AC176" i="13"/>
  <c r="AC179" i="13"/>
  <c r="AC150" i="13"/>
  <c r="AC200" i="13"/>
  <c r="AC238" i="13"/>
  <c r="AC193" i="13"/>
  <c r="AC225" i="13"/>
  <c r="AC216" i="13"/>
  <c r="AC285" i="13"/>
  <c r="AC211" i="13"/>
  <c r="AC246" i="13"/>
  <c r="AC295" i="13"/>
  <c r="AC253" i="13"/>
  <c r="AC284" i="13"/>
  <c r="AC324" i="13"/>
  <c r="AC359" i="13"/>
  <c r="AC259" i="13"/>
  <c r="AC296" i="13"/>
  <c r="AC317" i="13"/>
  <c r="AC304" i="13"/>
  <c r="AC333" i="13"/>
  <c r="AC318" i="13"/>
  <c r="AC356" i="13"/>
  <c r="AC352" i="13"/>
  <c r="AC348" i="13"/>
  <c r="AC358" i="13"/>
  <c r="AC389" i="13"/>
  <c r="AC369" i="13"/>
  <c r="AC372" i="13"/>
  <c r="AC420" i="13"/>
  <c r="AC408" i="13"/>
  <c r="AC407" i="13"/>
  <c r="AC435" i="13"/>
  <c r="AC428" i="13"/>
  <c r="AC443" i="13"/>
  <c r="AC451" i="13"/>
  <c r="AC448" i="13"/>
  <c r="AC461" i="13"/>
  <c r="AC464" i="13"/>
  <c r="AC466" i="13"/>
  <c r="AC498" i="13"/>
  <c r="AC495" i="13"/>
  <c r="AC518" i="13"/>
  <c r="AC511" i="13"/>
  <c r="AC543" i="13"/>
  <c r="AC531" i="13"/>
  <c r="AC529" i="13"/>
  <c r="AC552" i="13"/>
  <c r="AC536" i="13"/>
  <c r="S409" i="13"/>
  <c r="R409" i="13"/>
  <c r="S507" i="13"/>
  <c r="R507" i="13"/>
  <c r="R420" i="13"/>
  <c r="S420" i="13"/>
  <c r="S319" i="13"/>
  <c r="R319" i="13"/>
  <c r="S282" i="13"/>
  <c r="R282" i="13"/>
  <c r="S93" i="13"/>
  <c r="R93" i="13"/>
  <c r="S24" i="13"/>
  <c r="R24" i="13"/>
  <c r="R252" i="13"/>
  <c r="S252" i="13"/>
  <c r="S207" i="13"/>
  <c r="R207" i="13"/>
  <c r="S446" i="13"/>
  <c r="R446" i="13"/>
  <c r="S300" i="13"/>
  <c r="R300" i="13"/>
  <c r="S221" i="13"/>
  <c r="R221" i="13"/>
  <c r="R108" i="13"/>
  <c r="S108" i="13"/>
  <c r="R523" i="13"/>
  <c r="S523" i="13"/>
  <c r="R556" i="13"/>
  <c r="S556" i="13"/>
  <c r="R457" i="13"/>
  <c r="S457" i="13"/>
  <c r="S309" i="13"/>
  <c r="R309" i="13"/>
  <c r="S274" i="13"/>
  <c r="R274" i="13"/>
  <c r="R142" i="13"/>
  <c r="S142" i="13"/>
  <c r="S496" i="13"/>
  <c r="R496" i="13"/>
  <c r="S385" i="13"/>
  <c r="R385" i="13"/>
  <c r="S277" i="13"/>
  <c r="R277" i="13"/>
  <c r="S210" i="13"/>
  <c r="R210" i="13"/>
  <c r="S97" i="13"/>
  <c r="R97" i="13"/>
  <c r="R232" i="13"/>
  <c r="S232" i="13"/>
  <c r="S558" i="13"/>
  <c r="R558" i="13"/>
  <c r="S434" i="13"/>
  <c r="R434" i="13"/>
  <c r="S305" i="13"/>
  <c r="R305" i="13"/>
  <c r="S238" i="13"/>
  <c r="R238" i="13"/>
  <c r="S547" i="13"/>
  <c r="R547" i="13"/>
  <c r="R55" i="13"/>
  <c r="S55" i="13"/>
  <c r="R527" i="13"/>
  <c r="S527" i="13"/>
  <c r="S361" i="13"/>
  <c r="R361" i="13"/>
  <c r="S278" i="13"/>
  <c r="R278" i="13"/>
  <c r="S230" i="13"/>
  <c r="R230" i="13"/>
  <c r="S140" i="13"/>
  <c r="R140" i="13"/>
  <c r="S30" i="13"/>
  <c r="R30" i="13"/>
  <c r="S53" i="13"/>
  <c r="R53" i="13"/>
  <c r="S60" i="13"/>
  <c r="R60" i="13"/>
  <c r="S58" i="13"/>
  <c r="R58" i="13"/>
  <c r="R99" i="13"/>
  <c r="S99" i="13"/>
  <c r="R103" i="13"/>
  <c r="S103" i="13"/>
  <c r="S82" i="13"/>
  <c r="R82" i="13"/>
  <c r="R122" i="13"/>
  <c r="S122" i="13"/>
  <c r="S157" i="13"/>
  <c r="R157" i="13"/>
  <c r="R119" i="13"/>
  <c r="S119" i="13"/>
  <c r="R188" i="13"/>
  <c r="S188" i="13"/>
  <c r="S147" i="13"/>
  <c r="R147" i="13"/>
  <c r="S179" i="13"/>
  <c r="R179" i="13"/>
  <c r="S283" i="13"/>
  <c r="R283" i="13"/>
  <c r="S279" i="13"/>
  <c r="R279" i="13"/>
  <c r="R235" i="13"/>
  <c r="S235" i="13"/>
  <c r="S299" i="13"/>
  <c r="R299" i="13"/>
  <c r="S331" i="13"/>
  <c r="R331" i="13"/>
  <c r="S343" i="13"/>
  <c r="R343" i="13"/>
  <c r="S379" i="13"/>
  <c r="R379" i="13"/>
  <c r="S328" i="13"/>
  <c r="R328" i="13"/>
  <c r="S386" i="13"/>
  <c r="R386" i="13"/>
  <c r="S368" i="13"/>
  <c r="R368" i="13"/>
  <c r="S413" i="13"/>
  <c r="R413" i="13"/>
  <c r="S435" i="13"/>
  <c r="R435" i="13"/>
  <c r="S445" i="13"/>
  <c r="R445" i="13"/>
  <c r="R470" i="13"/>
  <c r="S470" i="13"/>
  <c r="S464" i="13"/>
  <c r="R464" i="13"/>
  <c r="S483" i="13"/>
  <c r="R483" i="13"/>
  <c r="S514" i="13"/>
  <c r="R514" i="13"/>
  <c r="S516" i="13"/>
  <c r="R516" i="13"/>
  <c r="S549" i="13"/>
  <c r="R549" i="13"/>
  <c r="Y24" i="13"/>
  <c r="X24" i="13"/>
  <c r="Y197" i="13"/>
  <c r="X197" i="13"/>
  <c r="X109" i="13"/>
  <c r="Y109" i="13"/>
  <c r="X231" i="13"/>
  <c r="Y231" i="13"/>
  <c r="Y162" i="13"/>
  <c r="X162" i="13"/>
  <c r="Y478" i="13"/>
  <c r="X478" i="13"/>
  <c r="Y147" i="13"/>
  <c r="X147" i="13"/>
  <c r="Y75" i="13"/>
  <c r="X75" i="13"/>
  <c r="Y182" i="13"/>
  <c r="X182" i="13"/>
  <c r="X414" i="13"/>
  <c r="Y414" i="13"/>
  <c r="AC232" i="13"/>
  <c r="AC499" i="13"/>
  <c r="AC528" i="13"/>
  <c r="S442" i="13"/>
  <c r="R442" i="13"/>
  <c r="S369" i="13"/>
  <c r="R369" i="13"/>
  <c r="S484" i="13"/>
  <c r="R484" i="13"/>
  <c r="S430" i="13"/>
  <c r="R430" i="13"/>
  <c r="S341" i="13"/>
  <c r="R341" i="13"/>
  <c r="S132" i="13"/>
  <c r="R132" i="13"/>
  <c r="S466" i="13"/>
  <c r="R466" i="13"/>
  <c r="Y350" i="5"/>
  <c r="Y228" i="5"/>
  <c r="Y115" i="13"/>
  <c r="X115" i="13"/>
  <c r="Y163" i="13"/>
  <c r="X163" i="13"/>
  <c r="Y522" i="13"/>
  <c r="X522" i="13"/>
  <c r="Y388" i="13"/>
  <c r="X388" i="13"/>
  <c r="X287" i="13"/>
  <c r="Y287" i="13"/>
  <c r="Y219" i="13"/>
  <c r="X219" i="13"/>
  <c r="Y111" i="13"/>
  <c r="X111" i="13"/>
  <c r="Y477" i="13"/>
  <c r="X477" i="13"/>
  <c r="Y429" i="13"/>
  <c r="X429" i="13"/>
  <c r="Y36" i="13"/>
  <c r="X36" i="13"/>
  <c r="X475" i="13"/>
  <c r="Y475" i="13"/>
  <c r="X421" i="13"/>
  <c r="Y421" i="13"/>
  <c r="Y361" i="13"/>
  <c r="X361" i="13"/>
  <c r="Y248" i="13"/>
  <c r="X248" i="13"/>
  <c r="Y193" i="13"/>
  <c r="X193" i="13"/>
  <c r="Y143" i="13"/>
  <c r="X143" i="13"/>
  <c r="Y467" i="13"/>
  <c r="X467" i="13"/>
  <c r="Y84" i="13"/>
  <c r="X84" i="13"/>
  <c r="X31" i="13"/>
  <c r="Y31" i="13"/>
  <c r="X518" i="13"/>
  <c r="Y518" i="13"/>
  <c r="Y438" i="13"/>
  <c r="X438" i="13"/>
  <c r="X407" i="13"/>
  <c r="Y407" i="13"/>
  <c r="Y382" i="13"/>
  <c r="X382" i="13"/>
  <c r="Y137" i="13"/>
  <c r="X137" i="13"/>
  <c r="Y27" i="13"/>
  <c r="X27" i="13"/>
  <c r="X427" i="13"/>
  <c r="Y427" i="13"/>
  <c r="Y496" i="13"/>
  <c r="X496" i="13"/>
  <c r="Y344" i="13"/>
  <c r="X344" i="13"/>
  <c r="Y311" i="13"/>
  <c r="X311" i="13"/>
  <c r="Y228" i="13"/>
  <c r="X228" i="13"/>
  <c r="Y173" i="13"/>
  <c r="X173" i="13"/>
  <c r="Y139" i="13"/>
  <c r="X139" i="13"/>
  <c r="Y79" i="13"/>
  <c r="X79" i="13"/>
  <c r="Y51" i="13"/>
  <c r="X51" i="13"/>
  <c r="X181" i="13"/>
  <c r="Y181" i="13"/>
  <c r="Y488" i="13"/>
  <c r="X488" i="13"/>
  <c r="Y537" i="13"/>
  <c r="X537" i="13"/>
  <c r="X452" i="13"/>
  <c r="Y452" i="13"/>
  <c r="X327" i="13"/>
  <c r="Y327" i="13"/>
  <c r="X129" i="13"/>
  <c r="Y129" i="13"/>
  <c r="Y138" i="13"/>
  <c r="X138" i="13"/>
  <c r="Y7" i="13"/>
  <c r="X7" i="13"/>
  <c r="Y68" i="13"/>
  <c r="X68" i="13"/>
  <c r="Y269" i="13"/>
  <c r="X269" i="13"/>
  <c r="Y483" i="13"/>
  <c r="X483" i="13"/>
  <c r="Y484" i="13"/>
  <c r="X484" i="13"/>
  <c r="Y356" i="13"/>
  <c r="X356" i="13"/>
  <c r="Y363" i="13"/>
  <c r="X363" i="13"/>
  <c r="Y244" i="13"/>
  <c r="X244" i="13"/>
  <c r="Y153" i="13"/>
  <c r="X153" i="13"/>
  <c r="Y73" i="13"/>
  <c r="X73" i="13"/>
  <c r="X8" i="13"/>
  <c r="Y8" i="13"/>
  <c r="Y44" i="13"/>
  <c r="X44" i="13"/>
  <c r="Y42" i="13"/>
  <c r="X42" i="13"/>
  <c r="Y82" i="13"/>
  <c r="X82" i="13"/>
  <c r="Y120" i="13"/>
  <c r="X120" i="13"/>
  <c r="Y164" i="13"/>
  <c r="X164" i="13"/>
  <c r="X183" i="13"/>
  <c r="Y183" i="13"/>
  <c r="Y202" i="13"/>
  <c r="X202" i="13"/>
  <c r="X306" i="13"/>
  <c r="Y306" i="13"/>
  <c r="Y297" i="13"/>
  <c r="X297" i="13"/>
  <c r="Y290" i="13"/>
  <c r="X290" i="13"/>
  <c r="Y378" i="13"/>
  <c r="X378" i="13"/>
  <c r="Y393" i="13"/>
  <c r="X393" i="13"/>
  <c r="Y423" i="13"/>
  <c r="X423" i="13"/>
  <c r="Y458" i="13"/>
  <c r="X458" i="13"/>
  <c r="Y455" i="13"/>
  <c r="X455" i="13"/>
  <c r="Y511" i="13"/>
  <c r="X511" i="13"/>
  <c r="AC24" i="13"/>
  <c r="AC270" i="13"/>
  <c r="AC59" i="13"/>
  <c r="AC31" i="13"/>
  <c r="AC22" i="13"/>
  <c r="AC70" i="13"/>
  <c r="AC58" i="13"/>
  <c r="AC131" i="13"/>
  <c r="AC81" i="13"/>
  <c r="AC109" i="13"/>
  <c r="AC84" i="13"/>
  <c r="AC116" i="13"/>
  <c r="AC165" i="13"/>
  <c r="AC111" i="13"/>
  <c r="AC163" i="13"/>
  <c r="AC110" i="13"/>
  <c r="AC188" i="13"/>
  <c r="AC148" i="13"/>
  <c r="AC180" i="13"/>
  <c r="AC182" i="13"/>
  <c r="AC154" i="13"/>
  <c r="AC214" i="13"/>
  <c r="AC240" i="13"/>
  <c r="AC197" i="13"/>
  <c r="AC229" i="13"/>
  <c r="AC220" i="13"/>
  <c r="AC183" i="13"/>
  <c r="AC215" i="13"/>
  <c r="AC254" i="13"/>
  <c r="AC299" i="13"/>
  <c r="AC257" i="13"/>
  <c r="AC292" i="13"/>
  <c r="AC268" i="13"/>
  <c r="AC231" i="13"/>
  <c r="AC263" i="13"/>
  <c r="AC320" i="13"/>
  <c r="AC325" i="13"/>
  <c r="AC314" i="13"/>
  <c r="AC363" i="13"/>
  <c r="AC323" i="13"/>
  <c r="AC409" i="13"/>
  <c r="AC357" i="13"/>
  <c r="AC353" i="13"/>
  <c r="AC362" i="13"/>
  <c r="AC394" i="13"/>
  <c r="AC373" i="13"/>
  <c r="AC376" i="13"/>
  <c r="AC424" i="13"/>
  <c r="AC387" i="13"/>
  <c r="AC411" i="13"/>
  <c r="AC502" i="13"/>
  <c r="AC437" i="13"/>
  <c r="AC446" i="13"/>
  <c r="AC455" i="13"/>
  <c r="AC467" i="13"/>
  <c r="AC465" i="13"/>
  <c r="AC468" i="13"/>
  <c r="AC500" i="13"/>
  <c r="AC514" i="13"/>
  <c r="AC505" i="13"/>
  <c r="AC508" i="13"/>
  <c r="AC513" i="13"/>
  <c r="AC521" i="13"/>
  <c r="AC534" i="13"/>
  <c r="AC533" i="13"/>
  <c r="AC542" i="13"/>
  <c r="AC540" i="13"/>
  <c r="S12" i="13"/>
  <c r="R12" i="13"/>
  <c r="S342" i="13"/>
  <c r="R342" i="13"/>
  <c r="S491" i="13"/>
  <c r="R491" i="13"/>
  <c r="S390" i="13"/>
  <c r="R390" i="13"/>
  <c r="S313" i="13"/>
  <c r="R313" i="13"/>
  <c r="S178" i="13"/>
  <c r="R178" i="13"/>
  <c r="S113" i="13"/>
  <c r="R113" i="13"/>
  <c r="S76" i="13"/>
  <c r="R76" i="13"/>
  <c r="R234" i="13"/>
  <c r="S234" i="13"/>
  <c r="S67" i="13"/>
  <c r="R67" i="13"/>
  <c r="R428" i="13"/>
  <c r="S428" i="13"/>
  <c r="S284" i="13"/>
  <c r="R284" i="13"/>
  <c r="S213" i="13"/>
  <c r="R213" i="13"/>
  <c r="S27" i="13"/>
  <c r="R27" i="13"/>
  <c r="S273" i="13"/>
  <c r="R273" i="13"/>
  <c r="S548" i="13"/>
  <c r="R548" i="13"/>
  <c r="S426" i="13"/>
  <c r="R426" i="13"/>
  <c r="S351" i="13"/>
  <c r="R351" i="13"/>
  <c r="S199" i="13"/>
  <c r="R199" i="13"/>
  <c r="S138" i="13"/>
  <c r="R138" i="13"/>
  <c r="R33" i="13"/>
  <c r="S33" i="13"/>
  <c r="S410" i="13"/>
  <c r="R410" i="13"/>
  <c r="S269" i="13"/>
  <c r="R269" i="13"/>
  <c r="S152" i="13"/>
  <c r="R152" i="13"/>
  <c r="R64" i="13"/>
  <c r="S64" i="13"/>
  <c r="S63" i="13"/>
  <c r="R63" i="13"/>
  <c r="S550" i="13"/>
  <c r="R550" i="13"/>
  <c r="R400" i="13"/>
  <c r="S400" i="13"/>
  <c r="R276" i="13"/>
  <c r="S276" i="13"/>
  <c r="S74" i="13"/>
  <c r="R74" i="13"/>
  <c r="S533" i="13"/>
  <c r="R533" i="13"/>
  <c r="S304" i="13"/>
  <c r="R304" i="13"/>
  <c r="S480" i="13"/>
  <c r="R480" i="13"/>
  <c r="S338" i="13"/>
  <c r="R338" i="13"/>
  <c r="S266" i="13"/>
  <c r="R266" i="13"/>
  <c r="S222" i="13"/>
  <c r="R222" i="13"/>
  <c r="R96" i="13"/>
  <c r="S96" i="13"/>
  <c r="S8" i="13"/>
  <c r="R8" i="13"/>
  <c r="S66" i="13"/>
  <c r="R66" i="13"/>
  <c r="S65" i="13"/>
  <c r="R65" i="13"/>
  <c r="S77" i="13"/>
  <c r="R77" i="13"/>
  <c r="S137" i="13"/>
  <c r="R137" i="13"/>
  <c r="S69" i="13"/>
  <c r="R69" i="13"/>
  <c r="R83" i="13"/>
  <c r="S83" i="13"/>
  <c r="R129" i="13"/>
  <c r="S129" i="13"/>
  <c r="S177" i="13"/>
  <c r="R177" i="13"/>
  <c r="R123" i="13"/>
  <c r="S123" i="13"/>
  <c r="R204" i="13"/>
  <c r="S204" i="13"/>
  <c r="S151" i="13"/>
  <c r="R151" i="13"/>
  <c r="R208" i="13"/>
  <c r="S208" i="13"/>
  <c r="S189" i="13"/>
  <c r="R189" i="13"/>
  <c r="S212" i="13"/>
  <c r="R212" i="13"/>
  <c r="S247" i="13"/>
  <c r="R247" i="13"/>
  <c r="R303" i="13"/>
  <c r="S303" i="13"/>
  <c r="S312" i="13"/>
  <c r="R312" i="13"/>
  <c r="S316" i="13"/>
  <c r="R316" i="13"/>
  <c r="S356" i="13"/>
  <c r="R356" i="13"/>
  <c r="R332" i="13"/>
  <c r="S332" i="13"/>
  <c r="S391" i="13"/>
  <c r="R391" i="13"/>
  <c r="S372" i="13"/>
  <c r="R372" i="13"/>
  <c r="R414" i="13"/>
  <c r="S414" i="13"/>
  <c r="R422" i="13"/>
  <c r="S422" i="13"/>
  <c r="S449" i="13"/>
  <c r="R449" i="13"/>
  <c r="S450" i="13"/>
  <c r="R450" i="13"/>
  <c r="R468" i="13"/>
  <c r="S468" i="13"/>
  <c r="S487" i="13"/>
  <c r="R487" i="13"/>
  <c r="S502" i="13"/>
  <c r="R502" i="13"/>
  <c r="S520" i="13"/>
  <c r="R520" i="13"/>
  <c r="S555" i="13"/>
  <c r="R555" i="13"/>
  <c r="Y499" i="13"/>
  <c r="X499" i="13"/>
  <c r="Y517" i="13"/>
  <c r="X517" i="13"/>
  <c r="Y166" i="13"/>
  <c r="X166" i="13"/>
  <c r="X312" i="13"/>
  <c r="Y312" i="13"/>
  <c r="Y230" i="13"/>
  <c r="X230" i="13"/>
  <c r="Y509" i="13"/>
  <c r="X509" i="13"/>
  <c r="Y349" i="13"/>
  <c r="X349" i="13"/>
  <c r="Y232" i="13"/>
  <c r="X232" i="13"/>
  <c r="Y92" i="13"/>
  <c r="X92" i="13"/>
  <c r="Y397" i="13"/>
  <c r="X397" i="13"/>
  <c r="AC278" i="13"/>
  <c r="S370" i="13"/>
  <c r="R370" i="13"/>
  <c r="S378" i="13"/>
  <c r="R378" i="13"/>
  <c r="R61" i="13"/>
  <c r="S61" i="13"/>
  <c r="S477" i="13"/>
  <c r="R477" i="13"/>
  <c r="S293" i="13"/>
  <c r="R293" i="13"/>
  <c r="S490" i="13"/>
  <c r="R490" i="13"/>
  <c r="Y136" i="4"/>
  <c r="BX136" i="4" s="1"/>
  <c r="Y512" i="13"/>
  <c r="X512" i="13"/>
  <c r="X121" i="13"/>
  <c r="Y121" i="13"/>
  <c r="Y506" i="13"/>
  <c r="X506" i="13"/>
  <c r="Y375" i="13"/>
  <c r="X375" i="13"/>
  <c r="Y351" i="13"/>
  <c r="X351" i="13"/>
  <c r="Y192" i="13"/>
  <c r="X192" i="13"/>
  <c r="X95" i="13"/>
  <c r="Y95" i="13"/>
  <c r="X410" i="13"/>
  <c r="Y410" i="13"/>
  <c r="Y329" i="13"/>
  <c r="X329" i="13"/>
  <c r="X559" i="13"/>
  <c r="Y559" i="13"/>
  <c r="Y476" i="13"/>
  <c r="X476" i="13"/>
  <c r="X339" i="13"/>
  <c r="Y339" i="13"/>
  <c r="Y366" i="13"/>
  <c r="X366" i="13"/>
  <c r="Y405" i="13"/>
  <c r="X405" i="13"/>
  <c r="Y177" i="13"/>
  <c r="X177" i="13"/>
  <c r="Y128" i="13"/>
  <c r="X128" i="13"/>
  <c r="Y383" i="13"/>
  <c r="X383" i="13"/>
  <c r="Y494" i="13"/>
  <c r="X494" i="13"/>
  <c r="Y64" i="13"/>
  <c r="X64" i="13"/>
  <c r="Y523" i="13"/>
  <c r="X523" i="13"/>
  <c r="X403" i="13"/>
  <c r="Y403" i="13"/>
  <c r="Y420" i="13"/>
  <c r="X420" i="13"/>
  <c r="Y296" i="13"/>
  <c r="X296" i="13"/>
  <c r="Y123" i="13"/>
  <c r="X123" i="13"/>
  <c r="Y23" i="13"/>
  <c r="X23" i="13"/>
  <c r="Y422" i="13"/>
  <c r="X422" i="13"/>
  <c r="X456" i="13"/>
  <c r="Y456" i="13"/>
  <c r="Y328" i="13"/>
  <c r="X328" i="13"/>
  <c r="Y277" i="13"/>
  <c r="X277" i="13"/>
  <c r="Y220" i="13"/>
  <c r="X220" i="13"/>
  <c r="Y157" i="13"/>
  <c r="X157" i="13"/>
  <c r="Y194" i="13"/>
  <c r="X194" i="13"/>
  <c r="X40" i="13"/>
  <c r="Y40" i="13"/>
  <c r="Y553" i="13"/>
  <c r="X553" i="13"/>
  <c r="Y154" i="13"/>
  <c r="X154" i="13"/>
  <c r="Y439" i="13"/>
  <c r="X439" i="13"/>
  <c r="Y524" i="13"/>
  <c r="X524" i="13"/>
  <c r="Y441" i="13"/>
  <c r="X441" i="13"/>
  <c r="X295" i="13"/>
  <c r="Y295" i="13"/>
  <c r="X122" i="13"/>
  <c r="Y122" i="13"/>
  <c r="Y96" i="13"/>
  <c r="X96" i="13"/>
  <c r="Y28" i="13"/>
  <c r="X28" i="13"/>
  <c r="Y104" i="13"/>
  <c r="X104" i="13"/>
  <c r="Y216" i="13"/>
  <c r="X216" i="13"/>
  <c r="Y481" i="13"/>
  <c r="X481" i="13"/>
  <c r="Y470" i="13"/>
  <c r="X470" i="13"/>
  <c r="Y323" i="13"/>
  <c r="X323" i="13"/>
  <c r="X358" i="13"/>
  <c r="Y358" i="13"/>
  <c r="Y273" i="13"/>
  <c r="X273" i="13"/>
  <c r="X199" i="13"/>
  <c r="Y199" i="13"/>
  <c r="Y43" i="13"/>
  <c r="X43" i="13"/>
  <c r="Y78" i="13"/>
  <c r="X78" i="13"/>
  <c r="Y59" i="13"/>
  <c r="X59" i="13"/>
  <c r="Y70" i="13"/>
  <c r="X70" i="13"/>
  <c r="Y100" i="13"/>
  <c r="X100" i="13"/>
  <c r="X187" i="13"/>
  <c r="Y187" i="13"/>
  <c r="Y172" i="13"/>
  <c r="X172" i="13"/>
  <c r="X207" i="13"/>
  <c r="Y207" i="13"/>
  <c r="Y210" i="13"/>
  <c r="X210" i="13"/>
  <c r="Y250" i="13"/>
  <c r="X250" i="13"/>
  <c r="Y313" i="13"/>
  <c r="X313" i="13"/>
  <c r="Y293" i="13"/>
  <c r="X293" i="13"/>
  <c r="Y326" i="13"/>
  <c r="X326" i="13"/>
  <c r="Y398" i="13"/>
  <c r="X398" i="13"/>
  <c r="Y426" i="13"/>
  <c r="X426" i="13"/>
  <c r="Y453" i="13"/>
  <c r="X453" i="13"/>
  <c r="Y459" i="13"/>
  <c r="X459" i="13"/>
  <c r="Y521" i="13"/>
  <c r="X521" i="13"/>
  <c r="AC26" i="13"/>
  <c r="AC49" i="13"/>
  <c r="AC29" i="13"/>
  <c r="AC12" i="13"/>
  <c r="AC8" i="13"/>
  <c r="AC27" i="13"/>
  <c r="AC32" i="13"/>
  <c r="AC76" i="13"/>
  <c r="AC62" i="13"/>
  <c r="AC147" i="13"/>
  <c r="AC149" i="13"/>
  <c r="AC113" i="13"/>
  <c r="AC88" i="13"/>
  <c r="AC120" i="13"/>
  <c r="AC83" i="13"/>
  <c r="AC115" i="13"/>
  <c r="AC169" i="13"/>
  <c r="AC114" i="13"/>
  <c r="AC194" i="13"/>
  <c r="AC152" i="13"/>
  <c r="AC190" i="13"/>
  <c r="AC186" i="13"/>
  <c r="AC158" i="13"/>
  <c r="AC218" i="13"/>
  <c r="AC244" i="13"/>
  <c r="AC201" i="13"/>
  <c r="AC298" i="13"/>
  <c r="AC224" i="13"/>
  <c r="AC187" i="13"/>
  <c r="AC219" i="13"/>
  <c r="AC262" i="13"/>
  <c r="AC303" i="13"/>
  <c r="AC261" i="13"/>
  <c r="AC310" i="13"/>
  <c r="AC272" i="13"/>
  <c r="AC235" i="13"/>
  <c r="AC267" i="13"/>
  <c r="AC349" i="13"/>
  <c r="AC326" i="13"/>
  <c r="AC319" i="13"/>
  <c r="AC329" i="13"/>
  <c r="AC331" i="13"/>
  <c r="AC337" i="13"/>
  <c r="AC332" i="13"/>
  <c r="AC386" i="13"/>
  <c r="AC366" i="13"/>
  <c r="AC400" i="13"/>
  <c r="AC377" i="13"/>
  <c r="AC380" i="13"/>
  <c r="AC413" i="13"/>
  <c r="AC391" i="13"/>
  <c r="AC415" i="13"/>
  <c r="AC410" i="13"/>
  <c r="AC439" i="13"/>
  <c r="AC463" i="13"/>
  <c r="AC459" i="13"/>
  <c r="AC472" i="13"/>
  <c r="AC469" i="13"/>
  <c r="AC482" i="13"/>
  <c r="AC476" i="13"/>
  <c r="AC471" i="13"/>
  <c r="AC490" i="13"/>
  <c r="AC509" i="13"/>
  <c r="AC516" i="13"/>
  <c r="AC522" i="13"/>
  <c r="AC553" i="13"/>
  <c r="AC537" i="13"/>
  <c r="AC547" i="13"/>
  <c r="AC549" i="13"/>
  <c r="S13" i="13"/>
  <c r="R13" i="13"/>
  <c r="S249" i="13"/>
  <c r="R249" i="13"/>
  <c r="R525" i="13"/>
  <c r="S525" i="13"/>
  <c r="R353" i="13"/>
  <c r="S353" i="13"/>
  <c r="R260" i="13"/>
  <c r="S260" i="13"/>
  <c r="R162" i="13"/>
  <c r="S162" i="13"/>
  <c r="S90" i="13"/>
  <c r="R90" i="13"/>
  <c r="S554" i="13"/>
  <c r="R554" i="13"/>
  <c r="S150" i="13"/>
  <c r="R150" i="13"/>
  <c r="S176" i="13"/>
  <c r="R176" i="13"/>
  <c r="R404" i="13"/>
  <c r="S404" i="13"/>
  <c r="S314" i="13"/>
  <c r="R314" i="13"/>
  <c r="S226" i="13"/>
  <c r="R226" i="13"/>
  <c r="S50" i="13"/>
  <c r="R50" i="13"/>
  <c r="S109" i="13"/>
  <c r="R109" i="13"/>
  <c r="R510" i="13"/>
  <c r="S510" i="13"/>
  <c r="R392" i="13"/>
  <c r="S392" i="13"/>
  <c r="R268" i="13"/>
  <c r="S268" i="13"/>
  <c r="R182" i="13"/>
  <c r="S182" i="13"/>
  <c r="S98" i="13"/>
  <c r="R98" i="13"/>
  <c r="S481" i="13"/>
  <c r="R481" i="13"/>
  <c r="S296" i="13"/>
  <c r="R296" i="13"/>
  <c r="S261" i="13"/>
  <c r="R261" i="13"/>
  <c r="S134" i="13"/>
  <c r="R134" i="13"/>
  <c r="S536" i="13"/>
  <c r="R536" i="13"/>
  <c r="S521" i="13"/>
  <c r="R521" i="13"/>
  <c r="S529" i="13"/>
  <c r="R529" i="13"/>
  <c r="R418" i="13"/>
  <c r="S418" i="13"/>
  <c r="R244" i="13"/>
  <c r="S244" i="13"/>
  <c r="S125" i="13"/>
  <c r="R125" i="13"/>
  <c r="S508" i="13"/>
  <c r="R508" i="13"/>
  <c r="R272" i="13"/>
  <c r="S272" i="13"/>
  <c r="S493" i="13"/>
  <c r="R493" i="13"/>
  <c r="S292" i="13"/>
  <c r="R292" i="13"/>
  <c r="S237" i="13"/>
  <c r="R237" i="13"/>
  <c r="S214" i="13"/>
  <c r="R214" i="13"/>
  <c r="S128" i="13"/>
  <c r="R128" i="13"/>
  <c r="R126" i="13"/>
  <c r="S126" i="13"/>
  <c r="S73" i="13"/>
  <c r="R73" i="13"/>
  <c r="S80" i="13"/>
  <c r="R80" i="13"/>
  <c r="R110" i="13"/>
  <c r="S110" i="13"/>
  <c r="R34" i="13"/>
  <c r="S34" i="13"/>
  <c r="S85" i="13"/>
  <c r="R85" i="13"/>
  <c r="R107" i="13"/>
  <c r="S107" i="13"/>
  <c r="S135" i="13"/>
  <c r="R135" i="13"/>
  <c r="R196" i="13"/>
  <c r="S196" i="13"/>
  <c r="R127" i="13"/>
  <c r="S127" i="13"/>
  <c r="S242" i="13"/>
  <c r="R242" i="13"/>
  <c r="S155" i="13"/>
  <c r="R155" i="13"/>
  <c r="R200" i="13"/>
  <c r="S200" i="13"/>
  <c r="S193" i="13"/>
  <c r="R193" i="13"/>
  <c r="S216" i="13"/>
  <c r="R216" i="13"/>
  <c r="S255" i="13"/>
  <c r="R255" i="13"/>
  <c r="S286" i="13"/>
  <c r="R286" i="13"/>
  <c r="S320" i="13"/>
  <c r="R320" i="13"/>
  <c r="R363" i="13"/>
  <c r="S363" i="13"/>
  <c r="S367" i="13"/>
  <c r="R367" i="13"/>
  <c r="R336" i="13"/>
  <c r="S336" i="13"/>
  <c r="S403" i="13"/>
  <c r="R403" i="13"/>
  <c r="S376" i="13"/>
  <c r="R376" i="13"/>
  <c r="R415" i="13"/>
  <c r="S415" i="13"/>
  <c r="S431" i="13"/>
  <c r="R431" i="13"/>
  <c r="S451" i="13"/>
  <c r="R451" i="13"/>
  <c r="S454" i="13"/>
  <c r="R454" i="13"/>
  <c r="S482" i="13"/>
  <c r="R482" i="13"/>
  <c r="R497" i="13"/>
  <c r="S497" i="13"/>
  <c r="S505" i="13"/>
  <c r="R505" i="13"/>
  <c r="S524" i="13"/>
  <c r="R524" i="13"/>
  <c r="S559" i="13"/>
  <c r="R559" i="13"/>
  <c r="Y377" i="13"/>
  <c r="X377" i="13"/>
  <c r="Y436" i="13"/>
  <c r="X436" i="13"/>
  <c r="Y196" i="13"/>
  <c r="X196" i="13"/>
  <c r="Y80" i="13"/>
  <c r="X80" i="13"/>
  <c r="Y225" i="13"/>
  <c r="X225" i="13"/>
  <c r="Y531" i="13"/>
  <c r="X531" i="13"/>
  <c r="Y528" i="13"/>
  <c r="X528" i="13"/>
  <c r="Y167" i="13"/>
  <c r="X167" i="13"/>
  <c r="X113" i="13"/>
  <c r="Y113" i="13"/>
  <c r="X310" i="13"/>
  <c r="Y310" i="13"/>
  <c r="AC167" i="13"/>
  <c r="R54" i="13"/>
  <c r="S54" i="13"/>
  <c r="S495" i="13"/>
  <c r="R495" i="13"/>
  <c r="S540" i="13"/>
  <c r="R540" i="13"/>
  <c r="S366" i="13"/>
  <c r="R366" i="13"/>
  <c r="S262" i="13"/>
  <c r="R262" i="13"/>
  <c r="S217" i="13"/>
  <c r="R217" i="13"/>
  <c r="S518" i="13"/>
  <c r="R518" i="13"/>
  <c r="X320" i="5"/>
  <c r="Z136" i="4"/>
  <c r="Y12" i="13"/>
  <c r="X12" i="13"/>
  <c r="Y425" i="13"/>
  <c r="X425" i="13"/>
  <c r="Y20" i="13"/>
  <c r="X20" i="13"/>
  <c r="Y495" i="13"/>
  <c r="X495" i="13"/>
  <c r="Y368" i="13"/>
  <c r="X368" i="13"/>
  <c r="Y300" i="13"/>
  <c r="X300" i="13"/>
  <c r="X145" i="13"/>
  <c r="Y145" i="13"/>
  <c r="Y65" i="13"/>
  <c r="X65" i="13"/>
  <c r="Y381" i="13"/>
  <c r="X381" i="13"/>
  <c r="X283" i="13"/>
  <c r="Y283" i="13"/>
  <c r="Y545" i="13"/>
  <c r="X545" i="13"/>
  <c r="Y464" i="13"/>
  <c r="X464" i="13"/>
  <c r="Y359" i="13"/>
  <c r="X359" i="13"/>
  <c r="X259" i="13"/>
  <c r="Y259" i="13"/>
  <c r="Y281" i="13"/>
  <c r="X281" i="13"/>
  <c r="Y161" i="13"/>
  <c r="X161" i="13"/>
  <c r="X56" i="13"/>
  <c r="Y56" i="13"/>
  <c r="Y353" i="13"/>
  <c r="X353" i="13"/>
  <c r="X447" i="13"/>
  <c r="Y447" i="13"/>
  <c r="Y45" i="13"/>
  <c r="X45" i="13"/>
  <c r="Y489" i="13"/>
  <c r="X489" i="13"/>
  <c r="Y442" i="13"/>
  <c r="X442" i="13"/>
  <c r="X335" i="13"/>
  <c r="Y335" i="13"/>
  <c r="X279" i="13"/>
  <c r="Y279" i="13"/>
  <c r="X107" i="13"/>
  <c r="Y107" i="13"/>
  <c r="Y546" i="13"/>
  <c r="X546" i="13"/>
  <c r="Y357" i="13"/>
  <c r="X357" i="13"/>
  <c r="X469" i="13"/>
  <c r="Y469" i="13"/>
  <c r="Y308" i="13"/>
  <c r="X308" i="13"/>
  <c r="Y261" i="13"/>
  <c r="X261" i="13"/>
  <c r="Y212" i="13"/>
  <c r="X212" i="13"/>
  <c r="Y133" i="13"/>
  <c r="X133" i="13"/>
  <c r="X126" i="13"/>
  <c r="Y126" i="13"/>
  <c r="Y479" i="13"/>
  <c r="X479" i="13"/>
  <c r="Y480" i="13"/>
  <c r="X480" i="13"/>
  <c r="Y179" i="13"/>
  <c r="X179" i="13"/>
  <c r="Y448" i="13"/>
  <c r="X448" i="13"/>
  <c r="Y500" i="13"/>
  <c r="X500" i="13"/>
  <c r="Y396" i="13"/>
  <c r="X396" i="13"/>
  <c r="Y309" i="13"/>
  <c r="X309" i="13"/>
  <c r="Y148" i="13"/>
  <c r="X148" i="13"/>
  <c r="Y69" i="13"/>
  <c r="X69" i="13"/>
  <c r="Y431" i="13"/>
  <c r="X431" i="13"/>
  <c r="X30" i="13"/>
  <c r="Y30" i="13"/>
  <c r="Y213" i="13"/>
  <c r="X213" i="13"/>
  <c r="Y551" i="13"/>
  <c r="X551" i="13"/>
  <c r="Y435" i="13"/>
  <c r="X435" i="13"/>
  <c r="Y340" i="13"/>
  <c r="X340" i="13"/>
  <c r="X275" i="13"/>
  <c r="Y275" i="13"/>
  <c r="Y257" i="13"/>
  <c r="X257" i="13"/>
  <c r="Y174" i="13"/>
  <c r="X174" i="13"/>
  <c r="Y124" i="13"/>
  <c r="X124" i="13"/>
  <c r="X106" i="13"/>
  <c r="Y106" i="13"/>
  <c r="X86" i="13"/>
  <c r="Y86" i="13"/>
  <c r="Y38" i="13"/>
  <c r="X38" i="13"/>
  <c r="X105" i="13"/>
  <c r="Y105" i="13"/>
  <c r="X85" i="13"/>
  <c r="Y85" i="13"/>
  <c r="Y130" i="13"/>
  <c r="X130" i="13"/>
  <c r="Y266" i="13"/>
  <c r="X266" i="13"/>
  <c r="Y184" i="13"/>
  <c r="X184" i="13"/>
  <c r="Y258" i="13"/>
  <c r="X258" i="13"/>
  <c r="Y314" i="13"/>
  <c r="X314" i="13"/>
  <c r="Y298" i="13"/>
  <c r="X298" i="13"/>
  <c r="Y354" i="13"/>
  <c r="X354" i="13"/>
  <c r="Y412" i="13"/>
  <c r="X412" i="13"/>
  <c r="X411" i="13"/>
  <c r="Y411" i="13"/>
  <c r="X466" i="13"/>
  <c r="Y466" i="13"/>
  <c r="Y474" i="13"/>
  <c r="X474" i="13"/>
  <c r="Y533" i="13"/>
  <c r="X533" i="13"/>
  <c r="AC42" i="13"/>
  <c r="AC51" i="13"/>
  <c r="AC38" i="13"/>
  <c r="AC19" i="13"/>
  <c r="AC36" i="13"/>
  <c r="AC33" i="13"/>
  <c r="AC34" i="13"/>
  <c r="AC79" i="13"/>
  <c r="AC69" i="13"/>
  <c r="AC61" i="13"/>
  <c r="AC56" i="13"/>
  <c r="AC117" i="13"/>
  <c r="AC92" i="13"/>
  <c r="AC124" i="13"/>
  <c r="AC87" i="13"/>
  <c r="AC119" i="13"/>
  <c r="AC86" i="13"/>
  <c r="AC118" i="13"/>
  <c r="AC206" i="13"/>
  <c r="AC156" i="13"/>
  <c r="AC184" i="13"/>
  <c r="AC130" i="13"/>
  <c r="AC162" i="13"/>
  <c r="AC222" i="13"/>
  <c r="AC252" i="13"/>
  <c r="AC205" i="13"/>
  <c r="AC250" i="13"/>
  <c r="AC228" i="13"/>
  <c r="AC191" i="13"/>
  <c r="AC223" i="13"/>
  <c r="AC266" i="13"/>
  <c r="AC233" i="13"/>
  <c r="AC265" i="13"/>
  <c r="AC286" i="13"/>
  <c r="AC276" i="13"/>
  <c r="AC239" i="13"/>
  <c r="AC271" i="13"/>
  <c r="AC301" i="13"/>
  <c r="AC327" i="13"/>
  <c r="AC322" i="13"/>
  <c r="AC311" i="13"/>
  <c r="AC338" i="13"/>
  <c r="AC341" i="13"/>
  <c r="AC336" i="13"/>
  <c r="AC335" i="13"/>
  <c r="AC370" i="13"/>
  <c r="AC392" i="13"/>
  <c r="AC381" i="13"/>
  <c r="AC384" i="13"/>
  <c r="AC416" i="13"/>
  <c r="AC395" i="13"/>
  <c r="AC419" i="13"/>
  <c r="AC414" i="13"/>
  <c r="AC417" i="13"/>
  <c r="AC477" i="13"/>
  <c r="AC470" i="13"/>
  <c r="AC486" i="13"/>
  <c r="AC474" i="13"/>
  <c r="AC489" i="13"/>
  <c r="AC480" i="13"/>
  <c r="AC475" i="13"/>
  <c r="AC494" i="13"/>
  <c r="AC523" i="13"/>
  <c r="AC519" i="13"/>
  <c r="AC527" i="13"/>
  <c r="AC525" i="13"/>
  <c r="AC554" i="13"/>
  <c r="AC558" i="13"/>
  <c r="AC545" i="13"/>
  <c r="S474" i="13"/>
  <c r="R474" i="13"/>
  <c r="R236" i="13"/>
  <c r="S236" i="13"/>
  <c r="S476" i="13"/>
  <c r="R476" i="13"/>
  <c r="S333" i="13"/>
  <c r="R333" i="13"/>
  <c r="S301" i="13"/>
  <c r="R301" i="13"/>
  <c r="S202" i="13"/>
  <c r="R202" i="13"/>
  <c r="S112" i="13"/>
  <c r="R112" i="13"/>
  <c r="S542" i="13"/>
  <c r="R542" i="13"/>
  <c r="S499" i="13"/>
  <c r="R499" i="13"/>
  <c r="R104" i="13"/>
  <c r="S104" i="13"/>
  <c r="S424" i="13"/>
  <c r="R424" i="13"/>
  <c r="S285" i="13"/>
  <c r="R285" i="13"/>
  <c r="S218" i="13"/>
  <c r="R218" i="13"/>
  <c r="R45" i="13"/>
  <c r="S45" i="13"/>
  <c r="S41" i="13"/>
  <c r="R41" i="13"/>
  <c r="S513" i="13"/>
  <c r="R513" i="13"/>
  <c r="S377" i="13"/>
  <c r="R377" i="13"/>
  <c r="S405" i="13"/>
  <c r="R405" i="13"/>
  <c r="S172" i="13"/>
  <c r="R172" i="13"/>
  <c r="S72" i="13"/>
  <c r="R72" i="13"/>
  <c r="R396" i="13"/>
  <c r="S396" i="13"/>
  <c r="S330" i="13"/>
  <c r="R330" i="13"/>
  <c r="S253" i="13"/>
  <c r="R253" i="13"/>
  <c r="R86" i="13"/>
  <c r="S86" i="13"/>
  <c r="S517" i="13"/>
  <c r="R517" i="13"/>
  <c r="R240" i="13"/>
  <c r="S240" i="13"/>
  <c r="S506" i="13"/>
  <c r="R506" i="13"/>
  <c r="S373" i="13"/>
  <c r="R373" i="13"/>
  <c r="S311" i="13"/>
  <c r="R311" i="13"/>
  <c r="R88" i="13"/>
  <c r="S88" i="13"/>
  <c r="R321" i="13"/>
  <c r="S321" i="13"/>
  <c r="S257" i="13"/>
  <c r="R257" i="13"/>
  <c r="R408" i="13"/>
  <c r="S408" i="13"/>
  <c r="S345" i="13"/>
  <c r="R345" i="13"/>
  <c r="S241" i="13"/>
  <c r="R241" i="13"/>
  <c r="S206" i="13"/>
  <c r="R206" i="13"/>
  <c r="S120" i="13"/>
  <c r="R120" i="13"/>
  <c r="S94" i="13"/>
  <c r="R94" i="13"/>
  <c r="S105" i="13"/>
  <c r="R105" i="13"/>
  <c r="S89" i="13"/>
  <c r="R89" i="13"/>
  <c r="S21" i="13"/>
  <c r="R21" i="13"/>
  <c r="R42" i="13"/>
  <c r="S42" i="13"/>
  <c r="R95" i="13"/>
  <c r="S95" i="13"/>
  <c r="R114" i="13"/>
  <c r="S114" i="13"/>
  <c r="S149" i="13"/>
  <c r="R149" i="13"/>
  <c r="S145" i="13"/>
  <c r="R145" i="13"/>
  <c r="S141" i="13"/>
  <c r="R141" i="13"/>
  <c r="S183" i="13"/>
  <c r="R183" i="13"/>
  <c r="S159" i="13"/>
  <c r="R159" i="13"/>
  <c r="S267" i="13"/>
  <c r="R267" i="13"/>
  <c r="S197" i="13"/>
  <c r="R197" i="13"/>
  <c r="S220" i="13"/>
  <c r="R220" i="13"/>
  <c r="S263" i="13"/>
  <c r="R263" i="13"/>
  <c r="S294" i="13"/>
  <c r="R294" i="13"/>
  <c r="S339" i="13"/>
  <c r="R339" i="13"/>
  <c r="S310" i="13"/>
  <c r="R310" i="13"/>
  <c r="S383" i="13"/>
  <c r="R383" i="13"/>
  <c r="R340" i="13"/>
  <c r="S340" i="13"/>
  <c r="S395" i="13"/>
  <c r="R395" i="13"/>
  <c r="S380" i="13"/>
  <c r="R380" i="13"/>
  <c r="R416" i="13"/>
  <c r="S416" i="13"/>
  <c r="S439" i="13"/>
  <c r="R439" i="13"/>
  <c r="S452" i="13"/>
  <c r="R452" i="13"/>
  <c r="S458" i="13"/>
  <c r="R458" i="13"/>
  <c r="R475" i="13"/>
  <c r="S475" i="13"/>
  <c r="S522" i="13"/>
  <c r="R522" i="13"/>
  <c r="S530" i="13"/>
  <c r="R530" i="13"/>
  <c r="S534" i="13"/>
  <c r="R534" i="13"/>
  <c r="S553" i="13"/>
  <c r="R553" i="13"/>
  <c r="X534" i="13"/>
  <c r="Y534" i="13"/>
  <c r="Y274" i="13"/>
  <c r="X274" i="13"/>
  <c r="Y316" i="13"/>
  <c r="X316" i="13"/>
  <c r="X471" i="13"/>
  <c r="Y471" i="13"/>
  <c r="Y253" i="13"/>
  <c r="X253" i="13"/>
  <c r="X387" i="13"/>
  <c r="Y387" i="13"/>
  <c r="X255" i="13"/>
  <c r="Y255" i="13"/>
  <c r="Y437" i="13"/>
  <c r="X437" i="13"/>
  <c r="Y34" i="13"/>
  <c r="X34" i="13"/>
  <c r="Y278" i="13"/>
  <c r="X278" i="13"/>
  <c r="Y461" i="13"/>
  <c r="X461" i="13"/>
  <c r="AC274" i="13"/>
  <c r="R84" i="13"/>
  <c r="S84" i="13"/>
  <c r="S417" i="13"/>
  <c r="R417" i="13"/>
  <c r="S168" i="13"/>
  <c r="R168" i="13"/>
  <c r="R100" i="13"/>
  <c r="S100" i="13"/>
  <c r="R411" i="13"/>
  <c r="S411" i="13"/>
  <c r="S532" i="13"/>
  <c r="R532" i="13"/>
  <c r="X502" i="5"/>
  <c r="Y13" i="13"/>
  <c r="X13" i="13"/>
  <c r="Y430" i="13"/>
  <c r="X430" i="13"/>
  <c r="Y29" i="13"/>
  <c r="X29" i="13"/>
  <c r="Y487" i="13"/>
  <c r="X487" i="13"/>
  <c r="Y386" i="13"/>
  <c r="X386" i="13"/>
  <c r="Y284" i="13"/>
  <c r="X284" i="13"/>
  <c r="Y238" i="13"/>
  <c r="X238" i="13"/>
  <c r="X60" i="13"/>
  <c r="Y60" i="13"/>
  <c r="Y223" i="13"/>
  <c r="X223" i="13"/>
  <c r="Y226" i="13"/>
  <c r="X226" i="13"/>
  <c r="Y535" i="13"/>
  <c r="X535" i="13"/>
  <c r="Y443" i="13"/>
  <c r="X443" i="13"/>
  <c r="Y332" i="13"/>
  <c r="X332" i="13"/>
  <c r="X235" i="13"/>
  <c r="Y235" i="13"/>
  <c r="Y265" i="13"/>
  <c r="X265" i="13"/>
  <c r="X141" i="13"/>
  <c r="Y141" i="13"/>
  <c r="Y89" i="13"/>
  <c r="X89" i="13"/>
  <c r="X307" i="13"/>
  <c r="Y307" i="13"/>
  <c r="Y336" i="13"/>
  <c r="X336" i="13"/>
  <c r="Y556" i="13"/>
  <c r="X556" i="13"/>
  <c r="Y486" i="13"/>
  <c r="X486" i="13"/>
  <c r="Y400" i="13"/>
  <c r="X400" i="13"/>
  <c r="X394" i="13"/>
  <c r="Y394" i="13"/>
  <c r="X247" i="13"/>
  <c r="Y247" i="13"/>
  <c r="X91" i="13"/>
  <c r="Y91" i="13"/>
  <c r="Y304" i="13"/>
  <c r="X304" i="13"/>
  <c r="Y240" i="13"/>
  <c r="X240" i="13"/>
  <c r="X391" i="13"/>
  <c r="Y391" i="13"/>
  <c r="Y337" i="13"/>
  <c r="X337" i="13"/>
  <c r="Y245" i="13"/>
  <c r="X245" i="13"/>
  <c r="X233" i="13"/>
  <c r="Y233" i="13"/>
  <c r="Y178" i="13"/>
  <c r="X178" i="13"/>
  <c r="Y140" i="13"/>
  <c r="X140" i="13"/>
  <c r="Y433" i="13"/>
  <c r="X433" i="13"/>
  <c r="Y473" i="13"/>
  <c r="X473" i="13"/>
  <c r="Y555" i="13"/>
  <c r="X555" i="13"/>
  <c r="Y445" i="13"/>
  <c r="X445" i="13"/>
  <c r="Y527" i="13"/>
  <c r="X527" i="13"/>
  <c r="Y432" i="13"/>
  <c r="X432" i="13"/>
  <c r="Y292" i="13"/>
  <c r="X292" i="13"/>
  <c r="Y119" i="13"/>
  <c r="X119" i="13"/>
  <c r="X53" i="13"/>
  <c r="Y53" i="13"/>
  <c r="Y392" i="13"/>
  <c r="X392" i="13"/>
  <c r="Y540" i="13"/>
  <c r="X540" i="13"/>
  <c r="Y149" i="13"/>
  <c r="X149" i="13"/>
  <c r="Y557" i="13"/>
  <c r="X557" i="13"/>
  <c r="Y444" i="13"/>
  <c r="X444" i="13"/>
  <c r="Y324" i="13"/>
  <c r="X324" i="13"/>
  <c r="X243" i="13"/>
  <c r="Y243" i="13"/>
  <c r="Y214" i="13"/>
  <c r="X214" i="13"/>
  <c r="Y158" i="13"/>
  <c r="X158" i="13"/>
  <c r="Y81" i="13"/>
  <c r="X81" i="13"/>
  <c r="Y54" i="13"/>
  <c r="X54" i="13"/>
  <c r="Z9" i="13"/>
  <c r="Q9" i="13"/>
  <c r="AM9" i="13"/>
  <c r="W9" i="13"/>
  <c r="T9" i="13"/>
  <c r="X35" i="13"/>
  <c r="Y35" i="13"/>
  <c r="X110" i="13"/>
  <c r="Y110" i="13"/>
  <c r="X90" i="13"/>
  <c r="Y90" i="13"/>
  <c r="Y146" i="13"/>
  <c r="X146" i="13"/>
  <c r="Y180" i="13"/>
  <c r="X180" i="13"/>
  <c r="X195" i="13"/>
  <c r="Y195" i="13"/>
  <c r="Y282" i="13"/>
  <c r="X282" i="13"/>
  <c r="Y338" i="13"/>
  <c r="X338" i="13"/>
  <c r="Y401" i="13"/>
  <c r="X401" i="13"/>
  <c r="Y370" i="13"/>
  <c r="X370" i="13"/>
  <c r="Y434" i="13"/>
  <c r="X434" i="13"/>
  <c r="X413" i="13"/>
  <c r="Y413" i="13"/>
  <c r="Y457" i="13"/>
  <c r="X457" i="13"/>
  <c r="Y468" i="13"/>
  <c r="X468" i="13"/>
  <c r="Y529" i="13"/>
  <c r="X529" i="13"/>
  <c r="AC25" i="13"/>
  <c r="AC55" i="13"/>
  <c r="AC41" i="13"/>
  <c r="AC23" i="13"/>
  <c r="AC7" i="13"/>
  <c r="AC37" i="13"/>
  <c r="AC46" i="13"/>
  <c r="AC97" i="13"/>
  <c r="AC85" i="13"/>
  <c r="AC93" i="13"/>
  <c r="AC60" i="13"/>
  <c r="AC121" i="13"/>
  <c r="AC96" i="13"/>
  <c r="AC128" i="13"/>
  <c r="AC91" i="13"/>
  <c r="AC123" i="13"/>
  <c r="AC90" i="13"/>
  <c r="AC122" i="13"/>
  <c r="AC293" i="13"/>
  <c r="AC160" i="13"/>
  <c r="AC210" i="13"/>
  <c r="AC134" i="13"/>
  <c r="AC166" i="13"/>
  <c r="AC226" i="13"/>
  <c r="AC260" i="13"/>
  <c r="AC209" i="13"/>
  <c r="AC258" i="13"/>
  <c r="AC234" i="13"/>
  <c r="AC195" i="13"/>
  <c r="AC227" i="13"/>
  <c r="AC290" i="13"/>
  <c r="AC237" i="13"/>
  <c r="AC269" i="13"/>
  <c r="AC289" i="13"/>
  <c r="AC280" i="13"/>
  <c r="AC243" i="13"/>
  <c r="AC275" i="13"/>
  <c r="AC305" i="13"/>
  <c r="AC334" i="13"/>
  <c r="AC328" i="13"/>
  <c r="AC321" i="13"/>
  <c r="AC360" i="13"/>
  <c r="AC346" i="13"/>
  <c r="AC340" i="13"/>
  <c r="AC339" i="13"/>
  <c r="AC374" i="13"/>
  <c r="AC393" i="13"/>
  <c r="AC396" i="13"/>
  <c r="AC385" i="13"/>
  <c r="AC430" i="13"/>
  <c r="AC399" i="13"/>
  <c r="AC423" i="13"/>
  <c r="AC418" i="13"/>
  <c r="AC421" i="13"/>
  <c r="AC442" i="13"/>
  <c r="AC450" i="13"/>
  <c r="AC447" i="13"/>
  <c r="AC485" i="13"/>
  <c r="AC493" i="13"/>
  <c r="AC484" i="13"/>
  <c r="AC479" i="13"/>
  <c r="AC504" i="13"/>
  <c r="AC497" i="13"/>
  <c r="AC506" i="13"/>
  <c r="AC526" i="13"/>
  <c r="AC538" i="13"/>
  <c r="AC532" i="13"/>
  <c r="AC550" i="13"/>
  <c r="AC560" i="13"/>
  <c r="R461" i="13"/>
  <c r="S461" i="13"/>
  <c r="S116" i="13"/>
  <c r="R116" i="13"/>
  <c r="S444" i="13"/>
  <c r="R444" i="13"/>
  <c r="S317" i="13"/>
  <c r="R317" i="13"/>
  <c r="S302" i="13"/>
  <c r="R302" i="13"/>
  <c r="S191" i="13"/>
  <c r="R191" i="13"/>
  <c r="S78" i="13"/>
  <c r="R78" i="13"/>
  <c r="S511" i="13"/>
  <c r="R511" i="13"/>
  <c r="S469" i="13"/>
  <c r="R469" i="13"/>
  <c r="S501" i="13"/>
  <c r="R501" i="13"/>
  <c r="S393" i="13"/>
  <c r="R393" i="13"/>
  <c r="R280" i="13"/>
  <c r="S280" i="13"/>
  <c r="S144" i="13"/>
  <c r="R144" i="13"/>
  <c r="R448" i="13"/>
  <c r="S448" i="13"/>
  <c r="S546" i="13"/>
  <c r="R546" i="13"/>
  <c r="S492" i="13"/>
  <c r="R492" i="13"/>
  <c r="S365" i="13"/>
  <c r="R365" i="13"/>
  <c r="S219" i="13"/>
  <c r="R219" i="13"/>
  <c r="R146" i="13"/>
  <c r="S146" i="13"/>
  <c r="R59" i="13"/>
  <c r="S59" i="13"/>
  <c r="S543" i="13"/>
  <c r="R543" i="13"/>
  <c r="S322" i="13"/>
  <c r="R322" i="13"/>
  <c r="S245" i="13"/>
  <c r="R245" i="13"/>
  <c r="R92" i="13"/>
  <c r="S92" i="13"/>
  <c r="R453" i="13"/>
  <c r="S453" i="13"/>
  <c r="S265" i="13"/>
  <c r="R265" i="13"/>
  <c r="S503" i="13"/>
  <c r="R503" i="13"/>
  <c r="S349" i="13"/>
  <c r="R349" i="13"/>
  <c r="S215" i="13"/>
  <c r="R215" i="13"/>
  <c r="S124" i="13"/>
  <c r="R124" i="13"/>
  <c r="S227" i="13"/>
  <c r="R227" i="13"/>
  <c r="S538" i="13"/>
  <c r="R538" i="13"/>
  <c r="R388" i="13"/>
  <c r="S388" i="13"/>
  <c r="S326" i="13"/>
  <c r="R326" i="13"/>
  <c r="S225" i="13"/>
  <c r="R225" i="13"/>
  <c r="S194" i="13"/>
  <c r="R194" i="13"/>
  <c r="S44" i="13"/>
  <c r="R44" i="13"/>
  <c r="S133" i="13"/>
  <c r="R133" i="13"/>
  <c r="S31" i="13"/>
  <c r="R31" i="13"/>
  <c r="S26" i="13"/>
  <c r="R26" i="13"/>
  <c r="S39" i="13"/>
  <c r="R39" i="13"/>
  <c r="S37" i="13"/>
  <c r="R37" i="13"/>
  <c r="R102" i="13"/>
  <c r="S102" i="13"/>
  <c r="S121" i="13"/>
  <c r="R121" i="13"/>
  <c r="S173" i="13"/>
  <c r="R173" i="13"/>
  <c r="S143" i="13"/>
  <c r="R143" i="13"/>
  <c r="S153" i="13"/>
  <c r="R153" i="13"/>
  <c r="R184" i="13"/>
  <c r="S184" i="13"/>
  <c r="S163" i="13"/>
  <c r="R163" i="13"/>
  <c r="S243" i="13"/>
  <c r="R243" i="13"/>
  <c r="S201" i="13"/>
  <c r="R201" i="13"/>
  <c r="S224" i="13"/>
  <c r="R224" i="13"/>
  <c r="S290" i="13"/>
  <c r="R290" i="13"/>
  <c r="R307" i="13"/>
  <c r="S307" i="13"/>
  <c r="S355" i="13"/>
  <c r="R355" i="13"/>
  <c r="S335" i="13"/>
  <c r="R335" i="13"/>
  <c r="S347" i="13"/>
  <c r="R347" i="13"/>
  <c r="R344" i="13"/>
  <c r="S344" i="13"/>
  <c r="R407" i="13"/>
  <c r="S407" i="13"/>
  <c r="S384" i="13"/>
  <c r="R384" i="13"/>
  <c r="S433" i="13"/>
  <c r="R433" i="13"/>
  <c r="S443" i="13"/>
  <c r="R443" i="13"/>
  <c r="S455" i="13"/>
  <c r="R455" i="13"/>
  <c r="R467" i="13"/>
  <c r="S467" i="13"/>
  <c r="S478" i="13"/>
  <c r="R478" i="13"/>
  <c r="S526" i="13"/>
  <c r="R526" i="13"/>
  <c r="R509" i="13"/>
  <c r="S509" i="13"/>
  <c r="S545" i="13"/>
  <c r="R545" i="13"/>
  <c r="S557" i="13"/>
  <c r="R557" i="13"/>
  <c r="AU10" i="13"/>
  <c r="AT10" i="13"/>
  <c r="X12" i="5"/>
  <c r="AC320" i="5"/>
  <c r="AV320" i="5" s="1"/>
  <c r="R92" i="5"/>
  <c r="R534" i="5"/>
  <c r="R317" i="5"/>
  <c r="S305" i="5"/>
  <c r="S355" i="5"/>
  <c r="AC488" i="5"/>
  <c r="AV488" i="5" s="1"/>
  <c r="R477" i="5"/>
  <c r="R368" i="5"/>
  <c r="S469" i="5"/>
  <c r="R122" i="5"/>
  <c r="AC477" i="5"/>
  <c r="AV477" i="5" s="1"/>
  <c r="AW477" i="5" s="1"/>
  <c r="R259" i="5"/>
  <c r="AC559" i="5"/>
  <c r="AD559" i="5" s="1"/>
  <c r="S488" i="5"/>
  <c r="S489" i="5"/>
  <c r="AC489" i="5"/>
  <c r="AD489" i="5" s="1"/>
  <c r="R296" i="5"/>
  <c r="S266" i="5"/>
  <c r="R188" i="5"/>
  <c r="S371" i="5"/>
  <c r="S454" i="5"/>
  <c r="R20" i="5"/>
  <c r="R222" i="5"/>
  <c r="AC305" i="5"/>
  <c r="AV305" i="5" s="1"/>
  <c r="S444" i="5"/>
  <c r="AC188" i="5"/>
  <c r="AD188" i="5" s="1"/>
  <c r="AC317" i="5"/>
  <c r="AD317" i="5" s="1"/>
  <c r="R87" i="5"/>
  <c r="S384" i="5"/>
  <c r="R131" i="5"/>
  <c r="S211" i="5"/>
  <c r="R486" i="5"/>
  <c r="S261" i="5"/>
  <c r="R235" i="5"/>
  <c r="AC261" i="5"/>
  <c r="AD261" i="5" s="1"/>
  <c r="AC71" i="5"/>
  <c r="AD71" i="5" s="1"/>
  <c r="S365" i="5"/>
  <c r="X344" i="5"/>
  <c r="S268" i="5"/>
  <c r="X333" i="5"/>
  <c r="Y383" i="5"/>
  <c r="S424" i="5"/>
  <c r="X448" i="5"/>
  <c r="X89" i="5"/>
  <c r="X341" i="5"/>
  <c r="X33" i="5"/>
  <c r="AC373" i="5"/>
  <c r="AV373" i="5" s="1"/>
  <c r="AC361" i="5"/>
  <c r="AE361" i="5" s="1"/>
  <c r="AC159" i="5"/>
  <c r="AD159" i="5" s="1"/>
  <c r="Y238" i="5"/>
  <c r="Y45" i="5"/>
  <c r="Y244" i="5"/>
  <c r="X86" i="5"/>
  <c r="X288" i="5"/>
  <c r="R49" i="5"/>
  <c r="R196" i="5"/>
  <c r="Y419" i="5"/>
  <c r="Y207" i="5"/>
  <c r="S215" i="5"/>
  <c r="S185" i="5"/>
  <c r="X58" i="5"/>
  <c r="Y408" i="5"/>
  <c r="R295" i="5"/>
  <c r="S333" i="5"/>
  <c r="X403" i="5"/>
  <c r="S113" i="5"/>
  <c r="Y53" i="5"/>
  <c r="X466" i="5"/>
  <c r="Y336" i="5"/>
  <c r="R155" i="5"/>
  <c r="S252" i="5"/>
  <c r="Y442" i="5"/>
  <c r="AC366" i="5"/>
  <c r="AV366" i="5" s="1"/>
  <c r="AC108" i="5"/>
  <c r="AE108" i="5" s="1"/>
  <c r="S110" i="5"/>
  <c r="X187" i="5"/>
  <c r="S495" i="5"/>
  <c r="R547" i="5"/>
  <c r="AC353" i="5"/>
  <c r="AV353" i="5" s="1"/>
  <c r="X68" i="5"/>
  <c r="R373" i="5"/>
  <c r="AC202" i="5"/>
  <c r="AV202" i="5" s="1"/>
  <c r="AC97" i="5"/>
  <c r="AE97" i="5" s="1"/>
  <c r="Y82" i="5"/>
  <c r="Y375" i="5"/>
  <c r="Y365" i="5"/>
  <c r="X159" i="5"/>
  <c r="R536" i="5"/>
  <c r="R537" i="5"/>
  <c r="R90" i="5"/>
  <c r="S460" i="5"/>
  <c r="R278" i="5"/>
  <c r="S73" i="5"/>
  <c r="R217" i="5"/>
  <c r="X476" i="5"/>
  <c r="R289" i="5"/>
  <c r="AC24" i="5"/>
  <c r="AD24" i="5" s="1"/>
  <c r="S427" i="5"/>
  <c r="X361" i="5"/>
  <c r="Y435" i="5"/>
  <c r="R455" i="5"/>
  <c r="Y489" i="5"/>
  <c r="Y472" i="5"/>
  <c r="S68" i="5"/>
  <c r="R428" i="5"/>
  <c r="R468" i="5"/>
  <c r="S251" i="5"/>
  <c r="S544" i="5"/>
  <c r="X147" i="5"/>
  <c r="X325" i="5"/>
  <c r="AC263" i="5"/>
  <c r="AD263" i="5" s="1"/>
  <c r="AC552" i="5"/>
  <c r="AD552" i="5" s="1"/>
  <c r="AC60" i="5"/>
  <c r="AV60" i="5" s="1"/>
  <c r="AC468" i="5"/>
  <c r="AE468" i="5" s="1"/>
  <c r="R535" i="5"/>
  <c r="R51" i="5"/>
  <c r="AC39" i="5"/>
  <c r="AE39" i="5" s="1"/>
  <c r="Y361" i="5"/>
  <c r="Y159" i="5"/>
  <c r="R246" i="5"/>
  <c r="X444" i="5"/>
  <c r="R33" i="5"/>
  <c r="AC199" i="5"/>
  <c r="AE199" i="5" s="1"/>
  <c r="Y294" i="5"/>
  <c r="X240" i="5"/>
  <c r="Y539" i="5"/>
  <c r="R213" i="5"/>
  <c r="X489" i="5"/>
  <c r="Y552" i="5"/>
  <c r="X170" i="5"/>
  <c r="S373" i="5"/>
  <c r="X60" i="5"/>
  <c r="AC427" i="5"/>
  <c r="AV427" i="5" s="1"/>
  <c r="R301" i="5"/>
  <c r="X40" i="5"/>
  <c r="Y299" i="5"/>
  <c r="X300" i="5"/>
  <c r="R314" i="5"/>
  <c r="S38" i="5"/>
  <c r="R532" i="5"/>
  <c r="AC286" i="5"/>
  <c r="AV286" i="5" s="1"/>
  <c r="Y97" i="5"/>
  <c r="R557" i="5"/>
  <c r="Y60" i="5"/>
  <c r="AC328" i="5"/>
  <c r="AV328" i="5" s="1"/>
  <c r="AW328" i="5" s="1"/>
  <c r="AC215" i="5"/>
  <c r="AV215" i="5" s="1"/>
  <c r="AC343" i="5"/>
  <c r="AD343" i="5" s="1"/>
  <c r="AC522" i="5"/>
  <c r="AE522" i="5" s="1"/>
  <c r="R320" i="5"/>
  <c r="X263" i="5"/>
  <c r="Y199" i="5"/>
  <c r="R192" i="5"/>
  <c r="Y281" i="5"/>
  <c r="AC147" i="5"/>
  <c r="AV147" i="5" s="1"/>
  <c r="AW147" i="5" s="1"/>
  <c r="AC181" i="5"/>
  <c r="AV181" i="5" s="1"/>
  <c r="AW181" i="5" s="1"/>
  <c r="AC408" i="5"/>
  <c r="AV408" i="5" s="1"/>
  <c r="AC539" i="5"/>
  <c r="AE539" i="5" s="1"/>
  <c r="Y236" i="5"/>
  <c r="S231" i="5"/>
  <c r="S285" i="5"/>
  <c r="AC466" i="5"/>
  <c r="AD466" i="5" s="1"/>
  <c r="S320" i="5"/>
  <c r="R139" i="5"/>
  <c r="R41" i="5"/>
  <c r="Y242" i="5"/>
  <c r="Y433" i="5"/>
  <c r="S136" i="5"/>
  <c r="R485" i="5"/>
  <c r="Y328" i="5"/>
  <c r="Y443" i="5"/>
  <c r="X252" i="5"/>
  <c r="R552" i="5"/>
  <c r="R70" i="5"/>
  <c r="X514" i="5"/>
  <c r="Y540" i="5"/>
  <c r="X549" i="5"/>
  <c r="S431" i="5"/>
  <c r="R239" i="5"/>
  <c r="AC403" i="5"/>
  <c r="AD403" i="5" s="1"/>
  <c r="X175" i="5"/>
  <c r="X363" i="5"/>
  <c r="Y396" i="5"/>
  <c r="R105" i="5"/>
  <c r="Y142" i="5"/>
  <c r="X149" i="5"/>
  <c r="S60" i="5"/>
  <c r="AC288" i="5"/>
  <c r="AD288" i="5" s="1"/>
  <c r="AC281" i="5"/>
  <c r="AD281" i="5" s="1"/>
  <c r="X223" i="5"/>
  <c r="R446" i="5"/>
  <c r="S108" i="5"/>
  <c r="X507" i="5"/>
  <c r="R24" i="5"/>
  <c r="Y417" i="5"/>
  <c r="R37" i="5"/>
  <c r="R97" i="5"/>
  <c r="S61" i="5"/>
  <c r="X35" i="5"/>
  <c r="Y366" i="5"/>
  <c r="S78" i="5"/>
  <c r="Y286" i="5"/>
  <c r="R64" i="5"/>
  <c r="R190" i="5"/>
  <c r="X194" i="5"/>
  <c r="S551" i="5"/>
  <c r="AC435" i="5"/>
  <c r="AV435" i="5" s="1"/>
  <c r="AC242" i="5"/>
  <c r="AD242" i="5" s="1"/>
  <c r="AC240" i="5"/>
  <c r="AD240" i="5" s="1"/>
  <c r="AC316" i="5"/>
  <c r="AV316" i="5" s="1"/>
  <c r="AC396" i="5"/>
  <c r="AV396" i="5" s="1"/>
  <c r="AC35" i="5"/>
  <c r="AD35" i="5" s="1"/>
  <c r="Y353" i="5"/>
  <c r="X316" i="5"/>
  <c r="S348" i="5"/>
  <c r="AC252" i="5"/>
  <c r="AD252" i="5" s="1"/>
  <c r="X125" i="5"/>
  <c r="S158" i="5"/>
  <c r="R160" i="5"/>
  <c r="X24" i="5"/>
  <c r="X22" i="5"/>
  <c r="R343" i="5"/>
  <c r="R306" i="5"/>
  <c r="S522" i="5"/>
  <c r="X364" i="5"/>
  <c r="Y326" i="5"/>
  <c r="S35" i="5"/>
  <c r="R509" i="5"/>
  <c r="X156" i="5"/>
  <c r="Z131" i="4"/>
  <c r="Y181" i="5"/>
  <c r="R449" i="5"/>
  <c r="X193" i="5"/>
  <c r="X71" i="5"/>
  <c r="S199" i="5"/>
  <c r="R521" i="5"/>
  <c r="Y500" i="5"/>
  <c r="S331" i="5"/>
  <c r="R180" i="5"/>
  <c r="AC53" i="5"/>
  <c r="AV53" i="5" s="1"/>
  <c r="AC156" i="5"/>
  <c r="AV156" i="5" s="1"/>
  <c r="AC196" i="5"/>
  <c r="AE196" i="5" s="1"/>
  <c r="S212" i="5"/>
  <c r="Y261" i="5"/>
  <c r="AC68" i="5"/>
  <c r="AD68" i="5" s="1"/>
  <c r="S86" i="5"/>
  <c r="R475" i="5"/>
  <c r="S334" i="5"/>
  <c r="S356" i="5"/>
  <c r="S29" i="5"/>
  <c r="X201" i="5"/>
  <c r="S143" i="5"/>
  <c r="S524" i="5"/>
  <c r="Y410" i="5"/>
  <c r="Y309" i="5"/>
  <c r="S501" i="5"/>
  <c r="Y548" i="5"/>
  <c r="S141" i="5"/>
  <c r="S407" i="5"/>
  <c r="S132" i="5"/>
  <c r="Y101" i="5"/>
  <c r="S83" i="5"/>
  <c r="R550" i="5"/>
  <c r="R458" i="5"/>
  <c r="X544" i="5"/>
  <c r="R273" i="5"/>
  <c r="S117" i="5"/>
  <c r="R270" i="5"/>
  <c r="S523" i="5"/>
  <c r="S399" i="5"/>
  <c r="S294" i="5"/>
  <c r="S111" i="5"/>
  <c r="AC375" i="5"/>
  <c r="AV375" i="5" s="1"/>
  <c r="R283" i="5"/>
  <c r="R463" i="5"/>
  <c r="AC283" i="5"/>
  <c r="AV283" i="5" s="1"/>
  <c r="AC536" i="5"/>
  <c r="AV536" i="5" s="1"/>
  <c r="AC270" i="5"/>
  <c r="AD270" i="5" s="1"/>
  <c r="AC475" i="5"/>
  <c r="AD475" i="5" s="1"/>
  <c r="AC278" i="5"/>
  <c r="AV278" i="5" s="1"/>
  <c r="AC41" i="5"/>
  <c r="AV41" i="5" s="1"/>
  <c r="X335" i="5"/>
  <c r="X522" i="5"/>
  <c r="R203" i="5"/>
  <c r="S439" i="5"/>
  <c r="Y455" i="5"/>
  <c r="X215" i="5"/>
  <c r="S219" i="5"/>
  <c r="X404" i="5"/>
  <c r="S202" i="5"/>
  <c r="S254" i="5"/>
  <c r="Y220" i="5"/>
  <c r="X224" i="5"/>
  <c r="S403" i="5"/>
  <c r="R55" i="5"/>
  <c r="AC368" i="5"/>
  <c r="AD368" i="5" s="1"/>
  <c r="Y369" i="5"/>
  <c r="Y522" i="5"/>
  <c r="R478" i="5"/>
  <c r="AC348" i="5"/>
  <c r="AD348" i="5" s="1"/>
  <c r="X538" i="5"/>
  <c r="Y348" i="5"/>
  <c r="R483" i="5"/>
  <c r="R297" i="5"/>
  <c r="R337" i="5"/>
  <c r="S72" i="5"/>
  <c r="AC544" i="5"/>
  <c r="AD544" i="5" s="1"/>
  <c r="X270" i="5"/>
  <c r="Y215" i="5"/>
  <c r="Y418" i="5"/>
  <c r="S96" i="5"/>
  <c r="Y287" i="5"/>
  <c r="X271" i="5"/>
  <c r="R207" i="5"/>
  <c r="AC83" i="5"/>
  <c r="AE83" i="5" s="1"/>
  <c r="Y107" i="5"/>
  <c r="Y359" i="5"/>
  <c r="X304" i="5"/>
  <c r="AC107" i="5"/>
  <c r="AD107" i="5" s="1"/>
  <c r="Y177" i="5"/>
  <c r="Y473" i="5"/>
  <c r="Y354" i="5"/>
  <c r="Y343" i="5"/>
  <c r="S497" i="5"/>
  <c r="R202" i="5"/>
  <c r="Y457" i="5"/>
  <c r="R279" i="5"/>
  <c r="AC29" i="5"/>
  <c r="AD29" i="5" s="1"/>
  <c r="X278" i="5"/>
  <c r="Y64" i="5"/>
  <c r="AC201" i="5"/>
  <c r="AD201" i="5" s="1"/>
  <c r="Y536" i="5"/>
  <c r="X221" i="5"/>
  <c r="Y368" i="5"/>
  <c r="R268" i="5"/>
  <c r="AC455" i="5"/>
  <c r="AD455" i="5" s="1"/>
  <c r="X283" i="5"/>
  <c r="Y270" i="5"/>
  <c r="R96" i="5"/>
  <c r="R399" i="5"/>
  <c r="AC322" i="5"/>
  <c r="AD322" i="5" s="1"/>
  <c r="AC333" i="5"/>
  <c r="AD333" i="5" s="1"/>
  <c r="X343" i="5"/>
  <c r="AC512" i="5"/>
  <c r="AV512" i="5" s="1"/>
  <c r="AC410" i="5"/>
  <c r="AE410" i="5" s="1"/>
  <c r="AC262" i="5"/>
  <c r="AE262" i="5" s="1"/>
  <c r="S191" i="5"/>
  <c r="Y426" i="5"/>
  <c r="Y186" i="5"/>
  <c r="R85" i="5"/>
  <c r="AC294" i="5"/>
  <c r="AE294" i="5" s="1"/>
  <c r="Y503" i="5"/>
  <c r="X498" i="5"/>
  <c r="X32" i="5"/>
  <c r="R39" i="5"/>
  <c r="X474" i="5"/>
  <c r="X505" i="5"/>
  <c r="X122" i="5"/>
  <c r="R555" i="5"/>
  <c r="Y553" i="5"/>
  <c r="X441" i="5"/>
  <c r="Y200" i="5"/>
  <c r="S201" i="5"/>
  <c r="AC76" i="5"/>
  <c r="AD76" i="5" s="1"/>
  <c r="AC335" i="5"/>
  <c r="AE335" i="5" s="1"/>
  <c r="AC72" i="5"/>
  <c r="AD72" i="5" s="1"/>
  <c r="S129" i="5"/>
  <c r="X302" i="5"/>
  <c r="AC246" i="5"/>
  <c r="AE246" i="5" s="1"/>
  <c r="X534" i="5"/>
  <c r="Y76" i="5"/>
  <c r="Y157" i="5"/>
  <c r="AC207" i="5"/>
  <c r="AV207" i="5" s="1"/>
  <c r="X41" i="5"/>
  <c r="R445" i="5"/>
  <c r="AC534" i="5"/>
  <c r="AD534" i="5" s="1"/>
  <c r="S39" i="5"/>
  <c r="Y290" i="5"/>
  <c r="R375" i="5"/>
  <c r="AC551" i="5"/>
  <c r="AV551" i="5" s="1"/>
  <c r="X387" i="5"/>
  <c r="X512" i="5"/>
  <c r="S555" i="5"/>
  <c r="X551" i="5"/>
  <c r="X128" i="5"/>
  <c r="X322" i="5"/>
  <c r="X262" i="5"/>
  <c r="R209" i="5"/>
  <c r="AC287" i="5"/>
  <c r="AD287" i="5" s="1"/>
  <c r="AC404" i="5"/>
  <c r="AE404" i="5" s="1"/>
  <c r="AC203" i="5"/>
  <c r="AE203" i="5" s="1"/>
  <c r="Y475" i="5"/>
  <c r="R433" i="5"/>
  <c r="S208" i="5"/>
  <c r="R400" i="5"/>
  <c r="S328" i="5"/>
  <c r="Y41" i="5"/>
  <c r="X152" i="5"/>
  <c r="AC433" i="5"/>
  <c r="AV433" i="5" s="1"/>
  <c r="X96" i="5"/>
  <c r="R389" i="5"/>
  <c r="R115" i="5"/>
  <c r="X303" i="5"/>
  <c r="S166" i="5"/>
  <c r="S59" i="5"/>
  <c r="Y169" i="5"/>
  <c r="S227" i="5"/>
  <c r="R46" i="5"/>
  <c r="Y98" i="5"/>
  <c r="R107" i="5"/>
  <c r="S397" i="5"/>
  <c r="Y246" i="5"/>
  <c r="AC478" i="5"/>
  <c r="AV478" i="5" s="1"/>
  <c r="AW478" i="5" s="1"/>
  <c r="R328" i="5"/>
  <c r="Y278" i="5"/>
  <c r="X536" i="5"/>
  <c r="Y420" i="5"/>
  <c r="S379" i="5"/>
  <c r="S506" i="5"/>
  <c r="Y197" i="5"/>
  <c r="S249" i="5"/>
  <c r="S322" i="5"/>
  <c r="S255" i="5"/>
  <c r="S436" i="5"/>
  <c r="R382" i="5"/>
  <c r="AC200" i="5"/>
  <c r="AV200" i="5" s="1"/>
  <c r="AC304" i="5"/>
  <c r="AD304" i="5" s="1"/>
  <c r="AC354" i="5"/>
  <c r="AD354" i="5" s="1"/>
  <c r="AC128" i="5"/>
  <c r="AE128" i="5" s="1"/>
  <c r="AC418" i="5"/>
  <c r="AV418" i="5" s="1"/>
  <c r="AC445" i="5"/>
  <c r="AV445" i="5" s="1"/>
  <c r="AC273" i="5"/>
  <c r="AV273" i="5" s="1"/>
  <c r="X276" i="5"/>
  <c r="AC443" i="5"/>
  <c r="AE443" i="5" s="1"/>
  <c r="X190" i="5"/>
  <c r="AC192" i="5"/>
  <c r="AV192" i="5" s="1"/>
  <c r="AC122" i="5"/>
  <c r="AD122" i="5" s="1"/>
  <c r="AC133" i="5"/>
  <c r="AV133" i="5" s="1"/>
  <c r="Y37" i="5"/>
  <c r="S89" i="5"/>
  <c r="R310" i="5"/>
  <c r="S340" i="5"/>
  <c r="AC371" i="5"/>
  <c r="AE371" i="5" s="1"/>
  <c r="Y230" i="5"/>
  <c r="X233" i="5"/>
  <c r="X140" i="5"/>
  <c r="S48" i="5"/>
  <c r="R452" i="5"/>
  <c r="R467" i="5"/>
  <c r="S451" i="5"/>
  <c r="R120" i="5"/>
  <c r="Y216" i="5"/>
  <c r="AC259" i="5"/>
  <c r="AE259" i="5" s="1"/>
  <c r="AC355" i="5"/>
  <c r="AV355" i="5" s="1"/>
  <c r="AX355" i="5" s="1"/>
  <c r="Q9" i="5"/>
  <c r="S9" i="5" s="1"/>
  <c r="R133" i="5"/>
  <c r="X527" i="5"/>
  <c r="Y372" i="5"/>
  <c r="Y438" i="5"/>
  <c r="AC120" i="5"/>
  <c r="AD120" i="5" s="1"/>
  <c r="AC48" i="5"/>
  <c r="AE48" i="5" s="1"/>
  <c r="AC271" i="5"/>
  <c r="AE271" i="5" s="1"/>
  <c r="AC473" i="5"/>
  <c r="AD473" i="5" s="1"/>
  <c r="AC197" i="5"/>
  <c r="AE197" i="5" s="1"/>
  <c r="AC337" i="5"/>
  <c r="AE337" i="5" s="1"/>
  <c r="Y519" i="5"/>
  <c r="Y254" i="5"/>
  <c r="AC451" i="5"/>
  <c r="AV451" i="5" s="1"/>
  <c r="AC469" i="5"/>
  <c r="AD469" i="5" s="1"/>
  <c r="AC507" i="5"/>
  <c r="AD507" i="5" s="1"/>
  <c r="AC476" i="5"/>
  <c r="AD476" i="5" s="1"/>
  <c r="AC290" i="5"/>
  <c r="AV290" i="5" s="1"/>
  <c r="AC254" i="5"/>
  <c r="AD254" i="5" s="1"/>
  <c r="Y470" i="5"/>
  <c r="AC59" i="5"/>
  <c r="AE59" i="5" s="1"/>
  <c r="Y405" i="5"/>
  <c r="Y504" i="5"/>
  <c r="AC291" i="5"/>
  <c r="AV291" i="5" s="1"/>
  <c r="AW291" i="5" s="1"/>
  <c r="X529" i="5"/>
  <c r="R169" i="5"/>
  <c r="S282" i="5"/>
  <c r="Y452" i="5"/>
  <c r="AC169" i="5"/>
  <c r="AD169" i="5" s="1"/>
  <c r="R346" i="5"/>
  <c r="Y453" i="5"/>
  <c r="Y272" i="5"/>
  <c r="Y59" i="5"/>
  <c r="Y421" i="5"/>
  <c r="R340" i="5"/>
  <c r="R282" i="5"/>
  <c r="AC452" i="5"/>
  <c r="AD452" i="5" s="1"/>
  <c r="T9" i="5"/>
  <c r="U9" i="5" s="1"/>
  <c r="X137" i="5"/>
  <c r="S438" i="5"/>
  <c r="R416" i="5"/>
  <c r="S54" i="5"/>
  <c r="AC223" i="5"/>
  <c r="AD223" i="5" s="1"/>
  <c r="Y535" i="5"/>
  <c r="S142" i="5"/>
  <c r="S309" i="5"/>
  <c r="X386" i="5"/>
  <c r="Y428" i="5"/>
  <c r="R362" i="5"/>
  <c r="R102" i="5"/>
  <c r="Y355" i="5"/>
  <c r="AC160" i="5"/>
  <c r="AV160" i="5" s="1"/>
  <c r="S510" i="5"/>
  <c r="R473" i="5"/>
  <c r="R476" i="5"/>
  <c r="S161" i="5"/>
  <c r="R197" i="5"/>
  <c r="AC510" i="5"/>
  <c r="AD510" i="5" s="1"/>
  <c r="AC345" i="5"/>
  <c r="AD345" i="5" s="1"/>
  <c r="AC146" i="5"/>
  <c r="AV146" i="5" s="1"/>
  <c r="AC363" i="5"/>
  <c r="AE363" i="5" s="1"/>
  <c r="AC442" i="5"/>
  <c r="AV442" i="5" s="1"/>
  <c r="R271" i="5"/>
  <c r="S195" i="5"/>
  <c r="R425" i="5"/>
  <c r="X318" i="5"/>
  <c r="S507" i="5"/>
  <c r="S69" i="5"/>
  <c r="S271" i="5"/>
  <c r="S84" i="5"/>
  <c r="S154" i="5"/>
  <c r="S520" i="5"/>
  <c r="R443" i="5"/>
  <c r="AC64" i="5"/>
  <c r="AV64" i="5" s="1"/>
  <c r="AX64" i="5" s="1"/>
  <c r="S392" i="5"/>
  <c r="S345" i="5"/>
  <c r="S442" i="5"/>
  <c r="S298" i="5"/>
  <c r="AC432" i="5"/>
  <c r="AE432" i="5" s="1"/>
  <c r="R318" i="5"/>
  <c r="R218" i="5"/>
  <c r="AC346" i="5"/>
  <c r="AD346" i="5" s="1"/>
  <c r="AC298" i="5"/>
  <c r="AD298" i="5" s="1"/>
  <c r="AC84" i="5"/>
  <c r="AE84" i="5" s="1"/>
  <c r="AC69" i="5"/>
  <c r="AE69" i="5" s="1"/>
  <c r="AC509" i="5"/>
  <c r="AD509" i="5" s="1"/>
  <c r="R507" i="5"/>
  <c r="Y113" i="5"/>
  <c r="S74" i="5"/>
  <c r="AC186" i="5"/>
  <c r="AE186" i="5" s="1"/>
  <c r="AC154" i="5"/>
  <c r="AE154" i="5" s="1"/>
  <c r="R290" i="5"/>
  <c r="S162" i="5"/>
  <c r="R377" i="5"/>
  <c r="AC89" i="5"/>
  <c r="AD89" i="5" s="1"/>
  <c r="Y346" i="5"/>
  <c r="R183" i="5"/>
  <c r="S290" i="5"/>
  <c r="Y43" i="5"/>
  <c r="S165" i="5"/>
  <c r="Y411" i="5"/>
  <c r="AC425" i="5"/>
  <c r="AE425" i="5" s="1"/>
  <c r="X285" i="5"/>
  <c r="Y317" i="5"/>
  <c r="Y461" i="5"/>
  <c r="Y545" i="5"/>
  <c r="X88" i="5"/>
  <c r="X183" i="5"/>
  <c r="AC344" i="5"/>
  <c r="AE344" i="5" s="1"/>
  <c r="AC101" i="5"/>
  <c r="AD101" i="5" s="1"/>
  <c r="Y210" i="5"/>
  <c r="S101" i="5"/>
  <c r="X556" i="5"/>
  <c r="AC130" i="5"/>
  <c r="AE130" i="5" s="1"/>
  <c r="X112" i="5"/>
  <c r="R344" i="5"/>
  <c r="W155" i="4"/>
  <c r="X155" i="4" s="1"/>
  <c r="R174" i="5"/>
  <c r="Y78" i="5"/>
  <c r="R363" i="5"/>
  <c r="Y117" i="5"/>
  <c r="X167" i="5"/>
  <c r="AC297" i="5"/>
  <c r="AD297" i="5" s="1"/>
  <c r="R415" i="5"/>
  <c r="S327" i="5"/>
  <c r="AC129" i="5"/>
  <c r="AD129" i="5" s="1"/>
  <c r="X203" i="5"/>
  <c r="X69" i="5"/>
  <c r="Y85" i="5"/>
  <c r="AC309" i="5"/>
  <c r="AE309" i="5" s="1"/>
  <c r="AC185" i="5"/>
  <c r="AV185" i="5" s="1"/>
  <c r="S146" i="5"/>
  <c r="X513" i="5"/>
  <c r="X523" i="5"/>
  <c r="R164" i="5"/>
  <c r="R130" i="5"/>
  <c r="S347" i="5"/>
  <c r="X42" i="5"/>
  <c r="R47" i="5"/>
  <c r="S223" i="5"/>
  <c r="R409" i="5"/>
  <c r="R405" i="5"/>
  <c r="Y148" i="5"/>
  <c r="S75" i="5"/>
  <c r="X93" i="5"/>
  <c r="AC398" i="5"/>
  <c r="AD398" i="5" s="1"/>
  <c r="X171" i="5"/>
  <c r="S412" i="5"/>
  <c r="AC164" i="5"/>
  <c r="AE164" i="5" s="1"/>
  <c r="AC110" i="5"/>
  <c r="AE110" i="5" s="1"/>
  <c r="AC416" i="5"/>
  <c r="AE416" i="5" s="1"/>
  <c r="AC179" i="5"/>
  <c r="AE179" i="5" s="1"/>
  <c r="AC393" i="5"/>
  <c r="AV393" i="5" s="1"/>
  <c r="AC415" i="5"/>
  <c r="AD415" i="5" s="1"/>
  <c r="AC517" i="5"/>
  <c r="AD517" i="5" s="1"/>
  <c r="AC224" i="5"/>
  <c r="AD224" i="5" s="1"/>
  <c r="AC221" i="5"/>
  <c r="AE221" i="5" s="1"/>
  <c r="S335" i="5"/>
  <c r="S504" i="5"/>
  <c r="S253" i="5"/>
  <c r="AC379" i="5"/>
  <c r="AD379" i="5" s="1"/>
  <c r="X393" i="5"/>
  <c r="S179" i="5"/>
  <c r="Y84" i="5"/>
  <c r="S221" i="5"/>
  <c r="AC249" i="5"/>
  <c r="AD249" i="5" s="1"/>
  <c r="AC141" i="5"/>
  <c r="AV141" i="5" s="1"/>
  <c r="X72" i="5"/>
  <c r="S267" i="5"/>
  <c r="S34" i="5"/>
  <c r="Y486" i="5"/>
  <c r="Y379" i="5"/>
  <c r="Y235" i="5"/>
  <c r="S360" i="5"/>
  <c r="AC504" i="5"/>
  <c r="AE504" i="5" s="1"/>
  <c r="X160" i="5"/>
  <c r="Y205" i="5"/>
  <c r="X168" i="5"/>
  <c r="Y543" i="5"/>
  <c r="Y28" i="5"/>
  <c r="X416" i="5"/>
  <c r="AC514" i="5"/>
  <c r="AE514" i="5" s="1"/>
  <c r="X153" i="5"/>
  <c r="R263" i="5"/>
  <c r="AC486" i="5"/>
  <c r="AD486" i="5" s="1"/>
  <c r="Y179" i="5"/>
  <c r="X298" i="5"/>
  <c r="S408" i="5"/>
  <c r="S76" i="5"/>
  <c r="AC502" i="5"/>
  <c r="AE502" i="5" s="1"/>
  <c r="AC92" i="5"/>
  <c r="AE92" i="5" s="1"/>
  <c r="AC136" i="5"/>
  <c r="AV136" i="5" s="1"/>
  <c r="Y477" i="5"/>
  <c r="R159" i="5"/>
  <c r="R307" i="5"/>
  <c r="AC152" i="5"/>
  <c r="AV152" i="5" s="1"/>
  <c r="X462" i="5"/>
  <c r="S517" i="5"/>
  <c r="AC102" i="5"/>
  <c r="AE102" i="5" s="1"/>
  <c r="X179" i="5"/>
  <c r="R408" i="5"/>
  <c r="R76" i="5"/>
  <c r="Y397" i="5"/>
  <c r="AC10" i="5"/>
  <c r="AD10" i="5" s="1"/>
  <c r="AC121" i="5"/>
  <c r="AD121" i="5" s="1"/>
  <c r="AC178" i="5"/>
  <c r="AV178" i="5" s="1"/>
  <c r="S123" i="5"/>
  <c r="Y393" i="5"/>
  <c r="AC166" i="5"/>
  <c r="AD166" i="5" s="1"/>
  <c r="X84" i="5"/>
  <c r="Y251" i="5"/>
  <c r="S370" i="5"/>
  <c r="Y160" i="5"/>
  <c r="X110" i="5"/>
  <c r="Y134" i="5"/>
  <c r="Y277" i="5"/>
  <c r="S241" i="5"/>
  <c r="S514" i="5"/>
  <c r="AC462" i="5"/>
  <c r="AV462" i="5" s="1"/>
  <c r="AC497" i="5"/>
  <c r="AD497" i="5" s="1"/>
  <c r="Y77" i="5"/>
  <c r="Y226" i="5"/>
  <c r="S152" i="5"/>
  <c r="S332" i="5"/>
  <c r="X381" i="5"/>
  <c r="X430" i="5"/>
  <c r="X83" i="5"/>
  <c r="Y145" i="5"/>
  <c r="Y136" i="5"/>
  <c r="X477" i="5"/>
  <c r="Y110" i="5"/>
  <c r="AC465" i="5"/>
  <c r="AE465" i="5" s="1"/>
  <c r="AC397" i="5"/>
  <c r="AD397" i="5" s="1"/>
  <c r="X102" i="5"/>
  <c r="Y141" i="5"/>
  <c r="X351" i="5"/>
  <c r="S109" i="5"/>
  <c r="AC173" i="5"/>
  <c r="AV173" i="5" s="1"/>
  <c r="X497" i="5"/>
  <c r="X184" i="5"/>
  <c r="R385" i="5"/>
  <c r="AC394" i="5"/>
  <c r="AD394" i="5" s="1"/>
  <c r="AC168" i="5"/>
  <c r="AE168" i="5" s="1"/>
  <c r="AC351" i="5"/>
  <c r="AD351" i="5" s="1"/>
  <c r="AC91" i="5"/>
  <c r="AV91" i="5" s="1"/>
  <c r="AC55" i="5"/>
  <c r="AE55" i="5" s="1"/>
  <c r="AC424" i="5"/>
  <c r="AV424" i="5" s="1"/>
  <c r="AW424" i="5" s="1"/>
  <c r="S519" i="5"/>
  <c r="AC506" i="5"/>
  <c r="AD506" i="5" s="1"/>
  <c r="AC235" i="5"/>
  <c r="AV235" i="5" s="1"/>
  <c r="S293" i="5"/>
  <c r="AC251" i="5"/>
  <c r="AV251" i="5" s="1"/>
  <c r="Y10" i="5"/>
  <c r="AC537" i="5"/>
  <c r="AD537" i="5" s="1"/>
  <c r="Y517" i="5"/>
  <c r="S71" i="5"/>
  <c r="R224" i="5"/>
  <c r="AC49" i="5"/>
  <c r="AV49" i="5" s="1"/>
  <c r="S358" i="5"/>
  <c r="S147" i="5"/>
  <c r="S265" i="5"/>
  <c r="R361" i="5"/>
  <c r="S91" i="5"/>
  <c r="Y407" i="5"/>
  <c r="R456" i="5"/>
  <c r="AC180" i="5"/>
  <c r="AV180" i="5" s="1"/>
  <c r="X431" i="5"/>
  <c r="R430" i="5"/>
  <c r="X173" i="5"/>
  <c r="AC208" i="5"/>
  <c r="AD208" i="5" s="1"/>
  <c r="R539" i="5"/>
  <c r="X260" i="5"/>
  <c r="R127" i="5"/>
  <c r="AC388" i="5"/>
  <c r="AD388" i="5" s="1"/>
  <c r="X517" i="5"/>
  <c r="Y305" i="5"/>
  <c r="Y415" i="5"/>
  <c r="AC422" i="5"/>
  <c r="AD422" i="5" s="1"/>
  <c r="X415" i="5"/>
  <c r="Y480" i="5"/>
  <c r="Y47" i="5"/>
  <c r="R258" i="5"/>
  <c r="X166" i="5"/>
  <c r="S224" i="5"/>
  <c r="AC407" i="5"/>
  <c r="AE407" i="5" s="1"/>
  <c r="X164" i="5"/>
  <c r="R147" i="5"/>
  <c r="Y121" i="5"/>
  <c r="AC47" i="5"/>
  <c r="AE47" i="5" s="1"/>
  <c r="Y506" i="5"/>
  <c r="Y180" i="5"/>
  <c r="R232" i="5"/>
  <c r="S465" i="5"/>
  <c r="S264" i="5"/>
  <c r="S430" i="5"/>
  <c r="AC431" i="5"/>
  <c r="AD431" i="5" s="1"/>
  <c r="S533" i="5"/>
  <c r="S539" i="5"/>
  <c r="X178" i="5"/>
  <c r="R541" i="5"/>
  <c r="S80" i="5"/>
  <c r="S182" i="5"/>
  <c r="Y437" i="5"/>
  <c r="X21" i="5"/>
  <c r="R342" i="5"/>
  <c r="S386" i="5"/>
  <c r="X537" i="5"/>
  <c r="Y164" i="5"/>
  <c r="S321" i="5"/>
  <c r="S546" i="5"/>
  <c r="R181" i="5"/>
  <c r="R27" i="5"/>
  <c r="AC444" i="5"/>
  <c r="AV444" i="5" s="1"/>
  <c r="S429" i="5"/>
  <c r="S422" i="5"/>
  <c r="AC365" i="5"/>
  <c r="AV365" i="5" s="1"/>
  <c r="Y388" i="5"/>
  <c r="X208" i="5"/>
  <c r="AC184" i="5"/>
  <c r="AD184" i="5" s="1"/>
  <c r="AC134" i="5"/>
  <c r="AV134" i="5" s="1"/>
  <c r="Y131" i="4"/>
  <c r="BN131" i="4" s="1"/>
  <c r="S181" i="5"/>
  <c r="AC88" i="5"/>
  <c r="AD88" i="5" s="1"/>
  <c r="S19" i="5"/>
  <c r="S156" i="5"/>
  <c r="AC389" i="5"/>
  <c r="AV389" i="5" s="1"/>
  <c r="AC82" i="5"/>
  <c r="AV82" i="5" s="1"/>
  <c r="X451" i="5"/>
  <c r="Y163" i="5"/>
  <c r="Y116" i="5"/>
  <c r="X225" i="5"/>
  <c r="R103" i="5"/>
  <c r="Y533" i="5"/>
  <c r="X91" i="5"/>
  <c r="AC19" i="5"/>
  <c r="AE19" i="5" s="1"/>
  <c r="Y358" i="5"/>
  <c r="S499" i="5"/>
  <c r="AC51" i="5"/>
  <c r="AV51" i="5" s="1"/>
  <c r="AC77" i="5"/>
  <c r="AD77" i="5" s="1"/>
  <c r="AC46" i="5"/>
  <c r="AV46" i="5" s="1"/>
  <c r="AX46" i="5" s="1"/>
  <c r="AC321" i="5"/>
  <c r="AD321" i="5" s="1"/>
  <c r="AC289" i="5"/>
  <c r="AE289" i="5" s="1"/>
  <c r="AC347" i="5"/>
  <c r="AE347" i="5" s="1"/>
  <c r="AC239" i="5"/>
  <c r="AE239" i="5" s="1"/>
  <c r="AC94" i="5"/>
  <c r="AE94" i="5" s="1"/>
  <c r="AC311" i="5"/>
  <c r="AV311" i="5" s="1"/>
  <c r="AC456" i="5"/>
  <c r="AD456" i="5" s="1"/>
  <c r="AC557" i="5"/>
  <c r="AV557" i="5" s="1"/>
  <c r="AC123" i="5"/>
  <c r="AD123" i="5" s="1"/>
  <c r="AC314" i="5"/>
  <c r="AD314" i="5" s="1"/>
  <c r="AC105" i="5"/>
  <c r="AV105" i="5" s="1"/>
  <c r="AW105" i="5" s="1"/>
  <c r="R395" i="5"/>
  <c r="Y376" i="5"/>
  <c r="X412" i="5"/>
  <c r="S516" i="5"/>
  <c r="Y389" i="5"/>
  <c r="X357" i="5"/>
  <c r="S112" i="5"/>
  <c r="R214" i="5"/>
  <c r="R323" i="5"/>
  <c r="X44" i="5"/>
  <c r="X62" i="5"/>
  <c r="Y422" i="5"/>
  <c r="AC318" i="5"/>
  <c r="AV318" i="5" s="1"/>
  <c r="Y424" i="5"/>
  <c r="S144" i="5"/>
  <c r="S542" i="5"/>
  <c r="X317" i="5"/>
  <c r="Y451" i="5"/>
  <c r="S492" i="5"/>
  <c r="Y91" i="5"/>
  <c r="Y482" i="5"/>
  <c r="AC384" i="5"/>
  <c r="AV384" i="5" s="1"/>
  <c r="AC411" i="5"/>
  <c r="AE411" i="5" s="1"/>
  <c r="AC216" i="5"/>
  <c r="AV216" i="5" s="1"/>
  <c r="X55" i="5"/>
  <c r="Y196" i="5"/>
  <c r="Y188" i="5"/>
  <c r="R200" i="5"/>
  <c r="R330" i="5"/>
  <c r="AC37" i="5"/>
  <c r="AE37" i="5" s="1"/>
  <c r="Y30" i="5"/>
  <c r="Y384" i="5"/>
  <c r="R204" i="5"/>
  <c r="Y469" i="5"/>
  <c r="AC285" i="5"/>
  <c r="AE285" i="5" s="1"/>
  <c r="S31" i="5"/>
  <c r="R351" i="5"/>
  <c r="Y450" i="5"/>
  <c r="AC520" i="5"/>
  <c r="AV520" i="5" s="1"/>
  <c r="X362" i="5"/>
  <c r="S418" i="5"/>
  <c r="AC144" i="5"/>
  <c r="AV144" i="5" s="1"/>
  <c r="X196" i="5"/>
  <c r="AC485" i="5"/>
  <c r="AE485" i="5" s="1"/>
  <c r="X188" i="5"/>
  <c r="X129" i="5"/>
  <c r="X25" i="5"/>
  <c r="S311" i="5"/>
  <c r="X542" i="5"/>
  <c r="Y558" i="5"/>
  <c r="AC34" i="5"/>
  <c r="AE34" i="5" s="1"/>
  <c r="X280" i="5"/>
  <c r="Y520" i="5"/>
  <c r="X256" i="5"/>
  <c r="R128" i="5"/>
  <c r="S53" i="5"/>
  <c r="X469" i="5"/>
  <c r="AC194" i="5"/>
  <c r="AD194" i="5" s="1"/>
  <c r="Y129" i="5"/>
  <c r="S140" i="5"/>
  <c r="Y332" i="5"/>
  <c r="Y492" i="5"/>
  <c r="R77" i="5"/>
  <c r="AC183" i="5"/>
  <c r="AV183" i="5" s="1"/>
  <c r="X13" i="5"/>
  <c r="AC332" i="5"/>
  <c r="AV332" i="5" s="1"/>
  <c r="AC499" i="5"/>
  <c r="AE499" i="5" s="1"/>
  <c r="Y436" i="5"/>
  <c r="X414" i="5"/>
  <c r="R137" i="5"/>
  <c r="R418" i="5"/>
  <c r="AC87" i="5"/>
  <c r="AE87" i="5" s="1"/>
  <c r="R156" i="5"/>
  <c r="AC540" i="5"/>
  <c r="AE540" i="5" s="1"/>
  <c r="AC232" i="5"/>
  <c r="AV232" i="5" s="1"/>
  <c r="S21" i="5"/>
  <c r="R172" i="5"/>
  <c r="S151" i="5"/>
  <c r="AC253" i="5"/>
  <c r="AV253" i="5" s="1"/>
  <c r="AC113" i="5"/>
  <c r="AV113" i="5" s="1"/>
  <c r="AC218" i="5"/>
  <c r="AE218" i="5" s="1"/>
  <c r="AC277" i="5"/>
  <c r="AE277" i="5" s="1"/>
  <c r="R269" i="5"/>
  <c r="R99" i="5"/>
  <c r="AC205" i="5"/>
  <c r="AV205" i="5" s="1"/>
  <c r="AX205" i="5" s="1"/>
  <c r="S10" i="5"/>
  <c r="AC61" i="5"/>
  <c r="AV61" i="5" s="1"/>
  <c r="AC139" i="5"/>
  <c r="AE139" i="5" s="1"/>
  <c r="Y123" i="5"/>
  <c r="R462" i="5"/>
  <c r="R75" i="5"/>
  <c r="AC112" i="5"/>
  <c r="AE112" i="5" s="1"/>
  <c r="AC541" i="5"/>
  <c r="AE541" i="5" s="1"/>
  <c r="X133" i="5"/>
  <c r="X484" i="5"/>
  <c r="X292" i="5"/>
  <c r="X118" i="5"/>
  <c r="AC386" i="5"/>
  <c r="AV386" i="5" s="1"/>
  <c r="X124" i="5"/>
  <c r="AC300" i="5"/>
  <c r="AD300" i="5" s="1"/>
  <c r="AC182" i="5"/>
  <c r="AD182" i="5" s="1"/>
  <c r="Y321" i="5"/>
  <c r="S369" i="5"/>
  <c r="R187" i="5"/>
  <c r="Y182" i="5"/>
  <c r="R406" i="5"/>
  <c r="X311" i="5"/>
  <c r="AC124" i="5"/>
  <c r="AD124" i="5" s="1"/>
  <c r="AC525" i="5"/>
  <c r="AD525" i="5" s="1"/>
  <c r="AC171" i="5"/>
  <c r="AD171" i="5" s="1"/>
  <c r="R257" i="5"/>
  <c r="R281" i="5"/>
  <c r="AC387" i="5"/>
  <c r="AD387" i="5" s="1"/>
  <c r="AC428" i="5"/>
  <c r="AV428" i="5" s="1"/>
  <c r="Y314" i="5"/>
  <c r="W134" i="4"/>
  <c r="X134" i="4" s="1"/>
  <c r="AC247" i="5"/>
  <c r="AD247" i="5" s="1"/>
  <c r="AC295" i="5"/>
  <c r="AD295" i="5" s="1"/>
  <c r="AC98" i="5"/>
  <c r="AV98" i="5" s="1"/>
  <c r="X465" i="5"/>
  <c r="Y134" i="4"/>
  <c r="BC134" i="4" s="1"/>
  <c r="AC28" i="5"/>
  <c r="AE28" i="5" s="1"/>
  <c r="AC78" i="5"/>
  <c r="AE78" i="5" s="1"/>
  <c r="X139" i="5"/>
  <c r="Y185" i="5"/>
  <c r="Y308" i="5"/>
  <c r="X321" i="5"/>
  <c r="Y391" i="5"/>
  <c r="Y352" i="5"/>
  <c r="R114" i="5"/>
  <c r="R94" i="5"/>
  <c r="Y311" i="5"/>
  <c r="AC523" i="5"/>
  <c r="AE523" i="5" s="1"/>
  <c r="AC352" i="5"/>
  <c r="AV352" i="5" s="1"/>
  <c r="AC395" i="5"/>
  <c r="AD395" i="5" s="1"/>
  <c r="AC187" i="5"/>
  <c r="AD187" i="5" s="1"/>
  <c r="X94" i="5"/>
  <c r="AC145" i="5"/>
  <c r="AD145" i="5" s="1"/>
  <c r="Y46" i="5"/>
  <c r="X195" i="5"/>
  <c r="Y423" i="5"/>
  <c r="AC420" i="5"/>
  <c r="AE420" i="5" s="1"/>
  <c r="Y150" i="5"/>
  <c r="X289" i="5"/>
  <c r="S527" i="5"/>
  <c r="Y487" i="5"/>
  <c r="AC293" i="5"/>
  <c r="AV293" i="5" s="1"/>
  <c r="AX293" i="5" s="1"/>
  <c r="R66" i="5"/>
  <c r="R404" i="5"/>
  <c r="Y345" i="5"/>
  <c r="R116" i="5"/>
  <c r="Y203" i="5"/>
  <c r="X456" i="5"/>
  <c r="Y395" i="5"/>
  <c r="S157" i="5"/>
  <c r="S494" i="5"/>
  <c r="S404" i="5"/>
  <c r="AC85" i="5"/>
  <c r="AV85" i="5" s="1"/>
  <c r="AC195" i="5"/>
  <c r="AV195" i="5" s="1"/>
  <c r="AC327" i="5"/>
  <c r="AV327" i="5" s="1"/>
  <c r="Y69" i="5"/>
  <c r="AC157" i="5"/>
  <c r="AV157" i="5" s="1"/>
  <c r="Y532" i="5"/>
  <c r="Y92" i="5"/>
  <c r="X259" i="5"/>
  <c r="Z151" i="4"/>
  <c r="AC228" i="5"/>
  <c r="AD228" i="5" s="1"/>
  <c r="X345" i="5"/>
  <c r="Y297" i="5"/>
  <c r="Y94" i="5"/>
  <c r="X46" i="5"/>
  <c r="Y61" i="5"/>
  <c r="Y65" i="5"/>
  <c r="Y289" i="5"/>
  <c r="AC142" i="5"/>
  <c r="AD142" i="5" s="1"/>
  <c r="Y293" i="5"/>
  <c r="AC284" i="5"/>
  <c r="AD284" i="5" s="1"/>
  <c r="AC535" i="5"/>
  <c r="AE535" i="5" s="1"/>
  <c r="S281" i="5"/>
  <c r="AC222" i="5"/>
  <c r="AE222" i="5" s="1"/>
  <c r="AC117" i="5"/>
  <c r="AD117" i="5" s="1"/>
  <c r="AC81" i="5"/>
  <c r="AV81" i="5" s="1"/>
  <c r="AC467" i="5"/>
  <c r="AV467" i="5" s="1"/>
  <c r="Y105" i="5"/>
  <c r="X92" i="5"/>
  <c r="Y259" i="5"/>
  <c r="AC532" i="5"/>
  <c r="AD532" i="5" s="1"/>
  <c r="AC174" i="5"/>
  <c r="AE174" i="5" s="1"/>
  <c r="X243" i="5"/>
  <c r="X295" i="5"/>
  <c r="X398" i="5"/>
  <c r="X222" i="5"/>
  <c r="X525" i="5"/>
  <c r="Y347" i="5"/>
  <c r="Y239" i="5"/>
  <c r="Y467" i="5"/>
  <c r="AC292" i="5"/>
  <c r="AD292" i="5" s="1"/>
  <c r="AC423" i="5"/>
  <c r="AD423" i="5" s="1"/>
  <c r="Y151" i="4"/>
  <c r="BX151" i="4" s="1"/>
  <c r="AC543" i="5"/>
  <c r="AD543" i="5" s="1"/>
  <c r="X557" i="5"/>
  <c r="S503" i="5"/>
  <c r="AC412" i="5"/>
  <c r="AV412" i="5" s="1"/>
  <c r="Y557" i="5"/>
  <c r="Y541" i="5"/>
  <c r="R26" i="5"/>
  <c r="S284" i="5"/>
  <c r="AC527" i="5"/>
  <c r="AV527" i="5" s="1"/>
  <c r="X105" i="5"/>
  <c r="AC213" i="5"/>
  <c r="AD213" i="5" s="1"/>
  <c r="Y174" i="5"/>
  <c r="Y213" i="5"/>
  <c r="X347" i="5"/>
  <c r="Y81" i="5"/>
  <c r="X239" i="5"/>
  <c r="R502" i="5"/>
  <c r="AC22" i="5"/>
  <c r="AE22" i="5" s="1"/>
  <c r="X355" i="5"/>
  <c r="S248" i="5"/>
  <c r="R145" i="5"/>
  <c r="AC190" i="5"/>
  <c r="AD190" i="5" s="1"/>
  <c r="Y154" i="5"/>
  <c r="AC151" i="5"/>
  <c r="AD151" i="5" s="1"/>
  <c r="AC436" i="5"/>
  <c r="AD436" i="5" s="1"/>
  <c r="AC279" i="5"/>
  <c r="AV279" i="5" s="1"/>
  <c r="AX279" i="5" s="1"/>
  <c r="AC214" i="5"/>
  <c r="AV214" i="5" s="1"/>
  <c r="AC533" i="5"/>
  <c r="AD533" i="5" s="1"/>
  <c r="AC43" i="5"/>
  <c r="AV43" i="5" s="1"/>
  <c r="AC542" i="5"/>
  <c r="AD542" i="5" s="1"/>
  <c r="AC358" i="5"/>
  <c r="AD358" i="5" s="1"/>
  <c r="AC494" i="5"/>
  <c r="AD494" i="5" s="1"/>
  <c r="R396" i="5"/>
  <c r="Y478" i="5"/>
  <c r="R411" i="5"/>
  <c r="R189" i="5"/>
  <c r="S354" i="5"/>
  <c r="AC377" i="5"/>
  <c r="AE377" i="5" s="1"/>
  <c r="R540" i="5"/>
  <c r="S206" i="5"/>
  <c r="S128" i="5"/>
  <c r="R194" i="5"/>
  <c r="S341" i="5"/>
  <c r="R53" i="5"/>
  <c r="S43" i="5"/>
  <c r="AC492" i="5"/>
  <c r="AD492" i="5" s="1"/>
  <c r="AC303" i="5"/>
  <c r="AE303" i="5" s="1"/>
  <c r="S411" i="5"/>
  <c r="R233" i="5"/>
  <c r="AC255" i="5"/>
  <c r="AE255" i="5" s="1"/>
  <c r="X521" i="5"/>
  <c r="S103" i="5"/>
  <c r="R413" i="5"/>
  <c r="AC454" i="5"/>
  <c r="AV454" i="5" s="1"/>
  <c r="AC360" i="5"/>
  <c r="AV360" i="5" s="1"/>
  <c r="AC189" i="5"/>
  <c r="AV189" i="5" s="1"/>
  <c r="Y390" i="5"/>
  <c r="S216" i="5"/>
  <c r="Y90" i="5"/>
  <c r="Y151" i="5"/>
  <c r="AC362" i="5"/>
  <c r="AV362" i="5" s="1"/>
  <c r="Y218" i="5"/>
  <c r="Y279" i="5"/>
  <c r="X509" i="5"/>
  <c r="R65" i="5"/>
  <c r="S352" i="5"/>
  <c r="S304" i="5"/>
  <c r="S394" i="5"/>
  <c r="AC356" i="5"/>
  <c r="AD356" i="5" s="1"/>
  <c r="Y485" i="5"/>
  <c r="R354" i="5"/>
  <c r="S205" i="5"/>
  <c r="S277" i="5"/>
  <c r="AC505" i="5"/>
  <c r="AD505" i="5" s="1"/>
  <c r="R206" i="5"/>
  <c r="R168" i="5"/>
  <c r="Y306" i="5"/>
  <c r="S200" i="5"/>
  <c r="R352" i="5"/>
  <c r="AC219" i="5"/>
  <c r="AD219" i="5" s="1"/>
  <c r="AC357" i="5"/>
  <c r="AV357" i="5" s="1"/>
  <c r="X279" i="5"/>
  <c r="R304" i="5"/>
  <c r="R394" i="5"/>
  <c r="AC21" i="5"/>
  <c r="AV21" i="5" s="1"/>
  <c r="R315" i="5"/>
  <c r="R505" i="5"/>
  <c r="AC472" i="5"/>
  <c r="AD472" i="5" s="1"/>
  <c r="X324" i="5"/>
  <c r="R450" i="5"/>
  <c r="R82" i="5"/>
  <c r="S168" i="5"/>
  <c r="R393" i="5"/>
  <c r="Y253" i="5"/>
  <c r="S378" i="5"/>
  <c r="R56" i="5"/>
  <c r="AC380" i="5"/>
  <c r="AE380" i="5" s="1"/>
  <c r="AC275" i="5"/>
  <c r="AE275" i="5" s="1"/>
  <c r="AC165" i="5"/>
  <c r="AD165" i="5" s="1"/>
  <c r="X312" i="5"/>
  <c r="X219" i="5"/>
  <c r="X87" i="5"/>
  <c r="X214" i="5"/>
  <c r="Y250" i="5"/>
  <c r="Y232" i="5"/>
  <c r="AC482" i="5"/>
  <c r="AE482" i="5" s="1"/>
  <c r="X34" i="5"/>
  <c r="S472" i="5"/>
  <c r="S496" i="5"/>
  <c r="X275" i="5"/>
  <c r="R149" i="5"/>
  <c r="Y176" i="5"/>
  <c r="Y214" i="5"/>
  <c r="Y274" i="5"/>
  <c r="X380" i="5"/>
  <c r="Y356" i="5"/>
  <c r="S303" i="5"/>
  <c r="AC243" i="5"/>
  <c r="AV243" i="5" s="1"/>
  <c r="R243" i="5"/>
  <c r="AC558" i="5"/>
  <c r="AE558" i="5" s="1"/>
  <c r="AC116" i="5"/>
  <c r="AV116" i="5" s="1"/>
  <c r="AX116" i="5" s="1"/>
  <c r="R240" i="5"/>
  <c r="S242" i="5"/>
  <c r="AC382" i="5"/>
  <c r="AV382" i="5" s="1"/>
  <c r="AX382" i="5" s="1"/>
  <c r="AC31" i="5"/>
  <c r="AD31" i="5" s="1"/>
  <c r="AC66" i="5"/>
  <c r="AV66" i="5" s="1"/>
  <c r="AC127" i="5"/>
  <c r="AE127" i="5" s="1"/>
  <c r="AC528" i="5"/>
  <c r="AE528" i="5" s="1"/>
  <c r="AC429" i="5"/>
  <c r="AE429" i="5" s="1"/>
  <c r="AC99" i="5"/>
  <c r="AD99" i="5" s="1"/>
  <c r="AC217" i="5"/>
  <c r="AD217" i="5" s="1"/>
  <c r="AC521" i="5"/>
  <c r="AE521" i="5" s="1"/>
  <c r="AC307" i="5"/>
  <c r="AE307" i="5" s="1"/>
  <c r="AC90" i="5"/>
  <c r="AE90" i="5" s="1"/>
  <c r="Y382" i="5"/>
  <c r="Y95" i="5"/>
  <c r="X67" i="5"/>
  <c r="AC381" i="5"/>
  <c r="AV381" i="5" s="1"/>
  <c r="X409" i="5"/>
  <c r="AC518" i="5"/>
  <c r="AE518" i="5" s="1"/>
  <c r="R242" i="5"/>
  <c r="S40" i="5"/>
  <c r="AC419" i="5"/>
  <c r="AE419" i="5" s="1"/>
  <c r="X154" i="5"/>
  <c r="AC209" i="5"/>
  <c r="AV209" i="5" s="1"/>
  <c r="Y229" i="5"/>
  <c r="R459" i="5"/>
  <c r="AC80" i="5"/>
  <c r="AE80" i="5" s="1"/>
  <c r="AC40" i="5"/>
  <c r="AE40" i="5" s="1"/>
  <c r="X494" i="5"/>
  <c r="Y31" i="5"/>
  <c r="AC409" i="5"/>
  <c r="AV409" i="5" s="1"/>
  <c r="AC95" i="5"/>
  <c r="AV95" i="5" s="1"/>
  <c r="S513" i="5"/>
  <c r="AC233" i="5"/>
  <c r="AD233" i="5" s="1"/>
  <c r="AC140" i="5"/>
  <c r="AD140" i="5" s="1"/>
  <c r="AC449" i="5"/>
  <c r="AE449" i="5" s="1"/>
  <c r="S178" i="5"/>
  <c r="S121" i="5"/>
  <c r="S419" i="5"/>
  <c r="AC231" i="5"/>
  <c r="AD231" i="5" s="1"/>
  <c r="AC158" i="5"/>
  <c r="AE158" i="5" s="1"/>
  <c r="Y209" i="5"/>
  <c r="Y307" i="5"/>
  <c r="AC531" i="5"/>
  <c r="AE531" i="5" s="1"/>
  <c r="X454" i="5"/>
  <c r="Y165" i="5"/>
  <c r="X234" i="5"/>
  <c r="X560" i="5"/>
  <c r="R163" i="5"/>
  <c r="Y400" i="5"/>
  <c r="R435" i="5"/>
  <c r="AC441" i="5"/>
  <c r="AV441" i="5" s="1"/>
  <c r="AW441" i="5" s="1"/>
  <c r="S396" i="5"/>
  <c r="R178" i="5"/>
  <c r="X31" i="5"/>
  <c r="R121" i="5"/>
  <c r="R518" i="5"/>
  <c r="Y217" i="5"/>
  <c r="Y48" i="5"/>
  <c r="X217" i="5"/>
  <c r="S357" i="5"/>
  <c r="AC342" i="5"/>
  <c r="AD342" i="5" s="1"/>
  <c r="X48" i="5"/>
  <c r="S525" i="5"/>
  <c r="S171" i="5"/>
  <c r="AC36" i="5"/>
  <c r="AD36" i="5" s="1"/>
  <c r="AC212" i="5"/>
  <c r="AD212" i="5" s="1"/>
  <c r="X307" i="5"/>
  <c r="AC265" i="5"/>
  <c r="AD265" i="5" s="1"/>
  <c r="AC306" i="5"/>
  <c r="AE306" i="5" s="1"/>
  <c r="X80" i="5"/>
  <c r="AC204" i="5"/>
  <c r="AE204" i="5" s="1"/>
  <c r="X329" i="5"/>
  <c r="AC513" i="5"/>
  <c r="AE513" i="5" s="1"/>
  <c r="X496" i="5"/>
  <c r="AC132" i="5"/>
  <c r="AV132" i="5" s="1"/>
  <c r="R372" i="5"/>
  <c r="S316" i="5"/>
  <c r="R525" i="5"/>
  <c r="X458" i="5"/>
  <c r="X158" i="5"/>
  <c r="X447" i="5"/>
  <c r="X57" i="5"/>
  <c r="Y265" i="5"/>
  <c r="X342" i="5"/>
  <c r="AC385" i="5"/>
  <c r="AV385" i="5" s="1"/>
  <c r="Y212" i="5"/>
  <c r="S441" i="5"/>
  <c r="AC149" i="5"/>
  <c r="AE149" i="5" s="1"/>
  <c r="X449" i="5"/>
  <c r="X511" i="5"/>
  <c r="Y518" i="5"/>
  <c r="R171" i="5"/>
  <c r="AC458" i="5"/>
  <c r="AE458" i="5" s="1"/>
  <c r="X52" i="5"/>
  <c r="S240" i="5"/>
  <c r="R316" i="5"/>
  <c r="AC400" i="5"/>
  <c r="AV400" i="5" s="1"/>
  <c r="X518" i="5"/>
  <c r="AC115" i="5"/>
  <c r="AE115" i="5" s="1"/>
  <c r="X231" i="5"/>
  <c r="Y367" i="5"/>
  <c r="Y528" i="5"/>
  <c r="AC302" i="5"/>
  <c r="AE302" i="5" s="1"/>
  <c r="X559" i="5"/>
  <c r="Y66" i="5"/>
  <c r="AC57" i="5"/>
  <c r="AD57" i="5" s="1"/>
  <c r="AC496" i="5"/>
  <c r="AE496" i="5" s="1"/>
  <c r="S326" i="5"/>
  <c r="AC324" i="5"/>
  <c r="AE324" i="5" s="1"/>
  <c r="S324" i="5"/>
  <c r="AC417" i="5"/>
  <c r="AE417" i="5" s="1"/>
  <c r="S417" i="5"/>
  <c r="AC498" i="5"/>
  <c r="AE498" i="5" s="1"/>
  <c r="S498" i="5"/>
  <c r="AC511" i="5"/>
  <c r="AV511" i="5" s="1"/>
  <c r="AW511" i="5" s="1"/>
  <c r="S511" i="5"/>
  <c r="R319" i="5"/>
  <c r="AC319" i="5"/>
  <c r="AV319" i="5" s="1"/>
  <c r="R237" i="5"/>
  <c r="S237" i="5"/>
  <c r="S325" i="5"/>
  <c r="AC325" i="5"/>
  <c r="AV325" i="5" s="1"/>
  <c r="AC350" i="5"/>
  <c r="AE350" i="5" s="1"/>
  <c r="S350" i="5"/>
  <c r="AC226" i="5"/>
  <c r="AD226" i="5" s="1"/>
  <c r="R226" i="5"/>
  <c r="S226" i="5"/>
  <c r="R479" i="5"/>
  <c r="S479" i="5"/>
  <c r="AC414" i="5"/>
  <c r="AD414" i="5" s="1"/>
  <c r="S414" i="5"/>
  <c r="R414" i="5"/>
  <c r="R135" i="5"/>
  <c r="S135" i="5"/>
  <c r="AC193" i="5"/>
  <c r="AD193" i="5" s="1"/>
  <c r="R193" i="5"/>
  <c r="S193" i="5"/>
  <c r="S338" i="5"/>
  <c r="R338" i="5"/>
  <c r="AC553" i="5"/>
  <c r="AD553" i="5" s="1"/>
  <c r="S553" i="5"/>
  <c r="R553" i="5"/>
  <c r="R58" i="5"/>
  <c r="S58" i="5"/>
  <c r="AC58" i="5"/>
  <c r="AE58" i="5" s="1"/>
  <c r="R487" i="5"/>
  <c r="S487" i="5"/>
  <c r="AC487" i="5"/>
  <c r="AD487" i="5" s="1"/>
  <c r="AC153" i="5"/>
  <c r="AD153" i="5" s="1"/>
  <c r="S153" i="5"/>
  <c r="R153" i="5"/>
  <c r="AC312" i="5"/>
  <c r="AD312" i="5" s="1"/>
  <c r="R312" i="5"/>
  <c r="S312" i="5"/>
  <c r="R391" i="5"/>
  <c r="AC391" i="5"/>
  <c r="AD391" i="5" s="1"/>
  <c r="S391" i="5"/>
  <c r="S272" i="5"/>
  <c r="R272" i="5"/>
  <c r="AC163" i="5"/>
  <c r="AV163" i="5" s="1"/>
  <c r="AC65" i="5"/>
  <c r="AE65" i="5" s="1"/>
  <c r="R417" i="5"/>
  <c r="R511" i="5"/>
  <c r="X189" i="5"/>
  <c r="Z141" i="4"/>
  <c r="W141" i="4"/>
  <c r="X141" i="4" s="1"/>
  <c r="AC274" i="5"/>
  <c r="AV274" i="5" s="1"/>
  <c r="R274" i="5"/>
  <c r="S274" i="5"/>
  <c r="AC500" i="5"/>
  <c r="AE500" i="5" s="1"/>
  <c r="S500" i="5"/>
  <c r="R491" i="5"/>
  <c r="S491" i="5"/>
  <c r="R23" i="5"/>
  <c r="S23" i="5"/>
  <c r="AC359" i="5"/>
  <c r="AE359" i="5" s="1"/>
  <c r="S359" i="5"/>
  <c r="AC548" i="5"/>
  <c r="AD548" i="5" s="1"/>
  <c r="S548" i="5"/>
  <c r="S260" i="5"/>
  <c r="R260" i="5"/>
  <c r="AC260" i="5"/>
  <c r="AE260" i="5" s="1"/>
  <c r="AC545" i="5"/>
  <c r="AD545" i="5" s="1"/>
  <c r="S545" i="5"/>
  <c r="S42" i="5"/>
  <c r="R42" i="5"/>
  <c r="AC42" i="5"/>
  <c r="AE42" i="5" s="1"/>
  <c r="R421" i="5"/>
  <c r="S421" i="5"/>
  <c r="R383" i="5"/>
  <c r="S383" i="5"/>
  <c r="R398" i="5"/>
  <c r="S398" i="5"/>
  <c r="AC538" i="5"/>
  <c r="AV538" i="5" s="1"/>
  <c r="S538" i="5"/>
  <c r="R448" i="5"/>
  <c r="S448" i="5"/>
  <c r="AC150" i="5"/>
  <c r="AE150" i="5" s="1"/>
  <c r="S150" i="5"/>
  <c r="R150" i="5"/>
  <c r="AC12" i="5"/>
  <c r="AE12" i="5" s="1"/>
  <c r="S12" i="5"/>
  <c r="R106" i="5"/>
  <c r="S106" i="5"/>
  <c r="R457" i="5"/>
  <c r="AC457" i="5"/>
  <c r="AD457" i="5" s="1"/>
  <c r="R549" i="5"/>
  <c r="AC549" i="5"/>
  <c r="AE549" i="5" s="1"/>
  <c r="AC93" i="5"/>
  <c r="AD93" i="5" s="1"/>
  <c r="S93" i="5"/>
  <c r="S170" i="5"/>
  <c r="R170" i="5"/>
  <c r="AC170" i="5"/>
  <c r="AE170" i="5" s="1"/>
  <c r="R30" i="5"/>
  <c r="S30" i="5"/>
  <c r="AC30" i="5"/>
  <c r="AD30" i="5" s="1"/>
  <c r="R230" i="5"/>
  <c r="S230" i="5"/>
  <c r="AC376" i="5"/>
  <c r="AD376" i="5" s="1"/>
  <c r="S376" i="5"/>
  <c r="S245" i="5"/>
  <c r="R245" i="5"/>
  <c r="R560" i="5"/>
  <c r="AC560" i="5"/>
  <c r="AE560" i="5" s="1"/>
  <c r="R13" i="5"/>
  <c r="AC13" i="5"/>
  <c r="AV13" i="5" s="1"/>
  <c r="AC474" i="5"/>
  <c r="AD474" i="5" s="1"/>
  <c r="S474" i="5"/>
  <c r="AC220" i="5"/>
  <c r="AD220" i="5" s="1"/>
  <c r="S220" i="5"/>
  <c r="R220" i="5"/>
  <c r="S44" i="5"/>
  <c r="AC44" i="5"/>
  <c r="AE44" i="5" s="1"/>
  <c r="R256" i="5"/>
  <c r="S256" i="5"/>
  <c r="AC256" i="5"/>
  <c r="AV256" i="5" s="1"/>
  <c r="AC118" i="5"/>
  <c r="AV118" i="5" s="1"/>
  <c r="S118" i="5"/>
  <c r="R118" i="5"/>
  <c r="S480" i="5"/>
  <c r="AC480" i="5"/>
  <c r="AV480" i="5" s="1"/>
  <c r="R480" i="5"/>
  <c r="S138" i="5"/>
  <c r="R138" i="5"/>
  <c r="AC25" i="5"/>
  <c r="AD25" i="5" s="1"/>
  <c r="S25" i="5"/>
  <c r="R25" i="5"/>
  <c r="AC299" i="5"/>
  <c r="AV299" i="5" s="1"/>
  <c r="S299" i="5"/>
  <c r="S126" i="5"/>
  <c r="R126" i="5"/>
  <c r="Y323" i="5"/>
  <c r="AC323" i="5"/>
  <c r="AD323" i="5" s="1"/>
  <c r="AC27" i="5"/>
  <c r="AE27" i="5" s="1"/>
  <c r="Y27" i="5"/>
  <c r="X27" i="5"/>
  <c r="X524" i="5"/>
  <c r="Y524" i="5"/>
  <c r="AC524" i="5"/>
  <c r="AE524" i="5" s="1"/>
  <c r="Y54" i="5"/>
  <c r="AC54" i="5"/>
  <c r="AE54" i="5" s="1"/>
  <c r="Y114" i="5"/>
  <c r="X114" i="5"/>
  <c r="AC114" i="5"/>
  <c r="AE114" i="5" s="1"/>
  <c r="AC70" i="5"/>
  <c r="AD70" i="5" s="1"/>
  <c r="X70" i="5"/>
  <c r="Y70" i="5"/>
  <c r="AC501" i="5"/>
  <c r="AD501" i="5" s="1"/>
  <c r="X501" i="5"/>
  <c r="AC143" i="5"/>
  <c r="AV143" i="5" s="1"/>
  <c r="X143" i="5"/>
  <c r="Y143" i="5"/>
  <c r="X155" i="5"/>
  <c r="AC155" i="5"/>
  <c r="AV155" i="5" s="1"/>
  <c r="Y155" i="5"/>
  <c r="AC547" i="5"/>
  <c r="AE547" i="5" s="1"/>
  <c r="X547" i="5"/>
  <c r="Y471" i="5"/>
  <c r="AC471" i="5"/>
  <c r="AV471" i="5" s="1"/>
  <c r="X73" i="5"/>
  <c r="AC73" i="5"/>
  <c r="AE73" i="5" s="1"/>
  <c r="X8" i="5"/>
  <c r="Y8" i="5"/>
  <c r="X245" i="5"/>
  <c r="Y245" i="5"/>
  <c r="AC245" i="5"/>
  <c r="AD245" i="5" s="1"/>
  <c r="Y445" i="5"/>
  <c r="X445" i="5"/>
  <c r="AC491" i="5"/>
  <c r="AE491" i="5" s="1"/>
  <c r="X491" i="5"/>
  <c r="X100" i="5"/>
  <c r="Y100" i="5"/>
  <c r="AC100" i="5"/>
  <c r="AV100" i="5" s="1"/>
  <c r="X131" i="5"/>
  <c r="Y131" i="5"/>
  <c r="AC131" i="5"/>
  <c r="AE131" i="5" s="1"/>
  <c r="Y135" i="5"/>
  <c r="AC135" i="5"/>
  <c r="AE135" i="5" s="1"/>
  <c r="X135" i="5"/>
  <c r="X402" i="5"/>
  <c r="Y402" i="5"/>
  <c r="Y108" i="5"/>
  <c r="X108" i="5"/>
  <c r="AC241" i="5"/>
  <c r="AV241" i="5" s="1"/>
  <c r="AW241" i="5" s="1"/>
  <c r="X241" i="5"/>
  <c r="Y241" i="5"/>
  <c r="Y202" i="5"/>
  <c r="X202" i="5"/>
  <c r="AC161" i="5"/>
  <c r="AD161" i="5" s="1"/>
  <c r="Y161" i="5"/>
  <c r="X161" i="5"/>
  <c r="X374" i="5"/>
  <c r="Y374" i="5"/>
  <c r="Y227" i="5"/>
  <c r="X227" i="5"/>
  <c r="AC227" i="5"/>
  <c r="AV227" i="5" s="1"/>
  <c r="Y338" i="5"/>
  <c r="AC338" i="5"/>
  <c r="AE338" i="5" s="1"/>
  <c r="Y191" i="5"/>
  <c r="AC191" i="5"/>
  <c r="AE191" i="5" s="1"/>
  <c r="X191" i="5"/>
  <c r="X526" i="5"/>
  <c r="Y526" i="5"/>
  <c r="Y19" i="5"/>
  <c r="X19" i="5"/>
  <c r="Y508" i="5"/>
  <c r="X508" i="5"/>
  <c r="Y273" i="5"/>
  <c r="X273" i="5"/>
  <c r="X301" i="5"/>
  <c r="AC301" i="5"/>
  <c r="AD301" i="5" s="1"/>
  <c r="Y192" i="5"/>
  <c r="X192" i="5"/>
  <c r="AC230" i="5"/>
  <c r="AE230" i="5" s="1"/>
  <c r="Y282" i="5"/>
  <c r="X282" i="5"/>
  <c r="AC334" i="5"/>
  <c r="AD334" i="5" s="1"/>
  <c r="X334" i="5"/>
  <c r="AC483" i="5"/>
  <c r="AD483" i="5" s="1"/>
  <c r="Y483" i="5"/>
  <c r="X483" i="5"/>
  <c r="Y401" i="5"/>
  <c r="AC401" i="5"/>
  <c r="AE401" i="5" s="1"/>
  <c r="X267" i="5"/>
  <c r="AC267" i="5"/>
  <c r="AV267" i="5" s="1"/>
  <c r="Y267" i="5"/>
  <c r="AC378" i="5"/>
  <c r="AD378" i="5" s="1"/>
  <c r="S556" i="5"/>
  <c r="R556" i="5"/>
  <c r="AC450" i="5"/>
  <c r="AV450" i="5" s="1"/>
  <c r="S302" i="5"/>
  <c r="X338" i="5"/>
  <c r="AC237" i="5"/>
  <c r="AE237" i="5" s="1"/>
  <c r="AC276" i="5"/>
  <c r="AE276" i="5" s="1"/>
  <c r="AC481" i="5"/>
  <c r="AD481" i="5" s="1"/>
  <c r="S104" i="5"/>
  <c r="R276" i="5"/>
  <c r="AC556" i="5"/>
  <c r="AE556" i="5" s="1"/>
  <c r="R57" i="5"/>
  <c r="S319" i="5"/>
  <c r="X371" i="5"/>
  <c r="R538" i="5"/>
  <c r="R464" i="5"/>
  <c r="X337" i="5"/>
  <c r="S560" i="5"/>
  <c r="R401" i="5"/>
  <c r="R498" i="5"/>
  <c r="AC383" i="5"/>
  <c r="AD383" i="5" s="1"/>
  <c r="R500" i="5"/>
  <c r="AC519" i="5"/>
  <c r="AD519" i="5" s="1"/>
  <c r="AC272" i="5"/>
  <c r="AD272" i="5" s="1"/>
  <c r="R548" i="5"/>
  <c r="R325" i="5"/>
  <c r="S457" i="5"/>
  <c r="AC438" i="5"/>
  <c r="AE438" i="5" s="1"/>
  <c r="X29" i="5"/>
  <c r="S13" i="5"/>
  <c r="R324" i="5"/>
  <c r="S481" i="5"/>
  <c r="AC372" i="5"/>
  <c r="AE372" i="5" s="1"/>
  <c r="W9" i="5"/>
  <c r="X9" i="5" s="1"/>
  <c r="AC177" i="5"/>
  <c r="AD177" i="5" s="1"/>
  <c r="X66" i="5"/>
  <c r="AC56" i="5"/>
  <c r="AE56" i="5" s="1"/>
  <c r="Y329" i="5"/>
  <c r="X528" i="5"/>
  <c r="Y429" i="5"/>
  <c r="AC464" i="5"/>
  <c r="AD464" i="5" s="1"/>
  <c r="AC250" i="5"/>
  <c r="AE250" i="5" s="1"/>
  <c r="X478" i="5"/>
  <c r="S435" i="5"/>
  <c r="AC296" i="5"/>
  <c r="AD296" i="5" s="1"/>
  <c r="X327" i="5"/>
  <c r="Y56" i="5"/>
  <c r="X79" i="5"/>
  <c r="Y464" i="5"/>
  <c r="Y559" i="5"/>
  <c r="Y127" i="5"/>
  <c r="AC126" i="5"/>
  <c r="AV126" i="5" s="1"/>
  <c r="Y126" i="5"/>
  <c r="X132" i="5"/>
  <c r="X257" i="5"/>
  <c r="X349" i="5"/>
  <c r="X204" i="5"/>
  <c r="S177" i="5"/>
  <c r="AJ9" i="5"/>
  <c r="AK9" i="5" s="1"/>
  <c r="Y79" i="5"/>
  <c r="X296" i="5"/>
  <c r="X36" i="5"/>
  <c r="X127" i="5"/>
  <c r="AC326" i="5"/>
  <c r="AD326" i="5" s="1"/>
  <c r="Y237" i="5"/>
  <c r="R250" i="5"/>
  <c r="Y385" i="5"/>
  <c r="AC67" i="5"/>
  <c r="AV67" i="5" s="1"/>
  <c r="AX67" i="5" s="1"/>
  <c r="AC63" i="5"/>
  <c r="AD63" i="5" s="1"/>
  <c r="AC447" i="5"/>
  <c r="AV447" i="5" s="1"/>
  <c r="AC367" i="5"/>
  <c r="AD367" i="5" s="1"/>
  <c r="AC470" i="5"/>
  <c r="AD470" i="5" s="1"/>
  <c r="AC515" i="5"/>
  <c r="AD515" i="5" s="1"/>
  <c r="AC229" i="5"/>
  <c r="AD229" i="5" s="1"/>
  <c r="AC8" i="5"/>
  <c r="AD8" i="5" s="1"/>
  <c r="AC479" i="5"/>
  <c r="AD479" i="5" s="1"/>
  <c r="AC74" i="5"/>
  <c r="AD74" i="5" s="1"/>
  <c r="AC111" i="5"/>
  <c r="AD111" i="5" s="1"/>
  <c r="AC138" i="5"/>
  <c r="AD138" i="5" s="1"/>
  <c r="AC248" i="5"/>
  <c r="AV248" i="5" s="1"/>
  <c r="AC38" i="5"/>
  <c r="AE38" i="5" s="1"/>
  <c r="AC23" i="5"/>
  <c r="AE23" i="5" s="1"/>
  <c r="AC460" i="5"/>
  <c r="AV460" i="5" s="1"/>
  <c r="AC463" i="5"/>
  <c r="AE463" i="5" s="1"/>
  <c r="AC440" i="5"/>
  <c r="AD440" i="5" s="1"/>
  <c r="AC516" i="5"/>
  <c r="AD516" i="5" s="1"/>
  <c r="AC459" i="5"/>
  <c r="AE459" i="5" s="1"/>
  <c r="AC26" i="5"/>
  <c r="AE26" i="5" s="1"/>
  <c r="AC106" i="5"/>
  <c r="AE106" i="5" s="1"/>
  <c r="AM9" i="5"/>
  <c r="AO9" i="5" s="1"/>
  <c r="Y63" i="5"/>
  <c r="X115" i="5"/>
  <c r="AC104" i="5"/>
  <c r="AV104" i="5" s="1"/>
  <c r="AC448" i="5"/>
  <c r="AV448" i="5" s="1"/>
  <c r="Y255" i="5"/>
  <c r="Y531" i="5"/>
  <c r="X360" i="5"/>
  <c r="Y99" i="5"/>
  <c r="X104" i="5"/>
  <c r="Y493" i="5"/>
  <c r="R461" i="5"/>
  <c r="AC258" i="5"/>
  <c r="AV258" i="5" s="1"/>
  <c r="AC461" i="5"/>
  <c r="AV461" i="5" s="1"/>
  <c r="AX461" i="5" s="1"/>
  <c r="X378" i="5"/>
  <c r="X120" i="5"/>
  <c r="Y515" i="5"/>
  <c r="X99" i="5"/>
  <c r="S381" i="5"/>
  <c r="Y258" i="5"/>
  <c r="Y120" i="5"/>
  <c r="AC529" i="5"/>
  <c r="AV529" i="5" s="1"/>
  <c r="AC257" i="5"/>
  <c r="AD257" i="5" s="1"/>
  <c r="AC503" i="5"/>
  <c r="AV503" i="5" s="1"/>
  <c r="AC405" i="5"/>
  <c r="AE405" i="5" s="1"/>
  <c r="Y479" i="5"/>
  <c r="Y377" i="5"/>
  <c r="Y111" i="5"/>
  <c r="Y331" i="5"/>
  <c r="AC341" i="5"/>
  <c r="AD341" i="5" s="1"/>
  <c r="AC310" i="5"/>
  <c r="AD310" i="5" s="1"/>
  <c r="AC33" i="5"/>
  <c r="AE33" i="5" s="1"/>
  <c r="AC330" i="5"/>
  <c r="AV330" i="5" s="1"/>
  <c r="AC172" i="5"/>
  <c r="AD172" i="5" s="1"/>
  <c r="AC315" i="5"/>
  <c r="AD315" i="5" s="1"/>
  <c r="AC446" i="5"/>
  <c r="AV446" i="5" s="1"/>
  <c r="X315" i="5"/>
  <c r="S402" i="5"/>
  <c r="AC392" i="5"/>
  <c r="AV392" i="5" s="1"/>
  <c r="X162" i="5"/>
  <c r="Y370" i="5"/>
  <c r="Y109" i="5"/>
  <c r="X144" i="5"/>
  <c r="X75" i="5"/>
  <c r="Y50" i="5"/>
  <c r="Y313" i="5"/>
  <c r="X269" i="5"/>
  <c r="AC370" i="5"/>
  <c r="AD370" i="5" s="1"/>
  <c r="Y211" i="5"/>
  <c r="X119" i="5"/>
  <c r="X172" i="5"/>
  <c r="Y546" i="5"/>
  <c r="Y310" i="5"/>
  <c r="X392" i="5"/>
  <c r="Y495" i="5"/>
  <c r="Y413" i="5"/>
  <c r="Y481" i="5"/>
  <c r="X488" i="5"/>
  <c r="X39" i="5"/>
  <c r="Q11" i="5"/>
  <c r="R11" i="5" s="1"/>
  <c r="X247" i="5"/>
  <c r="Y468" i="5"/>
  <c r="X446" i="5"/>
  <c r="X373" i="5"/>
  <c r="X425" i="5"/>
  <c r="AC331" i="5"/>
  <c r="AD331" i="5" s="1"/>
  <c r="AC439" i="5"/>
  <c r="AD439" i="5" s="1"/>
  <c r="AC269" i="5"/>
  <c r="AD269" i="5" s="1"/>
  <c r="AC437" i="5"/>
  <c r="AD437" i="5" s="1"/>
  <c r="AC349" i="5"/>
  <c r="AE349" i="5" s="1"/>
  <c r="AC264" i="5"/>
  <c r="AD264" i="5" s="1"/>
  <c r="AC550" i="5"/>
  <c r="AV550" i="5" s="1"/>
  <c r="Y138" i="5"/>
  <c r="X248" i="5"/>
  <c r="X38" i="5"/>
  <c r="X23" i="5"/>
  <c r="X238" i="5"/>
  <c r="S225" i="5"/>
  <c r="Y459" i="5"/>
  <c r="AC167" i="5"/>
  <c r="AV167" i="5" s="1"/>
  <c r="AC374" i="5"/>
  <c r="AE374" i="5" s="1"/>
  <c r="X103" i="5"/>
  <c r="X427" i="5"/>
  <c r="Y554" i="5"/>
  <c r="X434" i="5"/>
  <c r="Y399" i="5"/>
  <c r="Y26" i="5"/>
  <c r="Y106" i="5"/>
  <c r="Y530" i="5"/>
  <c r="AC162" i="5"/>
  <c r="AV162" i="5" s="1"/>
  <c r="AC86" i="5"/>
  <c r="AE86" i="5" s="1"/>
  <c r="Y460" i="5"/>
  <c r="X463" i="5"/>
  <c r="X440" i="5"/>
  <c r="Y516" i="5"/>
  <c r="S244" i="5"/>
  <c r="AC20" i="5"/>
  <c r="AV20" i="5" s="1"/>
  <c r="AC211" i="5"/>
  <c r="AD211" i="5" s="1"/>
  <c r="R380" i="5"/>
  <c r="AC495" i="5"/>
  <c r="AV495" i="5" s="1"/>
  <c r="AX495" i="5" s="1"/>
  <c r="AC198" i="5"/>
  <c r="AE198" i="5" s="1"/>
  <c r="Y427" i="5"/>
  <c r="X26" i="5"/>
  <c r="X106" i="5"/>
  <c r="AC546" i="5"/>
  <c r="AD546" i="5" s="1"/>
  <c r="Y264" i="5"/>
  <c r="S426" i="5"/>
  <c r="AC413" i="5"/>
  <c r="AV413" i="5" s="1"/>
  <c r="X479" i="5"/>
  <c r="X74" i="5"/>
  <c r="Y425" i="5"/>
  <c r="X111" i="5"/>
  <c r="S175" i="5"/>
  <c r="Y20" i="5"/>
  <c r="AC266" i="5"/>
  <c r="AE266" i="5" s="1"/>
  <c r="AC62" i="5"/>
  <c r="AV62" i="5" s="1"/>
  <c r="AC50" i="5"/>
  <c r="AD50" i="5" s="1"/>
  <c r="R125" i="5"/>
  <c r="R349" i="5"/>
  <c r="X550" i="5"/>
  <c r="Y74" i="5"/>
  <c r="Y266" i="5"/>
  <c r="AC210" i="5"/>
  <c r="AE210" i="5" s="1"/>
  <c r="AC109" i="5"/>
  <c r="AV109" i="5" s="1"/>
  <c r="R508" i="5"/>
  <c r="S374" i="5"/>
  <c r="AC32" i="5"/>
  <c r="AV32" i="5" s="1"/>
  <c r="AX32" i="5" s="1"/>
  <c r="AC434" i="5"/>
  <c r="AV434" i="5" s="1"/>
  <c r="S184" i="5"/>
  <c r="R410" i="5"/>
  <c r="S8" i="5"/>
  <c r="R530" i="5"/>
  <c r="R262" i="5"/>
  <c r="R134" i="5"/>
  <c r="S423" i="5"/>
  <c r="R236" i="5"/>
  <c r="AC148" i="5"/>
  <c r="AE148" i="5" s="1"/>
  <c r="R28" i="5"/>
  <c r="R387" i="5"/>
  <c r="R529" i="5"/>
  <c r="R531" i="5"/>
  <c r="S280" i="5"/>
  <c r="S528" i="5"/>
  <c r="R50" i="5"/>
  <c r="S288" i="5"/>
  <c r="AC176" i="5"/>
  <c r="AD176" i="5" s="1"/>
  <c r="AC554" i="5"/>
  <c r="AE554" i="5" s="1"/>
  <c r="AC280" i="5"/>
  <c r="AD280" i="5" s="1"/>
  <c r="S367" i="5"/>
  <c r="R470" i="5"/>
  <c r="R432" i="5"/>
  <c r="R291" i="5"/>
  <c r="S515" i="5"/>
  <c r="S210" i="5"/>
  <c r="R229" i="5"/>
  <c r="S62" i="5"/>
  <c r="S148" i="5"/>
  <c r="AC484" i="5"/>
  <c r="AE484" i="5" s="1"/>
  <c r="AC236" i="5"/>
  <c r="AE236" i="5" s="1"/>
  <c r="AC490" i="5"/>
  <c r="AV490" i="5" s="1"/>
  <c r="S380" i="5"/>
  <c r="AJ11" i="5"/>
  <c r="AL11" i="5" s="1"/>
  <c r="R184" i="5"/>
  <c r="S410" i="5"/>
  <c r="R8" i="5"/>
  <c r="S530" i="5"/>
  <c r="S262" i="5"/>
  <c r="S134" i="5"/>
  <c r="R423" i="5"/>
  <c r="AC175" i="5"/>
  <c r="AE175" i="5" s="1"/>
  <c r="AC390" i="5"/>
  <c r="AV390" i="5" s="1"/>
  <c r="AC453" i="5"/>
  <c r="AV453" i="5" s="1"/>
  <c r="S529" i="5"/>
  <c r="R288" i="5"/>
  <c r="AC508" i="5"/>
  <c r="AV508" i="5" s="1"/>
  <c r="AC493" i="5"/>
  <c r="AD493" i="5" s="1"/>
  <c r="AC369" i="5"/>
  <c r="AE369" i="5" s="1"/>
  <c r="R367" i="5"/>
  <c r="S470" i="5"/>
  <c r="S432" i="5"/>
  <c r="S291" i="5"/>
  <c r="R515" i="5"/>
  <c r="S229" i="5"/>
  <c r="AC52" i="5"/>
  <c r="AD52" i="5" s="1"/>
  <c r="Z11" i="5"/>
  <c r="AA11" i="5" s="1"/>
  <c r="AC234" i="5"/>
  <c r="AV234" i="5" s="1"/>
  <c r="T11" i="5"/>
  <c r="U11" i="5" s="1"/>
  <c r="R434" i="5"/>
  <c r="R364" i="5"/>
  <c r="S453" i="5"/>
  <c r="AC364" i="5"/>
  <c r="AE364" i="5" s="1"/>
  <c r="AC225" i="5"/>
  <c r="AD225" i="5" s="1"/>
  <c r="AC137" i="5"/>
  <c r="AD137" i="5" s="1"/>
  <c r="AC336" i="5"/>
  <c r="AE336" i="5" s="1"/>
  <c r="AC308" i="5"/>
  <c r="AV308" i="5" s="1"/>
  <c r="S63" i="5"/>
  <c r="R447" i="5"/>
  <c r="S32" i="5"/>
  <c r="S554" i="5"/>
  <c r="R336" i="5"/>
  <c r="AC402" i="5"/>
  <c r="AE402" i="5" s="1"/>
  <c r="AM11" i="5"/>
  <c r="AO11" i="5" s="1"/>
  <c r="S406" i="5"/>
  <c r="R558" i="5"/>
  <c r="AC426" i="5"/>
  <c r="AD426" i="5" s="1"/>
  <c r="AC125" i="5"/>
  <c r="AE125" i="5" s="1"/>
  <c r="R512" i="5"/>
  <c r="R308" i="5"/>
  <c r="R390" i="5"/>
  <c r="S247" i="5"/>
  <c r="S52" i="5"/>
  <c r="R300" i="5"/>
  <c r="S420" i="5"/>
  <c r="S287" i="5"/>
  <c r="S98" i="5"/>
  <c r="R440" i="5"/>
  <c r="S228" i="5"/>
  <c r="S100" i="5"/>
  <c r="W11" i="5"/>
  <c r="X11" i="5" s="1"/>
  <c r="R176" i="5"/>
  <c r="R484" i="5"/>
  <c r="S292" i="5"/>
  <c r="R198" i="5"/>
  <c r="S119" i="5"/>
  <c r="R63" i="5"/>
  <c r="S447" i="5"/>
  <c r="AC45" i="5"/>
  <c r="AE45" i="5" s="1"/>
  <c r="AC119" i="5"/>
  <c r="AD119" i="5" s="1"/>
  <c r="S437" i="5"/>
  <c r="R493" i="5"/>
  <c r="R45" i="5"/>
  <c r="R234" i="5"/>
  <c r="S167" i="5"/>
  <c r="R490" i="5"/>
  <c r="AC244" i="5"/>
  <c r="AE244" i="5" s="1"/>
  <c r="S512" i="5"/>
  <c r="R287" i="5"/>
  <c r="S81" i="5"/>
  <c r="S543" i="5"/>
  <c r="R22" i="5"/>
  <c r="R292" i="5"/>
  <c r="Y146" i="4"/>
  <c r="BC146" i="4" s="1"/>
  <c r="Z146" i="4"/>
  <c r="Z126" i="4"/>
  <c r="Y155" i="4"/>
  <c r="BX155" i="4" s="1"/>
  <c r="Y126" i="4"/>
  <c r="BX126" i="4" s="1"/>
  <c r="Y129" i="4"/>
  <c r="BC129" i="4" s="1"/>
  <c r="Y121" i="4"/>
  <c r="AI121" i="4" s="1"/>
  <c r="Z121" i="4"/>
  <c r="AT10" i="5"/>
  <c r="AU10" i="5"/>
  <c r="Z123" i="4"/>
  <c r="Y123" i="4"/>
  <c r="BC123" i="4" s="1"/>
  <c r="Z113" i="4"/>
  <c r="Z129" i="4"/>
  <c r="Y113" i="4"/>
  <c r="BN113" i="4" s="1"/>
  <c r="Z156" i="4"/>
  <c r="Y141" i="4"/>
  <c r="BC141" i="4" s="1"/>
  <c r="Y156" i="4"/>
  <c r="BC156" i="4" s="1"/>
  <c r="AX7" i="5"/>
  <c r="AV96" i="5"/>
  <c r="AX96" i="5" s="1"/>
  <c r="AE96" i="5"/>
  <c r="V40" i="1"/>
  <c r="BC75" i="4"/>
  <c r="AI75" i="4"/>
  <c r="BN75" i="4"/>
  <c r="AA75" i="4"/>
  <c r="AB75" i="4" s="1"/>
  <c r="BX75" i="4"/>
  <c r="AP75" i="4"/>
  <c r="CI7" i="4"/>
  <c r="CJ7" i="4" s="1"/>
  <c r="BC14" i="4"/>
  <c r="AA14" i="4"/>
  <c r="AB14" i="4" s="1"/>
  <c r="BN14" i="4"/>
  <c r="BX14" i="4"/>
  <c r="AI14" i="4"/>
  <c r="AP14" i="4"/>
  <c r="BC36" i="4"/>
  <c r="AP36" i="4"/>
  <c r="BN36" i="4"/>
  <c r="AA36" i="4"/>
  <c r="AB36" i="4" s="1"/>
  <c r="BX36" i="4"/>
  <c r="AI36" i="4"/>
  <c r="BC102" i="4"/>
  <c r="AI102" i="4"/>
  <c r="AP102" i="4"/>
  <c r="AA102" i="4"/>
  <c r="AB102" i="4" s="1"/>
  <c r="BX102" i="4"/>
  <c r="BN102" i="4"/>
  <c r="BC41" i="4"/>
  <c r="AP41" i="4"/>
  <c r="AI41" i="4"/>
  <c r="BX41" i="4"/>
  <c r="BN41" i="4"/>
  <c r="AA41" i="4"/>
  <c r="AB41" i="4" s="1"/>
  <c r="BC62" i="4"/>
  <c r="BN62" i="4"/>
  <c r="BX62" i="4"/>
  <c r="AI62" i="4"/>
  <c r="AA62" i="4"/>
  <c r="AB62" i="4" s="1"/>
  <c r="AP62" i="4"/>
  <c r="BC61" i="4"/>
  <c r="BN61" i="4"/>
  <c r="AP61" i="4"/>
  <c r="AA61" i="4"/>
  <c r="AB61" i="4" s="1"/>
  <c r="AI61" i="4"/>
  <c r="BX61" i="4"/>
  <c r="AI95" i="4"/>
  <c r="AP95" i="4"/>
  <c r="BC95" i="4"/>
  <c r="BX95" i="4"/>
  <c r="BN95" i="4"/>
  <c r="AA95" i="4"/>
  <c r="AB95" i="4" s="1"/>
  <c r="BC119" i="4"/>
  <c r="BN119" i="4"/>
  <c r="AA119" i="4"/>
  <c r="AB119" i="4" s="1"/>
  <c r="AP119" i="4"/>
  <c r="AI119" i="4"/>
  <c r="BX119" i="4"/>
  <c r="BC101" i="4"/>
  <c r="BX101" i="4"/>
  <c r="AA101" i="4"/>
  <c r="AB101" i="4" s="1"/>
  <c r="BN101" i="4"/>
  <c r="AI101" i="4"/>
  <c r="AP101" i="4"/>
  <c r="BC80" i="4"/>
  <c r="BN80" i="4"/>
  <c r="AI80" i="4"/>
  <c r="BX80" i="4"/>
  <c r="AA80" i="4"/>
  <c r="AB80" i="4" s="1"/>
  <c r="AP80" i="4"/>
  <c r="BC89" i="4"/>
  <c r="AI89" i="4"/>
  <c r="AP89" i="4"/>
  <c r="BX89" i="4"/>
  <c r="BN89" i="4"/>
  <c r="AA89" i="4"/>
  <c r="AB89" i="4" s="1"/>
  <c r="BC56" i="4"/>
  <c r="AA56" i="4"/>
  <c r="AB56" i="4" s="1"/>
  <c r="BN56" i="4"/>
  <c r="BX56" i="4"/>
  <c r="AI56" i="4"/>
  <c r="AP56" i="4"/>
  <c r="BC51" i="4"/>
  <c r="AA51" i="4"/>
  <c r="AB51" i="4" s="1"/>
  <c r="BN51" i="4"/>
  <c r="BX51" i="4"/>
  <c r="AP51" i="4"/>
  <c r="AI51" i="4"/>
  <c r="BC69" i="4"/>
  <c r="AI69" i="4"/>
  <c r="AP69" i="4"/>
  <c r="AA69" i="4"/>
  <c r="AB69" i="4" s="1"/>
  <c r="BN69" i="4"/>
  <c r="BX69" i="4"/>
  <c r="BC15" i="4"/>
  <c r="BX15" i="4"/>
  <c r="AI15" i="4"/>
  <c r="AA15" i="4"/>
  <c r="AB15" i="4" s="1"/>
  <c r="BN15" i="4"/>
  <c r="AP15" i="4"/>
  <c r="BC31" i="4"/>
  <c r="BX31" i="4"/>
  <c r="AI31" i="4"/>
  <c r="AP31" i="4"/>
  <c r="BN31" i="4"/>
  <c r="AA31" i="4"/>
  <c r="AB31" i="4" s="1"/>
  <c r="BC128" i="4"/>
  <c r="BX128" i="4"/>
  <c r="AP128" i="4"/>
  <c r="AI128" i="4"/>
  <c r="AA128" i="4"/>
  <c r="AB128" i="4" s="1"/>
  <c r="BN128" i="4"/>
  <c r="BC46" i="4"/>
  <c r="BX46" i="4"/>
  <c r="AP46" i="4"/>
  <c r="AI46" i="4"/>
  <c r="BN46" i="4"/>
  <c r="AA46" i="4"/>
  <c r="AB46" i="4" s="1"/>
  <c r="BC144" i="4"/>
  <c r="AI144" i="4"/>
  <c r="AP144" i="4"/>
  <c r="BN144" i="4"/>
  <c r="BX144" i="4"/>
  <c r="AA144" i="4"/>
  <c r="AB144" i="4" s="1"/>
  <c r="BC112" i="4"/>
  <c r="AI112" i="4"/>
  <c r="AP112" i="4"/>
  <c r="AA112" i="4"/>
  <c r="AB112" i="4" s="1"/>
  <c r="BN112" i="4"/>
  <c r="BX112" i="4"/>
  <c r="BC49" i="4"/>
  <c r="AI49" i="4"/>
  <c r="AA49" i="4"/>
  <c r="AB49" i="4" s="1"/>
  <c r="AP49" i="4"/>
  <c r="BX49" i="4"/>
  <c r="BN49" i="4"/>
  <c r="BC92" i="4"/>
  <c r="BN92" i="4"/>
  <c r="BX92" i="4"/>
  <c r="AA92" i="4"/>
  <c r="AB92" i="4" s="1"/>
  <c r="AP92" i="4"/>
  <c r="AI92" i="4"/>
  <c r="BC66" i="4"/>
  <c r="AA66" i="4"/>
  <c r="AB66" i="4" s="1"/>
  <c r="AP66" i="4"/>
  <c r="BX66" i="4"/>
  <c r="BN66" i="4"/>
  <c r="AI66" i="4"/>
  <c r="BC43" i="4"/>
  <c r="BN43" i="4"/>
  <c r="AP43" i="4"/>
  <c r="BX43" i="4"/>
  <c r="AI43" i="4"/>
  <c r="AA43" i="4"/>
  <c r="AB43" i="4" s="1"/>
  <c r="BC103" i="4"/>
  <c r="AI103" i="4"/>
  <c r="BX103" i="4"/>
  <c r="BN103" i="4"/>
  <c r="AP103" i="4"/>
  <c r="AA103" i="4"/>
  <c r="AB103" i="4" s="1"/>
  <c r="BC68" i="4"/>
  <c r="AI68" i="4"/>
  <c r="BN68" i="4"/>
  <c r="BX68" i="4"/>
  <c r="AP68" i="4"/>
  <c r="AA68" i="4"/>
  <c r="AB68" i="4" s="1"/>
  <c r="BC133" i="4"/>
  <c r="BN133" i="4"/>
  <c r="BX133" i="4"/>
  <c r="AA133" i="4"/>
  <c r="AB133" i="4" s="1"/>
  <c r="AI133" i="4"/>
  <c r="AP133" i="4"/>
  <c r="AP115" i="4"/>
  <c r="BN115" i="4"/>
  <c r="BX115" i="4"/>
  <c r="BC115" i="4"/>
  <c r="AA115" i="4"/>
  <c r="AB115" i="4" s="1"/>
  <c r="AI115" i="4"/>
  <c r="BC27" i="4"/>
  <c r="AA27" i="4"/>
  <c r="AB27" i="4" s="1"/>
  <c r="BN27" i="4"/>
  <c r="AP27" i="4"/>
  <c r="BX27" i="4"/>
  <c r="AI27" i="4"/>
  <c r="BC107" i="4"/>
  <c r="AI107" i="4"/>
  <c r="BN107" i="4"/>
  <c r="BX107" i="4"/>
  <c r="AP107" i="4"/>
  <c r="AA107" i="4"/>
  <c r="AB107" i="4" s="1"/>
  <c r="BC154" i="4"/>
  <c r="BX154" i="4"/>
  <c r="AI154" i="4"/>
  <c r="BN154" i="4"/>
  <c r="AA154" i="4"/>
  <c r="AB154" i="4" s="1"/>
  <c r="AP154" i="4"/>
  <c r="BC22" i="4"/>
  <c r="AP22" i="4"/>
  <c r="AA22" i="4"/>
  <c r="AB22" i="4" s="1"/>
  <c r="AI22" i="4"/>
  <c r="BN22" i="4"/>
  <c r="BX22" i="4"/>
  <c r="BC64" i="4"/>
  <c r="AA64" i="4"/>
  <c r="AB64" i="4" s="1"/>
  <c r="AP64" i="4"/>
  <c r="BN64" i="4"/>
  <c r="AI64" i="4"/>
  <c r="BX64" i="4"/>
  <c r="AV399" i="5"/>
  <c r="BC48" i="4"/>
  <c r="BN48" i="4"/>
  <c r="BX48" i="4"/>
  <c r="AA48" i="4"/>
  <c r="AB48" i="4" s="1"/>
  <c r="AP48" i="4"/>
  <c r="AI48" i="4"/>
  <c r="AI125" i="4"/>
  <c r="AP125" i="4"/>
  <c r="AA125" i="4"/>
  <c r="AB125" i="4" s="1"/>
  <c r="BC125" i="4"/>
  <c r="BX125" i="4"/>
  <c r="BN125" i="4"/>
  <c r="BC52" i="4"/>
  <c r="BN52" i="4"/>
  <c r="BX52" i="4"/>
  <c r="AP52" i="4"/>
  <c r="AI52" i="4"/>
  <c r="AA52" i="4"/>
  <c r="AB52" i="4" s="1"/>
  <c r="BC71" i="4"/>
  <c r="BN71" i="4"/>
  <c r="AI71" i="4"/>
  <c r="AP71" i="4"/>
  <c r="AA71" i="4"/>
  <c r="AB71" i="4" s="1"/>
  <c r="BX71" i="4"/>
  <c r="BC8" i="4"/>
  <c r="AI8" i="4"/>
  <c r="AA8" i="4"/>
  <c r="AB8" i="4" s="1"/>
  <c r="BX8" i="4"/>
  <c r="BN8" i="4"/>
  <c r="AP8" i="4"/>
  <c r="BC90" i="4"/>
  <c r="BN90" i="4"/>
  <c r="AP90" i="4"/>
  <c r="BX90" i="4"/>
  <c r="AI90" i="4"/>
  <c r="AA90" i="4"/>
  <c r="AB90" i="4" s="1"/>
  <c r="BC122" i="4"/>
  <c r="AP122" i="4"/>
  <c r="AA122" i="4"/>
  <c r="AB122" i="4" s="1"/>
  <c r="AI122" i="4"/>
  <c r="BX122" i="4"/>
  <c r="BN122" i="4"/>
  <c r="BC28" i="4"/>
  <c r="BN28" i="4"/>
  <c r="BX28" i="4"/>
  <c r="AA28" i="4"/>
  <c r="AB28" i="4" s="1"/>
  <c r="AI28" i="4"/>
  <c r="AP28" i="4"/>
  <c r="BC33" i="4"/>
  <c r="BX33" i="4"/>
  <c r="AI33" i="4"/>
  <c r="BN33" i="4"/>
  <c r="AP33" i="4"/>
  <c r="AA33" i="4"/>
  <c r="AB33" i="4" s="1"/>
  <c r="BC152" i="4"/>
  <c r="AI152" i="4"/>
  <c r="BX152" i="4"/>
  <c r="AA152" i="4"/>
  <c r="AB152" i="4" s="1"/>
  <c r="AP152" i="4"/>
  <c r="BN152" i="4"/>
  <c r="BC39" i="4"/>
  <c r="AP39" i="4"/>
  <c r="BX39" i="4"/>
  <c r="BN39" i="4"/>
  <c r="AI39" i="4"/>
  <c r="AA39" i="4"/>
  <c r="AB39" i="4" s="1"/>
  <c r="BC96" i="4"/>
  <c r="BN96" i="4"/>
  <c r="BX96" i="4"/>
  <c r="AP96" i="4"/>
  <c r="AI96" i="4"/>
  <c r="AA96" i="4"/>
  <c r="AB96" i="4" s="1"/>
  <c r="BC40" i="4"/>
  <c r="BN40" i="4"/>
  <c r="BX40" i="4"/>
  <c r="AA40" i="4"/>
  <c r="AB40" i="4" s="1"/>
  <c r="AP40" i="4"/>
  <c r="AI40" i="4"/>
  <c r="BC59" i="4"/>
  <c r="AA59" i="4"/>
  <c r="AB59" i="4" s="1"/>
  <c r="AP59" i="4"/>
  <c r="AI59" i="4"/>
  <c r="BN59" i="4"/>
  <c r="BX59" i="4"/>
  <c r="BC99" i="4"/>
  <c r="AI99" i="4"/>
  <c r="BN99" i="4"/>
  <c r="BX99" i="4"/>
  <c r="AP99" i="4"/>
  <c r="AA99" i="4"/>
  <c r="AB99" i="4" s="1"/>
  <c r="BC35" i="4"/>
  <c r="BN35" i="4"/>
  <c r="BX35" i="4"/>
  <c r="AI35" i="4"/>
  <c r="AA35" i="4"/>
  <c r="AB35" i="4" s="1"/>
  <c r="AP35" i="4"/>
  <c r="BC110" i="4"/>
  <c r="AA110" i="4"/>
  <c r="AB110" i="4" s="1"/>
  <c r="BN110" i="4"/>
  <c r="BX110" i="4"/>
  <c r="AP110" i="4"/>
  <c r="AI110" i="4"/>
  <c r="BC97" i="4"/>
  <c r="AP97" i="4"/>
  <c r="AA97" i="4"/>
  <c r="AB97" i="4" s="1"/>
  <c r="BX97" i="4"/>
  <c r="BN97" i="4"/>
  <c r="AI97" i="4"/>
  <c r="BC147" i="4"/>
  <c r="AI147" i="4"/>
  <c r="BN147" i="4"/>
  <c r="AP147" i="4"/>
  <c r="BX147" i="4"/>
  <c r="AA147" i="4"/>
  <c r="AB147" i="4" s="1"/>
  <c r="BC118" i="4"/>
  <c r="BN118" i="4"/>
  <c r="BX118" i="4"/>
  <c r="AA118" i="4"/>
  <c r="AB118" i="4" s="1"/>
  <c r="AI118" i="4"/>
  <c r="AP118" i="4"/>
  <c r="BC20" i="4"/>
  <c r="AP20" i="4"/>
  <c r="AA20" i="4"/>
  <c r="AB20" i="4" s="1"/>
  <c r="AI20" i="4"/>
  <c r="BN20" i="4"/>
  <c r="BX20" i="4"/>
  <c r="BC30" i="4"/>
  <c r="AP30" i="4"/>
  <c r="BN30" i="4"/>
  <c r="BX30" i="4"/>
  <c r="AA30" i="4"/>
  <c r="AB30" i="4" s="1"/>
  <c r="AI30" i="4"/>
  <c r="BC37" i="4"/>
  <c r="AA37" i="4"/>
  <c r="AB37" i="4" s="1"/>
  <c r="AP37" i="4"/>
  <c r="BX37" i="4"/>
  <c r="BN37" i="4"/>
  <c r="AI37" i="4"/>
  <c r="BC139" i="4"/>
  <c r="AP139" i="4"/>
  <c r="BN139" i="4"/>
  <c r="BX139" i="4"/>
  <c r="AI139" i="4"/>
  <c r="AA139" i="4"/>
  <c r="AB139" i="4" s="1"/>
  <c r="BC94" i="4"/>
  <c r="AI94" i="4"/>
  <c r="BX94" i="4"/>
  <c r="AP94" i="4"/>
  <c r="AA94" i="4"/>
  <c r="AB94" i="4" s="1"/>
  <c r="BN94" i="4"/>
  <c r="BC42" i="4"/>
  <c r="BX42" i="4"/>
  <c r="AA42" i="4"/>
  <c r="AB42" i="4" s="1"/>
  <c r="BN42" i="4"/>
  <c r="AI42" i="4"/>
  <c r="AP42" i="4"/>
  <c r="BC55" i="4"/>
  <c r="BX55" i="4"/>
  <c r="AP55" i="4"/>
  <c r="BN55" i="4"/>
  <c r="AI55" i="4"/>
  <c r="AA55" i="4"/>
  <c r="AB55" i="4" s="1"/>
  <c r="AB9" i="5"/>
  <c r="AA9" i="5"/>
  <c r="BC108" i="4"/>
  <c r="AI108" i="4"/>
  <c r="BN108" i="4"/>
  <c r="BX108" i="4"/>
  <c r="AP108" i="4"/>
  <c r="AA108" i="4"/>
  <c r="AB108" i="4" s="1"/>
  <c r="BC70" i="4"/>
  <c r="AP70" i="4"/>
  <c r="BN70" i="4"/>
  <c r="BX70" i="4"/>
  <c r="AA70" i="4"/>
  <c r="AB70" i="4" s="1"/>
  <c r="AI70" i="4"/>
  <c r="BC109" i="4"/>
  <c r="AP109" i="4"/>
  <c r="BN109" i="4"/>
  <c r="BX109" i="4"/>
  <c r="AI109" i="4"/>
  <c r="AA109" i="4"/>
  <c r="AB109" i="4" s="1"/>
  <c r="BC23" i="4"/>
  <c r="BN23" i="4"/>
  <c r="BX23" i="4"/>
  <c r="AI23" i="4"/>
  <c r="AP23" i="4"/>
  <c r="AA23" i="4"/>
  <c r="AB23" i="4" s="1"/>
  <c r="BC54" i="4"/>
  <c r="AI54" i="4"/>
  <c r="BX54" i="4"/>
  <c r="AA54" i="4"/>
  <c r="AB54" i="4" s="1"/>
  <c r="AP54" i="4"/>
  <c r="BN54" i="4"/>
  <c r="BC45" i="4"/>
  <c r="BN45" i="4"/>
  <c r="AI45" i="4"/>
  <c r="BX45" i="4"/>
  <c r="AP45" i="4"/>
  <c r="AA45" i="4"/>
  <c r="AB45" i="4" s="1"/>
  <c r="BC82" i="4"/>
  <c r="BN82" i="4"/>
  <c r="AP82" i="4"/>
  <c r="AA82" i="4"/>
  <c r="AB82" i="4" s="1"/>
  <c r="BX82" i="4"/>
  <c r="AI82" i="4"/>
  <c r="BC98" i="4"/>
  <c r="AA98" i="4"/>
  <c r="AB98" i="4" s="1"/>
  <c r="AP98" i="4"/>
  <c r="BX98" i="4"/>
  <c r="BN98" i="4"/>
  <c r="AI98" i="4"/>
  <c r="BC114" i="4"/>
  <c r="BX114" i="4"/>
  <c r="BN114" i="4"/>
  <c r="AA114" i="4"/>
  <c r="AB114" i="4" s="1"/>
  <c r="AP114" i="4"/>
  <c r="AI114" i="4"/>
  <c r="BC50" i="4"/>
  <c r="AI50" i="4"/>
  <c r="AA50" i="4"/>
  <c r="AB50" i="4" s="1"/>
  <c r="BX50" i="4"/>
  <c r="BN50" i="4"/>
  <c r="AP50" i="4"/>
  <c r="BC24" i="4"/>
  <c r="AI24" i="4"/>
  <c r="AP24" i="4"/>
  <c r="AA24" i="4"/>
  <c r="AB24" i="4" s="1"/>
  <c r="BX24" i="4"/>
  <c r="BN24" i="4"/>
  <c r="BC132" i="4"/>
  <c r="AP132" i="4"/>
  <c r="BN132" i="4"/>
  <c r="AI132" i="4"/>
  <c r="BX132" i="4"/>
  <c r="AA132" i="4"/>
  <c r="AB132" i="4" s="1"/>
  <c r="BC145" i="4"/>
  <c r="BN145" i="4"/>
  <c r="AP145" i="4"/>
  <c r="BX145" i="4"/>
  <c r="AI145" i="4"/>
  <c r="AA145" i="4"/>
  <c r="AB145" i="4" s="1"/>
  <c r="BC72" i="4"/>
  <c r="AP72" i="4"/>
  <c r="BN72" i="4"/>
  <c r="BX72" i="4"/>
  <c r="AI72" i="4"/>
  <c r="AA72" i="4"/>
  <c r="AB72" i="4" s="1"/>
  <c r="BC19" i="4"/>
  <c r="BX19" i="4"/>
  <c r="AI19" i="4"/>
  <c r="AP19" i="4"/>
  <c r="BN19" i="4"/>
  <c r="AA19" i="4"/>
  <c r="AB19" i="4" s="1"/>
  <c r="BC88" i="4"/>
  <c r="AI88" i="4"/>
  <c r="BN88" i="4"/>
  <c r="BX88" i="4"/>
  <c r="AA88" i="4"/>
  <c r="AB88" i="4" s="1"/>
  <c r="AP88" i="4"/>
  <c r="BC116" i="4"/>
  <c r="BN116" i="4"/>
  <c r="BX116" i="4"/>
  <c r="AI116" i="4"/>
  <c r="AA116" i="4"/>
  <c r="AB116" i="4" s="1"/>
  <c r="AP116" i="4"/>
  <c r="BC60" i="4"/>
  <c r="AA60" i="4"/>
  <c r="AB60" i="4" s="1"/>
  <c r="AP60" i="4"/>
  <c r="BN60" i="4"/>
  <c r="AI60" i="4"/>
  <c r="BX60" i="4"/>
  <c r="BC12" i="4"/>
  <c r="BN12" i="4"/>
  <c r="BX12" i="4"/>
  <c r="AI12" i="4"/>
  <c r="AA12" i="4"/>
  <c r="AB12" i="4" s="1"/>
  <c r="AP12" i="4"/>
  <c r="BC79" i="4"/>
  <c r="BX79" i="4"/>
  <c r="BN79" i="4"/>
  <c r="AP79" i="4"/>
  <c r="AA79" i="4"/>
  <c r="AB79" i="4" s="1"/>
  <c r="AI79" i="4"/>
  <c r="BC149" i="4"/>
  <c r="BN149" i="4"/>
  <c r="AP149" i="4"/>
  <c r="BX149" i="4"/>
  <c r="AA149" i="4"/>
  <c r="AB149" i="4" s="1"/>
  <c r="AI149" i="4"/>
  <c r="BC157" i="4"/>
  <c r="AP157" i="4"/>
  <c r="AA157" i="4"/>
  <c r="AB157" i="4" s="1"/>
  <c r="BX157" i="4"/>
  <c r="AI157" i="4"/>
  <c r="BN157" i="4"/>
  <c r="BC73" i="4"/>
  <c r="BN73" i="4"/>
  <c r="AA73" i="4"/>
  <c r="AB73" i="4" s="1"/>
  <c r="AP73" i="4"/>
  <c r="AI73" i="4"/>
  <c r="BX73" i="4"/>
  <c r="BC44" i="4"/>
  <c r="AP44" i="4"/>
  <c r="AA44" i="4"/>
  <c r="AB44" i="4" s="1"/>
  <c r="BN44" i="4"/>
  <c r="BX44" i="4"/>
  <c r="AI44" i="4"/>
  <c r="BC87" i="4"/>
  <c r="AI87" i="4"/>
  <c r="BX87" i="4"/>
  <c r="AP87" i="4"/>
  <c r="BN87" i="4"/>
  <c r="AA87" i="4"/>
  <c r="AB87" i="4" s="1"/>
  <c r="BC10" i="4"/>
  <c r="BX10" i="4"/>
  <c r="BN10" i="4"/>
  <c r="AI10" i="4"/>
  <c r="AP10" i="4"/>
  <c r="AA10" i="4"/>
  <c r="AB10" i="4" s="1"/>
  <c r="BC77" i="4"/>
  <c r="AP77" i="4"/>
  <c r="BN77" i="4"/>
  <c r="AI77" i="4"/>
  <c r="BX77" i="4"/>
  <c r="AA77" i="4"/>
  <c r="AB77" i="4" s="1"/>
  <c r="BC86" i="4"/>
  <c r="AP86" i="4"/>
  <c r="BN86" i="4"/>
  <c r="BX86" i="4"/>
  <c r="AI86" i="4"/>
  <c r="AA86" i="4"/>
  <c r="AB86" i="4" s="1"/>
  <c r="BC120" i="4"/>
  <c r="AP120" i="4"/>
  <c r="AI120" i="4"/>
  <c r="BN120" i="4"/>
  <c r="BX120" i="4"/>
  <c r="AA120" i="4"/>
  <c r="AB120" i="4" s="1"/>
  <c r="BC104" i="4"/>
  <c r="AI104" i="4"/>
  <c r="BN104" i="4"/>
  <c r="BX104" i="4"/>
  <c r="AA104" i="4"/>
  <c r="AB104" i="4" s="1"/>
  <c r="AP104" i="4"/>
  <c r="AE282" i="5"/>
  <c r="AV282" i="5"/>
  <c r="AD282" i="5"/>
  <c r="BC29" i="4"/>
  <c r="BN29" i="4"/>
  <c r="AP29" i="4"/>
  <c r="BX29" i="4"/>
  <c r="AI29" i="4"/>
  <c r="AA29" i="4"/>
  <c r="AB29" i="4" s="1"/>
  <c r="BC18" i="4"/>
  <c r="BX18" i="4"/>
  <c r="BN18" i="4"/>
  <c r="AP18" i="4"/>
  <c r="AI18" i="4"/>
  <c r="AA18" i="4"/>
  <c r="AB18" i="4" s="1"/>
  <c r="BC13" i="4"/>
  <c r="BX13" i="4"/>
  <c r="AA13" i="4"/>
  <c r="AB13" i="4" s="1"/>
  <c r="AI13" i="4"/>
  <c r="AP13" i="4"/>
  <c r="BN13" i="4"/>
  <c r="BC127" i="4"/>
  <c r="BN127" i="4"/>
  <c r="AP127" i="4"/>
  <c r="AI127" i="4"/>
  <c r="AA127" i="4"/>
  <c r="AB127" i="4" s="1"/>
  <c r="BX127" i="4"/>
  <c r="BC117" i="4"/>
  <c r="AI117" i="4"/>
  <c r="AA117" i="4"/>
  <c r="AB117" i="4" s="1"/>
  <c r="BX117" i="4"/>
  <c r="BN117" i="4"/>
  <c r="AP117" i="4"/>
  <c r="BC84" i="4"/>
  <c r="BX84" i="4"/>
  <c r="AI84" i="4"/>
  <c r="AP84" i="4"/>
  <c r="AA84" i="4"/>
  <c r="AB84" i="4" s="1"/>
  <c r="BN84" i="4"/>
  <c r="BC58" i="4"/>
  <c r="BX58" i="4"/>
  <c r="AI58" i="4"/>
  <c r="BN58" i="4"/>
  <c r="AP58" i="4"/>
  <c r="AA58" i="4"/>
  <c r="AB58" i="4" s="1"/>
  <c r="BC143" i="4"/>
  <c r="AP143" i="4"/>
  <c r="AI143" i="4"/>
  <c r="BX143" i="4"/>
  <c r="BN143" i="4"/>
  <c r="AA143" i="4"/>
  <c r="AB143" i="4" s="1"/>
  <c r="BC47" i="4"/>
  <c r="BN47" i="4"/>
  <c r="AI47" i="4"/>
  <c r="AA47" i="4"/>
  <c r="AB47" i="4" s="1"/>
  <c r="BX47" i="4"/>
  <c r="AP47" i="4"/>
  <c r="BC53" i="4"/>
  <c r="BN53" i="4"/>
  <c r="BX53" i="4"/>
  <c r="AP53" i="4"/>
  <c r="AI53" i="4"/>
  <c r="AA53" i="4"/>
  <c r="AB53" i="4" s="1"/>
  <c r="BC9" i="4"/>
  <c r="BX9" i="4"/>
  <c r="AP9" i="4"/>
  <c r="BN9" i="4"/>
  <c r="AI9" i="4"/>
  <c r="AA9" i="4"/>
  <c r="AB9" i="4" s="1"/>
  <c r="BC81" i="4"/>
  <c r="BX81" i="4"/>
  <c r="BN81" i="4"/>
  <c r="AI81" i="4"/>
  <c r="AP81" i="4"/>
  <c r="AA81" i="4"/>
  <c r="AB81" i="4" s="1"/>
  <c r="BC138" i="4"/>
  <c r="BX138" i="4"/>
  <c r="AI138" i="4"/>
  <c r="BN138" i="4"/>
  <c r="AP138" i="4"/>
  <c r="AA138" i="4"/>
  <c r="AB138" i="4" s="1"/>
  <c r="BC137" i="4"/>
  <c r="BN137" i="4"/>
  <c r="AA137" i="4"/>
  <c r="AB137" i="4" s="1"/>
  <c r="AI137" i="4"/>
  <c r="BX137" i="4"/>
  <c r="AP137" i="4"/>
  <c r="BC65" i="4"/>
  <c r="AI65" i="4"/>
  <c r="BN65" i="4"/>
  <c r="AP65" i="4"/>
  <c r="AA65" i="4"/>
  <c r="AB65" i="4" s="1"/>
  <c r="BX65" i="4"/>
  <c r="BC26" i="4"/>
  <c r="BX26" i="4"/>
  <c r="AI26" i="4"/>
  <c r="BN26" i="4"/>
  <c r="AP26" i="4"/>
  <c r="AA26" i="4"/>
  <c r="AB26" i="4" s="1"/>
  <c r="AI9" i="5"/>
  <c r="AH9" i="5"/>
  <c r="BC106" i="4"/>
  <c r="AA106" i="4"/>
  <c r="AB106" i="4" s="1"/>
  <c r="AI106" i="4"/>
  <c r="BX106" i="4"/>
  <c r="BN106" i="4"/>
  <c r="AP106" i="4"/>
  <c r="AD79" i="5"/>
  <c r="BC124" i="4"/>
  <c r="AP124" i="4"/>
  <c r="AI124" i="4"/>
  <c r="BX124" i="4"/>
  <c r="AA124" i="4"/>
  <c r="AB124" i="4" s="1"/>
  <c r="BN124" i="4"/>
  <c r="BC17" i="4"/>
  <c r="BX17" i="4"/>
  <c r="BN17" i="4"/>
  <c r="AI17" i="4"/>
  <c r="AP17" i="4"/>
  <c r="AA17" i="4"/>
  <c r="AB17" i="4" s="1"/>
  <c r="BC38" i="4"/>
  <c r="AP38" i="4"/>
  <c r="AI38" i="4"/>
  <c r="BN38" i="4"/>
  <c r="BX38" i="4"/>
  <c r="AA38" i="4"/>
  <c r="AB38" i="4" s="1"/>
  <c r="BC83" i="4"/>
  <c r="AP83" i="4"/>
  <c r="AI83" i="4"/>
  <c r="BN83" i="4"/>
  <c r="BX83" i="4"/>
  <c r="AA83" i="4"/>
  <c r="AB83" i="4" s="1"/>
  <c r="BC91" i="4"/>
  <c r="BX91" i="4"/>
  <c r="AI91" i="4"/>
  <c r="AA91" i="4"/>
  <c r="AB91" i="4" s="1"/>
  <c r="AP91" i="4"/>
  <c r="BN91" i="4"/>
  <c r="BC11" i="4"/>
  <c r="AP11" i="4"/>
  <c r="AI11" i="4"/>
  <c r="BN11" i="4"/>
  <c r="AA11" i="4"/>
  <c r="AB11" i="4" s="1"/>
  <c r="BX11" i="4"/>
  <c r="BC148" i="4"/>
  <c r="AA148" i="4"/>
  <c r="AB148" i="4" s="1"/>
  <c r="BN148" i="4"/>
  <c r="AP148" i="4"/>
  <c r="BX148" i="4"/>
  <c r="AI148" i="4"/>
  <c r="BC78" i="4"/>
  <c r="AA78" i="4"/>
  <c r="AB78" i="4" s="1"/>
  <c r="AI78" i="4"/>
  <c r="BN78" i="4"/>
  <c r="AP78" i="4"/>
  <c r="BX78" i="4"/>
  <c r="BC63" i="4"/>
  <c r="BN63" i="4"/>
  <c r="AP63" i="4"/>
  <c r="AI63" i="4"/>
  <c r="AA63" i="4"/>
  <c r="AB63" i="4" s="1"/>
  <c r="BX63" i="4"/>
  <c r="BC130" i="4"/>
  <c r="BX130" i="4"/>
  <c r="BN130" i="4"/>
  <c r="AP130" i="4"/>
  <c r="AI130" i="4"/>
  <c r="AA130" i="4"/>
  <c r="AB130" i="4" s="1"/>
  <c r="BC85" i="4"/>
  <c r="BN85" i="4"/>
  <c r="AI85" i="4"/>
  <c r="AA85" i="4"/>
  <c r="AB85" i="4" s="1"/>
  <c r="BX85" i="4"/>
  <c r="AP85" i="4"/>
  <c r="BC21" i="4"/>
  <c r="BN21" i="4"/>
  <c r="AP21" i="4"/>
  <c r="AA21" i="4"/>
  <c r="AB21" i="4" s="1"/>
  <c r="BX21" i="4"/>
  <c r="AI21" i="4"/>
  <c r="BC32" i="4"/>
  <c r="AI32" i="4"/>
  <c r="BN32" i="4"/>
  <c r="AP32" i="4"/>
  <c r="BX32" i="4"/>
  <c r="AA32" i="4"/>
  <c r="AB32" i="4" s="1"/>
  <c r="AH11" i="5"/>
  <c r="AI11" i="5"/>
  <c r="BC76" i="4"/>
  <c r="AI76" i="4"/>
  <c r="AP76" i="4"/>
  <c r="BN76" i="4"/>
  <c r="BX76" i="4"/>
  <c r="AA76" i="4"/>
  <c r="AB76" i="4" s="1"/>
  <c r="BC93" i="4"/>
  <c r="AI93" i="4"/>
  <c r="BN93" i="4"/>
  <c r="AA93" i="4"/>
  <c r="AB93" i="4" s="1"/>
  <c r="BX93" i="4"/>
  <c r="AP93" i="4"/>
  <c r="BC150" i="4"/>
  <c r="BN150" i="4"/>
  <c r="BX150" i="4"/>
  <c r="AI150" i="4"/>
  <c r="AP150" i="4"/>
  <c r="AA150" i="4"/>
  <c r="AB150" i="4" s="1"/>
  <c r="BC57" i="4"/>
  <c r="BN57" i="4"/>
  <c r="AI57" i="4"/>
  <c r="AP57" i="4"/>
  <c r="BX57" i="4"/>
  <c r="AA57" i="4"/>
  <c r="AB57" i="4" s="1"/>
  <c r="BC25" i="4"/>
  <c r="BN25" i="4"/>
  <c r="AI25" i="4"/>
  <c r="AP25" i="4"/>
  <c r="BX25" i="4"/>
  <c r="AA25" i="4"/>
  <c r="AB25" i="4" s="1"/>
  <c r="BC100" i="4"/>
  <c r="BX100" i="4"/>
  <c r="AA100" i="4"/>
  <c r="AB100" i="4" s="1"/>
  <c r="AI100" i="4"/>
  <c r="AP100" i="4"/>
  <c r="BN100" i="4"/>
  <c r="BC135" i="4"/>
  <c r="AI135" i="4"/>
  <c r="BX135" i="4"/>
  <c r="BN135" i="4"/>
  <c r="AP135" i="4"/>
  <c r="AA135" i="4"/>
  <c r="AB135" i="4" s="1"/>
  <c r="BC111" i="4"/>
  <c r="BX111" i="4"/>
  <c r="BN111" i="4"/>
  <c r="AA111" i="4"/>
  <c r="AB111" i="4" s="1"/>
  <c r="AP111" i="4"/>
  <c r="AI111" i="4"/>
  <c r="BC16" i="4"/>
  <c r="BN16" i="4"/>
  <c r="BX16" i="4"/>
  <c r="AP16" i="4"/>
  <c r="AI16" i="4"/>
  <c r="AA16" i="4"/>
  <c r="AB16" i="4" s="1"/>
  <c r="BC67" i="4"/>
  <c r="BX67" i="4"/>
  <c r="AI67" i="4"/>
  <c r="AA67" i="4"/>
  <c r="AB67" i="4" s="1"/>
  <c r="AP67" i="4"/>
  <c r="BN67" i="4"/>
  <c r="BC74" i="4"/>
  <c r="BX74" i="4"/>
  <c r="AI74" i="4"/>
  <c r="AA74" i="4"/>
  <c r="AB74" i="4" s="1"/>
  <c r="AP74" i="4"/>
  <c r="BN74" i="4"/>
  <c r="BC142" i="4"/>
  <c r="BX142" i="4"/>
  <c r="AA142" i="4"/>
  <c r="AB142" i="4" s="1"/>
  <c r="AI142" i="4"/>
  <c r="BN142" i="4"/>
  <c r="AP142" i="4"/>
  <c r="BC140" i="4"/>
  <c r="AA140" i="4"/>
  <c r="AB140" i="4" s="1"/>
  <c r="BX140" i="4"/>
  <c r="AI140" i="4"/>
  <c r="AP140" i="4"/>
  <c r="BN140" i="4"/>
  <c r="BC153" i="4"/>
  <c r="AP153" i="4"/>
  <c r="AA153" i="4"/>
  <c r="AB153" i="4" s="1"/>
  <c r="BX153" i="4"/>
  <c r="AI153" i="4"/>
  <c r="BN153" i="4"/>
  <c r="BC105" i="4"/>
  <c r="AI105" i="4"/>
  <c r="AP105" i="4"/>
  <c r="BX105" i="4"/>
  <c r="BN105" i="4"/>
  <c r="AA105" i="4"/>
  <c r="AB105" i="4" s="1"/>
  <c r="BC34" i="4"/>
  <c r="AI34" i="4"/>
  <c r="AP34" i="4"/>
  <c r="BX34" i="4"/>
  <c r="BN34" i="4"/>
  <c r="AA34" i="4"/>
  <c r="AB34" i="4" s="1"/>
  <c r="AE79" i="5" l="1"/>
  <c r="AD530" i="5"/>
  <c r="AV530" i="5"/>
  <c r="AV329" i="5"/>
  <c r="AV421" i="5"/>
  <c r="AX421" i="5" s="1"/>
  <c r="AD421" i="5"/>
  <c r="AE526" i="5"/>
  <c r="AD273" i="13"/>
  <c r="AE555" i="5"/>
  <c r="AV555" i="5"/>
  <c r="AW555" i="5" s="1"/>
  <c r="AD526" i="5"/>
  <c r="AE430" i="5"/>
  <c r="AE273" i="13"/>
  <c r="AV430" i="5"/>
  <c r="AW430" i="5" s="1"/>
  <c r="AE399" i="5"/>
  <c r="AD398" i="13"/>
  <c r="AE10" i="13"/>
  <c r="AE206" i="5"/>
  <c r="AD206" i="5"/>
  <c r="AD127" i="13"/>
  <c r="AV127" i="13"/>
  <c r="AW127" i="13" s="1"/>
  <c r="AD454" i="13"/>
  <c r="AD329" i="5"/>
  <c r="AD199" i="13"/>
  <c r="AE454" i="13"/>
  <c r="AE199" i="13"/>
  <c r="AE398" i="13"/>
  <c r="AV100" i="13"/>
  <c r="AX100" i="13" s="1"/>
  <c r="AS9" i="13"/>
  <c r="AE473" i="13"/>
  <c r="AE406" i="13"/>
  <c r="AS11" i="13"/>
  <c r="AA136" i="4"/>
  <c r="AB136" i="4" s="1"/>
  <c r="BN136" i="4"/>
  <c r="BC136" i="4"/>
  <c r="AE481" i="13"/>
  <c r="AI136" i="4"/>
  <c r="AE125" i="13"/>
  <c r="AP136" i="4"/>
  <c r="AO136" i="4" s="1"/>
  <c r="BC131" i="4"/>
  <c r="AE340" i="5"/>
  <c r="AV340" i="5"/>
  <c r="AW340" i="5" s="1"/>
  <c r="AD204" i="13"/>
  <c r="AE339" i="5"/>
  <c r="AV339" i="5"/>
  <c r="AW339" i="5" s="1"/>
  <c r="AD342" i="13"/>
  <c r="AE279" i="13"/>
  <c r="AD422" i="13"/>
  <c r="AV125" i="13"/>
  <c r="AX125" i="13" s="1"/>
  <c r="AD66" i="13"/>
  <c r="AE204" i="13"/>
  <c r="AE422" i="13"/>
  <c r="AE66" i="13"/>
  <c r="AV342" i="13"/>
  <c r="AX342" i="13" s="1"/>
  <c r="AD10" i="13"/>
  <c r="AD75" i="5"/>
  <c r="AD95" i="13"/>
  <c r="AD406" i="13"/>
  <c r="AV188" i="5"/>
  <c r="AW188" i="5" s="1"/>
  <c r="AE105" i="13"/>
  <c r="AV43" i="13"/>
  <c r="AX43" i="13" s="1"/>
  <c r="AV105" i="13"/>
  <c r="AX105" i="13" s="1"/>
  <c r="AD43" i="13"/>
  <c r="AE313" i="5"/>
  <c r="AV213" i="13"/>
  <c r="AX213" i="13" s="1"/>
  <c r="AE188" i="5"/>
  <c r="AE28" i="13"/>
  <c r="AD213" i="13"/>
  <c r="AD138" i="13"/>
  <c r="AV432" i="13"/>
  <c r="AW432" i="13" s="1"/>
  <c r="AV138" i="13"/>
  <c r="AW138" i="13" s="1"/>
  <c r="AD28" i="13"/>
  <c r="AE291" i="13"/>
  <c r="AD432" i="13"/>
  <c r="AV429" i="13"/>
  <c r="AX429" i="13" s="1"/>
  <c r="AD343" i="13"/>
  <c r="AD429" i="13"/>
  <c r="AV30" i="13"/>
  <c r="AX30" i="13" s="1"/>
  <c r="AE343" i="13"/>
  <c r="AE30" i="13"/>
  <c r="AE135" i="13"/>
  <c r="AD313" i="5"/>
  <c r="AE316" i="5"/>
  <c r="AV122" i="5"/>
  <c r="AW122" i="5" s="1"/>
  <c r="AV281" i="5"/>
  <c r="AW281" i="5" s="1"/>
  <c r="AV406" i="5"/>
  <c r="AX406" i="5" s="1"/>
  <c r="AD510" i="13"/>
  <c r="AV367" i="13"/>
  <c r="AX367" i="13" s="1"/>
  <c r="AV248" i="13"/>
  <c r="AW248" i="13" s="1"/>
  <c r="AE536" i="5"/>
  <c r="AD406" i="5"/>
  <c r="AV309" i="13"/>
  <c r="AW309" i="13" s="1"/>
  <c r="AE510" i="13"/>
  <c r="AD367" i="13"/>
  <c r="AD248" i="13"/>
  <c r="AD425" i="13"/>
  <c r="AE350" i="13"/>
  <c r="AD522" i="5"/>
  <c r="AD309" i="13"/>
  <c r="AV425" i="13"/>
  <c r="AX425" i="13" s="1"/>
  <c r="AV145" i="13"/>
  <c r="AX145" i="13" s="1"/>
  <c r="AE100" i="13"/>
  <c r="AD145" i="13"/>
  <c r="AV559" i="5"/>
  <c r="AX559" i="5" s="1"/>
  <c r="AE381" i="5"/>
  <c r="AE559" i="5"/>
  <c r="AD441" i="13"/>
  <c r="AD164" i="13"/>
  <c r="AE441" i="13"/>
  <c r="AE164" i="13"/>
  <c r="AP134" i="4"/>
  <c r="AO134" i="4" s="1"/>
  <c r="AD241" i="13"/>
  <c r="AI134" i="4"/>
  <c r="BX134" i="4"/>
  <c r="AE241" i="13"/>
  <c r="BN134" i="4"/>
  <c r="AA134" i="4"/>
  <c r="AB134" i="4" s="1"/>
  <c r="AV75" i="5"/>
  <c r="AW75" i="5" s="1"/>
  <c r="AD409" i="5"/>
  <c r="AV378" i="13"/>
  <c r="AX378" i="13" s="1"/>
  <c r="AE539" i="13"/>
  <c r="AD403" i="13"/>
  <c r="AD350" i="13"/>
  <c r="AV135" i="13"/>
  <c r="AX135" i="13" s="1"/>
  <c r="AD473" i="13"/>
  <c r="AV291" i="13"/>
  <c r="AX291" i="13" s="1"/>
  <c r="AV294" i="13"/>
  <c r="AX294" i="13" s="1"/>
  <c r="AD126" i="13"/>
  <c r="AD294" i="13"/>
  <c r="AE126" i="13"/>
  <c r="AD539" i="13"/>
  <c r="AD68" i="13"/>
  <c r="AD344" i="13"/>
  <c r="AE68" i="13"/>
  <c r="AD452" i="13"/>
  <c r="AD481" i="13"/>
  <c r="AD45" i="13"/>
  <c r="AE198" i="13"/>
  <c r="AE557" i="13"/>
  <c r="AE452" i="13"/>
  <c r="AE95" i="13"/>
  <c r="AD198" i="13"/>
  <c r="AV557" i="13"/>
  <c r="AW557" i="13" s="1"/>
  <c r="AD247" i="13"/>
  <c r="AE344" i="13"/>
  <c r="AE403" i="13"/>
  <c r="AE247" i="13"/>
  <c r="AD170" i="13"/>
  <c r="AD378" i="13"/>
  <c r="AV262" i="5"/>
  <c r="AW262" i="5" s="1"/>
  <c r="BN129" i="4"/>
  <c r="AE170" i="13"/>
  <c r="AE45" i="13"/>
  <c r="AV159" i="5"/>
  <c r="AW159" i="5" s="1"/>
  <c r="AV238" i="5"/>
  <c r="AW238" i="5" s="1"/>
  <c r="AE200" i="5"/>
  <c r="AE223" i="5"/>
  <c r="AV268" i="5"/>
  <c r="AX268" i="5" s="1"/>
  <c r="AV103" i="5"/>
  <c r="AW103" i="5" s="1"/>
  <c r="AE103" i="5"/>
  <c r="AD268" i="5"/>
  <c r="AD320" i="5"/>
  <c r="AV510" i="5"/>
  <c r="AW510" i="5" s="1"/>
  <c r="AD44" i="13"/>
  <c r="AE489" i="5"/>
  <c r="AE320" i="5"/>
  <c r="AE238" i="5"/>
  <c r="AV102" i="5"/>
  <c r="AW102" i="5" s="1"/>
  <c r="AE44" i="13"/>
  <c r="AD483" i="13"/>
  <c r="AE483" i="13"/>
  <c r="AV368" i="5"/>
  <c r="AW368" i="5" s="1"/>
  <c r="AE353" i="5"/>
  <c r="AE373" i="5"/>
  <c r="AD200" i="5"/>
  <c r="AD262" i="5"/>
  <c r="AE159" i="5"/>
  <c r="AV223" i="5"/>
  <c r="AX223" i="5" s="1"/>
  <c r="AD316" i="5"/>
  <c r="AD488" i="13"/>
  <c r="AE78" i="13"/>
  <c r="AV517" i="5"/>
  <c r="AX517" i="5" s="1"/>
  <c r="AD337" i="5"/>
  <c r="AV297" i="5"/>
  <c r="AW297" i="5" s="1"/>
  <c r="AE345" i="5"/>
  <c r="AX328" i="5"/>
  <c r="AE488" i="13"/>
  <c r="AV78" i="13"/>
  <c r="AX78" i="13" s="1"/>
  <c r="AV168" i="5"/>
  <c r="AX168" i="5" s="1"/>
  <c r="AV254" i="5"/>
  <c r="AX254" i="5" s="1"/>
  <c r="AE517" i="5"/>
  <c r="AV337" i="5"/>
  <c r="AW337" i="5" s="1"/>
  <c r="AE456" i="5"/>
  <c r="AE297" i="5"/>
  <c r="AV345" i="5"/>
  <c r="AW345" i="5" s="1"/>
  <c r="AV154" i="5"/>
  <c r="AW154" i="5" s="1"/>
  <c r="AE298" i="5"/>
  <c r="AD168" i="5"/>
  <c r="AE466" i="5"/>
  <c r="AD443" i="5"/>
  <c r="AV196" i="5"/>
  <c r="AX196" i="5" s="1"/>
  <c r="AE366" i="5"/>
  <c r="AE254" i="5"/>
  <c r="AV466" i="5"/>
  <c r="AX466" i="5" s="1"/>
  <c r="AD485" i="5"/>
  <c r="AD359" i="5"/>
  <c r="AV443" i="5"/>
  <c r="AX443" i="5" s="1"/>
  <c r="AD196" i="5"/>
  <c r="AD366" i="5"/>
  <c r="AV24" i="5"/>
  <c r="AX24" i="5" s="1"/>
  <c r="AD154" i="5"/>
  <c r="AV560" i="5"/>
  <c r="AX560" i="5" s="1"/>
  <c r="AV485" i="5"/>
  <c r="AX485" i="5" s="1"/>
  <c r="AV456" i="5"/>
  <c r="AW456" i="5" s="1"/>
  <c r="AX241" i="5"/>
  <c r="AE163" i="5"/>
  <c r="AD279" i="13"/>
  <c r="AV549" i="5"/>
  <c r="AX549" i="5" s="1"/>
  <c r="AD501" i="13"/>
  <c r="AV158" i="5"/>
  <c r="AX158" i="5" s="1"/>
  <c r="AE501" i="13"/>
  <c r="AE383" i="5"/>
  <c r="AV99" i="5"/>
  <c r="AW99" i="5" s="1"/>
  <c r="AE317" i="5"/>
  <c r="AD477" i="5"/>
  <c r="AV379" i="13"/>
  <c r="AW379" i="13" s="1"/>
  <c r="AD379" i="13"/>
  <c r="AV556" i="13"/>
  <c r="AX556" i="13" s="1"/>
  <c r="AD556" i="13"/>
  <c r="AE269" i="5"/>
  <c r="AE453" i="5"/>
  <c r="AD114" i="5"/>
  <c r="AC11" i="13"/>
  <c r="AV83" i="5"/>
  <c r="AW83" i="5" s="1"/>
  <c r="AD446" i="5"/>
  <c r="AX477" i="5"/>
  <c r="AV261" i="5"/>
  <c r="AW261" i="5" s="1"/>
  <c r="AD174" i="5"/>
  <c r="AE477" i="5"/>
  <c r="AC9" i="13"/>
  <c r="AD9" i="13" s="1"/>
  <c r="AE546" i="13"/>
  <c r="AE302" i="13"/>
  <c r="AV317" i="5"/>
  <c r="AW317" i="5" s="1"/>
  <c r="AE261" i="5"/>
  <c r="AE300" i="5"/>
  <c r="AD302" i="13"/>
  <c r="AE91" i="5"/>
  <c r="AD546" i="13"/>
  <c r="AV88" i="5"/>
  <c r="AX88" i="5" s="1"/>
  <c r="AD185" i="5"/>
  <c r="AE451" i="5"/>
  <c r="AE71" i="5"/>
  <c r="AD411" i="5"/>
  <c r="AV128" i="5"/>
  <c r="AX128" i="5" s="1"/>
  <c r="AD273" i="5"/>
  <c r="AD53" i="5"/>
  <c r="AE263" i="5"/>
  <c r="AE252" i="5"/>
  <c r="AE273" i="5"/>
  <c r="AV252" i="5"/>
  <c r="AW252" i="5" s="1"/>
  <c r="AE512" i="5"/>
  <c r="AD278" i="5"/>
  <c r="AE242" i="5"/>
  <c r="AD373" i="5"/>
  <c r="AE278" i="5"/>
  <c r="AV242" i="5"/>
  <c r="AX242" i="5" s="1"/>
  <c r="AD353" i="5"/>
  <c r="AE368" i="5"/>
  <c r="AE455" i="5"/>
  <c r="AV263" i="5"/>
  <c r="AW263" i="5" s="1"/>
  <c r="AE53" i="5"/>
  <c r="AV534" i="5"/>
  <c r="AW534" i="5" s="1"/>
  <c r="AV455" i="5"/>
  <c r="AX455" i="5" s="1"/>
  <c r="AV431" i="5"/>
  <c r="AX431" i="5" s="1"/>
  <c r="AD291" i="5"/>
  <c r="AE467" i="5"/>
  <c r="AE207" i="5"/>
  <c r="AE408" i="5"/>
  <c r="AE98" i="5"/>
  <c r="AE173" i="5"/>
  <c r="AD451" i="5"/>
  <c r="AV71" i="5"/>
  <c r="AX71" i="5" s="1"/>
  <c r="AE478" i="5"/>
  <c r="AD536" i="5"/>
  <c r="AD207" i="5"/>
  <c r="AD408" i="5"/>
  <c r="AE68" i="5"/>
  <c r="AV287" i="5"/>
  <c r="AX287" i="5" s="1"/>
  <c r="AV151" i="5"/>
  <c r="AW151" i="5" s="1"/>
  <c r="AV335" i="5"/>
  <c r="AW335" i="5" s="1"/>
  <c r="AV376" i="5"/>
  <c r="AX376" i="5" s="1"/>
  <c r="AD389" i="5"/>
  <c r="AV68" i="5"/>
  <c r="AW68" i="5" s="1"/>
  <c r="AE287" i="5"/>
  <c r="AD335" i="5"/>
  <c r="AD514" i="5"/>
  <c r="AD520" i="5"/>
  <c r="AV322" i="5"/>
  <c r="AX322" i="5" s="1"/>
  <c r="AE129" i="5"/>
  <c r="AE195" i="5"/>
  <c r="AV395" i="5"/>
  <c r="AW395" i="5" s="1"/>
  <c r="AE322" i="5"/>
  <c r="AD478" i="5"/>
  <c r="AE281" i="5"/>
  <c r="AV522" i="5"/>
  <c r="AW522" i="5" s="1"/>
  <c r="AE122" i="5"/>
  <c r="AD128" i="5"/>
  <c r="AV120" i="5"/>
  <c r="AW120" i="5" s="1"/>
  <c r="AE253" i="5"/>
  <c r="AE120" i="5"/>
  <c r="AV506" i="13"/>
  <c r="AE506" i="13"/>
  <c r="AD506" i="13"/>
  <c r="AE450" i="13"/>
  <c r="AD450" i="13"/>
  <c r="AV450" i="13"/>
  <c r="AE396" i="13"/>
  <c r="AD396" i="13"/>
  <c r="AV396" i="13"/>
  <c r="AE328" i="13"/>
  <c r="AD328" i="13"/>
  <c r="AV328" i="13"/>
  <c r="AV237" i="13"/>
  <c r="AE237" i="13"/>
  <c r="AD237" i="13"/>
  <c r="AE226" i="13"/>
  <c r="AD226" i="13"/>
  <c r="AV226" i="13"/>
  <c r="AV123" i="13"/>
  <c r="AE123" i="13"/>
  <c r="AD123" i="13"/>
  <c r="AD97" i="13"/>
  <c r="AV97" i="13"/>
  <c r="AE97" i="13"/>
  <c r="Y9" i="13"/>
  <c r="X9" i="13"/>
  <c r="AV494" i="13"/>
  <c r="AE494" i="13"/>
  <c r="AD494" i="13"/>
  <c r="AV417" i="13"/>
  <c r="AD417" i="13"/>
  <c r="AE417" i="13"/>
  <c r="AV370" i="13"/>
  <c r="AE370" i="13"/>
  <c r="AD370" i="13"/>
  <c r="AD301" i="13"/>
  <c r="AV301" i="13"/>
  <c r="AE301" i="13"/>
  <c r="AV223" i="13"/>
  <c r="AE223" i="13"/>
  <c r="AD223" i="13"/>
  <c r="AV130" i="13"/>
  <c r="AE130" i="13"/>
  <c r="AD130" i="13"/>
  <c r="AV124" i="13"/>
  <c r="AD124" i="13"/>
  <c r="AE124" i="13"/>
  <c r="AE33" i="13"/>
  <c r="AV33" i="13"/>
  <c r="AD33" i="13"/>
  <c r="AX406" i="13"/>
  <c r="AW406" i="13"/>
  <c r="AW44" i="13"/>
  <c r="AX44" i="13"/>
  <c r="AE509" i="13"/>
  <c r="AD509" i="13"/>
  <c r="AV509" i="13"/>
  <c r="AE463" i="13"/>
  <c r="AD463" i="13"/>
  <c r="AV463" i="13"/>
  <c r="AE400" i="13"/>
  <c r="AD400" i="13"/>
  <c r="AV400" i="13"/>
  <c r="AV326" i="13"/>
  <c r="AE326" i="13"/>
  <c r="AD326" i="13"/>
  <c r="AD262" i="13"/>
  <c r="AE262" i="13"/>
  <c r="AV262" i="13"/>
  <c r="AV158" i="13"/>
  <c r="AE158" i="13"/>
  <c r="AD158" i="13"/>
  <c r="AV83" i="13"/>
  <c r="AE83" i="13"/>
  <c r="AD83" i="13"/>
  <c r="AV32" i="13"/>
  <c r="AE32" i="13"/>
  <c r="AD32" i="13"/>
  <c r="AX481" i="13"/>
  <c r="AW481" i="13"/>
  <c r="AV542" i="13"/>
  <c r="AD542" i="13"/>
  <c r="AE542" i="13"/>
  <c r="AE500" i="13"/>
  <c r="AD500" i="13"/>
  <c r="AV500" i="13"/>
  <c r="AV411" i="13"/>
  <c r="AE411" i="13"/>
  <c r="AD411" i="13"/>
  <c r="AV357" i="13"/>
  <c r="AE357" i="13"/>
  <c r="AD357" i="13"/>
  <c r="AV231" i="13"/>
  <c r="AE231" i="13"/>
  <c r="AD231" i="13"/>
  <c r="AV220" i="13"/>
  <c r="AE220" i="13"/>
  <c r="AD220" i="13"/>
  <c r="AV148" i="13"/>
  <c r="AE148" i="13"/>
  <c r="AD148" i="13"/>
  <c r="AD109" i="13"/>
  <c r="AV109" i="13"/>
  <c r="AE109" i="13"/>
  <c r="AD59" i="13"/>
  <c r="AE59" i="13"/>
  <c r="AV59" i="13"/>
  <c r="AX279" i="13"/>
  <c r="AW279" i="13"/>
  <c r="AE518" i="13"/>
  <c r="AD518" i="13"/>
  <c r="AV518" i="13"/>
  <c r="AE443" i="13"/>
  <c r="AD443" i="13"/>
  <c r="AV443" i="13"/>
  <c r="AV389" i="13"/>
  <c r="AE389" i="13"/>
  <c r="AD389" i="13"/>
  <c r="AE317" i="13"/>
  <c r="AD317" i="13"/>
  <c r="AV317" i="13"/>
  <c r="AD246" i="13"/>
  <c r="AE246" i="13"/>
  <c r="AV246" i="13"/>
  <c r="AV150" i="13"/>
  <c r="AE150" i="13"/>
  <c r="AD150" i="13"/>
  <c r="AE155" i="13"/>
  <c r="AD155" i="13"/>
  <c r="AV155" i="13"/>
  <c r="AV53" i="13"/>
  <c r="AE53" i="13"/>
  <c r="AD53" i="13"/>
  <c r="AX198" i="13"/>
  <c r="AW198" i="13"/>
  <c r="AE551" i="13"/>
  <c r="AD551" i="13"/>
  <c r="AV551" i="13"/>
  <c r="AV462" i="13"/>
  <c r="AD462" i="13"/>
  <c r="AE462" i="13"/>
  <c r="AE427" i="13"/>
  <c r="AD427" i="13"/>
  <c r="AV427" i="13"/>
  <c r="AD347" i="13"/>
  <c r="AV347" i="13"/>
  <c r="AE347" i="13"/>
  <c r="AE355" i="13"/>
  <c r="AV355" i="13"/>
  <c r="AD355" i="13"/>
  <c r="AV212" i="13"/>
  <c r="AE212" i="13"/>
  <c r="AD212" i="13"/>
  <c r="AV140" i="13"/>
  <c r="AE140" i="13"/>
  <c r="AD140" i="13"/>
  <c r="AD101" i="13"/>
  <c r="AV101" i="13"/>
  <c r="AE101" i="13"/>
  <c r="AE80" i="13"/>
  <c r="AD80" i="13"/>
  <c r="AV80" i="13"/>
  <c r="X11" i="13"/>
  <c r="Y11" i="13"/>
  <c r="AV503" i="13"/>
  <c r="AE503" i="13"/>
  <c r="AD503" i="13"/>
  <c r="AE433" i="13"/>
  <c r="AV433" i="13"/>
  <c r="AD433" i="13"/>
  <c r="AV382" i="13"/>
  <c r="AE382" i="13"/>
  <c r="AD382" i="13"/>
  <c r="AE308" i="13"/>
  <c r="AD308" i="13"/>
  <c r="AV308" i="13"/>
  <c r="AD236" i="13"/>
  <c r="AE236" i="13"/>
  <c r="AV236" i="13"/>
  <c r="AV142" i="13"/>
  <c r="AD142" i="13"/>
  <c r="AE142" i="13"/>
  <c r="AV181" i="13"/>
  <c r="AE181" i="13"/>
  <c r="AD181" i="13"/>
  <c r="AD48" i="13"/>
  <c r="AV48" i="13"/>
  <c r="AE48" i="13"/>
  <c r="AW241" i="13"/>
  <c r="AX241" i="13"/>
  <c r="AV497" i="13"/>
  <c r="AE497" i="13"/>
  <c r="AD497" i="13"/>
  <c r="AE442" i="13"/>
  <c r="AV442" i="13"/>
  <c r="AD442" i="13"/>
  <c r="AV393" i="13"/>
  <c r="AE393" i="13"/>
  <c r="AD393" i="13"/>
  <c r="AD334" i="13"/>
  <c r="AE334" i="13"/>
  <c r="AV334" i="13"/>
  <c r="AE290" i="13"/>
  <c r="AD290" i="13"/>
  <c r="AV290" i="13"/>
  <c r="AV166" i="13"/>
  <c r="AE166" i="13"/>
  <c r="AD166" i="13"/>
  <c r="AV91" i="13"/>
  <c r="AE91" i="13"/>
  <c r="AD91" i="13"/>
  <c r="AE46" i="13"/>
  <c r="AD46" i="13"/>
  <c r="AV46" i="13"/>
  <c r="AO9" i="13"/>
  <c r="AN9" i="13"/>
  <c r="AE545" i="13"/>
  <c r="AV545" i="13"/>
  <c r="AD545" i="13"/>
  <c r="AV475" i="13"/>
  <c r="AE475" i="13"/>
  <c r="AD475" i="13"/>
  <c r="AV414" i="13"/>
  <c r="AD414" i="13"/>
  <c r="AE414" i="13"/>
  <c r="AV335" i="13"/>
  <c r="AE335" i="13"/>
  <c r="AD335" i="13"/>
  <c r="AV271" i="13"/>
  <c r="AE271" i="13"/>
  <c r="AD271" i="13"/>
  <c r="AV191" i="13"/>
  <c r="AE191" i="13"/>
  <c r="AD191" i="13"/>
  <c r="AD184" i="13"/>
  <c r="AV184" i="13"/>
  <c r="AE184" i="13"/>
  <c r="AV92" i="13"/>
  <c r="AE92" i="13"/>
  <c r="AD92" i="13"/>
  <c r="AV36" i="13"/>
  <c r="AE36" i="13"/>
  <c r="AD36" i="13"/>
  <c r="AX199" i="13"/>
  <c r="AW199" i="13"/>
  <c r="AV490" i="13"/>
  <c r="AE490" i="13"/>
  <c r="AD490" i="13"/>
  <c r="AE439" i="13"/>
  <c r="AV439" i="13"/>
  <c r="AD439" i="13"/>
  <c r="AV366" i="13"/>
  <c r="AE366" i="13"/>
  <c r="AD366" i="13"/>
  <c r="AE349" i="13"/>
  <c r="AV349" i="13"/>
  <c r="AD349" i="13"/>
  <c r="AV219" i="13"/>
  <c r="AE219" i="13"/>
  <c r="AD219" i="13"/>
  <c r="AD186" i="13"/>
  <c r="AE186" i="13"/>
  <c r="AV186" i="13"/>
  <c r="AV120" i="13"/>
  <c r="AD120" i="13"/>
  <c r="AE120" i="13"/>
  <c r="AV27" i="13"/>
  <c r="AE27" i="13"/>
  <c r="AD27" i="13"/>
  <c r="AW164" i="13"/>
  <c r="AX164" i="13"/>
  <c r="AV533" i="13"/>
  <c r="AE533" i="13"/>
  <c r="AD533" i="13"/>
  <c r="AD468" i="13"/>
  <c r="AV468" i="13"/>
  <c r="AE468" i="13"/>
  <c r="AV387" i="13"/>
  <c r="AE387" i="13"/>
  <c r="AD387" i="13"/>
  <c r="AD409" i="13"/>
  <c r="AE409" i="13"/>
  <c r="AV409" i="13"/>
  <c r="AV268" i="13"/>
  <c r="AE268" i="13"/>
  <c r="AD268" i="13"/>
  <c r="AV229" i="13"/>
  <c r="AE229" i="13"/>
  <c r="AD229" i="13"/>
  <c r="AE188" i="13"/>
  <c r="AD188" i="13"/>
  <c r="AV188" i="13"/>
  <c r="AV81" i="13"/>
  <c r="AE81" i="13"/>
  <c r="AD81" i="13"/>
  <c r="AD270" i="13"/>
  <c r="AE270" i="13"/>
  <c r="AV270" i="13"/>
  <c r="AD232" i="13"/>
  <c r="AE232" i="13"/>
  <c r="AV232" i="13"/>
  <c r="AV495" i="13"/>
  <c r="AE495" i="13"/>
  <c r="AD495" i="13"/>
  <c r="AV428" i="13"/>
  <c r="AD428" i="13"/>
  <c r="AE428" i="13"/>
  <c r="AV358" i="13"/>
  <c r="AE358" i="13"/>
  <c r="AD358" i="13"/>
  <c r="AE296" i="13"/>
  <c r="AV296" i="13"/>
  <c r="AD296" i="13"/>
  <c r="AV211" i="13"/>
  <c r="AE211" i="13"/>
  <c r="AD211" i="13"/>
  <c r="AV179" i="13"/>
  <c r="AE179" i="13"/>
  <c r="AD179" i="13"/>
  <c r="AV112" i="13"/>
  <c r="AD112" i="13"/>
  <c r="AE112" i="13"/>
  <c r="AV63" i="13"/>
  <c r="AD63" i="13"/>
  <c r="AE63" i="13"/>
  <c r="AX302" i="13"/>
  <c r="AW302" i="13"/>
  <c r="AD548" i="13"/>
  <c r="AE548" i="13"/>
  <c r="AV548" i="13"/>
  <c r="AV460" i="13"/>
  <c r="AE460" i="13"/>
  <c r="AD460" i="13"/>
  <c r="AV404" i="13"/>
  <c r="AE404" i="13"/>
  <c r="AD404" i="13"/>
  <c r="AE351" i="13"/>
  <c r="AV351" i="13"/>
  <c r="AD351" i="13"/>
  <c r="AV307" i="13"/>
  <c r="AE307" i="13"/>
  <c r="AD307" i="13"/>
  <c r="AV221" i="13"/>
  <c r="AE221" i="13"/>
  <c r="AD221" i="13"/>
  <c r="AE151" i="13"/>
  <c r="AD151" i="13"/>
  <c r="AV151" i="13"/>
  <c r="AV67" i="13"/>
  <c r="AE67" i="13"/>
  <c r="AD67" i="13"/>
  <c r="AE39" i="13"/>
  <c r="AV39" i="13"/>
  <c r="AD39" i="13"/>
  <c r="AN11" i="13"/>
  <c r="AO11" i="13"/>
  <c r="AV559" i="13"/>
  <c r="AE559" i="13"/>
  <c r="AD559" i="13"/>
  <c r="AV487" i="13"/>
  <c r="AE487" i="13"/>
  <c r="AD487" i="13"/>
  <c r="AE431" i="13"/>
  <c r="AV431" i="13"/>
  <c r="AD431" i="13"/>
  <c r="AE354" i="13"/>
  <c r="AV354" i="13"/>
  <c r="AD354" i="13"/>
  <c r="AE283" i="13"/>
  <c r="AV283" i="13"/>
  <c r="AD283" i="13"/>
  <c r="AV203" i="13"/>
  <c r="AD203" i="13"/>
  <c r="AE203" i="13"/>
  <c r="AV171" i="13"/>
  <c r="AE171" i="13"/>
  <c r="AD171" i="13"/>
  <c r="AV104" i="13"/>
  <c r="AD104" i="13"/>
  <c r="AE104" i="13"/>
  <c r="AD71" i="13"/>
  <c r="AV71" i="13"/>
  <c r="AE71" i="13"/>
  <c r="AE230" i="13"/>
  <c r="AD230" i="13"/>
  <c r="AV230" i="13"/>
  <c r="AE504" i="13"/>
  <c r="AD504" i="13"/>
  <c r="AV504" i="13"/>
  <c r="AV421" i="13"/>
  <c r="AD421" i="13"/>
  <c r="AE421" i="13"/>
  <c r="AV374" i="13"/>
  <c r="AE374" i="13"/>
  <c r="AD374" i="13"/>
  <c r="AD305" i="13"/>
  <c r="AV305" i="13"/>
  <c r="AE305" i="13"/>
  <c r="AV227" i="13"/>
  <c r="AE227" i="13"/>
  <c r="AD227" i="13"/>
  <c r="AV134" i="13"/>
  <c r="AE134" i="13"/>
  <c r="AD134" i="13"/>
  <c r="AV128" i="13"/>
  <c r="AD128" i="13"/>
  <c r="AE128" i="13"/>
  <c r="AE37" i="13"/>
  <c r="AV37" i="13"/>
  <c r="AD37" i="13"/>
  <c r="R9" i="13"/>
  <c r="S9" i="13"/>
  <c r="AX488" i="13"/>
  <c r="AW488" i="13"/>
  <c r="AD558" i="13"/>
  <c r="AE558" i="13"/>
  <c r="AV558" i="13"/>
  <c r="AV480" i="13"/>
  <c r="AE480" i="13"/>
  <c r="AD480" i="13"/>
  <c r="AV419" i="13"/>
  <c r="AE419" i="13"/>
  <c r="AD419" i="13"/>
  <c r="AV336" i="13"/>
  <c r="AE336" i="13"/>
  <c r="AD336" i="13"/>
  <c r="AV239" i="13"/>
  <c r="AE239" i="13"/>
  <c r="AD239" i="13"/>
  <c r="AV228" i="13"/>
  <c r="AE228" i="13"/>
  <c r="AD228" i="13"/>
  <c r="AV156" i="13"/>
  <c r="AE156" i="13"/>
  <c r="AD156" i="13"/>
  <c r="AD117" i="13"/>
  <c r="AV117" i="13"/>
  <c r="AE117" i="13"/>
  <c r="AV19" i="13"/>
  <c r="AE19" i="13"/>
  <c r="AD19" i="13"/>
  <c r="AW510" i="13"/>
  <c r="AX510" i="13"/>
  <c r="AV167" i="13"/>
  <c r="AE167" i="13"/>
  <c r="AD167" i="13"/>
  <c r="AE549" i="13"/>
  <c r="AV549" i="13"/>
  <c r="AD549" i="13"/>
  <c r="AV471" i="13"/>
  <c r="AE471" i="13"/>
  <c r="AD471" i="13"/>
  <c r="AV410" i="13"/>
  <c r="AD410" i="13"/>
  <c r="AE410" i="13"/>
  <c r="AD386" i="13"/>
  <c r="AV386" i="13"/>
  <c r="AE386" i="13"/>
  <c r="AV267" i="13"/>
  <c r="AE267" i="13"/>
  <c r="AD267" i="13"/>
  <c r="AV187" i="13"/>
  <c r="AE187" i="13"/>
  <c r="AD187" i="13"/>
  <c r="AD190" i="13"/>
  <c r="AV190" i="13"/>
  <c r="AE190" i="13"/>
  <c r="AV88" i="13"/>
  <c r="AE88" i="13"/>
  <c r="AD88" i="13"/>
  <c r="AD8" i="13"/>
  <c r="AV8" i="13"/>
  <c r="AE8" i="13"/>
  <c r="AE534" i="13"/>
  <c r="AV534" i="13"/>
  <c r="AD534" i="13"/>
  <c r="AD465" i="13"/>
  <c r="AV465" i="13"/>
  <c r="AE465" i="13"/>
  <c r="AD424" i="13"/>
  <c r="AE424" i="13"/>
  <c r="AV424" i="13"/>
  <c r="AE323" i="13"/>
  <c r="AV323" i="13"/>
  <c r="AD323" i="13"/>
  <c r="AE292" i="13"/>
  <c r="AD292" i="13"/>
  <c r="AV292" i="13"/>
  <c r="AV197" i="13"/>
  <c r="AE197" i="13"/>
  <c r="AD197" i="13"/>
  <c r="AV110" i="13"/>
  <c r="AD110" i="13"/>
  <c r="AE110" i="13"/>
  <c r="AE131" i="13"/>
  <c r="AD131" i="13"/>
  <c r="AV131" i="13"/>
  <c r="AE24" i="13"/>
  <c r="AD24" i="13"/>
  <c r="AV24" i="13"/>
  <c r="AW66" i="13"/>
  <c r="AX66" i="13"/>
  <c r="AV536" i="13"/>
  <c r="AE536" i="13"/>
  <c r="AD536" i="13"/>
  <c r="AE498" i="13"/>
  <c r="AD498" i="13"/>
  <c r="AV498" i="13"/>
  <c r="AE435" i="13"/>
  <c r="AV435" i="13"/>
  <c r="AD435" i="13"/>
  <c r="AE348" i="13"/>
  <c r="AD348" i="13"/>
  <c r="AV348" i="13"/>
  <c r="AV259" i="13"/>
  <c r="AE259" i="13"/>
  <c r="AD259" i="13"/>
  <c r="AE285" i="13"/>
  <c r="AD285" i="13"/>
  <c r="AV285" i="13"/>
  <c r="AV176" i="13"/>
  <c r="AE176" i="13"/>
  <c r="AD176" i="13"/>
  <c r="AE159" i="13"/>
  <c r="AD159" i="13"/>
  <c r="AV159" i="13"/>
  <c r="AD72" i="13"/>
  <c r="AV72" i="13"/>
  <c r="AE72" i="13"/>
  <c r="AE535" i="13"/>
  <c r="AD535" i="13"/>
  <c r="AV535" i="13"/>
  <c r="AV457" i="13"/>
  <c r="AE457" i="13"/>
  <c r="AD457" i="13"/>
  <c r="AV405" i="13"/>
  <c r="AE405" i="13"/>
  <c r="AD405" i="13"/>
  <c r="AV315" i="13"/>
  <c r="AE315" i="13"/>
  <c r="AD315" i="13"/>
  <c r="AV281" i="13"/>
  <c r="AE281" i="13"/>
  <c r="AD281" i="13"/>
  <c r="AV189" i="13"/>
  <c r="AE189" i="13"/>
  <c r="AD189" i="13"/>
  <c r="AV102" i="13"/>
  <c r="AD102" i="13"/>
  <c r="AE102" i="13"/>
  <c r="AV75" i="13"/>
  <c r="AE75" i="13"/>
  <c r="AD75" i="13"/>
  <c r="AE13" i="13"/>
  <c r="AV13" i="13"/>
  <c r="AD13" i="13"/>
  <c r="AR11" i="13"/>
  <c r="AQ11" i="13"/>
  <c r="AE397" i="13"/>
  <c r="AD397" i="13"/>
  <c r="AV397" i="13"/>
  <c r="AE544" i="13"/>
  <c r="AV544" i="13"/>
  <c r="AD544" i="13"/>
  <c r="AV492" i="13"/>
  <c r="AE492" i="13"/>
  <c r="AD492" i="13"/>
  <c r="AE426" i="13"/>
  <c r="AD426" i="13"/>
  <c r="AV426" i="13"/>
  <c r="AE371" i="13"/>
  <c r="AD371" i="13"/>
  <c r="AV371" i="13"/>
  <c r="AV251" i="13"/>
  <c r="AE251" i="13"/>
  <c r="AD251" i="13"/>
  <c r="AE256" i="13"/>
  <c r="AD256" i="13"/>
  <c r="AV256" i="13"/>
  <c r="AV168" i="13"/>
  <c r="AD168" i="13"/>
  <c r="AE168" i="13"/>
  <c r="AE129" i="13"/>
  <c r="AD129" i="13"/>
  <c r="AV129" i="13"/>
  <c r="AD64" i="13"/>
  <c r="AE64" i="13"/>
  <c r="AV64" i="13"/>
  <c r="AV132" i="13"/>
  <c r="AE132" i="13"/>
  <c r="AD132" i="13"/>
  <c r="AE560" i="13"/>
  <c r="AD560" i="13"/>
  <c r="AV560" i="13"/>
  <c r="AV479" i="13"/>
  <c r="AE479" i="13"/>
  <c r="AD479" i="13"/>
  <c r="AV418" i="13"/>
  <c r="AD418" i="13"/>
  <c r="AE418" i="13"/>
  <c r="AV339" i="13"/>
  <c r="AE339" i="13"/>
  <c r="AD339" i="13"/>
  <c r="AV275" i="13"/>
  <c r="AE275" i="13"/>
  <c r="AD275" i="13"/>
  <c r="AV195" i="13"/>
  <c r="AE195" i="13"/>
  <c r="AD195" i="13"/>
  <c r="AD210" i="13"/>
  <c r="AV210" i="13"/>
  <c r="AE210" i="13"/>
  <c r="AV96" i="13"/>
  <c r="AE96" i="13"/>
  <c r="AD96" i="13"/>
  <c r="AV7" i="13"/>
  <c r="AE7" i="13"/>
  <c r="AD7" i="13"/>
  <c r="B294" i="2" s="1"/>
  <c r="B295" i="2" s="1"/>
  <c r="B296" i="2" s="1"/>
  <c r="AH9" i="13"/>
  <c r="AI9" i="13"/>
  <c r="AE554" i="13"/>
  <c r="AD554" i="13"/>
  <c r="AV554" i="13"/>
  <c r="AE489" i="13"/>
  <c r="AD489" i="13"/>
  <c r="AV489" i="13"/>
  <c r="AV395" i="13"/>
  <c r="AE395" i="13"/>
  <c r="AD395" i="13"/>
  <c r="AV341" i="13"/>
  <c r="AE341" i="13"/>
  <c r="AD341" i="13"/>
  <c r="AV276" i="13"/>
  <c r="AE276" i="13"/>
  <c r="AD276" i="13"/>
  <c r="AD250" i="13"/>
  <c r="AV250" i="13"/>
  <c r="AE250" i="13"/>
  <c r="AD206" i="13"/>
  <c r="AE206" i="13"/>
  <c r="AV206" i="13"/>
  <c r="AV56" i="13"/>
  <c r="AE56" i="13"/>
  <c r="AD56" i="13"/>
  <c r="AE38" i="13"/>
  <c r="AD38" i="13"/>
  <c r="AV38" i="13"/>
  <c r="AX454" i="13"/>
  <c r="AW454" i="13"/>
  <c r="AE547" i="13"/>
  <c r="AD547" i="13"/>
  <c r="AV547" i="13"/>
  <c r="AV476" i="13"/>
  <c r="AE476" i="13"/>
  <c r="AD476" i="13"/>
  <c r="AV415" i="13"/>
  <c r="AE415" i="13"/>
  <c r="AD415" i="13"/>
  <c r="AV332" i="13"/>
  <c r="AE332" i="13"/>
  <c r="AD332" i="13"/>
  <c r="AV235" i="13"/>
  <c r="AE235" i="13"/>
  <c r="AD235" i="13"/>
  <c r="AV224" i="13"/>
  <c r="AE224" i="13"/>
  <c r="AD224" i="13"/>
  <c r="AV152" i="13"/>
  <c r="AE152" i="13"/>
  <c r="AD152" i="13"/>
  <c r="AD113" i="13"/>
  <c r="AV113" i="13"/>
  <c r="AE113" i="13"/>
  <c r="AV12" i="13"/>
  <c r="AE12" i="13"/>
  <c r="AD12" i="13"/>
  <c r="AD278" i="13"/>
  <c r="AV278" i="13"/>
  <c r="AE278" i="13"/>
  <c r="AD521" i="13"/>
  <c r="AE521" i="13"/>
  <c r="AV521" i="13"/>
  <c r="AE467" i="13"/>
  <c r="AD467" i="13"/>
  <c r="AV467" i="13"/>
  <c r="AV376" i="13"/>
  <c r="AE376" i="13"/>
  <c r="AD376" i="13"/>
  <c r="AD363" i="13"/>
  <c r="AV363" i="13"/>
  <c r="AE363" i="13"/>
  <c r="AV257" i="13"/>
  <c r="AE257" i="13"/>
  <c r="AD257" i="13"/>
  <c r="AE240" i="13"/>
  <c r="AD240" i="13"/>
  <c r="AV240" i="13"/>
  <c r="AE163" i="13"/>
  <c r="AD163" i="13"/>
  <c r="AV163" i="13"/>
  <c r="AV58" i="13"/>
  <c r="AE58" i="13"/>
  <c r="AD58" i="13"/>
  <c r="AE528" i="13"/>
  <c r="AV528" i="13"/>
  <c r="AD528" i="13"/>
  <c r="AE552" i="13"/>
  <c r="AD552" i="13"/>
  <c r="AV552" i="13"/>
  <c r="AV466" i="13"/>
  <c r="AE466" i="13"/>
  <c r="AD466" i="13"/>
  <c r="AV407" i="13"/>
  <c r="AE407" i="13"/>
  <c r="AD407" i="13"/>
  <c r="AE352" i="13"/>
  <c r="AD352" i="13"/>
  <c r="AV352" i="13"/>
  <c r="AV359" i="13"/>
  <c r="AE359" i="13"/>
  <c r="AD359" i="13"/>
  <c r="AV216" i="13"/>
  <c r="AE216" i="13"/>
  <c r="AD216" i="13"/>
  <c r="AV144" i="13"/>
  <c r="AE144" i="13"/>
  <c r="AD144" i="13"/>
  <c r="AE192" i="13"/>
  <c r="AD192" i="13"/>
  <c r="AV192" i="13"/>
  <c r="AW501" i="13"/>
  <c r="AX501" i="13"/>
  <c r="AE520" i="13"/>
  <c r="AD520" i="13"/>
  <c r="AV520" i="13"/>
  <c r="AV444" i="13"/>
  <c r="AE444" i="13"/>
  <c r="AD444" i="13"/>
  <c r="AV368" i="13"/>
  <c r="AE368" i="13"/>
  <c r="AD368" i="13"/>
  <c r="AV330" i="13"/>
  <c r="AE330" i="13"/>
  <c r="AD330" i="13"/>
  <c r="AV249" i="13"/>
  <c r="AE249" i="13"/>
  <c r="AD249" i="13"/>
  <c r="AD202" i="13"/>
  <c r="AV202" i="13"/>
  <c r="AE202" i="13"/>
  <c r="AE153" i="13"/>
  <c r="AD153" i="13"/>
  <c r="AV153" i="13"/>
  <c r="AV40" i="13"/>
  <c r="AD40" i="13"/>
  <c r="AE40" i="13"/>
  <c r="R11" i="13"/>
  <c r="S11" i="13"/>
  <c r="AX204" i="13"/>
  <c r="AW204" i="13"/>
  <c r="AE541" i="13"/>
  <c r="AD541" i="13"/>
  <c r="AV541" i="13"/>
  <c r="AE478" i="13"/>
  <c r="AD478" i="13"/>
  <c r="AV478" i="13"/>
  <c r="AV412" i="13"/>
  <c r="AE412" i="13"/>
  <c r="AD412" i="13"/>
  <c r="AE383" i="13"/>
  <c r="AD383" i="13"/>
  <c r="AV383" i="13"/>
  <c r="AE312" i="13"/>
  <c r="AV312" i="13"/>
  <c r="AD312" i="13"/>
  <c r="AV208" i="13"/>
  <c r="AE208" i="13"/>
  <c r="AD208" i="13"/>
  <c r="AV136" i="13"/>
  <c r="AE136" i="13"/>
  <c r="AD136" i="13"/>
  <c r="AE177" i="13"/>
  <c r="AD177" i="13"/>
  <c r="AV177" i="13"/>
  <c r="AE65" i="13"/>
  <c r="AD65" i="13"/>
  <c r="AV65" i="13"/>
  <c r="AX68" i="13"/>
  <c r="AW68" i="13"/>
  <c r="AE550" i="13"/>
  <c r="AD550" i="13"/>
  <c r="AV550" i="13"/>
  <c r="AV484" i="13"/>
  <c r="AE484" i="13"/>
  <c r="AD484" i="13"/>
  <c r="AV423" i="13"/>
  <c r="AE423" i="13"/>
  <c r="AD423" i="13"/>
  <c r="AV340" i="13"/>
  <c r="AE340" i="13"/>
  <c r="AD340" i="13"/>
  <c r="AV243" i="13"/>
  <c r="AE243" i="13"/>
  <c r="AD243" i="13"/>
  <c r="AD234" i="13"/>
  <c r="AE234" i="13"/>
  <c r="AV234" i="13"/>
  <c r="AV160" i="13"/>
  <c r="AE160" i="13"/>
  <c r="AD160" i="13"/>
  <c r="AD121" i="13"/>
  <c r="AV121" i="13"/>
  <c r="AE121" i="13"/>
  <c r="AV23" i="13"/>
  <c r="AE23" i="13"/>
  <c r="AD23" i="13"/>
  <c r="AB9" i="13"/>
  <c r="AA9" i="13"/>
  <c r="AE525" i="13"/>
  <c r="AV525" i="13"/>
  <c r="AD525" i="13"/>
  <c r="AD474" i="13"/>
  <c r="AV474" i="13"/>
  <c r="AE474" i="13"/>
  <c r="AD416" i="13"/>
  <c r="AV416" i="13"/>
  <c r="AE416" i="13"/>
  <c r="AD338" i="13"/>
  <c r="AV338" i="13"/>
  <c r="AE338" i="13"/>
  <c r="AE286" i="13"/>
  <c r="AD286" i="13"/>
  <c r="AV286" i="13"/>
  <c r="AV205" i="13"/>
  <c r="AE205" i="13"/>
  <c r="AD205" i="13"/>
  <c r="AV118" i="13"/>
  <c r="AE118" i="13"/>
  <c r="AD118" i="13"/>
  <c r="AV61" i="13"/>
  <c r="AD61" i="13"/>
  <c r="AE61" i="13"/>
  <c r="AD51" i="13"/>
  <c r="AE51" i="13"/>
  <c r="AV51" i="13"/>
  <c r="AE537" i="13"/>
  <c r="AD537" i="13"/>
  <c r="AV537" i="13"/>
  <c r="AE482" i="13"/>
  <c r="AD482" i="13"/>
  <c r="AV482" i="13"/>
  <c r="AV391" i="13"/>
  <c r="AE391" i="13"/>
  <c r="AD391" i="13"/>
  <c r="AV337" i="13"/>
  <c r="AE337" i="13"/>
  <c r="AD337" i="13"/>
  <c r="AV272" i="13"/>
  <c r="AE272" i="13"/>
  <c r="AD272" i="13"/>
  <c r="AV298" i="13"/>
  <c r="AE298" i="13"/>
  <c r="AD298" i="13"/>
  <c r="AD194" i="13"/>
  <c r="AV194" i="13"/>
  <c r="AE194" i="13"/>
  <c r="AE149" i="13"/>
  <c r="AD149" i="13"/>
  <c r="AV149" i="13"/>
  <c r="AD29" i="13"/>
  <c r="AV29" i="13"/>
  <c r="AE29" i="13"/>
  <c r="AX422" i="13"/>
  <c r="AW422" i="13"/>
  <c r="AE513" i="13"/>
  <c r="AD513" i="13"/>
  <c r="AV513" i="13"/>
  <c r="AD455" i="13"/>
  <c r="AV455" i="13"/>
  <c r="AE455" i="13"/>
  <c r="AV373" i="13"/>
  <c r="AE373" i="13"/>
  <c r="AD373" i="13"/>
  <c r="AE314" i="13"/>
  <c r="AD314" i="13"/>
  <c r="AV314" i="13"/>
  <c r="AE299" i="13"/>
  <c r="AD299" i="13"/>
  <c r="AV299" i="13"/>
  <c r="AE214" i="13"/>
  <c r="AD214" i="13"/>
  <c r="AV214" i="13"/>
  <c r="AV111" i="13"/>
  <c r="AE111" i="13"/>
  <c r="AD111" i="13"/>
  <c r="AV70" i="13"/>
  <c r="AE70" i="13"/>
  <c r="AD70" i="13"/>
  <c r="AV499" i="13"/>
  <c r="AE499" i="13"/>
  <c r="AD499" i="13"/>
  <c r="AV529" i="13"/>
  <c r="AE529" i="13"/>
  <c r="AD529" i="13"/>
  <c r="AV464" i="13"/>
  <c r="AE464" i="13"/>
  <c r="AD464" i="13"/>
  <c r="AV408" i="13"/>
  <c r="AE408" i="13"/>
  <c r="AD408" i="13"/>
  <c r="AE356" i="13"/>
  <c r="AD356" i="13"/>
  <c r="AV356" i="13"/>
  <c r="AE324" i="13"/>
  <c r="AV324" i="13"/>
  <c r="AD324" i="13"/>
  <c r="AV225" i="13"/>
  <c r="AE225" i="13"/>
  <c r="AD225" i="13"/>
  <c r="AE161" i="13"/>
  <c r="AD161" i="13"/>
  <c r="AV161" i="13"/>
  <c r="AE21" i="13"/>
  <c r="AV21" i="13"/>
  <c r="AD21" i="13"/>
  <c r="AE517" i="13"/>
  <c r="AV517" i="13"/>
  <c r="AD517" i="13"/>
  <c r="AV449" i="13"/>
  <c r="AE449" i="13"/>
  <c r="AD449" i="13"/>
  <c r="AV365" i="13"/>
  <c r="AE365" i="13"/>
  <c r="AD365" i="13"/>
  <c r="AV300" i="13"/>
  <c r="AE300" i="13"/>
  <c r="AD300" i="13"/>
  <c r="AE287" i="13"/>
  <c r="AD287" i="13"/>
  <c r="AV287" i="13"/>
  <c r="AV178" i="13"/>
  <c r="AE178" i="13"/>
  <c r="AD178" i="13"/>
  <c r="AV103" i="13"/>
  <c r="AE103" i="13"/>
  <c r="AD103" i="13"/>
  <c r="AV54" i="13"/>
  <c r="AE54" i="13"/>
  <c r="AD54" i="13"/>
  <c r="AH11" i="13"/>
  <c r="AI11" i="13"/>
  <c r="AV94" i="13"/>
  <c r="AD94" i="13"/>
  <c r="AE94" i="13"/>
  <c r="AE530" i="13"/>
  <c r="AD530" i="13"/>
  <c r="AV530" i="13"/>
  <c r="AV456" i="13"/>
  <c r="AE456" i="13"/>
  <c r="AD456" i="13"/>
  <c r="AE440" i="13"/>
  <c r="AD440" i="13"/>
  <c r="AV440" i="13"/>
  <c r="AE345" i="13"/>
  <c r="AV345" i="13"/>
  <c r="AD345" i="13"/>
  <c r="AE297" i="13"/>
  <c r="AD297" i="13"/>
  <c r="AV297" i="13"/>
  <c r="AV217" i="13"/>
  <c r="AE217" i="13"/>
  <c r="AD217" i="13"/>
  <c r="AE137" i="13"/>
  <c r="AD137" i="13"/>
  <c r="AV137" i="13"/>
  <c r="AV50" i="13"/>
  <c r="AE50" i="13"/>
  <c r="AD50" i="13"/>
  <c r="AE73" i="13"/>
  <c r="AD73" i="13"/>
  <c r="AV73" i="13"/>
  <c r="AX452" i="13"/>
  <c r="AW452" i="13"/>
  <c r="AX350" i="13"/>
  <c r="AW350" i="13"/>
  <c r="AV532" i="13"/>
  <c r="AE532" i="13"/>
  <c r="AD532" i="13"/>
  <c r="AE493" i="13"/>
  <c r="AD493" i="13"/>
  <c r="AV493" i="13"/>
  <c r="AV399" i="13"/>
  <c r="AE399" i="13"/>
  <c r="AD399" i="13"/>
  <c r="AV346" i="13"/>
  <c r="AD346" i="13"/>
  <c r="AE346" i="13"/>
  <c r="AV280" i="13"/>
  <c r="AE280" i="13"/>
  <c r="AD280" i="13"/>
  <c r="AD258" i="13"/>
  <c r="AV258" i="13"/>
  <c r="AE258" i="13"/>
  <c r="AE293" i="13"/>
  <c r="AD293" i="13"/>
  <c r="AV293" i="13"/>
  <c r="AV60" i="13"/>
  <c r="AE60" i="13"/>
  <c r="AD60" i="13"/>
  <c r="AE41" i="13"/>
  <c r="AD41" i="13"/>
  <c r="AV41" i="13"/>
  <c r="AR9" i="13"/>
  <c r="AQ9" i="13"/>
  <c r="AX441" i="13"/>
  <c r="AW441" i="13"/>
  <c r="AE527" i="13"/>
  <c r="AD527" i="13"/>
  <c r="AV527" i="13"/>
  <c r="AE486" i="13"/>
  <c r="AD486" i="13"/>
  <c r="AV486" i="13"/>
  <c r="AE384" i="13"/>
  <c r="AD384" i="13"/>
  <c r="AV384" i="13"/>
  <c r="AE311" i="13"/>
  <c r="AV311" i="13"/>
  <c r="AD311" i="13"/>
  <c r="AV265" i="13"/>
  <c r="AE265" i="13"/>
  <c r="AD265" i="13"/>
  <c r="AE252" i="13"/>
  <c r="AD252" i="13"/>
  <c r="AV252" i="13"/>
  <c r="AV86" i="13"/>
  <c r="AD86" i="13"/>
  <c r="AE86" i="13"/>
  <c r="AV69" i="13"/>
  <c r="AE69" i="13"/>
  <c r="AD69" i="13"/>
  <c r="AD42" i="13"/>
  <c r="AV42" i="13"/>
  <c r="AE42" i="13"/>
  <c r="AE553" i="13"/>
  <c r="AV553" i="13"/>
  <c r="AD553" i="13"/>
  <c r="AE469" i="13"/>
  <c r="AD469" i="13"/>
  <c r="AV469" i="13"/>
  <c r="AV413" i="13"/>
  <c r="AD413" i="13"/>
  <c r="AE413" i="13"/>
  <c r="AV331" i="13"/>
  <c r="AE331" i="13"/>
  <c r="AD331" i="13"/>
  <c r="AE310" i="13"/>
  <c r="AV310" i="13"/>
  <c r="AD310" i="13"/>
  <c r="AV201" i="13"/>
  <c r="AE201" i="13"/>
  <c r="AD201" i="13"/>
  <c r="AV114" i="13"/>
  <c r="AE114" i="13"/>
  <c r="AD114" i="13"/>
  <c r="AE147" i="13"/>
  <c r="AD147" i="13"/>
  <c r="AV147" i="13"/>
  <c r="AE49" i="13"/>
  <c r="AD49" i="13"/>
  <c r="AV49" i="13"/>
  <c r="AW546" i="13"/>
  <c r="AX546" i="13"/>
  <c r="AE508" i="13"/>
  <c r="AD508" i="13"/>
  <c r="AV508" i="13"/>
  <c r="AD446" i="13"/>
  <c r="AV446" i="13"/>
  <c r="AE446" i="13"/>
  <c r="AD394" i="13"/>
  <c r="AV394" i="13"/>
  <c r="AE394" i="13"/>
  <c r="AE325" i="13"/>
  <c r="AV325" i="13"/>
  <c r="AD325" i="13"/>
  <c r="AD254" i="13"/>
  <c r="AE254" i="13"/>
  <c r="AV254" i="13"/>
  <c r="AV154" i="13"/>
  <c r="AE154" i="13"/>
  <c r="AD154" i="13"/>
  <c r="AE165" i="13"/>
  <c r="AD165" i="13"/>
  <c r="AV165" i="13"/>
  <c r="AX344" i="13"/>
  <c r="AW344" i="13"/>
  <c r="AX28" i="13"/>
  <c r="AW28" i="13"/>
  <c r="AE531" i="13"/>
  <c r="AD531" i="13"/>
  <c r="AV531" i="13"/>
  <c r="AD461" i="13"/>
  <c r="AV461" i="13"/>
  <c r="AE461" i="13"/>
  <c r="AD420" i="13"/>
  <c r="AV420" i="13"/>
  <c r="AE420" i="13"/>
  <c r="AV318" i="13"/>
  <c r="AE318" i="13"/>
  <c r="AD318" i="13"/>
  <c r="AE284" i="13"/>
  <c r="AD284" i="13"/>
  <c r="AV284" i="13"/>
  <c r="AV193" i="13"/>
  <c r="AE193" i="13"/>
  <c r="AD193" i="13"/>
  <c r="AV106" i="13"/>
  <c r="AD106" i="13"/>
  <c r="AE106" i="13"/>
  <c r="AD89" i="13"/>
  <c r="AE89" i="13"/>
  <c r="AV89" i="13"/>
  <c r="AE515" i="13"/>
  <c r="AV515" i="13"/>
  <c r="AD515" i="13"/>
  <c r="AE438" i="13"/>
  <c r="AD438" i="13"/>
  <c r="AV438" i="13"/>
  <c r="AE388" i="13"/>
  <c r="AV388" i="13"/>
  <c r="AD388" i="13"/>
  <c r="AE313" i="13"/>
  <c r="AV313" i="13"/>
  <c r="AD313" i="13"/>
  <c r="AD242" i="13"/>
  <c r="AV242" i="13"/>
  <c r="AE242" i="13"/>
  <c r="AV146" i="13"/>
  <c r="AE146" i="13"/>
  <c r="AD146" i="13"/>
  <c r="AE143" i="13"/>
  <c r="AD143" i="13"/>
  <c r="AV143" i="13"/>
  <c r="AE52" i="13"/>
  <c r="AD52" i="13"/>
  <c r="AV52" i="13"/>
  <c r="V11" i="13"/>
  <c r="U11" i="13"/>
  <c r="AE524" i="13"/>
  <c r="AV524" i="13"/>
  <c r="AD524" i="13"/>
  <c r="AV453" i="13"/>
  <c r="AE453" i="13"/>
  <c r="AD453" i="13"/>
  <c r="AV401" i="13"/>
  <c r="AE401" i="13"/>
  <c r="AD401" i="13"/>
  <c r="AV306" i="13"/>
  <c r="AE306" i="13"/>
  <c r="AD306" i="13"/>
  <c r="AV277" i="13"/>
  <c r="AE277" i="13"/>
  <c r="AD277" i="13"/>
  <c r="AV185" i="13"/>
  <c r="AE185" i="13"/>
  <c r="AD185" i="13"/>
  <c r="AV98" i="13"/>
  <c r="AD98" i="13"/>
  <c r="AE98" i="13"/>
  <c r="AE157" i="13"/>
  <c r="AD157" i="13"/>
  <c r="AV157" i="13"/>
  <c r="AX95" i="13"/>
  <c r="AW95" i="13"/>
  <c r="AE538" i="13"/>
  <c r="AV538" i="13"/>
  <c r="AD538" i="13"/>
  <c r="AE485" i="13"/>
  <c r="AV485" i="13"/>
  <c r="AD485" i="13"/>
  <c r="AE430" i="13"/>
  <c r="AD430" i="13"/>
  <c r="AV430" i="13"/>
  <c r="AE360" i="13"/>
  <c r="AD360" i="13"/>
  <c r="AV360" i="13"/>
  <c r="AE289" i="13"/>
  <c r="AD289" i="13"/>
  <c r="AV289" i="13"/>
  <c r="AV209" i="13"/>
  <c r="AE209" i="13"/>
  <c r="AD209" i="13"/>
  <c r="AV122" i="13"/>
  <c r="AE122" i="13"/>
  <c r="AD122" i="13"/>
  <c r="AD93" i="13"/>
  <c r="AV93" i="13"/>
  <c r="AE93" i="13"/>
  <c r="AD55" i="13"/>
  <c r="AV55" i="13"/>
  <c r="AE55" i="13"/>
  <c r="V9" i="13"/>
  <c r="U9" i="13"/>
  <c r="AX273" i="13"/>
  <c r="AW273" i="13"/>
  <c r="AE519" i="13"/>
  <c r="AV519" i="13"/>
  <c r="AD519" i="13"/>
  <c r="AD470" i="13"/>
  <c r="AV470" i="13"/>
  <c r="AE470" i="13"/>
  <c r="AV381" i="13"/>
  <c r="AE381" i="13"/>
  <c r="AD381" i="13"/>
  <c r="AE322" i="13"/>
  <c r="AD322" i="13"/>
  <c r="AV322" i="13"/>
  <c r="AV233" i="13"/>
  <c r="AE233" i="13"/>
  <c r="AD233" i="13"/>
  <c r="AE222" i="13"/>
  <c r="AD222" i="13"/>
  <c r="AV222" i="13"/>
  <c r="AV119" i="13"/>
  <c r="AE119" i="13"/>
  <c r="AD119" i="13"/>
  <c r="AV79" i="13"/>
  <c r="AE79" i="13"/>
  <c r="AD79" i="13"/>
  <c r="AX247" i="13"/>
  <c r="AW247" i="13"/>
  <c r="AE522" i="13"/>
  <c r="AV522" i="13"/>
  <c r="AD522" i="13"/>
  <c r="AV472" i="13"/>
  <c r="AE472" i="13"/>
  <c r="AD472" i="13"/>
  <c r="AV380" i="13"/>
  <c r="AE380" i="13"/>
  <c r="AD380" i="13"/>
  <c r="AE329" i="13"/>
  <c r="AD329" i="13"/>
  <c r="AV329" i="13"/>
  <c r="AV261" i="13"/>
  <c r="AE261" i="13"/>
  <c r="AD261" i="13"/>
  <c r="AE244" i="13"/>
  <c r="AD244" i="13"/>
  <c r="AV244" i="13"/>
  <c r="AE169" i="13"/>
  <c r="AD169" i="13"/>
  <c r="AV169" i="13"/>
  <c r="AV62" i="13"/>
  <c r="AE62" i="13"/>
  <c r="AD62" i="13"/>
  <c r="AE26" i="13"/>
  <c r="AD26" i="13"/>
  <c r="AV26" i="13"/>
  <c r="AE505" i="13"/>
  <c r="AD505" i="13"/>
  <c r="AV505" i="13"/>
  <c r="AE437" i="13"/>
  <c r="AD437" i="13"/>
  <c r="AV437" i="13"/>
  <c r="AV362" i="13"/>
  <c r="AE362" i="13"/>
  <c r="AD362" i="13"/>
  <c r="AE320" i="13"/>
  <c r="AD320" i="13"/>
  <c r="AV320" i="13"/>
  <c r="AV215" i="13"/>
  <c r="AE215" i="13"/>
  <c r="AD215" i="13"/>
  <c r="AD182" i="13"/>
  <c r="AE182" i="13"/>
  <c r="AV182" i="13"/>
  <c r="AV116" i="13"/>
  <c r="AD116" i="13"/>
  <c r="AE116" i="13"/>
  <c r="AV22" i="13"/>
  <c r="AE22" i="13"/>
  <c r="AD22" i="13"/>
  <c r="AX473" i="13"/>
  <c r="AW473" i="13"/>
  <c r="AE543" i="13"/>
  <c r="AD543" i="13"/>
  <c r="AV543" i="13"/>
  <c r="AV448" i="13"/>
  <c r="AE448" i="13"/>
  <c r="AD448" i="13"/>
  <c r="AV372" i="13"/>
  <c r="AE372" i="13"/>
  <c r="AD372" i="13"/>
  <c r="AE333" i="13"/>
  <c r="AD333" i="13"/>
  <c r="AV333" i="13"/>
  <c r="AV253" i="13"/>
  <c r="AE253" i="13"/>
  <c r="AD253" i="13"/>
  <c r="AD238" i="13"/>
  <c r="AV238" i="13"/>
  <c r="AE238" i="13"/>
  <c r="AE139" i="13"/>
  <c r="AD139" i="13"/>
  <c r="AV139" i="13"/>
  <c r="AV74" i="13"/>
  <c r="AE74" i="13"/>
  <c r="AD74" i="13"/>
  <c r="AD57" i="13"/>
  <c r="AE57" i="13"/>
  <c r="AV57" i="13"/>
  <c r="AV491" i="13"/>
  <c r="AE491" i="13"/>
  <c r="AD491" i="13"/>
  <c r="AE436" i="13"/>
  <c r="AV436" i="13"/>
  <c r="AD436" i="13"/>
  <c r="AE375" i="13"/>
  <c r="AD375" i="13"/>
  <c r="AV375" i="13"/>
  <c r="AE288" i="13"/>
  <c r="AV288" i="13"/>
  <c r="AD288" i="13"/>
  <c r="AV207" i="13"/>
  <c r="AD207" i="13"/>
  <c r="AE207" i="13"/>
  <c r="AV175" i="13"/>
  <c r="AE175" i="13"/>
  <c r="AD175" i="13"/>
  <c r="AV108" i="13"/>
  <c r="AD108" i="13"/>
  <c r="AE108" i="13"/>
  <c r="AE173" i="13"/>
  <c r="AD173" i="13"/>
  <c r="AV173" i="13"/>
  <c r="AL11" i="13"/>
  <c r="AK11" i="13"/>
  <c r="AW483" i="13"/>
  <c r="AX483" i="13"/>
  <c r="AE512" i="13"/>
  <c r="AV512" i="13"/>
  <c r="AD512" i="13"/>
  <c r="AE458" i="13"/>
  <c r="AD458" i="13"/>
  <c r="AV458" i="13"/>
  <c r="AV364" i="13"/>
  <c r="AE364" i="13"/>
  <c r="AD364" i="13"/>
  <c r="AE316" i="13"/>
  <c r="AD316" i="13"/>
  <c r="AV316" i="13"/>
  <c r="AV245" i="13"/>
  <c r="AE245" i="13"/>
  <c r="AD245" i="13"/>
  <c r="AE196" i="13"/>
  <c r="AD196" i="13"/>
  <c r="AV196" i="13"/>
  <c r="AE141" i="13"/>
  <c r="AD141" i="13"/>
  <c r="AV141" i="13"/>
  <c r="AV35" i="13"/>
  <c r="AE35" i="13"/>
  <c r="AD35" i="13"/>
  <c r="AX10" i="13"/>
  <c r="AW10" i="13"/>
  <c r="AE526" i="13"/>
  <c r="AD526" i="13"/>
  <c r="AV526" i="13"/>
  <c r="AV447" i="13"/>
  <c r="AE447" i="13"/>
  <c r="AD447" i="13"/>
  <c r="AV385" i="13"/>
  <c r="AE385" i="13"/>
  <c r="AD385" i="13"/>
  <c r="AE321" i="13"/>
  <c r="AV321" i="13"/>
  <c r="AD321" i="13"/>
  <c r="AV269" i="13"/>
  <c r="AE269" i="13"/>
  <c r="AD269" i="13"/>
  <c r="AE260" i="13"/>
  <c r="AD260" i="13"/>
  <c r="AV260" i="13"/>
  <c r="AV90" i="13"/>
  <c r="AD90" i="13"/>
  <c r="AE90" i="13"/>
  <c r="AD85" i="13"/>
  <c r="AV85" i="13"/>
  <c r="AE85" i="13"/>
  <c r="AD25" i="13"/>
  <c r="AV25" i="13"/>
  <c r="AE25" i="13"/>
  <c r="AL9" i="13"/>
  <c r="AK9" i="13"/>
  <c r="AX398" i="13"/>
  <c r="AW398" i="13"/>
  <c r="AD274" i="13"/>
  <c r="AE274" i="13"/>
  <c r="AV274" i="13"/>
  <c r="AE523" i="13"/>
  <c r="AD523" i="13"/>
  <c r="AV523" i="13"/>
  <c r="AV477" i="13"/>
  <c r="AD477" i="13"/>
  <c r="AE477" i="13"/>
  <c r="AE392" i="13"/>
  <c r="AV392" i="13"/>
  <c r="AD392" i="13"/>
  <c r="AE327" i="13"/>
  <c r="AV327" i="13"/>
  <c r="AD327" i="13"/>
  <c r="AD266" i="13"/>
  <c r="AV266" i="13"/>
  <c r="AE266" i="13"/>
  <c r="AV162" i="13"/>
  <c r="AE162" i="13"/>
  <c r="AD162" i="13"/>
  <c r="AV87" i="13"/>
  <c r="AE87" i="13"/>
  <c r="AD87" i="13"/>
  <c r="AD34" i="13"/>
  <c r="AV34" i="13"/>
  <c r="AE34" i="13"/>
  <c r="AE516" i="13"/>
  <c r="AV516" i="13"/>
  <c r="AD516" i="13"/>
  <c r="AD459" i="13"/>
  <c r="AV459" i="13"/>
  <c r="AE459" i="13"/>
  <c r="AV377" i="13"/>
  <c r="AE377" i="13"/>
  <c r="AD377" i="13"/>
  <c r="AE319" i="13"/>
  <c r="AD319" i="13"/>
  <c r="AV319" i="13"/>
  <c r="AE303" i="13"/>
  <c r="AD303" i="13"/>
  <c r="AV303" i="13"/>
  <c r="AE218" i="13"/>
  <c r="AD218" i="13"/>
  <c r="AV218" i="13"/>
  <c r="AV115" i="13"/>
  <c r="AE115" i="13"/>
  <c r="AD115" i="13"/>
  <c r="AV76" i="13"/>
  <c r="AE76" i="13"/>
  <c r="AD76" i="13"/>
  <c r="AX343" i="13"/>
  <c r="AW343" i="13"/>
  <c r="AX45" i="13"/>
  <c r="AW45" i="13"/>
  <c r="AV540" i="13"/>
  <c r="AE540" i="13"/>
  <c r="AD540" i="13"/>
  <c r="AE514" i="13"/>
  <c r="AV514" i="13"/>
  <c r="AD514" i="13"/>
  <c r="AE502" i="13"/>
  <c r="AD502" i="13"/>
  <c r="AV502" i="13"/>
  <c r="AE353" i="13"/>
  <c r="AV353" i="13"/>
  <c r="AD353" i="13"/>
  <c r="AV263" i="13"/>
  <c r="AE263" i="13"/>
  <c r="AD263" i="13"/>
  <c r="AV183" i="13"/>
  <c r="AE183" i="13"/>
  <c r="AD183" i="13"/>
  <c r="AE180" i="13"/>
  <c r="AD180" i="13"/>
  <c r="AV180" i="13"/>
  <c r="AV84" i="13"/>
  <c r="AD84" i="13"/>
  <c r="AE84" i="13"/>
  <c r="AE31" i="13"/>
  <c r="AV31" i="13"/>
  <c r="AD31" i="13"/>
  <c r="AX126" i="13"/>
  <c r="AW126" i="13"/>
  <c r="AD511" i="13"/>
  <c r="AE511" i="13"/>
  <c r="AV511" i="13"/>
  <c r="AD451" i="13"/>
  <c r="AV451" i="13"/>
  <c r="AE451" i="13"/>
  <c r="AV369" i="13"/>
  <c r="AE369" i="13"/>
  <c r="AD369" i="13"/>
  <c r="AV304" i="13"/>
  <c r="AE304" i="13"/>
  <c r="AD304" i="13"/>
  <c r="AE295" i="13"/>
  <c r="AD295" i="13"/>
  <c r="AV295" i="13"/>
  <c r="AE200" i="13"/>
  <c r="AD200" i="13"/>
  <c r="AV200" i="13"/>
  <c r="AV107" i="13"/>
  <c r="AE107" i="13"/>
  <c r="AD107" i="13"/>
  <c r="AV82" i="13"/>
  <c r="AD82" i="13"/>
  <c r="AE82" i="13"/>
  <c r="AE20" i="13"/>
  <c r="AV20" i="13"/>
  <c r="AD20" i="13"/>
  <c r="AW170" i="13"/>
  <c r="AX170" i="13"/>
  <c r="AV555" i="13"/>
  <c r="AE555" i="13"/>
  <c r="AD555" i="13"/>
  <c r="AV496" i="13"/>
  <c r="AE496" i="13"/>
  <c r="AD496" i="13"/>
  <c r="AV434" i="13"/>
  <c r="AE434" i="13"/>
  <c r="AD434" i="13"/>
  <c r="AD402" i="13"/>
  <c r="AV402" i="13"/>
  <c r="AE402" i="13"/>
  <c r="AV255" i="13"/>
  <c r="AE255" i="13"/>
  <c r="AD255" i="13"/>
  <c r="AE264" i="13"/>
  <c r="AD264" i="13"/>
  <c r="AV264" i="13"/>
  <c r="AV172" i="13"/>
  <c r="AD172" i="13"/>
  <c r="AE172" i="13"/>
  <c r="AE133" i="13"/>
  <c r="AD133" i="13"/>
  <c r="AV133" i="13"/>
  <c r="AE77" i="13"/>
  <c r="AD77" i="13"/>
  <c r="AV77" i="13"/>
  <c r="AB11" i="13"/>
  <c r="AA11" i="13"/>
  <c r="AE507" i="13"/>
  <c r="AD507" i="13"/>
  <c r="AV507" i="13"/>
  <c r="AV445" i="13"/>
  <c r="AE445" i="13"/>
  <c r="AD445" i="13"/>
  <c r="AV361" i="13"/>
  <c r="AD361" i="13"/>
  <c r="AE361" i="13"/>
  <c r="AD390" i="13"/>
  <c r="AV390" i="13"/>
  <c r="AE390" i="13"/>
  <c r="AD282" i="13"/>
  <c r="AV282" i="13"/>
  <c r="AE282" i="13"/>
  <c r="AV174" i="13"/>
  <c r="AE174" i="13"/>
  <c r="AD174" i="13"/>
  <c r="AV99" i="13"/>
  <c r="AE99" i="13"/>
  <c r="AD99" i="13"/>
  <c r="AV47" i="13"/>
  <c r="AD47" i="13"/>
  <c r="AE47" i="13"/>
  <c r="AW539" i="13"/>
  <c r="AX539" i="13"/>
  <c r="AX403" i="13"/>
  <c r="AW403" i="13"/>
  <c r="AD286" i="5"/>
  <c r="AD255" i="5"/>
  <c r="AE418" i="5"/>
  <c r="AW279" i="5"/>
  <c r="AD445" i="5"/>
  <c r="AE507" i="5"/>
  <c r="AD134" i="5"/>
  <c r="AV239" i="5"/>
  <c r="AX239" i="5" s="1"/>
  <c r="AW355" i="5"/>
  <c r="AX478" i="5"/>
  <c r="AE142" i="5"/>
  <c r="AV494" i="5"/>
  <c r="AW494" i="5" s="1"/>
  <c r="AV142" i="5"/>
  <c r="AW142" i="5" s="1"/>
  <c r="AE494" i="5"/>
  <c r="AD289" i="5"/>
  <c r="AE422" i="5"/>
  <c r="AE537" i="5"/>
  <c r="AV502" i="5"/>
  <c r="AW502" i="5" s="1"/>
  <c r="AE472" i="5"/>
  <c r="AD110" i="5"/>
  <c r="AV249" i="5"/>
  <c r="AX249" i="5" s="1"/>
  <c r="AV509" i="5"/>
  <c r="AW509" i="5" s="1"/>
  <c r="AE178" i="5"/>
  <c r="AP151" i="4"/>
  <c r="AO151" i="4" s="1"/>
  <c r="AD61" i="5"/>
  <c r="AV289" i="5"/>
  <c r="AX289" i="5" s="1"/>
  <c r="AE151" i="5"/>
  <c r="AV129" i="5"/>
  <c r="AW129" i="5" s="1"/>
  <c r="AD195" i="5"/>
  <c r="V9" i="5"/>
  <c r="AV422" i="5"/>
  <c r="AX422" i="5" s="1"/>
  <c r="AE395" i="5"/>
  <c r="AV537" i="5"/>
  <c r="AX537" i="5" s="1"/>
  <c r="AV472" i="5"/>
  <c r="AX472" i="5" s="1"/>
  <c r="AV110" i="5"/>
  <c r="AX110" i="5" s="1"/>
  <c r="AE509" i="5"/>
  <c r="AD178" i="5"/>
  <c r="BC151" i="4"/>
  <c r="AV326" i="5"/>
  <c r="AW326" i="5" s="1"/>
  <c r="AD253" i="5"/>
  <c r="AD98" i="5"/>
  <c r="AD496" i="5"/>
  <c r="AE520" i="5"/>
  <c r="AD467" i="5"/>
  <c r="AV101" i="5"/>
  <c r="AX101" i="5" s="1"/>
  <c r="AD55" i="5"/>
  <c r="AV514" i="5"/>
  <c r="AX514" i="5" s="1"/>
  <c r="AD173" i="5"/>
  <c r="AE389" i="5"/>
  <c r="AV314" i="5"/>
  <c r="AX314" i="5" s="1"/>
  <c r="AE442" i="5"/>
  <c r="AE301" i="5"/>
  <c r="AD42" i="5"/>
  <c r="AE101" i="5"/>
  <c r="AV55" i="5"/>
  <c r="AX55" i="5" s="1"/>
  <c r="AV228" i="5"/>
  <c r="AX228" i="5" s="1"/>
  <c r="AV208" i="5"/>
  <c r="AW208" i="5" s="1"/>
  <c r="AE314" i="5"/>
  <c r="AV219" i="5"/>
  <c r="AX219" i="5" s="1"/>
  <c r="AD442" i="5"/>
  <c r="AE189" i="5"/>
  <c r="AV425" i="5"/>
  <c r="AW425" i="5" s="1"/>
  <c r="BA424" i="5" s="1"/>
  <c r="BB424" i="5" s="1"/>
  <c r="AE228" i="5"/>
  <c r="AE208" i="5"/>
  <c r="AD502" i="5"/>
  <c r="AE249" i="5"/>
  <c r="AE219" i="5"/>
  <c r="AI151" i="4"/>
  <c r="AD189" i="5"/>
  <c r="BN151" i="4"/>
  <c r="AD425" i="5"/>
  <c r="AV411" i="5"/>
  <c r="AX411" i="5" s="1"/>
  <c r="AE89" i="5"/>
  <c r="AD133" i="5"/>
  <c r="AD404" i="5"/>
  <c r="AV504" i="5"/>
  <c r="AW504" i="5" s="1"/>
  <c r="AE82" i="5"/>
  <c r="AV432" i="5"/>
  <c r="AW432" i="5" s="1"/>
  <c r="AV380" i="5"/>
  <c r="AW380" i="5" s="1"/>
  <c r="AD113" i="5"/>
  <c r="AE141" i="5"/>
  <c r="AV264" i="5"/>
  <c r="AX264" i="5" s="1"/>
  <c r="AV489" i="5"/>
  <c r="AX489" i="5" s="1"/>
  <c r="AD309" i="5"/>
  <c r="AD41" i="5"/>
  <c r="AE305" i="5"/>
  <c r="AD197" i="5"/>
  <c r="AV499" i="5"/>
  <c r="AX499" i="5" s="1"/>
  <c r="AD246" i="5"/>
  <c r="AD305" i="5"/>
  <c r="AV197" i="5"/>
  <c r="AW197" i="5" s="1"/>
  <c r="AE51" i="5"/>
  <c r="AD130" i="5"/>
  <c r="AD232" i="5"/>
  <c r="AE532" i="5"/>
  <c r="AE552" i="5"/>
  <c r="AE435" i="5"/>
  <c r="AE107" i="5"/>
  <c r="AV255" i="5"/>
  <c r="AW255" i="5" s="1"/>
  <c r="AD218" i="5"/>
  <c r="AV507" i="5"/>
  <c r="AX507" i="5" s="1"/>
  <c r="AE355" i="5"/>
  <c r="AD465" i="5"/>
  <c r="AE475" i="5"/>
  <c r="AE433" i="5"/>
  <c r="AV465" i="5"/>
  <c r="AX465" i="5" s="1"/>
  <c r="AV475" i="5"/>
  <c r="AW475" i="5" s="1"/>
  <c r="AD433" i="5"/>
  <c r="AX291" i="5"/>
  <c r="AD179" i="5"/>
  <c r="AD203" i="5"/>
  <c r="AD239" i="5"/>
  <c r="AV179" i="5"/>
  <c r="AW179" i="5" s="1"/>
  <c r="AD435" i="5"/>
  <c r="AE134" i="5"/>
  <c r="AV119" i="5"/>
  <c r="AW119" i="5" s="1"/>
  <c r="AV218" i="5"/>
  <c r="AW218" i="5" s="1"/>
  <c r="AE291" i="5"/>
  <c r="AE136" i="5"/>
  <c r="AD136" i="5"/>
  <c r="AE387" i="5"/>
  <c r="AE445" i="5"/>
  <c r="AV294" i="5"/>
  <c r="AX294" i="5" s="1"/>
  <c r="AD488" i="5"/>
  <c r="AV284" i="5"/>
  <c r="AW284" i="5" s="1"/>
  <c r="AV387" i="5"/>
  <c r="AX387" i="5" s="1"/>
  <c r="AD294" i="5"/>
  <c r="AV271" i="5"/>
  <c r="AX271" i="5" s="1"/>
  <c r="AE488" i="5"/>
  <c r="AE431" i="5"/>
  <c r="AV203" i="5"/>
  <c r="AW203" i="5" s="1"/>
  <c r="AD271" i="5"/>
  <c r="AV107" i="5"/>
  <c r="AW107" i="5" s="1"/>
  <c r="AD355" i="5"/>
  <c r="AE284" i="5"/>
  <c r="AD275" i="5"/>
  <c r="AD419" i="5"/>
  <c r="AV324" i="5"/>
  <c r="AW324" i="5" s="1"/>
  <c r="AV275" i="5"/>
  <c r="AW275" i="5" s="1"/>
  <c r="AV505" i="5"/>
  <c r="AW505" i="5" s="1"/>
  <c r="AD482" i="5"/>
  <c r="AW116" i="5"/>
  <c r="AV482" i="5"/>
  <c r="AX482" i="5" s="1"/>
  <c r="AE505" i="5"/>
  <c r="AE385" i="5"/>
  <c r="AD54" i="5"/>
  <c r="AD560" i="5"/>
  <c r="AD163" i="5"/>
  <c r="AV359" i="5"/>
  <c r="AX359" i="5" s="1"/>
  <c r="AE99" i="5"/>
  <c r="AE299" i="5"/>
  <c r="AV298" i="5"/>
  <c r="AW298" i="5" s="1"/>
  <c r="AD381" i="5"/>
  <c r="AE362" i="5"/>
  <c r="AE119" i="5"/>
  <c r="AV174" i="5"/>
  <c r="AW174" i="5" s="1"/>
  <c r="AE43" i="5"/>
  <c r="AE446" i="5"/>
  <c r="AV56" i="5"/>
  <c r="AX56" i="5" s="1"/>
  <c r="AE62" i="5"/>
  <c r="AE74" i="5"/>
  <c r="AD60" i="5"/>
  <c r="AE312" i="5"/>
  <c r="AD241" i="5"/>
  <c r="AE280" i="5"/>
  <c r="AE413" i="5"/>
  <c r="AD104" i="5"/>
  <c r="AD299" i="5"/>
  <c r="AD21" i="5"/>
  <c r="AD362" i="5"/>
  <c r="AD43" i="5"/>
  <c r="AD56" i="5"/>
  <c r="AD62" i="5"/>
  <c r="AV74" i="5"/>
  <c r="AW74" i="5" s="1"/>
  <c r="AE60" i="5"/>
  <c r="AE124" i="5"/>
  <c r="AE296" i="5"/>
  <c r="AV124" i="5"/>
  <c r="AW124" i="5" s="1"/>
  <c r="AE77" i="5"/>
  <c r="AD413" i="5"/>
  <c r="AV30" i="5"/>
  <c r="AW30" i="5" s="1"/>
  <c r="AE104" i="5"/>
  <c r="AE109" i="5"/>
  <c r="AE21" i="5"/>
  <c r="S11" i="5"/>
  <c r="AD191" i="5"/>
  <c r="AV296" i="5"/>
  <c r="AW296" i="5" s="1"/>
  <c r="AV149" i="5"/>
  <c r="AX149" i="5" s="1"/>
  <c r="AV440" i="5"/>
  <c r="AW440" i="5" s="1"/>
  <c r="BA440" i="5" s="1"/>
  <c r="BB440" i="5" s="1"/>
  <c r="AV280" i="5"/>
  <c r="AX280" i="5" s="1"/>
  <c r="AE63" i="5"/>
  <c r="AE30" i="5"/>
  <c r="AD158" i="5"/>
  <c r="AD109" i="5"/>
  <c r="AV191" i="5"/>
  <c r="AW191" i="5" s="1"/>
  <c r="AE462" i="5"/>
  <c r="AD112" i="5"/>
  <c r="AE328" i="5"/>
  <c r="AE440" i="5"/>
  <c r="AV131" i="5"/>
  <c r="AW131" i="5" s="1"/>
  <c r="AE356" i="5"/>
  <c r="AD222" i="5"/>
  <c r="AD462" i="5"/>
  <c r="AV112" i="5"/>
  <c r="AW112" i="5" s="1"/>
  <c r="AE241" i="5"/>
  <c r="AV77" i="5"/>
  <c r="AW77" i="5" s="1"/>
  <c r="AW495" i="5"/>
  <c r="AD549" i="5"/>
  <c r="AV63" i="5"/>
  <c r="AW63" i="5" s="1"/>
  <c r="AV383" i="5"/>
  <c r="AX383" i="5" s="1"/>
  <c r="AV269" i="5"/>
  <c r="AW269" i="5" s="1"/>
  <c r="AD131" i="5"/>
  <c r="AD453" i="5"/>
  <c r="AV300" i="5"/>
  <c r="AW300" i="5" s="1"/>
  <c r="AV356" i="5"/>
  <c r="AX356" i="5" s="1"/>
  <c r="AV222" i="5"/>
  <c r="AX222" i="5" s="1"/>
  <c r="AE88" i="5"/>
  <c r="AE185" i="5"/>
  <c r="AE24" i="5"/>
  <c r="AV114" i="5"/>
  <c r="AX114" i="5" s="1"/>
  <c r="AV312" i="5"/>
  <c r="AX312" i="5" s="1"/>
  <c r="AD328" i="5"/>
  <c r="AD149" i="5"/>
  <c r="AD547" i="5"/>
  <c r="AE490" i="5"/>
  <c r="AE424" i="5"/>
  <c r="AV33" i="5"/>
  <c r="AW33" i="5" s="1"/>
  <c r="AV106" i="5"/>
  <c r="AX106" i="5" s="1"/>
  <c r="AV548" i="5"/>
  <c r="AW548" i="5" s="1"/>
  <c r="AE169" i="5"/>
  <c r="AD521" i="5"/>
  <c r="AD97" i="5"/>
  <c r="AV414" i="5"/>
  <c r="AW414" i="5" s="1"/>
  <c r="AV138" i="5"/>
  <c r="AW138" i="5" s="1"/>
  <c r="AE85" i="5"/>
  <c r="AV354" i="5"/>
  <c r="AX354" i="5" s="1"/>
  <c r="AE325" i="5"/>
  <c r="AE123" i="5"/>
  <c r="AE343" i="5"/>
  <c r="AV171" i="5"/>
  <c r="AX171" i="5" s="1"/>
  <c r="AV69" i="5"/>
  <c r="AW69" i="5" s="1"/>
  <c r="AV331" i="5"/>
  <c r="AW331" i="5" s="1"/>
  <c r="AE162" i="5"/>
  <c r="AE346" i="5"/>
  <c r="AD274" i="5"/>
  <c r="AD499" i="5"/>
  <c r="AV130" i="5"/>
  <c r="AX130" i="5" s="1"/>
  <c r="AD438" i="5"/>
  <c r="AV78" i="5"/>
  <c r="AW78" i="5" s="1"/>
  <c r="AE180" i="5"/>
  <c r="AD235" i="5"/>
  <c r="AV309" i="5"/>
  <c r="AD375" i="5"/>
  <c r="AD34" i="5"/>
  <c r="AE156" i="5"/>
  <c r="AV315" i="5"/>
  <c r="AW315" i="5" s="1"/>
  <c r="AD180" i="5"/>
  <c r="AV532" i="5"/>
  <c r="AW532" i="5" s="1"/>
  <c r="AD204" i="5"/>
  <c r="AE510" i="5"/>
  <c r="AV533" i="5"/>
  <c r="AW533" i="5" s="1"/>
  <c r="AV302" i="5"/>
  <c r="AX302" i="5" s="1"/>
  <c r="AE232" i="5"/>
  <c r="AV246" i="5"/>
  <c r="AX246" i="5" s="1"/>
  <c r="AD51" i="5"/>
  <c r="AE41" i="5"/>
  <c r="AV240" i="5"/>
  <c r="AX240" i="5" s="1"/>
  <c r="AW64" i="5"/>
  <c r="AV552" i="5"/>
  <c r="AW552" i="5" s="1"/>
  <c r="AD285" i="5"/>
  <c r="AV186" i="5"/>
  <c r="AW186" i="5" s="1"/>
  <c r="AE533" i="5"/>
  <c r="AD302" i="5"/>
  <c r="AV398" i="5"/>
  <c r="AW398" i="5" s="1"/>
  <c r="AE240" i="5"/>
  <c r="AE394" i="5"/>
  <c r="AE49" i="5"/>
  <c r="AV388" i="5"/>
  <c r="AX388" i="5" s="1"/>
  <c r="AE415" i="5"/>
  <c r="AE290" i="5"/>
  <c r="AE398" i="5"/>
  <c r="AW293" i="5"/>
  <c r="AD361" i="5"/>
  <c r="AV394" i="5"/>
  <c r="AX394" i="5" s="1"/>
  <c r="AD49" i="5"/>
  <c r="AE388" i="5"/>
  <c r="AD410" i="5"/>
  <c r="AE311" i="5"/>
  <c r="AV415" i="5"/>
  <c r="AW415" i="5" s="1"/>
  <c r="AD412" i="5"/>
  <c r="AD64" i="5"/>
  <c r="AD290" i="5"/>
  <c r="AV346" i="5"/>
  <c r="AX346" i="5" s="1"/>
  <c r="AD78" i="5"/>
  <c r="AE235" i="5"/>
  <c r="AV361" i="5"/>
  <c r="AW361" i="5" s="1"/>
  <c r="AE375" i="5"/>
  <c r="AV34" i="5"/>
  <c r="AX34" i="5" s="1"/>
  <c r="AV410" i="5"/>
  <c r="AW410" i="5" s="1"/>
  <c r="AD156" i="5"/>
  <c r="AD311" i="5"/>
  <c r="AE64" i="5"/>
  <c r="AV285" i="5"/>
  <c r="AW285" i="5" s="1"/>
  <c r="AD186" i="5"/>
  <c r="AE95" i="5"/>
  <c r="AV117" i="5"/>
  <c r="AX117" i="5" s="1"/>
  <c r="AX147" i="5"/>
  <c r="AD12" i="5"/>
  <c r="AE152" i="5"/>
  <c r="AD83" i="5"/>
  <c r="AV541" i="5"/>
  <c r="AX541" i="5" s="1"/>
  <c r="AV525" i="5"/>
  <c r="AW525" i="5" s="1"/>
  <c r="AE497" i="5"/>
  <c r="AD251" i="5"/>
  <c r="AE247" i="5"/>
  <c r="AE147" i="5"/>
  <c r="AD160" i="5"/>
  <c r="AE525" i="5"/>
  <c r="AV497" i="5"/>
  <c r="AX497" i="5" s="1"/>
  <c r="AW205" i="5"/>
  <c r="AD198" i="5"/>
  <c r="AE160" i="5"/>
  <c r="AE304" i="5"/>
  <c r="AE454" i="5"/>
  <c r="AV237" i="5"/>
  <c r="AW237" i="5" s="1"/>
  <c r="AE224" i="5"/>
  <c r="AD44" i="5"/>
  <c r="AE233" i="5"/>
  <c r="AD108" i="5"/>
  <c r="AV498" i="5"/>
  <c r="AW498" i="5" s="1"/>
  <c r="AE202" i="5"/>
  <c r="AV468" i="5"/>
  <c r="AW468" i="5" s="1"/>
  <c r="AD468" i="5"/>
  <c r="AV304" i="5"/>
  <c r="AW304" i="5" s="1"/>
  <c r="AV224" i="5"/>
  <c r="AW224" i="5" s="1"/>
  <c r="AV233" i="5"/>
  <c r="AW233" i="5" s="1"/>
  <c r="AE201" i="5"/>
  <c r="AV108" i="5"/>
  <c r="AX108" i="5" s="1"/>
  <c r="AD318" i="5"/>
  <c r="AE365" i="5"/>
  <c r="AE215" i="5"/>
  <c r="AE70" i="5"/>
  <c r="AE146" i="5"/>
  <c r="AE182" i="5"/>
  <c r="AV36" i="5"/>
  <c r="AX36" i="5" s="1"/>
  <c r="AW46" i="5"/>
  <c r="AE437" i="5"/>
  <c r="AD400" i="5"/>
  <c r="AE557" i="5"/>
  <c r="AV201" i="5"/>
  <c r="AW201" i="5" s="1"/>
  <c r="AD365" i="5"/>
  <c r="AV70" i="5"/>
  <c r="AX70" i="5" s="1"/>
  <c r="AV182" i="5"/>
  <c r="AW182" i="5" s="1"/>
  <c r="BA181" i="5" s="1"/>
  <c r="BB181" i="5" s="1"/>
  <c r="AV437" i="5"/>
  <c r="AW437" i="5" s="1"/>
  <c r="AE400" i="5"/>
  <c r="AD557" i="5"/>
  <c r="AE351" i="5"/>
  <c r="AD396" i="5"/>
  <c r="AV516" i="5"/>
  <c r="AW516" i="5" s="1"/>
  <c r="AD146" i="5"/>
  <c r="AV93" i="5"/>
  <c r="AW93" i="5" s="1"/>
  <c r="AV542" i="5"/>
  <c r="AX542" i="5" s="1"/>
  <c r="AE117" i="5"/>
  <c r="AD152" i="5"/>
  <c r="AE396" i="5"/>
  <c r="AE516" i="5"/>
  <c r="AE448" i="5"/>
  <c r="AD541" i="5"/>
  <c r="AV492" i="5"/>
  <c r="AX492" i="5" s="1"/>
  <c r="AV351" i="5"/>
  <c r="AW351" i="5" s="1"/>
  <c r="AE251" i="5"/>
  <c r="AV247" i="5"/>
  <c r="AE492" i="5"/>
  <c r="AD513" i="5"/>
  <c r="AE217" i="5"/>
  <c r="AD202" i="5"/>
  <c r="AV523" i="5"/>
  <c r="AX523" i="5" s="1"/>
  <c r="AD46" i="5"/>
  <c r="AD147" i="5"/>
  <c r="AV217" i="5"/>
  <c r="AX217" i="5" s="1"/>
  <c r="AV377" i="5"/>
  <c r="AW377" i="5" s="1"/>
  <c r="AE544" i="5"/>
  <c r="AV371" i="5"/>
  <c r="AX371" i="5" s="1"/>
  <c r="AE46" i="5"/>
  <c r="AD205" i="5"/>
  <c r="AV292" i="5"/>
  <c r="AX292" i="5" s="1"/>
  <c r="AV12" i="5"/>
  <c r="AW12" i="5" s="1"/>
  <c r="AE334" i="5"/>
  <c r="AV50" i="5"/>
  <c r="AW50" i="5" s="1"/>
  <c r="AE190" i="5"/>
  <c r="AD215" i="5"/>
  <c r="AD377" i="5"/>
  <c r="AV544" i="5"/>
  <c r="AW544" i="5" s="1"/>
  <c r="AD371" i="5"/>
  <c r="AE10" i="5"/>
  <c r="AD267" i="5"/>
  <c r="AE318" i="5"/>
  <c r="AV190" i="5"/>
  <c r="AX190" i="5" s="1"/>
  <c r="AV65" i="5"/>
  <c r="AX65" i="5" s="1"/>
  <c r="AD84" i="5"/>
  <c r="AD523" i="5"/>
  <c r="AE292" i="5"/>
  <c r="AD480" i="5"/>
  <c r="AE93" i="5"/>
  <c r="AE267" i="5"/>
  <c r="AE542" i="5"/>
  <c r="AV44" i="5"/>
  <c r="AW44" i="5" s="1"/>
  <c r="AD65" i="5"/>
  <c r="AV84" i="5"/>
  <c r="AW84" i="5" s="1"/>
  <c r="AD498" i="5"/>
  <c r="AV10" i="5"/>
  <c r="AW10" i="5" s="1"/>
  <c r="AE205" i="5"/>
  <c r="AV481" i="5"/>
  <c r="AW481" i="5" s="1"/>
  <c r="AE414" i="5"/>
  <c r="AE384" i="5"/>
  <c r="AV199" i="5"/>
  <c r="AW199" i="5" s="1"/>
  <c r="AV169" i="5"/>
  <c r="AW169" i="5" s="1"/>
  <c r="AD325" i="5"/>
  <c r="AD551" i="5"/>
  <c r="AE81" i="5"/>
  <c r="AV123" i="5"/>
  <c r="AX123" i="5" s="1"/>
  <c r="AD125" i="5"/>
  <c r="AD85" i="5"/>
  <c r="AD155" i="5"/>
  <c r="AV343" i="5"/>
  <c r="AW343" i="5" s="1"/>
  <c r="AE354" i="5"/>
  <c r="AD283" i="5"/>
  <c r="AE288" i="5"/>
  <c r="AD344" i="5"/>
  <c r="AV37" i="5"/>
  <c r="AX37" i="5" s="1"/>
  <c r="AV59" i="5"/>
  <c r="AW59" i="5" s="1"/>
  <c r="AD384" i="5"/>
  <c r="AE57" i="5"/>
  <c r="AD199" i="5"/>
  <c r="AE551" i="5"/>
  <c r="AD81" i="5"/>
  <c r="AV125" i="5"/>
  <c r="AW125" i="5" s="1"/>
  <c r="AE341" i="5"/>
  <c r="AW461" i="5"/>
  <c r="AE283" i="5"/>
  <c r="AE212" i="5"/>
  <c r="AV288" i="5"/>
  <c r="AX288" i="5" s="1"/>
  <c r="AV452" i="5"/>
  <c r="AW452" i="5" s="1"/>
  <c r="AV303" i="5"/>
  <c r="AW303" i="5" s="1"/>
  <c r="AV121" i="5"/>
  <c r="AW121" i="5" s="1"/>
  <c r="AV341" i="5"/>
  <c r="AX341" i="5" s="1"/>
  <c r="AD164" i="5"/>
  <c r="AV212" i="5"/>
  <c r="AW212" i="5" s="1"/>
  <c r="AE192" i="5"/>
  <c r="AD407" i="5"/>
  <c r="AE452" i="5"/>
  <c r="AD303" i="5"/>
  <c r="AD37" i="5"/>
  <c r="AD59" i="5"/>
  <c r="AV344" i="5"/>
  <c r="AW344" i="5" s="1"/>
  <c r="AV420" i="5"/>
  <c r="AW420" i="5" s="1"/>
  <c r="AE35" i="5"/>
  <c r="AD135" i="5"/>
  <c r="AV358" i="5"/>
  <c r="AW358" i="5" s="1"/>
  <c r="AV57" i="5"/>
  <c r="AX57" i="5" s="1"/>
  <c r="AV76" i="5"/>
  <c r="AX76" i="5" s="1"/>
  <c r="AX181" i="5"/>
  <c r="AV459" i="5"/>
  <c r="AW459" i="5" s="1"/>
  <c r="AE121" i="5"/>
  <c r="AV164" i="5"/>
  <c r="AW164" i="5" s="1"/>
  <c r="AE538" i="5"/>
  <c r="AD360" i="5"/>
  <c r="AD192" i="5"/>
  <c r="AV407" i="5"/>
  <c r="AW407" i="5" s="1"/>
  <c r="AE181" i="5"/>
  <c r="AD243" i="5"/>
  <c r="AE321" i="5"/>
  <c r="AW382" i="5"/>
  <c r="AD420" i="5"/>
  <c r="AV35" i="5"/>
  <c r="AW35" i="5" s="1"/>
  <c r="AV135" i="5"/>
  <c r="AD221" i="5"/>
  <c r="AE358" i="5"/>
  <c r="AD529" i="5"/>
  <c r="AE295" i="5"/>
  <c r="AE76" i="5"/>
  <c r="AD518" i="5"/>
  <c r="AE423" i="5"/>
  <c r="AV140" i="5"/>
  <c r="AW140" i="5" s="1"/>
  <c r="AD459" i="5"/>
  <c r="AV349" i="5"/>
  <c r="AX349" i="5" s="1"/>
  <c r="AV348" i="5"/>
  <c r="AX348" i="5" s="1"/>
  <c r="AE360" i="5"/>
  <c r="AV403" i="5"/>
  <c r="AW403" i="5" s="1"/>
  <c r="AE352" i="5"/>
  <c r="AV80" i="5"/>
  <c r="AW80" i="5" s="1"/>
  <c r="AV363" i="5"/>
  <c r="AX363" i="5" s="1"/>
  <c r="AD363" i="5"/>
  <c r="AE243" i="5"/>
  <c r="AV321" i="5"/>
  <c r="AW321" i="5" s="1"/>
  <c r="AV97" i="5"/>
  <c r="AX97" i="5" s="1"/>
  <c r="AV221" i="5"/>
  <c r="AX221" i="5" s="1"/>
  <c r="AE367" i="5"/>
  <c r="AV295" i="5"/>
  <c r="AW295" i="5" s="1"/>
  <c r="AV518" i="5"/>
  <c r="AW518" i="5" s="1"/>
  <c r="AV423" i="5"/>
  <c r="AW423" i="5" s="1"/>
  <c r="AE140" i="5"/>
  <c r="AE548" i="5"/>
  <c r="AE171" i="5"/>
  <c r="AV521" i="5"/>
  <c r="AX521" i="5" s="1"/>
  <c r="AD349" i="5"/>
  <c r="AD69" i="5"/>
  <c r="AD91" i="5"/>
  <c r="AE348" i="5"/>
  <c r="AD276" i="5"/>
  <c r="AE403" i="5"/>
  <c r="AD352" i="5"/>
  <c r="AD80" i="5"/>
  <c r="AD382" i="5"/>
  <c r="AD181" i="5"/>
  <c r="AV89" i="5"/>
  <c r="AX89" i="5" s="1"/>
  <c r="AD38" i="5"/>
  <c r="AE133" i="5"/>
  <c r="AD102" i="5"/>
  <c r="AV404" i="5"/>
  <c r="AX404" i="5" s="1"/>
  <c r="AD380" i="5"/>
  <c r="AE113" i="5"/>
  <c r="AD216" i="5"/>
  <c r="AE286" i="5"/>
  <c r="AD82" i="5"/>
  <c r="AD106" i="5"/>
  <c r="AE50" i="5"/>
  <c r="AD141" i="5"/>
  <c r="AE265" i="5"/>
  <c r="AV187" i="5"/>
  <c r="AW187" i="5" s="1"/>
  <c r="AX105" i="5"/>
  <c r="AD432" i="5"/>
  <c r="AE183" i="5"/>
  <c r="AE72" i="5"/>
  <c r="AD418" i="5"/>
  <c r="AV38" i="5"/>
  <c r="AW38" i="5" s="1"/>
  <c r="AD503" i="5"/>
  <c r="AE216" i="5"/>
  <c r="AE487" i="5"/>
  <c r="AV265" i="5"/>
  <c r="AX265" i="5" s="1"/>
  <c r="AE187" i="5"/>
  <c r="AD48" i="5"/>
  <c r="AD183" i="5"/>
  <c r="AD90" i="5"/>
  <c r="AV553" i="5"/>
  <c r="AW553" i="5" s="1"/>
  <c r="AD424" i="5"/>
  <c r="AE469" i="5"/>
  <c r="AV48" i="5"/>
  <c r="AW48" i="5" s="1"/>
  <c r="AV90" i="5"/>
  <c r="AW90" i="5" s="1"/>
  <c r="AV92" i="5"/>
  <c r="AW92" i="5" s="1"/>
  <c r="AE553" i="5"/>
  <c r="AV436" i="5"/>
  <c r="AW436" i="5" s="1"/>
  <c r="AD347" i="5"/>
  <c r="AD434" i="5"/>
  <c r="AV487" i="5"/>
  <c r="AW487" i="5" s="1"/>
  <c r="AE52" i="5"/>
  <c r="AV416" i="5"/>
  <c r="AX416" i="5" s="1"/>
  <c r="AV19" i="5"/>
  <c r="AW19" i="5" s="1"/>
  <c r="AV259" i="5"/>
  <c r="AX259" i="5" s="1"/>
  <c r="AE184" i="5"/>
  <c r="AV139" i="5"/>
  <c r="AW139" i="5" s="1"/>
  <c r="AV333" i="5"/>
  <c r="AX333" i="5" s="1"/>
  <c r="AE503" i="5"/>
  <c r="AE227" i="5"/>
  <c r="AE436" i="5"/>
  <c r="AV347" i="5"/>
  <c r="AW347" i="5" s="1"/>
  <c r="AE434" i="5"/>
  <c r="AD539" i="5"/>
  <c r="AE550" i="5"/>
  <c r="AV370" i="5"/>
  <c r="AW370" i="5" s="1"/>
  <c r="AV469" i="5"/>
  <c r="AW469" i="5" s="1"/>
  <c r="AV391" i="5"/>
  <c r="AW391" i="5" s="1"/>
  <c r="AD256" i="5"/>
  <c r="AE543" i="5"/>
  <c r="AE501" i="5"/>
  <c r="AV72" i="5"/>
  <c r="AX72" i="5" s="1"/>
  <c r="AE256" i="5"/>
  <c r="AD416" i="5"/>
  <c r="AD19" i="5"/>
  <c r="AD259" i="5"/>
  <c r="AV184" i="5"/>
  <c r="AW184" i="5" s="1"/>
  <c r="AV39" i="5"/>
  <c r="AW39" i="5" s="1"/>
  <c r="AE327" i="5"/>
  <c r="AD139" i="5"/>
  <c r="AE333" i="5"/>
  <c r="AD227" i="5"/>
  <c r="AV539" i="5"/>
  <c r="AW539" i="5" s="1"/>
  <c r="AD527" i="5"/>
  <c r="AE464" i="5"/>
  <c r="AD550" i="5"/>
  <c r="AV270" i="5"/>
  <c r="AW270" i="5" s="1"/>
  <c r="AE370" i="5"/>
  <c r="AE66" i="5"/>
  <c r="AE391" i="5"/>
  <c r="AE515" i="5"/>
  <c r="AD87" i="5"/>
  <c r="AV543" i="5"/>
  <c r="AX543" i="5" s="1"/>
  <c r="AE427" i="5"/>
  <c r="AV493" i="5"/>
  <c r="AW493" i="5" s="1"/>
  <c r="AE357" i="5"/>
  <c r="AD167" i="5"/>
  <c r="AD558" i="5"/>
  <c r="AD490" i="5"/>
  <c r="AX424" i="5"/>
  <c r="AD39" i="5"/>
  <c r="AD327" i="5"/>
  <c r="AD504" i="5"/>
  <c r="AD33" i="5"/>
  <c r="AE527" i="5"/>
  <c r="AV464" i="5"/>
  <c r="AX464" i="5" s="1"/>
  <c r="AE270" i="5"/>
  <c r="AD66" i="5"/>
  <c r="AV515" i="5"/>
  <c r="AW515" i="5" s="1"/>
  <c r="AV87" i="5"/>
  <c r="AX87" i="5" s="1"/>
  <c r="AD427" i="5"/>
  <c r="AD357" i="5"/>
  <c r="AV547" i="5"/>
  <c r="AX547" i="5" s="1"/>
  <c r="AD105" i="5"/>
  <c r="AD447" i="5"/>
  <c r="AD92" i="5"/>
  <c r="AE105" i="5"/>
  <c r="AV558" i="5"/>
  <c r="AW558" i="5" s="1"/>
  <c r="AV372" i="5"/>
  <c r="AW372" i="5" s="1"/>
  <c r="AV501" i="5"/>
  <c r="AX501" i="5" s="1"/>
  <c r="AW32" i="5"/>
  <c r="AE61" i="5"/>
  <c r="AA151" i="4"/>
  <c r="AB151" i="4" s="1"/>
  <c r="AD151" i="4" s="1"/>
  <c r="AE151" i="4" s="1"/>
  <c r="CH151" i="4" s="1"/>
  <c r="AV272" i="5"/>
  <c r="AX272" i="5" s="1"/>
  <c r="AE534" i="5"/>
  <c r="AV29" i="5"/>
  <c r="AX29" i="5" s="1"/>
  <c r="AD512" i="5"/>
  <c r="AE29" i="5"/>
  <c r="AE506" i="5"/>
  <c r="AI123" i="4"/>
  <c r="AE143" i="5"/>
  <c r="AV94" i="5"/>
  <c r="AW94" i="5" s="1"/>
  <c r="AV52" i="5"/>
  <c r="AX52" i="5" s="1"/>
  <c r="AD372" i="5"/>
  <c r="AD13" i="5"/>
  <c r="AE382" i="5"/>
  <c r="AV22" i="5"/>
  <c r="AW22" i="5" s="1"/>
  <c r="AD279" i="5"/>
  <c r="AC9" i="5"/>
  <c r="AE9" i="5" s="1"/>
  <c r="AE392" i="5"/>
  <c r="BN155" i="4"/>
  <c r="AV145" i="5"/>
  <c r="AW145" i="5" s="1"/>
  <c r="AD528" i="5"/>
  <c r="AD260" i="5"/>
  <c r="AD444" i="5"/>
  <c r="AE245" i="5"/>
  <c r="AD460" i="5"/>
  <c r="AE450" i="5"/>
  <c r="AV175" i="5"/>
  <c r="AX175" i="5" s="1"/>
  <c r="AD234" i="5"/>
  <c r="AV213" i="5"/>
  <c r="AX213" i="5" s="1"/>
  <c r="AD332" i="5"/>
  <c r="AD338" i="5"/>
  <c r="AD428" i="5"/>
  <c r="AD162" i="5"/>
  <c r="AV194" i="5"/>
  <c r="AX194" i="5" s="1"/>
  <c r="AE331" i="5"/>
  <c r="BX123" i="4"/>
  <c r="AD143" i="5"/>
  <c r="AV338" i="5"/>
  <c r="AW338" i="5" s="1"/>
  <c r="AD94" i="5"/>
  <c r="AV506" i="5"/>
  <c r="AW506" i="5" s="1"/>
  <c r="BC155" i="4"/>
  <c r="AE428" i="5"/>
  <c r="AD28" i="5"/>
  <c r="AE234" i="5"/>
  <c r="AV528" i="5"/>
  <c r="AW528" i="5" s="1"/>
  <c r="AD277" i="5"/>
  <c r="AV260" i="5"/>
  <c r="AX260" i="5" s="1"/>
  <c r="AE332" i="5"/>
  <c r="AE165" i="5"/>
  <c r="AE444" i="5"/>
  <c r="R9" i="5"/>
  <c r="AP123" i="4"/>
  <c r="AO123" i="4" s="1"/>
  <c r="AV150" i="5"/>
  <c r="AX150" i="5" s="1"/>
  <c r="AN11" i="5"/>
  <c r="AV556" i="5"/>
  <c r="AW556" i="5" s="1"/>
  <c r="AV535" i="5"/>
  <c r="AW535" i="5" s="1"/>
  <c r="AV28" i="5"/>
  <c r="AX28" i="5" s="1"/>
  <c r="AD319" i="5"/>
  <c r="AV277" i="5"/>
  <c r="AW277" i="5" s="1"/>
  <c r="AE393" i="5"/>
  <c r="AV165" i="5"/>
  <c r="AW165" i="5" s="1"/>
  <c r="AE8" i="5"/>
  <c r="AE386" i="5"/>
  <c r="AD386" i="5"/>
  <c r="AD230" i="5"/>
  <c r="AE194" i="5"/>
  <c r="BN123" i="4"/>
  <c r="AA131" i="4"/>
  <c r="AB131" i="4" s="1"/>
  <c r="AD131" i="4" s="1"/>
  <c r="AE131" i="4" s="1"/>
  <c r="CH131" i="4" s="1"/>
  <c r="AD150" i="5"/>
  <c r="AV473" i="5"/>
  <c r="AX473" i="5" s="1"/>
  <c r="AV540" i="5"/>
  <c r="AX540" i="5" s="1"/>
  <c r="AE476" i="5"/>
  <c r="AD556" i="5"/>
  <c r="AV379" i="5"/>
  <c r="AX379" i="5" s="1"/>
  <c r="AD535" i="5"/>
  <c r="AE319" i="5"/>
  <c r="AE177" i="5"/>
  <c r="AD393" i="5"/>
  <c r="AV8" i="5"/>
  <c r="AX8" i="5" s="1"/>
  <c r="AV230" i="5"/>
  <c r="AW230" i="5" s="1"/>
  <c r="AD214" i="5"/>
  <c r="AI131" i="4"/>
  <c r="AE473" i="5"/>
  <c r="AD540" i="5"/>
  <c r="AA155" i="4"/>
  <c r="AB155" i="4" s="1"/>
  <c r="AH155" i="4" s="1"/>
  <c r="AV476" i="5"/>
  <c r="AW476" i="5" s="1"/>
  <c r="AE379" i="5"/>
  <c r="AI146" i="4"/>
  <c r="AV177" i="5"/>
  <c r="AW177" i="5" s="1"/>
  <c r="AV166" i="5"/>
  <c r="AW166" i="5" s="1"/>
  <c r="AD47" i="5"/>
  <c r="AD27" i="5"/>
  <c r="AS11" i="5"/>
  <c r="AU11" i="5" s="1"/>
  <c r="AE397" i="5"/>
  <c r="AE214" i="5"/>
  <c r="AP131" i="4"/>
  <c r="AO131" i="4" s="1"/>
  <c r="AE157" i="5"/>
  <c r="AI155" i="4"/>
  <c r="BN146" i="4"/>
  <c r="AE144" i="5"/>
  <c r="AV176" i="5"/>
  <c r="AX176" i="5" s="1"/>
  <c r="AE166" i="5"/>
  <c r="AE486" i="5"/>
  <c r="AV47" i="5"/>
  <c r="AW47" i="5" s="1"/>
  <c r="BA46" i="5" s="1"/>
  <c r="BB46" i="5" s="1"/>
  <c r="AV27" i="5"/>
  <c r="AW27" i="5" s="1"/>
  <c r="AE409" i="5"/>
  <c r="AV397" i="5"/>
  <c r="AX397" i="5" s="1"/>
  <c r="BX131" i="4"/>
  <c r="AD157" i="5"/>
  <c r="AP155" i="4"/>
  <c r="AO155" i="4" s="1"/>
  <c r="AE213" i="5"/>
  <c r="AE460" i="5"/>
  <c r="AE145" i="5"/>
  <c r="AV172" i="5"/>
  <c r="AW172" i="5" s="1"/>
  <c r="AD144" i="5"/>
  <c r="AE176" i="5"/>
  <c r="AV486" i="5"/>
  <c r="AX486" i="5" s="1"/>
  <c r="AD336" i="5"/>
  <c r="AE172" i="5"/>
  <c r="AV245" i="5"/>
  <c r="AX245" i="5" s="1"/>
  <c r="AP146" i="4"/>
  <c r="AO146" i="4" s="1"/>
  <c r="AV457" i="5"/>
  <c r="AW457" i="5" s="1"/>
  <c r="AL9" i="5"/>
  <c r="AD175" i="5"/>
  <c r="BX146" i="4"/>
  <c r="AV211" i="5"/>
  <c r="AW211" i="5" s="1"/>
  <c r="AD450" i="5"/>
  <c r="AV336" i="5"/>
  <c r="AW336" i="5" s="1"/>
  <c r="AK11" i="5"/>
  <c r="AE211" i="5"/>
  <c r="AE457" i="5"/>
  <c r="AA146" i="4"/>
  <c r="AB146" i="4" s="1"/>
  <c r="CE146" i="4" s="1"/>
  <c r="AV26" i="5"/>
  <c r="AW26" i="5" s="1"/>
  <c r="AE315" i="5"/>
  <c r="AD22" i="5"/>
  <c r="AE116" i="5"/>
  <c r="AD116" i="5"/>
  <c r="AE279" i="5"/>
  <c r="AD209" i="5"/>
  <c r="AE412" i="5"/>
  <c r="AD293" i="5"/>
  <c r="AE293" i="5"/>
  <c r="AV231" i="5"/>
  <c r="AW231" i="5" s="1"/>
  <c r="AE495" i="5"/>
  <c r="AV198" i="5"/>
  <c r="AW198" i="5" s="1"/>
  <c r="AD448" i="5"/>
  <c r="AE480" i="5"/>
  <c r="AE36" i="5"/>
  <c r="AE138" i="5"/>
  <c r="AV513" i="5"/>
  <c r="AW513" i="5" s="1"/>
  <c r="AE155" i="5"/>
  <c r="AD554" i="5"/>
  <c r="AV276" i="5"/>
  <c r="AX276" i="5" s="1"/>
  <c r="AD86" i="5"/>
  <c r="AE447" i="5"/>
  <c r="AD500" i="5"/>
  <c r="AE257" i="5"/>
  <c r="BX121" i="4"/>
  <c r="AD484" i="5"/>
  <c r="AW67" i="5"/>
  <c r="AD454" i="5"/>
  <c r="AD237" i="5"/>
  <c r="AV334" i="5"/>
  <c r="AW334" i="5" s="1"/>
  <c r="AE529" i="5"/>
  <c r="AV111" i="5"/>
  <c r="AW111" i="5" s="1"/>
  <c r="AD390" i="5"/>
  <c r="AV519" i="5"/>
  <c r="AW519" i="5" s="1"/>
  <c r="AE13" i="5"/>
  <c r="AE461" i="5"/>
  <c r="AV500" i="5"/>
  <c r="AW500" i="5" s="1"/>
  <c r="AD258" i="5"/>
  <c r="AV73" i="5"/>
  <c r="AW73" i="5" s="1"/>
  <c r="AD58" i="5"/>
  <c r="AV210" i="5"/>
  <c r="AW210" i="5" s="1"/>
  <c r="AE111" i="5"/>
  <c r="AD45" i="5"/>
  <c r="AE519" i="5"/>
  <c r="AD461" i="5"/>
  <c r="AV491" i="5"/>
  <c r="AW491" i="5" s="1"/>
  <c r="AV484" i="5"/>
  <c r="AW484" i="5" s="1"/>
  <c r="AD491" i="5"/>
  <c r="AV367" i="5"/>
  <c r="AW367" i="5" s="1"/>
  <c r="AV439" i="5"/>
  <c r="AW439" i="5" s="1"/>
  <c r="AE258" i="5"/>
  <c r="AD73" i="5"/>
  <c r="AV58" i="5"/>
  <c r="AW58" i="5" s="1"/>
  <c r="AD210" i="5"/>
  <c r="AD538" i="5"/>
  <c r="AD401" i="5"/>
  <c r="AP126" i="4"/>
  <c r="AO126" i="4" s="1"/>
  <c r="AV426" i="5"/>
  <c r="AX426" i="5" s="1"/>
  <c r="AE32" i="5"/>
  <c r="AD324" i="5"/>
  <c r="AE229" i="5"/>
  <c r="AS9" i="5"/>
  <c r="AT9" i="5" s="1"/>
  <c r="AE342" i="5"/>
  <c r="AV54" i="5"/>
  <c r="AX54" i="5" s="1"/>
  <c r="AV153" i="5"/>
  <c r="AX153" i="5" s="1"/>
  <c r="AD385" i="5"/>
  <c r="AV25" i="5"/>
  <c r="AW25" i="5" s="1"/>
  <c r="AV306" i="5"/>
  <c r="AX306" i="5" s="1"/>
  <c r="AV23" i="5"/>
  <c r="AW23" i="5" s="1"/>
  <c r="AE25" i="5"/>
  <c r="AD306" i="5"/>
  <c r="AD127" i="5"/>
  <c r="AV229" i="5"/>
  <c r="AX229" i="5" s="1"/>
  <c r="AV342" i="5"/>
  <c r="AW342" i="5" s="1"/>
  <c r="AE153" i="5"/>
  <c r="AD23" i="5"/>
  <c r="AV127" i="5"/>
  <c r="AW127" i="5" s="1"/>
  <c r="AV161" i="5"/>
  <c r="AX161" i="5" s="1"/>
  <c r="AD458" i="5"/>
  <c r="AV405" i="5"/>
  <c r="AX405" i="5" s="1"/>
  <c r="AE220" i="5"/>
  <c r="AV170" i="5"/>
  <c r="AW170" i="5" s="1"/>
  <c r="AE100" i="5"/>
  <c r="AE161" i="5"/>
  <c r="AV323" i="5"/>
  <c r="AW323" i="5" s="1"/>
  <c r="AV458" i="5"/>
  <c r="AX458" i="5" s="1"/>
  <c r="AD405" i="5"/>
  <c r="AV220" i="5"/>
  <c r="AX220" i="5" s="1"/>
  <c r="AE226" i="5"/>
  <c r="AV250" i="5"/>
  <c r="AX250" i="5" s="1"/>
  <c r="AD170" i="5"/>
  <c r="AD100" i="5"/>
  <c r="AV402" i="5"/>
  <c r="AX402" i="5" s="1"/>
  <c r="AE323" i="5"/>
  <c r="AN9" i="5"/>
  <c r="AD118" i="5"/>
  <c r="Y9" i="5"/>
  <c r="AD250" i="5"/>
  <c r="AV419" i="5"/>
  <c r="AX419" i="5" s="1"/>
  <c r="AD330" i="5"/>
  <c r="AE118" i="5"/>
  <c r="AV226" i="5"/>
  <c r="AW226" i="5" s="1"/>
  <c r="AV86" i="5"/>
  <c r="AX86" i="5" s="1"/>
  <c r="AD429" i="5"/>
  <c r="AD67" i="5"/>
  <c r="AE231" i="5"/>
  <c r="AE390" i="5"/>
  <c r="BC126" i="4"/>
  <c r="AV554" i="5"/>
  <c r="AX554" i="5" s="1"/>
  <c r="AV204" i="5"/>
  <c r="AX204" i="5" s="1"/>
  <c r="AV429" i="5"/>
  <c r="AX429" i="5" s="1"/>
  <c r="Y11" i="5"/>
  <c r="AE439" i="5"/>
  <c r="V11" i="5"/>
  <c r="AV545" i="5"/>
  <c r="AX545" i="5" s="1"/>
  <c r="AV45" i="5"/>
  <c r="AW45" i="5" s="1"/>
  <c r="AV401" i="5"/>
  <c r="AW401" i="5" s="1"/>
  <c r="AE479" i="5"/>
  <c r="AD463" i="5"/>
  <c r="AD308" i="5"/>
  <c r="AD266" i="5"/>
  <c r="AE545" i="5"/>
  <c r="AD471" i="5"/>
  <c r="AV479" i="5"/>
  <c r="AW479" i="5" s="1"/>
  <c r="BA478" i="5" s="1"/>
  <c r="BB478" i="5" s="1"/>
  <c r="AD244" i="5"/>
  <c r="AE274" i="5"/>
  <c r="AV463" i="5"/>
  <c r="AW463" i="5" s="1"/>
  <c r="AE308" i="5"/>
  <c r="AV266" i="5"/>
  <c r="AW266" i="5" s="1"/>
  <c r="AV417" i="5"/>
  <c r="AX417" i="5" s="1"/>
  <c r="AE471" i="5"/>
  <c r="BN126" i="4"/>
  <c r="AE126" i="5"/>
  <c r="AV244" i="5"/>
  <c r="AW244" i="5" s="1"/>
  <c r="AD95" i="5"/>
  <c r="AV438" i="5"/>
  <c r="AW438" i="5" s="1"/>
  <c r="AD417" i="5"/>
  <c r="AE209" i="5"/>
  <c r="AI126" i="4"/>
  <c r="AD126" i="5"/>
  <c r="AE193" i="5"/>
  <c r="AV193" i="5"/>
  <c r="AX193" i="5" s="1"/>
  <c r="AE67" i="5"/>
  <c r="AE326" i="5"/>
  <c r="AV301" i="5"/>
  <c r="AW301" i="5" s="1"/>
  <c r="AV31" i="5"/>
  <c r="AW31" i="5" s="1"/>
  <c r="AV483" i="5"/>
  <c r="AW483" i="5" s="1"/>
  <c r="AV474" i="5"/>
  <c r="AX474" i="5" s="1"/>
  <c r="AD524" i="5"/>
  <c r="AV378" i="5"/>
  <c r="AW378" i="5" s="1"/>
  <c r="AV531" i="5"/>
  <c r="AW531" i="5" s="1"/>
  <c r="AE481" i="5"/>
  <c r="AD236" i="5"/>
  <c r="AD115" i="5"/>
  <c r="AE31" i="5"/>
  <c r="AD132" i="5"/>
  <c r="AX441" i="5"/>
  <c r="AE483" i="5"/>
  <c r="AE474" i="5"/>
  <c r="AV470" i="5"/>
  <c r="AX470" i="5" s="1"/>
  <c r="AD508" i="5"/>
  <c r="AV524" i="5"/>
  <c r="AX524" i="5" s="1"/>
  <c r="AE378" i="5"/>
  <c r="AD248" i="5"/>
  <c r="AD531" i="5"/>
  <c r="AD511" i="5"/>
  <c r="AV236" i="5"/>
  <c r="AX236" i="5" s="1"/>
  <c r="AD449" i="5"/>
  <c r="AV115" i="5"/>
  <c r="AX115" i="5" s="1"/>
  <c r="AE132" i="5"/>
  <c r="AD350" i="5"/>
  <c r="AE470" i="5"/>
  <c r="AE508" i="5"/>
  <c r="AE248" i="5"/>
  <c r="AV257" i="5"/>
  <c r="AX257" i="5" s="1"/>
  <c r="AV449" i="5"/>
  <c r="AX449" i="5" s="1"/>
  <c r="AE310" i="5"/>
  <c r="AV350" i="5"/>
  <c r="AW350" i="5" s="1"/>
  <c r="AX511" i="5"/>
  <c r="AD40" i="5"/>
  <c r="AD364" i="5"/>
  <c r="AV310" i="5"/>
  <c r="AW310" i="5" s="1"/>
  <c r="AV40" i="5"/>
  <c r="AX40" i="5" s="1"/>
  <c r="AV496" i="5"/>
  <c r="AW496" i="5" s="1"/>
  <c r="AV364" i="5"/>
  <c r="AX364" i="5" s="1"/>
  <c r="AE441" i="5"/>
  <c r="AV307" i="5"/>
  <c r="AW307" i="5" s="1"/>
  <c r="AD26" i="5"/>
  <c r="AE264" i="5"/>
  <c r="AV42" i="5"/>
  <c r="AX42" i="5" s="1"/>
  <c r="AE376" i="5"/>
  <c r="AE272" i="5"/>
  <c r="AD392" i="5"/>
  <c r="AE511" i="5"/>
  <c r="AD307" i="5"/>
  <c r="AD441" i="5"/>
  <c r="AA126" i="4"/>
  <c r="AB126" i="4" s="1"/>
  <c r="CE126" i="4" s="1"/>
  <c r="AD32" i="5"/>
  <c r="AE426" i="5"/>
  <c r="AD495" i="5"/>
  <c r="AD402" i="5"/>
  <c r="AV374" i="5"/>
  <c r="AX374" i="5" s="1"/>
  <c r="AE137" i="5"/>
  <c r="AB11" i="5"/>
  <c r="AE493" i="5"/>
  <c r="AV225" i="5"/>
  <c r="AW225" i="5" s="1"/>
  <c r="AC11" i="5"/>
  <c r="AD11" i="5" s="1"/>
  <c r="AD374" i="5"/>
  <c r="AV137" i="5"/>
  <c r="AX137" i="5" s="1"/>
  <c r="AD369" i="5"/>
  <c r="AE225" i="5"/>
  <c r="AV148" i="5"/>
  <c r="AW148" i="5" s="1"/>
  <c r="BA147" i="5" s="1"/>
  <c r="BB147" i="5" s="1"/>
  <c r="AV369" i="5"/>
  <c r="AW369" i="5" s="1"/>
  <c r="AV546" i="5"/>
  <c r="AX546" i="5" s="1"/>
  <c r="AE20" i="5"/>
  <c r="AD148" i="5"/>
  <c r="AE546" i="5"/>
  <c r="AD20" i="5"/>
  <c r="AE330" i="5"/>
  <c r="AE167" i="5"/>
  <c r="BX129" i="4"/>
  <c r="AP129" i="4"/>
  <c r="AO129" i="4" s="1"/>
  <c r="AA129" i="4"/>
  <c r="AB129" i="4" s="1"/>
  <c r="AD129" i="4" s="1"/>
  <c r="AE129" i="4" s="1"/>
  <c r="CH129" i="4" s="1"/>
  <c r="AI129" i="4"/>
  <c r="BN121" i="4"/>
  <c r="AA121" i="4"/>
  <c r="AB121" i="4" s="1"/>
  <c r="AD121" i="4" s="1"/>
  <c r="AE121" i="4" s="1"/>
  <c r="CH121" i="4" s="1"/>
  <c r="AP121" i="4"/>
  <c r="AO121" i="4" s="1"/>
  <c r="BC121" i="4"/>
  <c r="AI113" i="4"/>
  <c r="AA113" i="4"/>
  <c r="AB113" i="4" s="1"/>
  <c r="CE113" i="4" s="1"/>
  <c r="AA123" i="4"/>
  <c r="AB123" i="4" s="1"/>
  <c r="AH123" i="4" s="1"/>
  <c r="AP113" i="4"/>
  <c r="AO113" i="4" s="1"/>
  <c r="BC113" i="4"/>
  <c r="BX113" i="4"/>
  <c r="AP141" i="4"/>
  <c r="AO141" i="4" s="1"/>
  <c r="AI141" i="4"/>
  <c r="BN141" i="4"/>
  <c r="AA141" i="4"/>
  <c r="AB141" i="4" s="1"/>
  <c r="CE141" i="4" s="1"/>
  <c r="BX141" i="4"/>
  <c r="BX156" i="4"/>
  <c r="AP156" i="4"/>
  <c r="AO156" i="4" s="1"/>
  <c r="AA156" i="4"/>
  <c r="AB156" i="4" s="1"/>
  <c r="AD156" i="4" s="1"/>
  <c r="AE156" i="4" s="1"/>
  <c r="CH156" i="4" s="1"/>
  <c r="BN156" i="4"/>
  <c r="AI156" i="4"/>
  <c r="AW96" i="5"/>
  <c r="AX243" i="5"/>
  <c r="AW243" i="5"/>
  <c r="AX467" i="5"/>
  <c r="AW467" i="5"/>
  <c r="AO65" i="4"/>
  <c r="CE143" i="4"/>
  <c r="AD143" i="4"/>
  <c r="AE143" i="4" s="1"/>
  <c r="CH143" i="4" s="1"/>
  <c r="AH143" i="4"/>
  <c r="AJ143" i="4" s="1"/>
  <c r="AX234" i="5"/>
  <c r="AW234" i="5"/>
  <c r="AO107" i="4"/>
  <c r="CE89" i="4"/>
  <c r="AD89" i="4"/>
  <c r="AE89" i="4" s="1"/>
  <c r="CH89" i="4" s="1"/>
  <c r="AH89" i="4"/>
  <c r="AJ89" i="4" s="1"/>
  <c r="AX248" i="5"/>
  <c r="AW248" i="5"/>
  <c r="CE14" i="4"/>
  <c r="AH14" i="4"/>
  <c r="AJ14" i="4" s="1"/>
  <c r="AD14" i="4"/>
  <c r="AE14" i="4" s="1"/>
  <c r="CH14" i="4" s="1"/>
  <c r="CE153" i="4"/>
  <c r="AD153" i="4"/>
  <c r="AE153" i="4" s="1"/>
  <c r="CH153" i="4" s="1"/>
  <c r="AH153" i="4"/>
  <c r="AJ153" i="4" s="1"/>
  <c r="AO111" i="4"/>
  <c r="AO100" i="4"/>
  <c r="CE57" i="4"/>
  <c r="AH57" i="4"/>
  <c r="AJ57" i="4" s="1"/>
  <c r="AD57" i="4"/>
  <c r="AE57" i="4" s="1"/>
  <c r="CH57" i="4" s="1"/>
  <c r="AO93" i="4"/>
  <c r="AO21" i="4"/>
  <c r="AO63" i="4"/>
  <c r="AX160" i="5"/>
  <c r="AW160" i="5"/>
  <c r="AO148" i="4"/>
  <c r="AO11" i="4"/>
  <c r="AX433" i="5"/>
  <c r="AW433" i="5"/>
  <c r="AW79" i="5"/>
  <c r="AX79" i="5"/>
  <c r="AO26" i="4"/>
  <c r="AH137" i="4"/>
  <c r="AJ137" i="4" s="1"/>
  <c r="CE137" i="4"/>
  <c r="AD137" i="4"/>
  <c r="AE137" i="4" s="1"/>
  <c r="CH137" i="4" s="1"/>
  <c r="AO9" i="4"/>
  <c r="CE47" i="4"/>
  <c r="AD47" i="4"/>
  <c r="AE47" i="4" s="1"/>
  <c r="CH47" i="4" s="1"/>
  <c r="AH47" i="4"/>
  <c r="AJ47" i="4" s="1"/>
  <c r="CE18" i="4"/>
  <c r="AD18" i="4"/>
  <c r="AE18" i="4" s="1"/>
  <c r="CH18" i="4" s="1"/>
  <c r="AH18" i="4"/>
  <c r="AJ18" i="4" s="1"/>
  <c r="AO120" i="4"/>
  <c r="CE44" i="4"/>
  <c r="AD44" i="4"/>
  <c r="AE44" i="4" s="1"/>
  <c r="CH44" i="4" s="1"/>
  <c r="AH44" i="4"/>
  <c r="AJ44" i="4" s="1"/>
  <c r="AW53" i="5"/>
  <c r="AX53" i="5"/>
  <c r="AW434" i="5"/>
  <c r="AX434" i="5"/>
  <c r="AX400" i="5"/>
  <c r="AW400" i="5"/>
  <c r="CE72" i="4"/>
  <c r="AD72" i="4"/>
  <c r="AE72" i="4" s="1"/>
  <c r="CH72" i="4" s="1"/>
  <c r="AH72" i="4"/>
  <c r="AJ72" i="4" s="1"/>
  <c r="AW551" i="5"/>
  <c r="AX551" i="5"/>
  <c r="AO109" i="4"/>
  <c r="AW530" i="5"/>
  <c r="AX530" i="5"/>
  <c r="AX527" i="5"/>
  <c r="AW527" i="5"/>
  <c r="AD55" i="4"/>
  <c r="AE55" i="4" s="1"/>
  <c r="CH55" i="4" s="1"/>
  <c r="AH55" i="4"/>
  <c r="AJ55" i="4" s="1"/>
  <c r="CE55" i="4"/>
  <c r="CE139" i="4"/>
  <c r="AD139" i="4"/>
  <c r="AE139" i="4" s="1"/>
  <c r="CH139" i="4" s="1"/>
  <c r="AH139" i="4"/>
  <c r="AJ139" i="4" s="1"/>
  <c r="AW299" i="5"/>
  <c r="AX299" i="5"/>
  <c r="AX508" i="5"/>
  <c r="AW508" i="5"/>
  <c r="AX550" i="5"/>
  <c r="AW550" i="5"/>
  <c r="CE30" i="4"/>
  <c r="AD30" i="4"/>
  <c r="AE30" i="4" s="1"/>
  <c r="CH30" i="4" s="1"/>
  <c r="AH30" i="4"/>
  <c r="AJ30" i="4" s="1"/>
  <c r="AH118" i="4"/>
  <c r="AJ118" i="4" s="1"/>
  <c r="CE118" i="4"/>
  <c r="AD118" i="4"/>
  <c r="AE118" i="4" s="1"/>
  <c r="CH118" i="4" s="1"/>
  <c r="AX85" i="5"/>
  <c r="AW85" i="5"/>
  <c r="AO110" i="4"/>
  <c r="AD122" i="4"/>
  <c r="AE122" i="4" s="1"/>
  <c r="CH122" i="4" s="1"/>
  <c r="CE122" i="4"/>
  <c r="AH122" i="4"/>
  <c r="AJ122" i="4" s="1"/>
  <c r="AW362" i="5"/>
  <c r="AX362" i="5"/>
  <c r="AW471" i="5"/>
  <c r="AX471" i="5"/>
  <c r="AO48" i="4"/>
  <c r="AO154" i="4"/>
  <c r="AW91" i="5"/>
  <c r="AX91" i="5"/>
  <c r="AH27" i="4"/>
  <c r="AJ27" i="4" s="1"/>
  <c r="AD27" i="4"/>
  <c r="AE27" i="4" s="1"/>
  <c r="CH27" i="4" s="1"/>
  <c r="CE27" i="4"/>
  <c r="AX526" i="5"/>
  <c r="AW526" i="5"/>
  <c r="CE134" i="4"/>
  <c r="AH134" i="4"/>
  <c r="AD134" i="4"/>
  <c r="AE134" i="4" s="1"/>
  <c r="CH134" i="4" s="1"/>
  <c r="AO144" i="4"/>
  <c r="AO46" i="4"/>
  <c r="AO51" i="4"/>
  <c r="AO61" i="4"/>
  <c r="AO41" i="4"/>
  <c r="AX61" i="5"/>
  <c r="AW61" i="5"/>
  <c r="AX60" i="5"/>
  <c r="AW60" i="5"/>
  <c r="AH130" i="4"/>
  <c r="AJ130" i="4" s="1"/>
  <c r="CE130" i="4"/>
  <c r="AD130" i="4"/>
  <c r="AE130" i="4" s="1"/>
  <c r="CH130" i="4" s="1"/>
  <c r="AO38" i="4"/>
  <c r="AX384" i="5"/>
  <c r="AW384" i="5"/>
  <c r="AX435" i="5"/>
  <c r="AW435" i="5"/>
  <c r="AX98" i="5"/>
  <c r="AW98" i="5"/>
  <c r="AD64" i="4"/>
  <c r="AE64" i="4" s="1"/>
  <c r="CH64" i="4" s="1"/>
  <c r="AH64" i="4"/>
  <c r="AJ64" i="4" s="1"/>
  <c r="CE64" i="4"/>
  <c r="AO43" i="4"/>
  <c r="AX446" i="5"/>
  <c r="AW446" i="5"/>
  <c r="CE95" i="4"/>
  <c r="AD95" i="4"/>
  <c r="AE95" i="4" s="1"/>
  <c r="CH95" i="4" s="1"/>
  <c r="AH95" i="4"/>
  <c r="AJ95" i="4" s="1"/>
  <c r="CE61" i="4"/>
  <c r="AD61" i="4"/>
  <c r="AE61" i="4" s="1"/>
  <c r="CH61" i="4" s="1"/>
  <c r="AH61" i="4"/>
  <c r="AJ61" i="4" s="1"/>
  <c r="AX352" i="5"/>
  <c r="AW352" i="5"/>
  <c r="CE34" i="4"/>
  <c r="AH34" i="4"/>
  <c r="AJ34" i="4" s="1"/>
  <c r="AD34" i="4"/>
  <c r="AE34" i="4" s="1"/>
  <c r="CH34" i="4" s="1"/>
  <c r="AW536" i="5"/>
  <c r="AX536" i="5"/>
  <c r="AO153" i="4"/>
  <c r="AX409" i="5"/>
  <c r="AW409" i="5"/>
  <c r="AO74" i="4"/>
  <c r="AX200" i="5"/>
  <c r="AW200" i="5"/>
  <c r="CE16" i="4"/>
  <c r="AD16" i="4"/>
  <c r="AE16" i="4" s="1"/>
  <c r="CH16" i="4" s="1"/>
  <c r="AH16" i="4"/>
  <c r="AJ16" i="4" s="1"/>
  <c r="AH111" i="4"/>
  <c r="AJ111" i="4" s="1"/>
  <c r="CE111" i="4"/>
  <c r="AD111" i="4"/>
  <c r="AE111" i="4" s="1"/>
  <c r="CH111" i="4" s="1"/>
  <c r="AX163" i="5"/>
  <c r="AW163" i="5"/>
  <c r="AO130" i="4"/>
  <c r="AO78" i="4"/>
  <c r="AO91" i="4"/>
  <c r="AX274" i="5"/>
  <c r="AW274" i="5"/>
  <c r="AO124" i="4"/>
  <c r="AX195" i="5"/>
  <c r="AW195" i="5"/>
  <c r="AX267" i="5"/>
  <c r="AW267" i="5"/>
  <c r="AW503" i="5"/>
  <c r="AX503" i="5"/>
  <c r="AO29" i="4"/>
  <c r="AW278" i="5"/>
  <c r="AX278" i="5"/>
  <c r="AX104" i="5"/>
  <c r="AW104" i="5"/>
  <c r="AO77" i="4"/>
  <c r="AO44" i="4"/>
  <c r="AX339" i="5"/>
  <c r="AW51" i="5"/>
  <c r="AX51" i="5"/>
  <c r="AO19" i="4"/>
  <c r="AD50" i="4"/>
  <c r="AE50" i="4" s="1"/>
  <c r="CH50" i="4" s="1"/>
  <c r="CE50" i="4"/>
  <c r="AH50" i="4"/>
  <c r="AJ50" i="4" s="1"/>
  <c r="AW313" i="5"/>
  <c r="AX313" i="5"/>
  <c r="AO70" i="4"/>
  <c r="AW253" i="5"/>
  <c r="AX253" i="5"/>
  <c r="CE42" i="4"/>
  <c r="AH42" i="4"/>
  <c r="AJ42" i="4" s="1"/>
  <c r="AD42" i="4"/>
  <c r="AE42" i="4" s="1"/>
  <c r="CH42" i="4" s="1"/>
  <c r="AX251" i="5"/>
  <c r="AW251" i="5"/>
  <c r="AX155" i="5"/>
  <c r="AW155" i="5"/>
  <c r="AX66" i="5"/>
  <c r="AW66" i="5"/>
  <c r="AO122" i="4"/>
  <c r="AW49" i="5"/>
  <c r="AX49" i="5"/>
  <c r="AW453" i="5"/>
  <c r="AX453" i="5"/>
  <c r="AH48" i="4"/>
  <c r="AJ48" i="4" s="1"/>
  <c r="CE48" i="4"/>
  <c r="AD48" i="4"/>
  <c r="AE48" i="4" s="1"/>
  <c r="CH48" i="4" s="1"/>
  <c r="AX319" i="5"/>
  <c r="AW319" i="5"/>
  <c r="AH154" i="4"/>
  <c r="AJ154" i="4" s="1"/>
  <c r="AD154" i="4"/>
  <c r="AE154" i="4" s="1"/>
  <c r="CH154" i="4" s="1"/>
  <c r="CE154" i="4"/>
  <c r="AD31" i="4"/>
  <c r="AE31" i="4" s="1"/>
  <c r="CH31" i="4" s="1"/>
  <c r="CE31" i="4"/>
  <c r="AH31" i="4"/>
  <c r="AJ31" i="4" s="1"/>
  <c r="AX192" i="5"/>
  <c r="AW192" i="5"/>
  <c r="AO56" i="4"/>
  <c r="CE136" i="4"/>
  <c r="AD136" i="4"/>
  <c r="AE136" i="4" s="1"/>
  <c r="CH136" i="4" s="1"/>
  <c r="AH136" i="4"/>
  <c r="AO140" i="4"/>
  <c r="AO150" i="4"/>
  <c r="AX232" i="5"/>
  <c r="AW232" i="5"/>
  <c r="AW329" i="5"/>
  <c r="BA328" i="5" s="1"/>
  <c r="BB328" i="5" s="1"/>
  <c r="AX329" i="5"/>
  <c r="AO96" i="4"/>
  <c r="AX256" i="5"/>
  <c r="AW256" i="5"/>
  <c r="CE25" i="4"/>
  <c r="AH25" i="4"/>
  <c r="AJ25" i="4" s="1"/>
  <c r="AD25" i="4"/>
  <c r="AE25" i="4" s="1"/>
  <c r="CH25" i="4" s="1"/>
  <c r="CE93" i="4"/>
  <c r="AH93" i="4"/>
  <c r="AJ93" i="4" s="1"/>
  <c r="AD93" i="4"/>
  <c r="AE93" i="4" s="1"/>
  <c r="CH93" i="4" s="1"/>
  <c r="AO18" i="4"/>
  <c r="AX282" i="5"/>
  <c r="AW282" i="5"/>
  <c r="AW308" i="5"/>
  <c r="AX308" i="5"/>
  <c r="CE149" i="4"/>
  <c r="AD149" i="4"/>
  <c r="AE149" i="4" s="1"/>
  <c r="CH149" i="4" s="1"/>
  <c r="AH149" i="4"/>
  <c r="AJ149" i="4" s="1"/>
  <c r="AO88" i="4"/>
  <c r="AO132" i="4"/>
  <c r="AO114" i="4"/>
  <c r="AO98" i="4"/>
  <c r="AD82" i="4"/>
  <c r="AE82" i="4" s="1"/>
  <c r="CH82" i="4" s="1"/>
  <c r="CE82" i="4"/>
  <c r="AH82" i="4"/>
  <c r="AJ82" i="4" s="1"/>
  <c r="CE108" i="4"/>
  <c r="AH108" i="4"/>
  <c r="AJ108" i="4" s="1"/>
  <c r="AD108" i="4"/>
  <c r="AE108" i="4" s="1"/>
  <c r="CH108" i="4" s="1"/>
  <c r="AX408" i="5"/>
  <c r="AW408" i="5"/>
  <c r="AW206" i="5"/>
  <c r="AX206" i="5"/>
  <c r="AO152" i="4"/>
  <c r="AW451" i="5"/>
  <c r="AX451" i="5"/>
  <c r="AO28" i="4"/>
  <c r="AX134" i="5"/>
  <c r="AW134" i="5"/>
  <c r="AX375" i="5"/>
  <c r="AW375" i="5"/>
  <c r="CE115" i="4"/>
  <c r="AD115" i="4"/>
  <c r="AE115" i="4" s="1"/>
  <c r="CH115" i="4" s="1"/>
  <c r="AH115" i="4"/>
  <c r="AJ115" i="4" s="1"/>
  <c r="AO133" i="4"/>
  <c r="AW156" i="5"/>
  <c r="AX156" i="5"/>
  <c r="AD68" i="4"/>
  <c r="AE68" i="4" s="1"/>
  <c r="CH68" i="4" s="1"/>
  <c r="CE68" i="4"/>
  <c r="AH68" i="4"/>
  <c r="AJ68" i="4" s="1"/>
  <c r="AX393" i="5"/>
  <c r="AW393" i="5"/>
  <c r="AX332" i="5"/>
  <c r="AW332" i="5"/>
  <c r="AW360" i="5"/>
  <c r="AX360" i="5"/>
  <c r="BA477" i="5"/>
  <c r="BB477" i="5" s="1"/>
  <c r="AX427" i="5"/>
  <c r="AW427" i="5"/>
  <c r="AO15" i="4"/>
  <c r="AO89" i="4"/>
  <c r="AO80" i="4"/>
  <c r="AO101" i="4"/>
  <c r="AO62" i="4"/>
  <c r="CE36" i="4"/>
  <c r="AH36" i="4"/>
  <c r="AJ36" i="4" s="1"/>
  <c r="AD36" i="4"/>
  <c r="AE36" i="4" s="1"/>
  <c r="CH36" i="4" s="1"/>
  <c r="AW189" i="5"/>
  <c r="AX189" i="5"/>
  <c r="AO75" i="4"/>
  <c r="AO83" i="4"/>
  <c r="AO127" i="4"/>
  <c r="AO24" i="4"/>
  <c r="AO45" i="4"/>
  <c r="AW418" i="5"/>
  <c r="AX418" i="5"/>
  <c r="AO16" i="4"/>
  <c r="AW146" i="5"/>
  <c r="BA146" i="5" s="1"/>
  <c r="BB146" i="5" s="1"/>
  <c r="AX146" i="5"/>
  <c r="CE135" i="4"/>
  <c r="AH135" i="4"/>
  <c r="AJ135" i="4" s="1"/>
  <c r="AD135" i="4"/>
  <c r="AE135" i="4" s="1"/>
  <c r="CH135" i="4" s="1"/>
  <c r="AD32" i="4"/>
  <c r="AE32" i="4" s="1"/>
  <c r="CH32" i="4" s="1"/>
  <c r="CE32" i="4"/>
  <c r="AH32" i="4"/>
  <c r="AJ32" i="4" s="1"/>
  <c r="AO85" i="4"/>
  <c r="CE83" i="4"/>
  <c r="AD83" i="4"/>
  <c r="AE83" i="4" s="1"/>
  <c r="CH83" i="4" s="1"/>
  <c r="AH83" i="4"/>
  <c r="AJ83" i="4" s="1"/>
  <c r="CE38" i="4"/>
  <c r="AD38" i="4"/>
  <c r="AE38" i="4" s="1"/>
  <c r="CH38" i="4" s="1"/>
  <c r="AH38" i="4"/>
  <c r="AJ38" i="4" s="1"/>
  <c r="AO143" i="4"/>
  <c r="AO117" i="4"/>
  <c r="AX373" i="5"/>
  <c r="AW373" i="5"/>
  <c r="AO13" i="4"/>
  <c r="AO86" i="4"/>
  <c r="CE10" i="4"/>
  <c r="AD10" i="4"/>
  <c r="AE10" i="4" s="1"/>
  <c r="CH10" i="4" s="1"/>
  <c r="AH10" i="4"/>
  <c r="AJ10" i="4" s="1"/>
  <c r="CE87" i="4"/>
  <c r="AH87" i="4"/>
  <c r="AJ87" i="4" s="1"/>
  <c r="AD87" i="4"/>
  <c r="AE87" i="4" s="1"/>
  <c r="CH87" i="4" s="1"/>
  <c r="AX207" i="5"/>
  <c r="AW207" i="5"/>
  <c r="AX273" i="5"/>
  <c r="AW273" i="5"/>
  <c r="AO12" i="4"/>
  <c r="AD88" i="4"/>
  <c r="AE88" i="4" s="1"/>
  <c r="CH88" i="4" s="1"/>
  <c r="CE88" i="4"/>
  <c r="AH88" i="4"/>
  <c r="AJ88" i="4" s="1"/>
  <c r="CE145" i="4"/>
  <c r="AD145" i="4"/>
  <c r="AE145" i="4" s="1"/>
  <c r="CH145" i="4" s="1"/>
  <c r="AH145" i="4"/>
  <c r="AJ145" i="4" s="1"/>
  <c r="AX20" i="5"/>
  <c r="AW20" i="5"/>
  <c r="AX557" i="5"/>
  <c r="AW557" i="5"/>
  <c r="CE114" i="4"/>
  <c r="AH114" i="4"/>
  <c r="AJ114" i="4" s="1"/>
  <c r="AD114" i="4"/>
  <c r="AE114" i="4" s="1"/>
  <c r="CH114" i="4" s="1"/>
  <c r="CE98" i="4"/>
  <c r="AD98" i="4"/>
  <c r="AE98" i="4" s="1"/>
  <c r="CH98" i="4" s="1"/>
  <c r="AH98" i="4"/>
  <c r="AJ98" i="4" s="1"/>
  <c r="AO82" i="4"/>
  <c r="AW330" i="5"/>
  <c r="AX330" i="5"/>
  <c r="AO108" i="4"/>
  <c r="AO55" i="4"/>
  <c r="AW180" i="5"/>
  <c r="AX180" i="5"/>
  <c r="AX366" i="5"/>
  <c r="AW366" i="5"/>
  <c r="AO30" i="4"/>
  <c r="AD20" i="4"/>
  <c r="AE20" i="4" s="1"/>
  <c r="CH20" i="4" s="1"/>
  <c r="CE20" i="4"/>
  <c r="AH20" i="4"/>
  <c r="AJ20" i="4" s="1"/>
  <c r="AD147" i="4"/>
  <c r="AE147" i="4" s="1"/>
  <c r="CH147" i="4" s="1"/>
  <c r="AH147" i="4"/>
  <c r="AJ147" i="4" s="1"/>
  <c r="CE147" i="4"/>
  <c r="CE110" i="4"/>
  <c r="AH110" i="4"/>
  <c r="AJ110" i="4" s="1"/>
  <c r="AD110" i="4"/>
  <c r="AE110" i="4" s="1"/>
  <c r="CH110" i="4" s="1"/>
  <c r="AO35" i="4"/>
  <c r="AX318" i="5"/>
  <c r="AW318" i="5"/>
  <c r="AO40" i="4"/>
  <c r="AX173" i="5"/>
  <c r="AW173" i="5"/>
  <c r="AH39" i="4"/>
  <c r="AJ39" i="4" s="1"/>
  <c r="CE39" i="4"/>
  <c r="AD39" i="4"/>
  <c r="AE39" i="4" s="1"/>
  <c r="CH39" i="4" s="1"/>
  <c r="CE152" i="4"/>
  <c r="AD152" i="4"/>
  <c r="AE152" i="4" s="1"/>
  <c r="CH152" i="4" s="1"/>
  <c r="AH152" i="4"/>
  <c r="AJ152" i="4" s="1"/>
  <c r="AW392" i="5"/>
  <c r="AX392" i="5"/>
  <c r="AX21" i="5"/>
  <c r="AW21" i="5"/>
  <c r="AD90" i="4"/>
  <c r="AE90" i="4" s="1"/>
  <c r="CH90" i="4" s="1"/>
  <c r="AH90" i="4"/>
  <c r="AJ90" i="4" s="1"/>
  <c r="CE90" i="4"/>
  <c r="CE71" i="4"/>
  <c r="AD71" i="4"/>
  <c r="AE71" i="4" s="1"/>
  <c r="CH71" i="4" s="1"/>
  <c r="AH71" i="4"/>
  <c r="AJ71" i="4" s="1"/>
  <c r="AH52" i="4"/>
  <c r="AJ52" i="4" s="1"/>
  <c r="CE52" i="4"/>
  <c r="AD52" i="4"/>
  <c r="AE52" i="4" s="1"/>
  <c r="CH52" i="4" s="1"/>
  <c r="AW488" i="5"/>
  <c r="AX488" i="5"/>
  <c r="AX389" i="5"/>
  <c r="AW389" i="5"/>
  <c r="AX215" i="5"/>
  <c r="AW215" i="5"/>
  <c r="AO68" i="4"/>
  <c r="AX538" i="5"/>
  <c r="AW538" i="5"/>
  <c r="AO49" i="4"/>
  <c r="AH112" i="4"/>
  <c r="AJ112" i="4" s="1"/>
  <c r="AD112" i="4"/>
  <c r="AE112" i="4" s="1"/>
  <c r="CH112" i="4" s="1"/>
  <c r="CE112" i="4"/>
  <c r="AW396" i="5"/>
  <c r="AX396" i="5"/>
  <c r="AO31" i="4"/>
  <c r="CE69" i="4"/>
  <c r="AH69" i="4"/>
  <c r="AJ69" i="4" s="1"/>
  <c r="AD69" i="4"/>
  <c r="AE69" i="4" s="1"/>
  <c r="CH69" i="4" s="1"/>
  <c r="CE51" i="4"/>
  <c r="AH51" i="4"/>
  <c r="AJ51" i="4" s="1"/>
  <c r="AD51" i="4"/>
  <c r="AE51" i="4" s="1"/>
  <c r="CH51" i="4" s="1"/>
  <c r="CE80" i="4"/>
  <c r="AH80" i="4"/>
  <c r="AJ80" i="4" s="1"/>
  <c r="AD80" i="4"/>
  <c r="AE80" i="4" s="1"/>
  <c r="CH80" i="4" s="1"/>
  <c r="AO119" i="4"/>
  <c r="AO95" i="4"/>
  <c r="AW447" i="5"/>
  <c r="AX447" i="5"/>
  <c r="CE62" i="4"/>
  <c r="AD62" i="4"/>
  <c r="AE62" i="4" s="1"/>
  <c r="CH62" i="4" s="1"/>
  <c r="AH62" i="4"/>
  <c r="AJ62" i="4" s="1"/>
  <c r="AO14" i="4"/>
  <c r="AO79" i="4"/>
  <c r="AW258" i="5"/>
  <c r="AX258" i="5"/>
  <c r="AX428" i="5"/>
  <c r="AW428" i="5"/>
  <c r="AO39" i="4"/>
  <c r="CE74" i="4"/>
  <c r="AH74" i="4"/>
  <c r="AJ74" i="4" s="1"/>
  <c r="AD74" i="4"/>
  <c r="AE74" i="4" s="1"/>
  <c r="CH74" i="4" s="1"/>
  <c r="AO57" i="4"/>
  <c r="CE76" i="4"/>
  <c r="AH76" i="4"/>
  <c r="AJ76" i="4" s="1"/>
  <c r="AD76" i="4"/>
  <c r="AE76" i="4" s="1"/>
  <c r="CH76" i="4" s="1"/>
  <c r="CE148" i="4"/>
  <c r="AH148" i="4"/>
  <c r="AJ148" i="4" s="1"/>
  <c r="AD148" i="4"/>
  <c r="AE148" i="4" s="1"/>
  <c r="CH148" i="4" s="1"/>
  <c r="CE91" i="4"/>
  <c r="AH91" i="4"/>
  <c r="AJ91" i="4" s="1"/>
  <c r="AD91" i="4"/>
  <c r="AE91" i="4" s="1"/>
  <c r="CH91" i="4" s="1"/>
  <c r="AW143" i="5"/>
  <c r="AX143" i="5"/>
  <c r="AO34" i="4"/>
  <c r="AW385" i="5"/>
  <c r="AX385" i="5"/>
  <c r="AW512" i="5"/>
  <c r="BA511" i="5" s="1"/>
  <c r="BB511" i="5" s="1"/>
  <c r="AX512" i="5"/>
  <c r="AO142" i="4"/>
  <c r="AW162" i="5"/>
  <c r="AX162" i="5"/>
  <c r="AO135" i="4"/>
  <c r="AO25" i="4"/>
  <c r="AH78" i="4"/>
  <c r="AJ78" i="4" s="1"/>
  <c r="CE78" i="4"/>
  <c r="AD78" i="4"/>
  <c r="AE78" i="4" s="1"/>
  <c r="CH78" i="4" s="1"/>
  <c r="CE17" i="4"/>
  <c r="AD17" i="4"/>
  <c r="AE17" i="4" s="1"/>
  <c r="CH17" i="4" s="1"/>
  <c r="AH17" i="4"/>
  <c r="AJ17" i="4" s="1"/>
  <c r="AX327" i="5"/>
  <c r="AW327" i="5"/>
  <c r="BA327" i="5" s="1"/>
  <c r="BB327" i="5" s="1"/>
  <c r="AX454" i="5"/>
  <c r="AW454" i="5"/>
  <c r="AW133" i="5"/>
  <c r="AX133" i="5"/>
  <c r="CE81" i="4"/>
  <c r="AD81" i="4"/>
  <c r="AE81" i="4" s="1"/>
  <c r="CH81" i="4" s="1"/>
  <c r="AH81" i="4"/>
  <c r="AJ81" i="4" s="1"/>
  <c r="AW95" i="5"/>
  <c r="AX95" i="5"/>
  <c r="CE84" i="4"/>
  <c r="AH84" i="4"/>
  <c r="AJ84" i="4" s="1"/>
  <c r="AD84" i="4"/>
  <c r="AE84" i="4" s="1"/>
  <c r="CH84" i="4" s="1"/>
  <c r="CE120" i="4"/>
  <c r="AH120" i="4"/>
  <c r="AJ120" i="4" s="1"/>
  <c r="AD120" i="4"/>
  <c r="AE120" i="4" s="1"/>
  <c r="CH120" i="4" s="1"/>
  <c r="AO10" i="4"/>
  <c r="AH157" i="4"/>
  <c r="AJ157" i="4" s="1"/>
  <c r="CE157" i="4"/>
  <c r="AD157" i="4"/>
  <c r="AE157" i="4" s="1"/>
  <c r="CH157" i="4" s="1"/>
  <c r="AO149" i="4"/>
  <c r="CE12" i="4"/>
  <c r="AH12" i="4"/>
  <c r="AJ12" i="4" s="1"/>
  <c r="AD12" i="4"/>
  <c r="AE12" i="4" s="1"/>
  <c r="CH12" i="4" s="1"/>
  <c r="AO60" i="4"/>
  <c r="AO116" i="4"/>
  <c r="AO72" i="4"/>
  <c r="AX325" i="5"/>
  <c r="AW325" i="5"/>
  <c r="AX41" i="5"/>
  <c r="AW41" i="5"/>
  <c r="CE109" i="4"/>
  <c r="AH109" i="4"/>
  <c r="AJ109" i="4" s="1"/>
  <c r="AD109" i="4"/>
  <c r="AE109" i="4" s="1"/>
  <c r="CH109" i="4" s="1"/>
  <c r="AX82" i="5"/>
  <c r="AW82" i="5"/>
  <c r="AO139" i="4"/>
  <c r="AX152" i="5"/>
  <c r="AW152" i="5"/>
  <c r="AO37" i="4"/>
  <c r="AW235" i="5"/>
  <c r="AX235" i="5"/>
  <c r="AO20" i="4"/>
  <c r="AH97" i="4"/>
  <c r="AJ97" i="4" s="1"/>
  <c r="CE97" i="4"/>
  <c r="AD97" i="4"/>
  <c r="AE97" i="4" s="1"/>
  <c r="CH97" i="4" s="1"/>
  <c r="CE35" i="4"/>
  <c r="AD35" i="4"/>
  <c r="AE35" i="4" s="1"/>
  <c r="CH35" i="4" s="1"/>
  <c r="AH35" i="4"/>
  <c r="AJ35" i="4" s="1"/>
  <c r="CE99" i="4"/>
  <c r="AH99" i="4"/>
  <c r="AJ99" i="4" s="1"/>
  <c r="AD99" i="4"/>
  <c r="AE99" i="4" s="1"/>
  <c r="CH99" i="4" s="1"/>
  <c r="CE40" i="4"/>
  <c r="AH40" i="4"/>
  <c r="AJ40" i="4" s="1"/>
  <c r="AD40" i="4"/>
  <c r="AE40" i="4" s="1"/>
  <c r="CH40" i="4" s="1"/>
  <c r="AX365" i="5"/>
  <c r="AW365" i="5"/>
  <c r="CE33" i="4"/>
  <c r="AH33" i="4"/>
  <c r="AJ33" i="4" s="1"/>
  <c r="AD33" i="4"/>
  <c r="AE33" i="4" s="1"/>
  <c r="CH33" i="4" s="1"/>
  <c r="CE28" i="4"/>
  <c r="AD28" i="4"/>
  <c r="AE28" i="4" s="1"/>
  <c r="CH28" i="4" s="1"/>
  <c r="AH28" i="4"/>
  <c r="AJ28" i="4" s="1"/>
  <c r="AO8" i="4"/>
  <c r="AO71" i="4"/>
  <c r="AX141" i="5"/>
  <c r="AW141" i="5"/>
  <c r="AX144" i="5"/>
  <c r="AW144" i="5"/>
  <c r="CE133" i="4"/>
  <c r="AH133" i="4"/>
  <c r="AJ133" i="4" s="1"/>
  <c r="AD133" i="4"/>
  <c r="AE133" i="4" s="1"/>
  <c r="CH133" i="4" s="1"/>
  <c r="AX305" i="5"/>
  <c r="AW305" i="5"/>
  <c r="CE103" i="4"/>
  <c r="AH103" i="4"/>
  <c r="AJ103" i="4" s="1"/>
  <c r="AD103" i="4"/>
  <c r="AE103" i="4" s="1"/>
  <c r="CH103" i="4" s="1"/>
  <c r="CE43" i="4"/>
  <c r="AD43" i="4"/>
  <c r="AE43" i="4" s="1"/>
  <c r="CH43" i="4" s="1"/>
  <c r="AH43" i="4"/>
  <c r="AJ43" i="4" s="1"/>
  <c r="AO92" i="4"/>
  <c r="AD49" i="4"/>
  <c r="AE49" i="4" s="1"/>
  <c r="CH49" i="4" s="1"/>
  <c r="AH49" i="4"/>
  <c r="AJ49" i="4" s="1"/>
  <c r="CE49" i="4"/>
  <c r="AO112" i="4"/>
  <c r="CE128" i="4"/>
  <c r="AD128" i="4"/>
  <c r="AE128" i="4" s="1"/>
  <c r="CH128" i="4" s="1"/>
  <c r="AH128" i="4"/>
  <c r="AJ128" i="4" s="1"/>
  <c r="AH15" i="4"/>
  <c r="AJ15" i="4" s="1"/>
  <c r="CE15" i="4"/>
  <c r="AD15" i="4"/>
  <c r="AE15" i="4" s="1"/>
  <c r="CH15" i="4" s="1"/>
  <c r="AO69" i="4"/>
  <c r="CE119" i="4"/>
  <c r="AD119" i="4"/>
  <c r="AE119" i="4" s="1"/>
  <c r="CH119" i="4" s="1"/>
  <c r="AH119" i="4"/>
  <c r="AJ119" i="4" s="1"/>
  <c r="AX185" i="5"/>
  <c r="AW185" i="5"/>
  <c r="AW462" i="5"/>
  <c r="AX462" i="5"/>
  <c r="AX442" i="5"/>
  <c r="AW442" i="5"/>
  <c r="BA441" i="5" s="1"/>
  <c r="BB441" i="5" s="1"/>
  <c r="AH41" i="4"/>
  <c r="AJ41" i="4" s="1"/>
  <c r="AD41" i="4"/>
  <c r="AE41" i="4" s="1"/>
  <c r="CH41" i="4" s="1"/>
  <c r="CE41" i="4"/>
  <c r="CE102" i="4"/>
  <c r="AD102" i="4"/>
  <c r="AE102" i="4" s="1"/>
  <c r="CH102" i="4" s="1"/>
  <c r="AH102" i="4"/>
  <c r="AJ102" i="4" s="1"/>
  <c r="AO36" i="4"/>
  <c r="AX202" i="5"/>
  <c r="AW202" i="5"/>
  <c r="AD75" i="4"/>
  <c r="AE75" i="4" s="1"/>
  <c r="CH75" i="4" s="1"/>
  <c r="CE75" i="4"/>
  <c r="AH75" i="4"/>
  <c r="AJ75" i="4" s="1"/>
  <c r="AX167" i="5"/>
  <c r="AW167" i="5"/>
  <c r="AD26" i="4"/>
  <c r="AE26" i="4" s="1"/>
  <c r="CH26" i="4" s="1"/>
  <c r="CE26" i="4"/>
  <c r="AH26" i="4"/>
  <c r="AJ26" i="4" s="1"/>
  <c r="AO138" i="4"/>
  <c r="AD86" i="4"/>
  <c r="AE86" i="4" s="1"/>
  <c r="CH86" i="4" s="1"/>
  <c r="CE86" i="4"/>
  <c r="AH86" i="4"/>
  <c r="AJ86" i="4" s="1"/>
  <c r="CE19" i="4"/>
  <c r="AD19" i="4"/>
  <c r="AE19" i="4" s="1"/>
  <c r="CH19" i="4" s="1"/>
  <c r="AH19" i="4"/>
  <c r="AJ19" i="4" s="1"/>
  <c r="AH8" i="4"/>
  <c r="AJ8" i="4" s="1"/>
  <c r="AD8" i="4"/>
  <c r="AE8" i="4" s="1"/>
  <c r="CH8" i="4" s="1"/>
  <c r="CE8" i="4"/>
  <c r="AD105" i="4"/>
  <c r="AE105" i="4" s="1"/>
  <c r="CH105" i="4" s="1"/>
  <c r="CE105" i="4"/>
  <c r="AH105" i="4"/>
  <c r="AJ105" i="4" s="1"/>
  <c r="CE100" i="4"/>
  <c r="AD100" i="4"/>
  <c r="AE100" i="4" s="1"/>
  <c r="CH100" i="4" s="1"/>
  <c r="AH100" i="4"/>
  <c r="AJ100" i="4" s="1"/>
  <c r="AO106" i="4"/>
  <c r="AO105" i="4"/>
  <c r="AO67" i="4"/>
  <c r="AX413" i="5"/>
  <c r="AW413" i="5"/>
  <c r="AO76" i="4"/>
  <c r="AO32" i="4"/>
  <c r="CE85" i="4"/>
  <c r="AD85" i="4"/>
  <c r="AE85" i="4" s="1"/>
  <c r="CH85" i="4" s="1"/>
  <c r="AH85" i="4"/>
  <c r="AJ85" i="4" s="1"/>
  <c r="CE11" i="4"/>
  <c r="AH11" i="4"/>
  <c r="AJ11" i="4" s="1"/>
  <c r="AD11" i="4"/>
  <c r="AE11" i="4" s="1"/>
  <c r="CH11" i="4" s="1"/>
  <c r="AX448" i="5"/>
  <c r="AW448" i="5"/>
  <c r="AO17" i="4"/>
  <c r="AW132" i="5"/>
  <c r="AX132" i="5"/>
  <c r="AO137" i="4"/>
  <c r="AO81" i="4"/>
  <c r="CE9" i="4"/>
  <c r="AH9" i="4"/>
  <c r="AJ9" i="4" s="1"/>
  <c r="AD9" i="4"/>
  <c r="AE9" i="4" s="1"/>
  <c r="CH9" i="4" s="1"/>
  <c r="CE53" i="4"/>
  <c r="AD53" i="4"/>
  <c r="AE53" i="4" s="1"/>
  <c r="CH53" i="4" s="1"/>
  <c r="AH53" i="4"/>
  <c r="AJ53" i="4" s="1"/>
  <c r="CE58" i="4"/>
  <c r="AH58" i="4"/>
  <c r="AJ58" i="4" s="1"/>
  <c r="AD58" i="4"/>
  <c r="AE58" i="4" s="1"/>
  <c r="CH58" i="4" s="1"/>
  <c r="AO84" i="4"/>
  <c r="CE127" i="4"/>
  <c r="AD127" i="4"/>
  <c r="AE127" i="4" s="1"/>
  <c r="CH127" i="4" s="1"/>
  <c r="AH127" i="4"/>
  <c r="AJ127" i="4" s="1"/>
  <c r="AW214" i="5"/>
  <c r="AX214" i="5"/>
  <c r="CE13" i="4"/>
  <c r="AH13" i="4"/>
  <c r="AJ13" i="4" s="1"/>
  <c r="AD13" i="4"/>
  <c r="AE13" i="4" s="1"/>
  <c r="CH13" i="4" s="1"/>
  <c r="AX529" i="5"/>
  <c r="AW529" i="5"/>
  <c r="CE77" i="4"/>
  <c r="AD77" i="4"/>
  <c r="AE77" i="4" s="1"/>
  <c r="CH77" i="4" s="1"/>
  <c r="AH77" i="4"/>
  <c r="AJ77" i="4" s="1"/>
  <c r="AO87" i="4"/>
  <c r="AO73" i="4"/>
  <c r="AO157" i="4"/>
  <c r="CE60" i="4"/>
  <c r="AD60" i="4"/>
  <c r="AE60" i="4" s="1"/>
  <c r="CH60" i="4" s="1"/>
  <c r="AH60" i="4"/>
  <c r="AJ60" i="4" s="1"/>
  <c r="AD116" i="4"/>
  <c r="AE116" i="4" s="1"/>
  <c r="CH116" i="4" s="1"/>
  <c r="CE116" i="4"/>
  <c r="AH116" i="4"/>
  <c r="AJ116" i="4" s="1"/>
  <c r="AO54" i="4"/>
  <c r="CE94" i="4"/>
  <c r="AD94" i="4"/>
  <c r="AE94" i="4" s="1"/>
  <c r="CH94" i="4" s="1"/>
  <c r="AH94" i="4"/>
  <c r="AJ94" i="4" s="1"/>
  <c r="CE37" i="4"/>
  <c r="AH37" i="4"/>
  <c r="AJ37" i="4" s="1"/>
  <c r="AD37" i="4"/>
  <c r="AE37" i="4" s="1"/>
  <c r="CH37" i="4" s="1"/>
  <c r="AX460" i="5"/>
  <c r="AW460" i="5"/>
  <c r="AO147" i="4"/>
  <c r="AO97" i="4"/>
  <c r="AX109" i="5"/>
  <c r="AW109" i="5"/>
  <c r="AO99" i="4"/>
  <c r="AO59" i="4"/>
  <c r="CE96" i="4"/>
  <c r="AD96" i="4"/>
  <c r="AE96" i="4" s="1"/>
  <c r="CH96" i="4" s="1"/>
  <c r="AH96" i="4"/>
  <c r="AJ96" i="4" s="1"/>
  <c r="AO33" i="4"/>
  <c r="AW520" i="5"/>
  <c r="AX520" i="5"/>
  <c r="AW209" i="5"/>
  <c r="AX209" i="5"/>
  <c r="AO52" i="4"/>
  <c r="AW316" i="5"/>
  <c r="AX316" i="5"/>
  <c r="AW390" i="5"/>
  <c r="AX390" i="5"/>
  <c r="AW283" i="5"/>
  <c r="AX283" i="5"/>
  <c r="AW320" i="5"/>
  <c r="AX320" i="5"/>
  <c r="CE22" i="4"/>
  <c r="AD22" i="4"/>
  <c r="AE22" i="4" s="1"/>
  <c r="CH22" i="4" s="1"/>
  <c r="AH22" i="4"/>
  <c r="AJ22" i="4" s="1"/>
  <c r="AX353" i="5"/>
  <c r="AW353" i="5"/>
  <c r="AO103" i="4"/>
  <c r="AO66" i="4"/>
  <c r="CE92" i="4"/>
  <c r="AD92" i="4"/>
  <c r="AE92" i="4" s="1"/>
  <c r="CH92" i="4" s="1"/>
  <c r="AH92" i="4"/>
  <c r="AJ92" i="4" s="1"/>
  <c r="AX178" i="5"/>
  <c r="AW178" i="5"/>
  <c r="CE144" i="4"/>
  <c r="AH144" i="4"/>
  <c r="AJ144" i="4" s="1"/>
  <c r="AD144" i="4"/>
  <c r="AE144" i="4" s="1"/>
  <c r="CH144" i="4" s="1"/>
  <c r="CE46" i="4"/>
  <c r="AD46" i="4"/>
  <c r="AE46" i="4" s="1"/>
  <c r="CH46" i="4" s="1"/>
  <c r="AH46" i="4"/>
  <c r="AJ46" i="4" s="1"/>
  <c r="AW43" i="5"/>
  <c r="AX43" i="5"/>
  <c r="AD56" i="4"/>
  <c r="AE56" i="4" s="1"/>
  <c r="CH56" i="4" s="1"/>
  <c r="CE56" i="4"/>
  <c r="AH56" i="4"/>
  <c r="AJ56" i="4" s="1"/>
  <c r="CE101" i="4"/>
  <c r="AH101" i="4"/>
  <c r="AJ101" i="4" s="1"/>
  <c r="AD101" i="4"/>
  <c r="AE101" i="4" s="1"/>
  <c r="CH101" i="4" s="1"/>
  <c r="AX450" i="5"/>
  <c r="AW450" i="5"/>
  <c r="AX13" i="5"/>
  <c r="AW13" i="5"/>
  <c r="AO102" i="4"/>
  <c r="AD142" i="4"/>
  <c r="AE142" i="4" s="1"/>
  <c r="CH142" i="4" s="1"/>
  <c r="AH142" i="4"/>
  <c r="AJ142" i="4" s="1"/>
  <c r="CE142" i="4"/>
  <c r="AD21" i="4"/>
  <c r="AE21" i="4" s="1"/>
  <c r="CH21" i="4" s="1"/>
  <c r="CE21" i="4"/>
  <c r="AH21" i="4"/>
  <c r="AJ21" i="4" s="1"/>
  <c r="AO53" i="4"/>
  <c r="AD104" i="4"/>
  <c r="AE104" i="4" s="1"/>
  <c r="CH104" i="4" s="1"/>
  <c r="CE104" i="4"/>
  <c r="AH104" i="4"/>
  <c r="AJ104" i="4" s="1"/>
  <c r="AO23" i="4"/>
  <c r="AO125" i="4"/>
  <c r="CE140" i="4"/>
  <c r="AD140" i="4"/>
  <c r="AE140" i="4" s="1"/>
  <c r="CH140" i="4" s="1"/>
  <c r="AH140" i="4"/>
  <c r="AJ140" i="4" s="1"/>
  <c r="AW490" i="5"/>
  <c r="AX490" i="5"/>
  <c r="AW386" i="5"/>
  <c r="AX386" i="5"/>
  <c r="AH67" i="4"/>
  <c r="AJ67" i="4" s="1"/>
  <c r="AD67" i="4"/>
  <c r="AE67" i="4" s="1"/>
  <c r="CH67" i="4" s="1"/>
  <c r="CE67" i="4"/>
  <c r="CE150" i="4"/>
  <c r="AD150" i="4"/>
  <c r="AE150" i="4" s="1"/>
  <c r="CH150" i="4" s="1"/>
  <c r="AH150" i="4"/>
  <c r="AJ150" i="4" s="1"/>
  <c r="AX290" i="5"/>
  <c r="AW290" i="5"/>
  <c r="CE63" i="4"/>
  <c r="AD63" i="4"/>
  <c r="AE63" i="4" s="1"/>
  <c r="CH63" i="4" s="1"/>
  <c r="AH63" i="4"/>
  <c r="AJ63" i="4" s="1"/>
  <c r="AX480" i="5"/>
  <c r="AW480" i="5"/>
  <c r="CE124" i="4"/>
  <c r="AD124" i="4"/>
  <c r="AE124" i="4" s="1"/>
  <c r="CH124" i="4" s="1"/>
  <c r="AH124" i="4"/>
  <c r="AJ124" i="4" s="1"/>
  <c r="AH106" i="4"/>
  <c r="AJ106" i="4" s="1"/>
  <c r="CE106" i="4"/>
  <c r="AD106" i="4"/>
  <c r="AE106" i="4" s="1"/>
  <c r="CH106" i="4" s="1"/>
  <c r="AW100" i="5"/>
  <c r="AX100" i="5"/>
  <c r="CE65" i="4"/>
  <c r="AD65" i="4"/>
  <c r="AE65" i="4" s="1"/>
  <c r="CH65" i="4" s="1"/>
  <c r="AH65" i="4"/>
  <c r="AJ65" i="4" s="1"/>
  <c r="CE138" i="4"/>
  <c r="AD138" i="4"/>
  <c r="AE138" i="4" s="1"/>
  <c r="CH138" i="4" s="1"/>
  <c r="AH138" i="4"/>
  <c r="AJ138" i="4" s="1"/>
  <c r="AO47" i="4"/>
  <c r="AO58" i="4"/>
  <c r="CE117" i="4"/>
  <c r="AD117" i="4"/>
  <c r="AE117" i="4" s="1"/>
  <c r="CH117" i="4" s="1"/>
  <c r="AH117" i="4"/>
  <c r="AJ117" i="4" s="1"/>
  <c r="AX227" i="5"/>
  <c r="AW227" i="5"/>
  <c r="CE29" i="4"/>
  <c r="AH29" i="4"/>
  <c r="AJ29" i="4" s="1"/>
  <c r="AD29" i="4"/>
  <c r="AE29" i="4" s="1"/>
  <c r="CH29" i="4" s="1"/>
  <c r="AX136" i="5"/>
  <c r="AW136" i="5"/>
  <c r="AO104" i="4"/>
  <c r="AX157" i="5"/>
  <c r="AW157" i="5"/>
  <c r="AW113" i="5"/>
  <c r="AX113" i="5"/>
  <c r="CE73" i="4"/>
  <c r="AD73" i="4"/>
  <c r="AE73" i="4" s="1"/>
  <c r="CH73" i="4" s="1"/>
  <c r="AH73" i="4"/>
  <c r="AJ73" i="4" s="1"/>
  <c r="AW216" i="5"/>
  <c r="AX216" i="5"/>
  <c r="CE79" i="4"/>
  <c r="AH79" i="4"/>
  <c r="AJ79" i="4" s="1"/>
  <c r="AD79" i="4"/>
  <c r="AE79" i="4" s="1"/>
  <c r="CH79" i="4" s="1"/>
  <c r="AX286" i="5"/>
  <c r="AW286" i="5"/>
  <c r="AO145" i="4"/>
  <c r="AW445" i="5"/>
  <c r="AX445" i="5"/>
  <c r="CE132" i="4"/>
  <c r="AD132" i="4"/>
  <c r="AE132" i="4" s="1"/>
  <c r="CH132" i="4" s="1"/>
  <c r="AH132" i="4"/>
  <c r="AJ132" i="4" s="1"/>
  <c r="AH24" i="4"/>
  <c r="AJ24" i="4" s="1"/>
  <c r="CE24" i="4"/>
  <c r="AD24" i="4"/>
  <c r="AE24" i="4" s="1"/>
  <c r="CH24" i="4" s="1"/>
  <c r="AO50" i="4"/>
  <c r="CE45" i="4"/>
  <c r="AH45" i="4"/>
  <c r="AJ45" i="4" s="1"/>
  <c r="AD45" i="4"/>
  <c r="AE45" i="4" s="1"/>
  <c r="CH45" i="4" s="1"/>
  <c r="CE54" i="4"/>
  <c r="AD54" i="4"/>
  <c r="AE54" i="4" s="1"/>
  <c r="CH54" i="4" s="1"/>
  <c r="AH54" i="4"/>
  <c r="AJ54" i="4" s="1"/>
  <c r="CE23" i="4"/>
  <c r="AD23" i="4"/>
  <c r="AE23" i="4" s="1"/>
  <c r="CH23" i="4" s="1"/>
  <c r="AH23" i="4"/>
  <c r="AJ23" i="4" s="1"/>
  <c r="CE70" i="4"/>
  <c r="AD70" i="4"/>
  <c r="AE70" i="4" s="1"/>
  <c r="CH70" i="4" s="1"/>
  <c r="AH70" i="4"/>
  <c r="AJ70" i="4" s="1"/>
  <c r="AW81" i="5"/>
  <c r="AX81" i="5"/>
  <c r="AO42" i="4"/>
  <c r="AO94" i="4"/>
  <c r="AO118" i="4"/>
  <c r="AW118" i="5"/>
  <c r="AX118" i="5"/>
  <c r="CE59" i="4"/>
  <c r="AH59" i="4"/>
  <c r="AJ59" i="4" s="1"/>
  <c r="AD59" i="4"/>
  <c r="AE59" i="4" s="1"/>
  <c r="CH59" i="4" s="1"/>
  <c r="AX381" i="5"/>
  <c r="AW381" i="5"/>
  <c r="AO90" i="4"/>
  <c r="CE125" i="4"/>
  <c r="AD125" i="4"/>
  <c r="AE125" i="4" s="1"/>
  <c r="CH125" i="4" s="1"/>
  <c r="AH125" i="4"/>
  <c r="AJ125" i="4" s="1"/>
  <c r="AW399" i="5"/>
  <c r="AX399" i="5"/>
  <c r="AO64" i="4"/>
  <c r="AO22" i="4"/>
  <c r="CE107" i="4"/>
  <c r="AH107" i="4"/>
  <c r="AJ107" i="4" s="1"/>
  <c r="AD107" i="4"/>
  <c r="AE107" i="4" s="1"/>
  <c r="CH107" i="4" s="1"/>
  <c r="AO27" i="4"/>
  <c r="AO115" i="4"/>
  <c r="CE66" i="4"/>
  <c r="AH66" i="4"/>
  <c r="AJ66" i="4" s="1"/>
  <c r="AD66" i="4"/>
  <c r="AE66" i="4" s="1"/>
  <c r="CH66" i="4" s="1"/>
  <c r="AX311" i="5"/>
  <c r="AW311" i="5"/>
  <c r="AO128" i="4"/>
  <c r="AW444" i="5"/>
  <c r="AX444" i="5"/>
  <c r="AX126" i="5"/>
  <c r="AW126" i="5"/>
  <c r="AW62" i="5"/>
  <c r="AX62" i="5"/>
  <c r="AX357" i="5"/>
  <c r="AW357" i="5"/>
  <c r="AX183" i="5"/>
  <c r="AW183" i="5"/>
  <c r="AW412" i="5"/>
  <c r="AX412" i="5"/>
  <c r="AX188" i="5" l="1"/>
  <c r="AX83" i="5"/>
  <c r="AW421" i="5"/>
  <c r="AW406" i="5"/>
  <c r="BA406" i="5" s="1"/>
  <c r="BB406" i="5" s="1"/>
  <c r="AX430" i="5"/>
  <c r="AX127" i="13"/>
  <c r="AW100" i="13"/>
  <c r="AX555" i="5"/>
  <c r="AW425" i="13"/>
  <c r="AH146" i="4"/>
  <c r="AJ146" i="4" s="1"/>
  <c r="AX303" i="5"/>
  <c r="AJ136" i="4"/>
  <c r="CI136" i="4" s="1"/>
  <c r="CJ136" i="4" s="1"/>
  <c r="AW43" i="13"/>
  <c r="BA43" i="13" s="1"/>
  <c r="BB43" i="13" s="1"/>
  <c r="AX340" i="5"/>
  <c r="AX122" i="5"/>
  <c r="AX309" i="13"/>
  <c r="AW135" i="13"/>
  <c r="AD146" i="4"/>
  <c r="AE146" i="4" s="1"/>
  <c r="CH146" i="4" s="1"/>
  <c r="AX102" i="5"/>
  <c r="AX337" i="5"/>
  <c r="AX432" i="5"/>
  <c r="AW387" i="5"/>
  <c r="BA386" i="5" s="1"/>
  <c r="BB386" i="5" s="1"/>
  <c r="AX74" i="5"/>
  <c r="AW125" i="13"/>
  <c r="BA125" i="13" s="1"/>
  <c r="BB125" i="13" s="1"/>
  <c r="AX300" i="5"/>
  <c r="AX509" i="5"/>
  <c r="AX425" i="5"/>
  <c r="AW342" i="13"/>
  <c r="BA342" i="13" s="1"/>
  <c r="BB342" i="13" s="1"/>
  <c r="AW517" i="5"/>
  <c r="BA516" i="5" s="1"/>
  <c r="BB516" i="5" s="1"/>
  <c r="AX75" i="5"/>
  <c r="AW291" i="13"/>
  <c r="AW105" i="13"/>
  <c r="AX262" i="5"/>
  <c r="AW268" i="5"/>
  <c r="BA268" i="5" s="1"/>
  <c r="BB268" i="5" s="1"/>
  <c r="AW30" i="13"/>
  <c r="AX297" i="5"/>
  <c r="AX522" i="5"/>
  <c r="AX151" i="5"/>
  <c r="AW213" i="13"/>
  <c r="AX304" i="5"/>
  <c r="AW388" i="5"/>
  <c r="BA388" i="5" s="1"/>
  <c r="BB388" i="5" s="1"/>
  <c r="AW29" i="5"/>
  <c r="BA29" i="5" s="1"/>
  <c r="BB29" i="5" s="1"/>
  <c r="AW302" i="5"/>
  <c r="BA301" i="5" s="1"/>
  <c r="BB301" i="5" s="1"/>
  <c r="AX510" i="5"/>
  <c r="AX248" i="13"/>
  <c r="AX39" i="5"/>
  <c r="AX281" i="5"/>
  <c r="AX138" i="13"/>
  <c r="AX261" i="5"/>
  <c r="AX103" i="5"/>
  <c r="AX432" i="13"/>
  <c r="AW145" i="13"/>
  <c r="AW455" i="5"/>
  <c r="BA455" i="5" s="1"/>
  <c r="BB455" i="5" s="1"/>
  <c r="AW88" i="5"/>
  <c r="AJ134" i="4"/>
  <c r="CI134" i="4" s="1"/>
  <c r="CJ134" i="4" s="1"/>
  <c r="AW429" i="13"/>
  <c r="AX238" i="5"/>
  <c r="CE131" i="4"/>
  <c r="AW249" i="5"/>
  <c r="BA248" i="5" s="1"/>
  <c r="BB248" i="5" s="1"/>
  <c r="AW559" i="5"/>
  <c r="BA558" i="5" s="1"/>
  <c r="BB558" i="5" s="1"/>
  <c r="AX534" i="5"/>
  <c r="AX379" i="13"/>
  <c r="AW378" i="13"/>
  <c r="BA378" i="13" s="1"/>
  <c r="BB378" i="13" s="1"/>
  <c r="AW367" i="13"/>
  <c r="AX380" i="5"/>
  <c r="AW55" i="5"/>
  <c r="AW294" i="13"/>
  <c r="AW466" i="5"/>
  <c r="BA466" i="5" s="1"/>
  <c r="BB466" i="5" s="1"/>
  <c r="AW78" i="13"/>
  <c r="AW485" i="5"/>
  <c r="BA484" i="5" s="1"/>
  <c r="BB484" i="5" s="1"/>
  <c r="AW242" i="5"/>
  <c r="BA241" i="5" s="1"/>
  <c r="BB241" i="5" s="1"/>
  <c r="AW322" i="5"/>
  <c r="BA321" i="5" s="1"/>
  <c r="BB321" i="5" s="1"/>
  <c r="AW431" i="5"/>
  <c r="BA430" i="5" s="1"/>
  <c r="BB430" i="5" s="1"/>
  <c r="AW71" i="5"/>
  <c r="AX335" i="5"/>
  <c r="AW168" i="5"/>
  <c r="BA168" i="5" s="1"/>
  <c r="BB168" i="5" s="1"/>
  <c r="AX557" i="13"/>
  <c r="AX159" i="5"/>
  <c r="AW128" i="5"/>
  <c r="BA128" i="5" s="1"/>
  <c r="BB128" i="5" s="1"/>
  <c r="AW196" i="5"/>
  <c r="BA195" i="5" s="1"/>
  <c r="BB195" i="5" s="1"/>
  <c r="AW158" i="5"/>
  <c r="BA157" i="5" s="1"/>
  <c r="BB157" i="5" s="1"/>
  <c r="AX140" i="5"/>
  <c r="AW560" i="5"/>
  <c r="AX317" i="5"/>
  <c r="AX154" i="5"/>
  <c r="AX368" i="5"/>
  <c r="AW223" i="5"/>
  <c r="BA223" i="5" s="1"/>
  <c r="BB223" i="5" s="1"/>
  <c r="AW549" i="5"/>
  <c r="BA549" i="5" s="1"/>
  <c r="BB549" i="5" s="1"/>
  <c r="AW24" i="5"/>
  <c r="BA23" i="5" s="1"/>
  <c r="BB23" i="5" s="1"/>
  <c r="AW507" i="5"/>
  <c r="BA506" i="5" s="1"/>
  <c r="BB506" i="5" s="1"/>
  <c r="AX107" i="5"/>
  <c r="AX218" i="5"/>
  <c r="AX142" i="5"/>
  <c r="AW101" i="5"/>
  <c r="BA101" i="5" s="1"/>
  <c r="BB101" i="5" s="1"/>
  <c r="AW287" i="5"/>
  <c r="BA286" i="5" s="1"/>
  <c r="BB286" i="5" s="1"/>
  <c r="AX518" i="5"/>
  <c r="AW514" i="5"/>
  <c r="BA513" i="5" s="1"/>
  <c r="BB513" i="5" s="1"/>
  <c r="AD123" i="4"/>
  <c r="AE123" i="4" s="1"/>
  <c r="CH123" i="4" s="1"/>
  <c r="AX494" i="5"/>
  <c r="AW422" i="5"/>
  <c r="BA422" i="5" s="1"/>
  <c r="BB422" i="5" s="1"/>
  <c r="AX391" i="5"/>
  <c r="AW57" i="5"/>
  <c r="BA57" i="5" s="1"/>
  <c r="BB57" i="5" s="1"/>
  <c r="AX119" i="5"/>
  <c r="AX129" i="5"/>
  <c r="AV11" i="13"/>
  <c r="AX11" i="13" s="1"/>
  <c r="AW247" i="5"/>
  <c r="BA247" i="5" s="1"/>
  <c r="BB247" i="5" s="1"/>
  <c r="AX112" i="5"/>
  <c r="AX309" i="5"/>
  <c r="AX505" i="5"/>
  <c r="AX99" i="5"/>
  <c r="AX94" i="5"/>
  <c r="AW106" i="5"/>
  <c r="BA105" i="5" s="1"/>
  <c r="BB105" i="5" s="1"/>
  <c r="BA278" i="5"/>
  <c r="BB278" i="5" s="1"/>
  <c r="AX504" i="5"/>
  <c r="AW114" i="5"/>
  <c r="BA113" i="5" s="1"/>
  <c r="BB113" i="5" s="1"/>
  <c r="AX174" i="5"/>
  <c r="AX48" i="5"/>
  <c r="AW149" i="5"/>
  <c r="BA148" i="5" s="1"/>
  <c r="BB148" i="5" s="1"/>
  <c r="AW89" i="5"/>
  <c r="AX135" i="5"/>
  <c r="AX468" i="5"/>
  <c r="AW217" i="5"/>
  <c r="BA216" i="5" s="1"/>
  <c r="BB216" i="5" s="1"/>
  <c r="AW443" i="5"/>
  <c r="BA442" i="5" s="1"/>
  <c r="BB442" i="5" s="1"/>
  <c r="AW135" i="5"/>
  <c r="BA134" i="5" s="1"/>
  <c r="BB134" i="5" s="1"/>
  <c r="AW363" i="5"/>
  <c r="BA362" i="5" s="1"/>
  <c r="BB362" i="5" s="1"/>
  <c r="AW394" i="5"/>
  <c r="BA393" i="5" s="1"/>
  <c r="BB393" i="5" s="1"/>
  <c r="AW265" i="5"/>
  <c r="BA265" i="5" s="1"/>
  <c r="BB265" i="5" s="1"/>
  <c r="AX247" i="5"/>
  <c r="AW272" i="5"/>
  <c r="BA272" i="5" s="1"/>
  <c r="BB272" i="5" s="1"/>
  <c r="AW309" i="5"/>
  <c r="BA309" i="5" s="1"/>
  <c r="BB309" i="5" s="1"/>
  <c r="AW354" i="5"/>
  <c r="BA353" i="5" s="1"/>
  <c r="BB353" i="5" s="1"/>
  <c r="AX345" i="5"/>
  <c r="AX456" i="5"/>
  <c r="AW254" i="5"/>
  <c r="BA253" i="5" s="1"/>
  <c r="BB253" i="5" s="1"/>
  <c r="AX263" i="5"/>
  <c r="AX284" i="5"/>
  <c r="AX68" i="5"/>
  <c r="AX326" i="5"/>
  <c r="AW115" i="5"/>
  <c r="BA115" i="5" s="1"/>
  <c r="BB115" i="5" s="1"/>
  <c r="AW556" i="13"/>
  <c r="BA556" i="13" s="1"/>
  <c r="BB556" i="13" s="1"/>
  <c r="AW376" i="5"/>
  <c r="BA376" i="5" s="1"/>
  <c r="BB376" i="5" s="1"/>
  <c r="AD11" i="13"/>
  <c r="AE11" i="13"/>
  <c r="BA120" i="5"/>
  <c r="BB120" i="5" s="1"/>
  <c r="AE9" i="13"/>
  <c r="AX498" i="5"/>
  <c r="AX532" i="5"/>
  <c r="AX437" i="5"/>
  <c r="AX252" i="5"/>
  <c r="AW288" i="5"/>
  <c r="AX120" i="5"/>
  <c r="AX351" i="5"/>
  <c r="AW314" i="5"/>
  <c r="BA313" i="5" s="1"/>
  <c r="BB313" i="5" s="1"/>
  <c r="AX395" i="5"/>
  <c r="BA44" i="13"/>
  <c r="BB44" i="13" s="1"/>
  <c r="AW465" i="5"/>
  <c r="BA284" i="5"/>
  <c r="BB284" i="5" s="1"/>
  <c r="BA468" i="5"/>
  <c r="BB468" i="5" s="1"/>
  <c r="AX208" i="5"/>
  <c r="AX414" i="5"/>
  <c r="AX63" i="5"/>
  <c r="AX179" i="5"/>
  <c r="AW537" i="5"/>
  <c r="BA537" i="5" s="1"/>
  <c r="BB537" i="5" s="1"/>
  <c r="BA198" i="13"/>
  <c r="BB198" i="13" s="1"/>
  <c r="BA126" i="13"/>
  <c r="BB126" i="13" s="1"/>
  <c r="BA343" i="13"/>
  <c r="BB343" i="13" s="1"/>
  <c r="AX505" i="13"/>
  <c r="AW505" i="13"/>
  <c r="AW201" i="13"/>
  <c r="AX201" i="13"/>
  <c r="AW297" i="13"/>
  <c r="AX297" i="13"/>
  <c r="AW38" i="13"/>
  <c r="AX38" i="13"/>
  <c r="AW397" i="13"/>
  <c r="BA397" i="13" s="1"/>
  <c r="BB397" i="13" s="1"/>
  <c r="AX397" i="13"/>
  <c r="AX267" i="13"/>
  <c r="AW267" i="13"/>
  <c r="AX305" i="13"/>
  <c r="AW305" i="13"/>
  <c r="AW148" i="13"/>
  <c r="AX148" i="13"/>
  <c r="AW47" i="13"/>
  <c r="AX47" i="13"/>
  <c r="AX282" i="13"/>
  <c r="AW282" i="13"/>
  <c r="AX255" i="13"/>
  <c r="AW255" i="13"/>
  <c r="AX20" i="13"/>
  <c r="AW20" i="13"/>
  <c r="AX200" i="13"/>
  <c r="AW200" i="13"/>
  <c r="AW304" i="13"/>
  <c r="AX304" i="13"/>
  <c r="AX115" i="13"/>
  <c r="AW115" i="13"/>
  <c r="AX87" i="13"/>
  <c r="AW87" i="13"/>
  <c r="AW327" i="13"/>
  <c r="AX327" i="13"/>
  <c r="AW523" i="13"/>
  <c r="AX523" i="13"/>
  <c r="AX269" i="13"/>
  <c r="AW269" i="13"/>
  <c r="AX207" i="13"/>
  <c r="AW207" i="13"/>
  <c r="AW436" i="13"/>
  <c r="AX436" i="13"/>
  <c r="AX182" i="13"/>
  <c r="AW182" i="13"/>
  <c r="AX169" i="13"/>
  <c r="AW169" i="13"/>
  <c r="AW261" i="13"/>
  <c r="AX261" i="13"/>
  <c r="AX381" i="13"/>
  <c r="AW381" i="13"/>
  <c r="AX209" i="13"/>
  <c r="AW209" i="13"/>
  <c r="AX306" i="13"/>
  <c r="AW306" i="13"/>
  <c r="AX524" i="13"/>
  <c r="AW524" i="13"/>
  <c r="AX242" i="13"/>
  <c r="AW242" i="13"/>
  <c r="AX438" i="13"/>
  <c r="AW438" i="13"/>
  <c r="AW413" i="13"/>
  <c r="AX413" i="13"/>
  <c r="AX399" i="13"/>
  <c r="AW399" i="13"/>
  <c r="AW50" i="13"/>
  <c r="AX50" i="13"/>
  <c r="AX94" i="13"/>
  <c r="AW94" i="13"/>
  <c r="AX103" i="13"/>
  <c r="AW103" i="13"/>
  <c r="AX408" i="13"/>
  <c r="AW408" i="13"/>
  <c r="AW314" i="13"/>
  <c r="AX314" i="13"/>
  <c r="AX537" i="13"/>
  <c r="AW537" i="13"/>
  <c r="AX61" i="13"/>
  <c r="AW61" i="13"/>
  <c r="AW160" i="13"/>
  <c r="AX160" i="13"/>
  <c r="AW550" i="13"/>
  <c r="AX550" i="13"/>
  <c r="AX177" i="13"/>
  <c r="AW177" i="13"/>
  <c r="AX208" i="13"/>
  <c r="AW208" i="13"/>
  <c r="AX163" i="13"/>
  <c r="AW163" i="13"/>
  <c r="AW257" i="13"/>
  <c r="AX257" i="13"/>
  <c r="AX278" i="13"/>
  <c r="AW278" i="13"/>
  <c r="AX235" i="13"/>
  <c r="AW235" i="13"/>
  <c r="AX341" i="13"/>
  <c r="AW341" i="13"/>
  <c r="AX418" i="13"/>
  <c r="AW418" i="13"/>
  <c r="AX405" i="13"/>
  <c r="AW405" i="13"/>
  <c r="AX348" i="13"/>
  <c r="AW348" i="13"/>
  <c r="AX424" i="13"/>
  <c r="AW424" i="13"/>
  <c r="AX190" i="13"/>
  <c r="AW190" i="13"/>
  <c r="AX471" i="13"/>
  <c r="AW471" i="13"/>
  <c r="AX480" i="13"/>
  <c r="AW480" i="13"/>
  <c r="AW203" i="13"/>
  <c r="AX203" i="13"/>
  <c r="AX431" i="13"/>
  <c r="AW431" i="13"/>
  <c r="AX221" i="13"/>
  <c r="AW221" i="13"/>
  <c r="AX229" i="13"/>
  <c r="AW229" i="13"/>
  <c r="AX186" i="13"/>
  <c r="AW186" i="13"/>
  <c r="AX46" i="13"/>
  <c r="AW46" i="13"/>
  <c r="AW166" i="13"/>
  <c r="AX166" i="13"/>
  <c r="AX427" i="13"/>
  <c r="AW427" i="13"/>
  <c r="AW518" i="13"/>
  <c r="AX518" i="13"/>
  <c r="AW357" i="13"/>
  <c r="AX357" i="13"/>
  <c r="AW32" i="13"/>
  <c r="AX32" i="13"/>
  <c r="AX463" i="13"/>
  <c r="AW463" i="13"/>
  <c r="AW328" i="13"/>
  <c r="AX328" i="13"/>
  <c r="AX319" i="13"/>
  <c r="AW319" i="13"/>
  <c r="AX196" i="13"/>
  <c r="AW196" i="13"/>
  <c r="AX98" i="13"/>
  <c r="AW98" i="13"/>
  <c r="AX225" i="13"/>
  <c r="AW225" i="13"/>
  <c r="AX484" i="13"/>
  <c r="AW484" i="13"/>
  <c r="AX467" i="13"/>
  <c r="AW467" i="13"/>
  <c r="AX195" i="13"/>
  <c r="AW195" i="13"/>
  <c r="AX534" i="13"/>
  <c r="AW534" i="13"/>
  <c r="AX504" i="13"/>
  <c r="AW504" i="13"/>
  <c r="AW349" i="13"/>
  <c r="BA349" i="13" s="1"/>
  <c r="BB349" i="13" s="1"/>
  <c r="AX349" i="13"/>
  <c r="AX181" i="13"/>
  <c r="AW181" i="13"/>
  <c r="AX262" i="13"/>
  <c r="AW262" i="13"/>
  <c r="AX203" i="5"/>
  <c r="AX496" i="13"/>
  <c r="AW496" i="13"/>
  <c r="AX84" i="13"/>
  <c r="AW84" i="13"/>
  <c r="AX218" i="13"/>
  <c r="AW218" i="13"/>
  <c r="AW516" i="13"/>
  <c r="AX516" i="13"/>
  <c r="AX447" i="13"/>
  <c r="AW447" i="13"/>
  <c r="AW372" i="13"/>
  <c r="AX372" i="13"/>
  <c r="AX329" i="13"/>
  <c r="AW329" i="13"/>
  <c r="AX472" i="13"/>
  <c r="AW472" i="13"/>
  <c r="AX79" i="13"/>
  <c r="AW79" i="13"/>
  <c r="AX93" i="13"/>
  <c r="AW93" i="13"/>
  <c r="AW289" i="13"/>
  <c r="AX289" i="13"/>
  <c r="AX143" i="13"/>
  <c r="AW143" i="13"/>
  <c r="AX461" i="13"/>
  <c r="AW461" i="13"/>
  <c r="AX310" i="13"/>
  <c r="AW310" i="13"/>
  <c r="AX469" i="13"/>
  <c r="AW469" i="13"/>
  <c r="AX86" i="13"/>
  <c r="AW86" i="13"/>
  <c r="AX311" i="13"/>
  <c r="AW311" i="13"/>
  <c r="AW527" i="13"/>
  <c r="AX527" i="13"/>
  <c r="AX60" i="13"/>
  <c r="AW60" i="13"/>
  <c r="AX493" i="13"/>
  <c r="AW493" i="13"/>
  <c r="AX137" i="13"/>
  <c r="AW137" i="13"/>
  <c r="AW300" i="13"/>
  <c r="AX300" i="13"/>
  <c r="AW517" i="13"/>
  <c r="AX517" i="13"/>
  <c r="AW324" i="13"/>
  <c r="AX324" i="13"/>
  <c r="AX111" i="13"/>
  <c r="AW111" i="13"/>
  <c r="AW513" i="13"/>
  <c r="AX513" i="13"/>
  <c r="AX29" i="13"/>
  <c r="AW29" i="13"/>
  <c r="AX337" i="13"/>
  <c r="AW337" i="13"/>
  <c r="AX474" i="13"/>
  <c r="AW474" i="13"/>
  <c r="AX234" i="13"/>
  <c r="AW234" i="13"/>
  <c r="AX340" i="13"/>
  <c r="AW340" i="13"/>
  <c r="AX412" i="13"/>
  <c r="AW412" i="13"/>
  <c r="AW368" i="13"/>
  <c r="AX368" i="13"/>
  <c r="AX476" i="13"/>
  <c r="AW476" i="13"/>
  <c r="AX250" i="13"/>
  <c r="AW250" i="13"/>
  <c r="AX96" i="13"/>
  <c r="AW96" i="13"/>
  <c r="AW132" i="13"/>
  <c r="AX132" i="13"/>
  <c r="AX75" i="13"/>
  <c r="AW75" i="13"/>
  <c r="AX176" i="13"/>
  <c r="AW176" i="13"/>
  <c r="AX131" i="13"/>
  <c r="AW131" i="13"/>
  <c r="AW197" i="13"/>
  <c r="AX197" i="13"/>
  <c r="AX386" i="13"/>
  <c r="AW386" i="13"/>
  <c r="AW156" i="13"/>
  <c r="AX156" i="13"/>
  <c r="AX558" i="13"/>
  <c r="AW558" i="13"/>
  <c r="AX404" i="13"/>
  <c r="AW404" i="13"/>
  <c r="AX495" i="13"/>
  <c r="AW495" i="13"/>
  <c r="AX387" i="13"/>
  <c r="AW387" i="13"/>
  <c r="BA163" i="13"/>
  <c r="BB163" i="13" s="1"/>
  <c r="AW490" i="13"/>
  <c r="AX490" i="13"/>
  <c r="AX335" i="13"/>
  <c r="AW335" i="13"/>
  <c r="AX545" i="13"/>
  <c r="AW545" i="13"/>
  <c r="AX290" i="13"/>
  <c r="AW290" i="13"/>
  <c r="AW393" i="13"/>
  <c r="AX393" i="13"/>
  <c r="AW503" i="13"/>
  <c r="AX503" i="13"/>
  <c r="AX212" i="13"/>
  <c r="AW212" i="13"/>
  <c r="AW542" i="13"/>
  <c r="AX542" i="13"/>
  <c r="AW494" i="13"/>
  <c r="AX494" i="13"/>
  <c r="AX123" i="13"/>
  <c r="AW123" i="13"/>
  <c r="AW512" i="13"/>
  <c r="AX512" i="13"/>
  <c r="AX62" i="13"/>
  <c r="AW62" i="13"/>
  <c r="AW325" i="13"/>
  <c r="AX325" i="13"/>
  <c r="AX194" i="13"/>
  <c r="AW194" i="13"/>
  <c r="AW144" i="13"/>
  <c r="AX144" i="13"/>
  <c r="AW554" i="13"/>
  <c r="AX554" i="13"/>
  <c r="AW189" i="13"/>
  <c r="AX189" i="13"/>
  <c r="AX120" i="13"/>
  <c r="AW120" i="13"/>
  <c r="AW317" i="13"/>
  <c r="AX317" i="13"/>
  <c r="AW237" i="13"/>
  <c r="AX237" i="13"/>
  <c r="AX255" i="5"/>
  <c r="AX445" i="13"/>
  <c r="AW445" i="13"/>
  <c r="AX77" i="13"/>
  <c r="AW77" i="13"/>
  <c r="AX172" i="13"/>
  <c r="AW172" i="13"/>
  <c r="AX402" i="13"/>
  <c r="AW402" i="13"/>
  <c r="AX180" i="13"/>
  <c r="AW180" i="13"/>
  <c r="AX263" i="13"/>
  <c r="AW263" i="13"/>
  <c r="AX514" i="13"/>
  <c r="AW514" i="13"/>
  <c r="AX90" i="13"/>
  <c r="AW90" i="13"/>
  <c r="AW321" i="13"/>
  <c r="AX321" i="13"/>
  <c r="AX526" i="13"/>
  <c r="AW526" i="13"/>
  <c r="AW364" i="13"/>
  <c r="AX364" i="13"/>
  <c r="AX108" i="13"/>
  <c r="AW108" i="13"/>
  <c r="AW288" i="13"/>
  <c r="AX288" i="13"/>
  <c r="AW74" i="13"/>
  <c r="AX74" i="13"/>
  <c r="AX26" i="13"/>
  <c r="AW26" i="13"/>
  <c r="AX233" i="13"/>
  <c r="AW233" i="13"/>
  <c r="AX470" i="13"/>
  <c r="AW470" i="13"/>
  <c r="AX157" i="13"/>
  <c r="AW157" i="13"/>
  <c r="AX185" i="13"/>
  <c r="AW185" i="13"/>
  <c r="AW154" i="13"/>
  <c r="AX154" i="13"/>
  <c r="AW394" i="13"/>
  <c r="AX394" i="13"/>
  <c r="AX42" i="13"/>
  <c r="AW42" i="13"/>
  <c r="AX252" i="13"/>
  <c r="AW252" i="13"/>
  <c r="AW293" i="13"/>
  <c r="AX293" i="13"/>
  <c r="AX280" i="13"/>
  <c r="AW280" i="13"/>
  <c r="AX456" i="13"/>
  <c r="AW456" i="13"/>
  <c r="AX161" i="13"/>
  <c r="AW161" i="13"/>
  <c r="AX214" i="13"/>
  <c r="AW214" i="13"/>
  <c r="AX23" i="13"/>
  <c r="AW23" i="13"/>
  <c r="AX312" i="13"/>
  <c r="AW312" i="13"/>
  <c r="AX478" i="13"/>
  <c r="AW478" i="13"/>
  <c r="AX40" i="13"/>
  <c r="AW40" i="13"/>
  <c r="AX192" i="13"/>
  <c r="AW192" i="13"/>
  <c r="AX216" i="13"/>
  <c r="AW216" i="13"/>
  <c r="AX363" i="13"/>
  <c r="AW363" i="13"/>
  <c r="AW521" i="13"/>
  <c r="AX521" i="13"/>
  <c r="AW152" i="13"/>
  <c r="AX152" i="13"/>
  <c r="AX547" i="13"/>
  <c r="AW547" i="13"/>
  <c r="AX275" i="13"/>
  <c r="AW275" i="13"/>
  <c r="AX251" i="13"/>
  <c r="AW251" i="13"/>
  <c r="AX281" i="13"/>
  <c r="AW281" i="13"/>
  <c r="AX72" i="13"/>
  <c r="AW72" i="13"/>
  <c r="AW285" i="13"/>
  <c r="AX285" i="13"/>
  <c r="AW292" i="13"/>
  <c r="AX292" i="13"/>
  <c r="AX8" i="13"/>
  <c r="AW8" i="13"/>
  <c r="AW549" i="13"/>
  <c r="AX549" i="13"/>
  <c r="AX336" i="13"/>
  <c r="AW336" i="13"/>
  <c r="AW134" i="13"/>
  <c r="AX134" i="13"/>
  <c r="AX230" i="13"/>
  <c r="AW230" i="13"/>
  <c r="AX104" i="13"/>
  <c r="AW104" i="13"/>
  <c r="AX283" i="13"/>
  <c r="AW283" i="13"/>
  <c r="AU11" i="13"/>
  <c r="AT11" i="13"/>
  <c r="AW67" i="13"/>
  <c r="AX67" i="13"/>
  <c r="AX179" i="13"/>
  <c r="AW179" i="13"/>
  <c r="AX232" i="13"/>
  <c r="AW232" i="13"/>
  <c r="AW81" i="13"/>
  <c r="AX81" i="13"/>
  <c r="AW36" i="13"/>
  <c r="AX36" i="13"/>
  <c r="AW142" i="13"/>
  <c r="AX142" i="13"/>
  <c r="AX101" i="13"/>
  <c r="AW101" i="13"/>
  <c r="AX220" i="13"/>
  <c r="AW220" i="13"/>
  <c r="AW130" i="13"/>
  <c r="AX130" i="13"/>
  <c r="AX226" i="13"/>
  <c r="AW226" i="13"/>
  <c r="AX116" i="13"/>
  <c r="AW116" i="13"/>
  <c r="AW430" i="13"/>
  <c r="AX430" i="13"/>
  <c r="AX147" i="13"/>
  <c r="AW147" i="13"/>
  <c r="AX58" i="13"/>
  <c r="AW58" i="13"/>
  <c r="AX129" i="13"/>
  <c r="AW129" i="13"/>
  <c r="AX128" i="13"/>
  <c r="AW128" i="13"/>
  <c r="AX59" i="13"/>
  <c r="AW59" i="13"/>
  <c r="AX99" i="13"/>
  <c r="AW99" i="13"/>
  <c r="AX390" i="13"/>
  <c r="AW390" i="13"/>
  <c r="AX507" i="13"/>
  <c r="AW507" i="13"/>
  <c r="AX264" i="13"/>
  <c r="AW264" i="13"/>
  <c r="AX295" i="13"/>
  <c r="AW295" i="13"/>
  <c r="AX369" i="13"/>
  <c r="AW369" i="13"/>
  <c r="AW162" i="13"/>
  <c r="AX162" i="13"/>
  <c r="AX392" i="13"/>
  <c r="AW392" i="13"/>
  <c r="AX274" i="13"/>
  <c r="AW274" i="13"/>
  <c r="AX25" i="13"/>
  <c r="AW25" i="13"/>
  <c r="AX260" i="13"/>
  <c r="AW260" i="13"/>
  <c r="AX35" i="13"/>
  <c r="AW35" i="13"/>
  <c r="AX458" i="13"/>
  <c r="AW458" i="13"/>
  <c r="AX139" i="13"/>
  <c r="AW139" i="13"/>
  <c r="AW253" i="13"/>
  <c r="AX253" i="13"/>
  <c r="AX362" i="13"/>
  <c r="AW362" i="13"/>
  <c r="AX244" i="13"/>
  <c r="AW244" i="13"/>
  <c r="AX522" i="13"/>
  <c r="AW522" i="13"/>
  <c r="AW322" i="13"/>
  <c r="AX322" i="13"/>
  <c r="AX485" i="13"/>
  <c r="AW485" i="13"/>
  <c r="AW401" i="13"/>
  <c r="AX401" i="13"/>
  <c r="AW313" i="13"/>
  <c r="AX313" i="13"/>
  <c r="AX106" i="13"/>
  <c r="AW106" i="13"/>
  <c r="AW531" i="13"/>
  <c r="AX531" i="13"/>
  <c r="AX254" i="13"/>
  <c r="AW254" i="13"/>
  <c r="AW384" i="13"/>
  <c r="AX384" i="13"/>
  <c r="AX73" i="13"/>
  <c r="AW73" i="13"/>
  <c r="AW345" i="13"/>
  <c r="AX345" i="13"/>
  <c r="AX530" i="13"/>
  <c r="AW530" i="13"/>
  <c r="AW178" i="13"/>
  <c r="AX178" i="13"/>
  <c r="AW356" i="13"/>
  <c r="AX356" i="13"/>
  <c r="AW464" i="13"/>
  <c r="AX464" i="13"/>
  <c r="AW499" i="13"/>
  <c r="AX499" i="13"/>
  <c r="AX149" i="13"/>
  <c r="AW149" i="13"/>
  <c r="AX298" i="13"/>
  <c r="AW298" i="13"/>
  <c r="AX51" i="13"/>
  <c r="AW51" i="13"/>
  <c r="AX118" i="13"/>
  <c r="AW118" i="13"/>
  <c r="AX338" i="13"/>
  <c r="AW338" i="13"/>
  <c r="AX153" i="13"/>
  <c r="AW153" i="13"/>
  <c r="AW249" i="13"/>
  <c r="AX249" i="13"/>
  <c r="AX407" i="13"/>
  <c r="AW407" i="13"/>
  <c r="AX528" i="13"/>
  <c r="AW528" i="13"/>
  <c r="AX240" i="13"/>
  <c r="AW240" i="13"/>
  <c r="AX332" i="13"/>
  <c r="AW332" i="13"/>
  <c r="AW395" i="13"/>
  <c r="AX395" i="13"/>
  <c r="AX210" i="13"/>
  <c r="AW210" i="13"/>
  <c r="AW479" i="13"/>
  <c r="AX479" i="13"/>
  <c r="AX371" i="13"/>
  <c r="AW371" i="13"/>
  <c r="AX492" i="13"/>
  <c r="AW492" i="13"/>
  <c r="AX457" i="13"/>
  <c r="AW457" i="13"/>
  <c r="AW536" i="13"/>
  <c r="AX536" i="13"/>
  <c r="AX19" i="13"/>
  <c r="AW19" i="13"/>
  <c r="AW37" i="13"/>
  <c r="AX37" i="13"/>
  <c r="AX374" i="13"/>
  <c r="AW374" i="13"/>
  <c r="AX151" i="13"/>
  <c r="AW151" i="13"/>
  <c r="AX307" i="13"/>
  <c r="AW307" i="13"/>
  <c r="AX358" i="13"/>
  <c r="AW358" i="13"/>
  <c r="AX188" i="13"/>
  <c r="AW188" i="13"/>
  <c r="AX268" i="13"/>
  <c r="AW268" i="13"/>
  <c r="AX468" i="13"/>
  <c r="AW468" i="13"/>
  <c r="AX366" i="13"/>
  <c r="AW366" i="13"/>
  <c r="AX191" i="13"/>
  <c r="AW191" i="13"/>
  <c r="AX442" i="13"/>
  <c r="AW442" i="13"/>
  <c r="AX48" i="13"/>
  <c r="AW48" i="13"/>
  <c r="AX236" i="13"/>
  <c r="AW236" i="13"/>
  <c r="AX382" i="13"/>
  <c r="AW382" i="13"/>
  <c r="AX355" i="13"/>
  <c r="AW355" i="13"/>
  <c r="AW150" i="13"/>
  <c r="AX150" i="13"/>
  <c r="AX109" i="13"/>
  <c r="AW109" i="13"/>
  <c r="AX411" i="13"/>
  <c r="AW411" i="13"/>
  <c r="AX83" i="13"/>
  <c r="AW83" i="13"/>
  <c r="AX509" i="13"/>
  <c r="AW509" i="13"/>
  <c r="AW33" i="13"/>
  <c r="AX33" i="13"/>
  <c r="AX370" i="13"/>
  <c r="AW370" i="13"/>
  <c r="AX396" i="13"/>
  <c r="AW396" i="13"/>
  <c r="AW506" i="13"/>
  <c r="AX506" i="13"/>
  <c r="AW511" i="13"/>
  <c r="AX511" i="13"/>
  <c r="AX238" i="13"/>
  <c r="AW238" i="13"/>
  <c r="AW284" i="13"/>
  <c r="AX284" i="13"/>
  <c r="AX239" i="13"/>
  <c r="AW239" i="13"/>
  <c r="AX112" i="13"/>
  <c r="AW112" i="13"/>
  <c r="AW475" i="13"/>
  <c r="AX475" i="13"/>
  <c r="AX301" i="13"/>
  <c r="AW301" i="13"/>
  <c r="AW555" i="13"/>
  <c r="AX555" i="13"/>
  <c r="AX82" i="13"/>
  <c r="AW82" i="13"/>
  <c r="AW353" i="13"/>
  <c r="AX353" i="13"/>
  <c r="AX303" i="13"/>
  <c r="AW303" i="13"/>
  <c r="AX377" i="13"/>
  <c r="AW377" i="13"/>
  <c r="AX34" i="13"/>
  <c r="AW34" i="13"/>
  <c r="AX141" i="13"/>
  <c r="AW141" i="13"/>
  <c r="AW245" i="13"/>
  <c r="AX245" i="13"/>
  <c r="AX375" i="13"/>
  <c r="AW375" i="13"/>
  <c r="AX491" i="13"/>
  <c r="AW491" i="13"/>
  <c r="AX333" i="13"/>
  <c r="AW333" i="13"/>
  <c r="AX448" i="13"/>
  <c r="AW448" i="13"/>
  <c r="AW22" i="13"/>
  <c r="AX22" i="13"/>
  <c r="AW437" i="13"/>
  <c r="AX437" i="13"/>
  <c r="AX119" i="13"/>
  <c r="AW119" i="13"/>
  <c r="AX360" i="13"/>
  <c r="AW360" i="13"/>
  <c r="AW515" i="13"/>
  <c r="AX515" i="13"/>
  <c r="AW318" i="13"/>
  <c r="AX318" i="13"/>
  <c r="AX49" i="13"/>
  <c r="AW49" i="13"/>
  <c r="AX114" i="13"/>
  <c r="AW114" i="13"/>
  <c r="AW41" i="13"/>
  <c r="AX41" i="13"/>
  <c r="AX287" i="13"/>
  <c r="AW287" i="13"/>
  <c r="AX365" i="13"/>
  <c r="AW365" i="13"/>
  <c r="BA247" i="13"/>
  <c r="BB247" i="13" s="1"/>
  <c r="AX391" i="13"/>
  <c r="AW391" i="13"/>
  <c r="AX525" i="13"/>
  <c r="AW525" i="13"/>
  <c r="AX121" i="13"/>
  <c r="AW121" i="13"/>
  <c r="AX423" i="13"/>
  <c r="AW423" i="13"/>
  <c r="AX383" i="13"/>
  <c r="AW383" i="13"/>
  <c r="AX444" i="13"/>
  <c r="AW444" i="13"/>
  <c r="AX12" i="13"/>
  <c r="AW12" i="13"/>
  <c r="AX56" i="13"/>
  <c r="AW56" i="13"/>
  <c r="AX489" i="13"/>
  <c r="AW489" i="13"/>
  <c r="AX560" i="13"/>
  <c r="AW560" i="13"/>
  <c r="AX64" i="13"/>
  <c r="AW64" i="13"/>
  <c r="AX168" i="13"/>
  <c r="AW168" i="13"/>
  <c r="AX102" i="13"/>
  <c r="AW102" i="13"/>
  <c r="AX535" i="13"/>
  <c r="AW535" i="13"/>
  <c r="AX159" i="13"/>
  <c r="AW159" i="13"/>
  <c r="AX435" i="13"/>
  <c r="AW435" i="13"/>
  <c r="AX465" i="13"/>
  <c r="AW465" i="13"/>
  <c r="AX187" i="13"/>
  <c r="AW187" i="13"/>
  <c r="AX228" i="13"/>
  <c r="AW228" i="13"/>
  <c r="AX487" i="13"/>
  <c r="AW487" i="13"/>
  <c r="AX460" i="13"/>
  <c r="AW460" i="13"/>
  <c r="AW63" i="13"/>
  <c r="AX63" i="13"/>
  <c r="AX409" i="13"/>
  <c r="AW409" i="13"/>
  <c r="AW27" i="13"/>
  <c r="AX27" i="13"/>
  <c r="AX414" i="13"/>
  <c r="AW414" i="13"/>
  <c r="AX334" i="13"/>
  <c r="AW334" i="13"/>
  <c r="AX246" i="13"/>
  <c r="AW246" i="13"/>
  <c r="AW389" i="13"/>
  <c r="AX389" i="13"/>
  <c r="AX500" i="13"/>
  <c r="AW500" i="13"/>
  <c r="AW326" i="13"/>
  <c r="AX326" i="13"/>
  <c r="AW361" i="13"/>
  <c r="AX361" i="13"/>
  <c r="AX183" i="13"/>
  <c r="AW183" i="13"/>
  <c r="AX265" i="13"/>
  <c r="AW265" i="13"/>
  <c r="AX449" i="13"/>
  <c r="AW449" i="13"/>
  <c r="AX286" i="13"/>
  <c r="AW286" i="13"/>
  <c r="AX202" i="13"/>
  <c r="AW202" i="13"/>
  <c r="AW559" i="13"/>
  <c r="AX559" i="13"/>
  <c r="AX533" i="13"/>
  <c r="AW533" i="13"/>
  <c r="AX497" i="13"/>
  <c r="AW497" i="13"/>
  <c r="AX124" i="13"/>
  <c r="AW124" i="13"/>
  <c r="AX133" i="13"/>
  <c r="AW133" i="13"/>
  <c r="AW451" i="13"/>
  <c r="AX451" i="13"/>
  <c r="AW31" i="13"/>
  <c r="AX31" i="13"/>
  <c r="AX76" i="13"/>
  <c r="AW76" i="13"/>
  <c r="AX266" i="13"/>
  <c r="AW266" i="13"/>
  <c r="AX316" i="13"/>
  <c r="AW316" i="13"/>
  <c r="AX173" i="13"/>
  <c r="AW173" i="13"/>
  <c r="AX175" i="13"/>
  <c r="AW175" i="13"/>
  <c r="AX57" i="13"/>
  <c r="AW57" i="13"/>
  <c r="AX543" i="13"/>
  <c r="AW543" i="13"/>
  <c r="AW215" i="13"/>
  <c r="AX215" i="13"/>
  <c r="AX222" i="13"/>
  <c r="AW222" i="13"/>
  <c r="AW519" i="13"/>
  <c r="AX519" i="13"/>
  <c r="AX122" i="13"/>
  <c r="AW122" i="13"/>
  <c r="AX277" i="13"/>
  <c r="AW277" i="13"/>
  <c r="AX165" i="13"/>
  <c r="AW165" i="13"/>
  <c r="AX446" i="13"/>
  <c r="AW446" i="13"/>
  <c r="AW331" i="13"/>
  <c r="AX331" i="13"/>
  <c r="AW553" i="13"/>
  <c r="AX553" i="13"/>
  <c r="AX346" i="13"/>
  <c r="AW346" i="13"/>
  <c r="AW440" i="13"/>
  <c r="AX440" i="13"/>
  <c r="AW54" i="13"/>
  <c r="AX54" i="13"/>
  <c r="AX299" i="13"/>
  <c r="AW299" i="13"/>
  <c r="AX373" i="13"/>
  <c r="AW373" i="13"/>
  <c r="AX482" i="13"/>
  <c r="AW482" i="13"/>
  <c r="AX65" i="13"/>
  <c r="AW65" i="13"/>
  <c r="AW136" i="13"/>
  <c r="AX136" i="13"/>
  <c r="AX541" i="13"/>
  <c r="AW541" i="13"/>
  <c r="AW520" i="13"/>
  <c r="AX520" i="13"/>
  <c r="AX359" i="13"/>
  <c r="AW359" i="13"/>
  <c r="AX224" i="13"/>
  <c r="AW224" i="13"/>
  <c r="AX206" i="13"/>
  <c r="AW206" i="13"/>
  <c r="AX276" i="13"/>
  <c r="AW276" i="13"/>
  <c r="AX339" i="13"/>
  <c r="AW339" i="13"/>
  <c r="AX256" i="13"/>
  <c r="AW256" i="13"/>
  <c r="AX544" i="13"/>
  <c r="AW544" i="13"/>
  <c r="AX13" i="13"/>
  <c r="AW13" i="13"/>
  <c r="AX315" i="13"/>
  <c r="AW315" i="13"/>
  <c r="AW410" i="13"/>
  <c r="AX410" i="13"/>
  <c r="AX117" i="13"/>
  <c r="AW117" i="13"/>
  <c r="AX419" i="13"/>
  <c r="AW419" i="13"/>
  <c r="AW227" i="13"/>
  <c r="AX227" i="13"/>
  <c r="AX171" i="13"/>
  <c r="AW171" i="13"/>
  <c r="AX354" i="13"/>
  <c r="AW354" i="13"/>
  <c r="AW351" i="13"/>
  <c r="AX351" i="13"/>
  <c r="AW548" i="13"/>
  <c r="AX548" i="13"/>
  <c r="AW211" i="13"/>
  <c r="AX211" i="13"/>
  <c r="AX270" i="13"/>
  <c r="AW270" i="13"/>
  <c r="AW219" i="13"/>
  <c r="AX219" i="13"/>
  <c r="AX439" i="13"/>
  <c r="AW439" i="13"/>
  <c r="AX92" i="13"/>
  <c r="AW92" i="13"/>
  <c r="AU9" i="13"/>
  <c r="AT9" i="13"/>
  <c r="AX91" i="13"/>
  <c r="AW91" i="13"/>
  <c r="AW433" i="13"/>
  <c r="AX433" i="13"/>
  <c r="AX462" i="13"/>
  <c r="AW462" i="13"/>
  <c r="AX53" i="13"/>
  <c r="AW53" i="13"/>
  <c r="AX443" i="13"/>
  <c r="AW443" i="13"/>
  <c r="AX231" i="13"/>
  <c r="AW231" i="13"/>
  <c r="AX400" i="13"/>
  <c r="AW400" i="13"/>
  <c r="AW223" i="13"/>
  <c r="AX223" i="13"/>
  <c r="AX97" i="13"/>
  <c r="AW97" i="13"/>
  <c r="AX107" i="13"/>
  <c r="AW107" i="13"/>
  <c r="AX477" i="13"/>
  <c r="AW477" i="13"/>
  <c r="AX508" i="13"/>
  <c r="AW508" i="13"/>
  <c r="AX455" i="13"/>
  <c r="AW455" i="13"/>
  <c r="AW552" i="13"/>
  <c r="AX552" i="13"/>
  <c r="AX259" i="13"/>
  <c r="AW259" i="13"/>
  <c r="AW296" i="13"/>
  <c r="AX296" i="13"/>
  <c r="AX184" i="13"/>
  <c r="AW184" i="13"/>
  <c r="AW174" i="13"/>
  <c r="AX174" i="13"/>
  <c r="AW434" i="13"/>
  <c r="AX434" i="13"/>
  <c r="AX502" i="13"/>
  <c r="AW502" i="13"/>
  <c r="AW540" i="13"/>
  <c r="AX540" i="13"/>
  <c r="AX459" i="13"/>
  <c r="AW459" i="13"/>
  <c r="AX85" i="13"/>
  <c r="AW85" i="13"/>
  <c r="AW385" i="13"/>
  <c r="AX385" i="13"/>
  <c r="AX320" i="13"/>
  <c r="AW320" i="13"/>
  <c r="AW380" i="13"/>
  <c r="AX380" i="13"/>
  <c r="AX55" i="13"/>
  <c r="AW55" i="13"/>
  <c r="AW538" i="13"/>
  <c r="AX538" i="13"/>
  <c r="AX453" i="13"/>
  <c r="AW453" i="13"/>
  <c r="AX52" i="13"/>
  <c r="AW52" i="13"/>
  <c r="AW146" i="13"/>
  <c r="AX146" i="13"/>
  <c r="AX388" i="13"/>
  <c r="AW388" i="13"/>
  <c r="AX89" i="13"/>
  <c r="AW89" i="13"/>
  <c r="AW193" i="13"/>
  <c r="AX193" i="13"/>
  <c r="AX420" i="13"/>
  <c r="AW420" i="13"/>
  <c r="AX69" i="13"/>
  <c r="AW69" i="13"/>
  <c r="AX486" i="13"/>
  <c r="AW486" i="13"/>
  <c r="AX258" i="13"/>
  <c r="AW258" i="13"/>
  <c r="AW532" i="13"/>
  <c r="AX532" i="13"/>
  <c r="AX217" i="13"/>
  <c r="AW217" i="13"/>
  <c r="AW21" i="13"/>
  <c r="AX21" i="13"/>
  <c r="AW529" i="13"/>
  <c r="AX529" i="13"/>
  <c r="AX70" i="13"/>
  <c r="AW70" i="13"/>
  <c r="AX272" i="13"/>
  <c r="AW272" i="13"/>
  <c r="AX205" i="13"/>
  <c r="AW205" i="13"/>
  <c r="AX416" i="13"/>
  <c r="AW416" i="13"/>
  <c r="AX243" i="13"/>
  <c r="AW243" i="13"/>
  <c r="AW330" i="13"/>
  <c r="AX330" i="13"/>
  <c r="AX352" i="13"/>
  <c r="AW352" i="13"/>
  <c r="AX466" i="13"/>
  <c r="AW466" i="13"/>
  <c r="AW376" i="13"/>
  <c r="AX376" i="13"/>
  <c r="AX113" i="13"/>
  <c r="AW113" i="13"/>
  <c r="AX415" i="13"/>
  <c r="AW415" i="13"/>
  <c r="AX7" i="13"/>
  <c r="AW7" i="13"/>
  <c r="AW426" i="13"/>
  <c r="AX426" i="13"/>
  <c r="AX498" i="13"/>
  <c r="AW498" i="13"/>
  <c r="AX24" i="13"/>
  <c r="AW24" i="13"/>
  <c r="AX110" i="13"/>
  <c r="AW110" i="13"/>
  <c r="AX323" i="13"/>
  <c r="AW323" i="13"/>
  <c r="AX88" i="13"/>
  <c r="AW88" i="13"/>
  <c r="AX167" i="13"/>
  <c r="AW167" i="13"/>
  <c r="AX421" i="13"/>
  <c r="AW421" i="13"/>
  <c r="AX71" i="13"/>
  <c r="AW71" i="13"/>
  <c r="AW39" i="13"/>
  <c r="AX39" i="13"/>
  <c r="AW428" i="13"/>
  <c r="AX428" i="13"/>
  <c r="AX271" i="13"/>
  <c r="AW271" i="13"/>
  <c r="AW308" i="13"/>
  <c r="AX308" i="13"/>
  <c r="AX80" i="13"/>
  <c r="AW80" i="13"/>
  <c r="AW140" i="13"/>
  <c r="AX140" i="13"/>
  <c r="AX347" i="13"/>
  <c r="AW347" i="13"/>
  <c r="AW551" i="13"/>
  <c r="AX551" i="13"/>
  <c r="AX155" i="13"/>
  <c r="AW155" i="13"/>
  <c r="AW158" i="13"/>
  <c r="AX158" i="13"/>
  <c r="AX417" i="13"/>
  <c r="AW417" i="13"/>
  <c r="AX450" i="13"/>
  <c r="AW450" i="13"/>
  <c r="AV9" i="13"/>
  <c r="AH131" i="4"/>
  <c r="AJ131" i="4" s="1"/>
  <c r="AW411" i="5"/>
  <c r="BA411" i="5" s="1"/>
  <c r="BB411" i="5" s="1"/>
  <c r="AW239" i="5"/>
  <c r="BA238" i="5" s="1"/>
  <c r="BB238" i="5" s="1"/>
  <c r="AX475" i="5"/>
  <c r="AX269" i="5"/>
  <c r="AW117" i="5"/>
  <c r="BA116" i="5" s="1"/>
  <c r="BB116" i="5" s="1"/>
  <c r="AX331" i="5"/>
  <c r="AW110" i="5"/>
  <c r="BA110" i="5" s="1"/>
  <c r="BB110" i="5" s="1"/>
  <c r="AW294" i="5"/>
  <c r="BA293" i="5" s="1"/>
  <c r="BB293" i="5" s="1"/>
  <c r="AX370" i="5"/>
  <c r="AW289" i="5"/>
  <c r="AX197" i="5"/>
  <c r="AW489" i="5"/>
  <c r="BA489" i="5" s="1"/>
  <c r="BB489" i="5" s="1"/>
  <c r="AW108" i="5"/>
  <c r="BA108" i="5" s="1"/>
  <c r="BB108" i="5" s="1"/>
  <c r="AW292" i="5"/>
  <c r="BA291" i="5" s="1"/>
  <c r="BB291" i="5" s="1"/>
  <c r="AX138" i="5"/>
  <c r="AW219" i="5"/>
  <c r="BA218" i="5" s="1"/>
  <c r="BB218" i="5" s="1"/>
  <c r="AW417" i="5"/>
  <c r="BA417" i="5" s="1"/>
  <c r="BB417" i="5" s="1"/>
  <c r="AX502" i="5"/>
  <c r="AX187" i="5"/>
  <c r="AW264" i="5"/>
  <c r="AX275" i="5"/>
  <c r="AW464" i="5"/>
  <c r="BA463" i="5" s="1"/>
  <c r="BB463" i="5" s="1"/>
  <c r="AX33" i="5"/>
  <c r="AW34" i="5"/>
  <c r="BA33" i="5" s="1"/>
  <c r="BB33" i="5" s="1"/>
  <c r="AW472" i="5"/>
  <c r="BA471" i="5" s="1"/>
  <c r="BB471" i="5" s="1"/>
  <c r="AX191" i="5"/>
  <c r="AX398" i="5"/>
  <c r="AW383" i="5"/>
  <c r="BA382" i="5" s="1"/>
  <c r="BB382" i="5" s="1"/>
  <c r="AW542" i="5"/>
  <c r="AX324" i="5"/>
  <c r="AW333" i="5"/>
  <c r="BA333" i="5" s="1"/>
  <c r="BB333" i="5" s="1"/>
  <c r="BA124" i="5"/>
  <c r="BB124" i="5" s="1"/>
  <c r="BA296" i="5"/>
  <c r="BB296" i="5" s="1"/>
  <c r="AX124" i="5"/>
  <c r="BA45" i="5"/>
  <c r="BB45" i="5" s="1"/>
  <c r="AX296" i="5"/>
  <c r="AW222" i="5"/>
  <c r="AW228" i="5"/>
  <c r="BA227" i="5" s="1"/>
  <c r="BB227" i="5" s="1"/>
  <c r="AW482" i="5"/>
  <c r="BA481" i="5" s="1"/>
  <c r="BB481" i="5" s="1"/>
  <c r="BA495" i="5"/>
  <c r="BB495" i="5" s="1"/>
  <c r="AW356" i="5"/>
  <c r="BA355" i="5" s="1"/>
  <c r="BB355" i="5" s="1"/>
  <c r="BA494" i="5"/>
  <c r="BB494" i="5" s="1"/>
  <c r="AW56" i="5"/>
  <c r="AW371" i="5"/>
  <c r="BA371" i="5" s="1"/>
  <c r="BB371" i="5" s="1"/>
  <c r="AX69" i="5"/>
  <c r="AX186" i="5"/>
  <c r="AW499" i="5"/>
  <c r="BA499" i="5" s="1"/>
  <c r="BB499" i="5" s="1"/>
  <c r="AW271" i="5"/>
  <c r="AW171" i="5"/>
  <c r="BA171" i="5" s="1"/>
  <c r="BB171" i="5" s="1"/>
  <c r="AX298" i="5"/>
  <c r="AW97" i="5"/>
  <c r="BA96" i="5" s="1"/>
  <c r="BB96" i="5" s="1"/>
  <c r="AX361" i="5"/>
  <c r="AX212" i="5"/>
  <c r="AX131" i="5"/>
  <c r="BA303" i="5"/>
  <c r="BB303" i="5" s="1"/>
  <c r="AX77" i="5"/>
  <c r="AW341" i="5"/>
  <c r="BA341" i="5" s="1"/>
  <c r="BB341" i="5" s="1"/>
  <c r="AX347" i="5"/>
  <c r="AX19" i="5"/>
  <c r="AX558" i="5"/>
  <c r="AX92" i="5"/>
  <c r="AW87" i="5"/>
  <c r="AW37" i="5"/>
  <c r="BA37" i="5" s="1"/>
  <c r="BB37" i="5" s="1"/>
  <c r="AW349" i="5"/>
  <c r="BA349" i="5" s="1"/>
  <c r="BB349" i="5" s="1"/>
  <c r="AW190" i="5"/>
  <c r="BA189" i="5" s="1"/>
  <c r="BB189" i="5" s="1"/>
  <c r="AX145" i="5"/>
  <c r="AX201" i="5"/>
  <c r="AW280" i="5"/>
  <c r="BA279" i="5" s="1"/>
  <c r="BB279" i="5" s="1"/>
  <c r="AW458" i="5"/>
  <c r="BA457" i="5" s="1"/>
  <c r="BB457" i="5" s="1"/>
  <c r="BA77" i="5"/>
  <c r="BB77" i="5" s="1"/>
  <c r="AX30" i="5"/>
  <c r="AX440" i="5"/>
  <c r="AW359" i="5"/>
  <c r="BA358" i="5" s="1"/>
  <c r="BB358" i="5" s="1"/>
  <c r="AW312" i="5"/>
  <c r="BA311" i="5" s="1"/>
  <c r="BB311" i="5" s="1"/>
  <c r="BA439" i="5"/>
  <c r="BB439" i="5" s="1"/>
  <c r="AX552" i="5"/>
  <c r="AW346" i="5"/>
  <c r="BA346" i="5" s="1"/>
  <c r="BB346" i="5" s="1"/>
  <c r="AX237" i="5"/>
  <c r="AX533" i="5"/>
  <c r="AX548" i="5"/>
  <c r="AX315" i="5"/>
  <c r="AW246" i="5"/>
  <c r="AX525" i="5"/>
  <c r="BA205" i="5"/>
  <c r="BB205" i="5" s="1"/>
  <c r="AX233" i="5"/>
  <c r="AW54" i="5"/>
  <c r="BA53" i="5" s="1"/>
  <c r="BB53" i="5" s="1"/>
  <c r="AW72" i="5"/>
  <c r="BA72" i="5" s="1"/>
  <c r="BB72" i="5" s="1"/>
  <c r="AW70" i="5"/>
  <c r="BA69" i="5" s="1"/>
  <c r="BB69" i="5" s="1"/>
  <c r="AW501" i="5"/>
  <c r="BA501" i="5" s="1"/>
  <c r="BB501" i="5" s="1"/>
  <c r="AX420" i="5"/>
  <c r="AX436" i="5"/>
  <c r="AW404" i="5"/>
  <c r="BA403" i="5" s="1"/>
  <c r="BB403" i="5" s="1"/>
  <c r="AX199" i="5"/>
  <c r="AX38" i="5"/>
  <c r="AW220" i="5"/>
  <c r="AX410" i="5"/>
  <c r="AW276" i="5"/>
  <c r="BA276" i="5" s="1"/>
  <c r="BB276" i="5" s="1"/>
  <c r="AX12" i="5"/>
  <c r="AX295" i="5"/>
  <c r="AW240" i="5"/>
  <c r="BA240" i="5" s="1"/>
  <c r="BB240" i="5" s="1"/>
  <c r="AX556" i="5"/>
  <c r="AX496" i="5"/>
  <c r="AX182" i="5"/>
  <c r="AX78" i="5"/>
  <c r="AX544" i="5"/>
  <c r="AX164" i="5"/>
  <c r="AW540" i="5"/>
  <c r="BA539" i="5" s="1"/>
  <c r="BB539" i="5" s="1"/>
  <c r="AW547" i="5"/>
  <c r="BA547" i="5" s="1"/>
  <c r="BB547" i="5" s="1"/>
  <c r="AX93" i="5"/>
  <c r="AX169" i="5"/>
  <c r="AX415" i="5"/>
  <c r="AX343" i="5"/>
  <c r="AW153" i="5"/>
  <c r="BA153" i="5" s="1"/>
  <c r="BB153" i="5" s="1"/>
  <c r="AW492" i="5"/>
  <c r="BA492" i="5" s="1"/>
  <c r="BB492" i="5" s="1"/>
  <c r="AX403" i="5"/>
  <c r="AX26" i="5"/>
  <c r="BA285" i="5"/>
  <c r="BB285" i="5" s="1"/>
  <c r="AW65" i="5"/>
  <c r="BA64" i="5" s="1"/>
  <c r="BB64" i="5" s="1"/>
  <c r="AW497" i="5"/>
  <c r="BA497" i="5" s="1"/>
  <c r="BB497" i="5" s="1"/>
  <c r="CE155" i="4"/>
  <c r="AX59" i="5"/>
  <c r="AD155" i="4"/>
  <c r="AE155" i="4" s="1"/>
  <c r="CH155" i="4" s="1"/>
  <c r="AW541" i="5"/>
  <c r="AX459" i="5"/>
  <c r="AW348" i="5"/>
  <c r="AX344" i="5"/>
  <c r="AW259" i="5"/>
  <c r="BA258" i="5" s="1"/>
  <c r="BB258" i="5" s="1"/>
  <c r="AW130" i="5"/>
  <c r="BA129" i="5" s="1"/>
  <c r="BB129" i="5" s="1"/>
  <c r="AX378" i="5"/>
  <c r="AX285" i="5"/>
  <c r="BA186" i="5"/>
  <c r="BB186" i="5" s="1"/>
  <c r="AH126" i="4"/>
  <c r="AJ126" i="4" s="1"/>
  <c r="AX198" i="5"/>
  <c r="AX10" i="5"/>
  <c r="AW545" i="5"/>
  <c r="BA544" i="5" s="1"/>
  <c r="BB544" i="5" s="1"/>
  <c r="AX452" i="5"/>
  <c r="AX80" i="5"/>
  <c r="BA92" i="5"/>
  <c r="BB92" i="5" s="1"/>
  <c r="CE151" i="4"/>
  <c r="AT11" i="5"/>
  <c r="BA372" i="5"/>
  <c r="BB372" i="5" s="1"/>
  <c r="AX270" i="5"/>
  <c r="BA461" i="5"/>
  <c r="BB461" i="5" s="1"/>
  <c r="AX84" i="5"/>
  <c r="AX231" i="5"/>
  <c r="AX367" i="5"/>
  <c r="AW221" i="5"/>
  <c r="AX493" i="5"/>
  <c r="AX44" i="5"/>
  <c r="AW176" i="5"/>
  <c r="BA176" i="5" s="1"/>
  <c r="BB176" i="5" s="1"/>
  <c r="AW150" i="5"/>
  <c r="AW36" i="5"/>
  <c r="BA35" i="5" s="1"/>
  <c r="BB35" i="5" s="1"/>
  <c r="AX516" i="5"/>
  <c r="AW213" i="5"/>
  <c r="BA212" i="5" s="1"/>
  <c r="BB212" i="5" s="1"/>
  <c r="AW486" i="5"/>
  <c r="BA486" i="5" s="1"/>
  <c r="BB486" i="5" s="1"/>
  <c r="AX224" i="5"/>
  <c r="AX165" i="5"/>
  <c r="AX321" i="5"/>
  <c r="AW521" i="5"/>
  <c r="BA521" i="5" s="1"/>
  <c r="BB521" i="5" s="1"/>
  <c r="AX528" i="5"/>
  <c r="AX210" i="5"/>
  <c r="AW523" i="5"/>
  <c r="BA522" i="5" s="1"/>
  <c r="BB522" i="5" s="1"/>
  <c r="AX372" i="5"/>
  <c r="AX377" i="5"/>
  <c r="AX407" i="5"/>
  <c r="AW397" i="5"/>
  <c r="BA397" i="5" s="1"/>
  <c r="BB397" i="5" s="1"/>
  <c r="AX277" i="5"/>
  <c r="AX481" i="5"/>
  <c r="AW175" i="5"/>
  <c r="AW123" i="5"/>
  <c r="BA123" i="5" s="1"/>
  <c r="BB123" i="5" s="1"/>
  <c r="AW52" i="5"/>
  <c r="BA52" i="5" s="1"/>
  <c r="BB52" i="5" s="1"/>
  <c r="AX50" i="5"/>
  <c r="AX25" i="5"/>
  <c r="BA26" i="5"/>
  <c r="BB26" i="5" s="1"/>
  <c r="AX487" i="5"/>
  <c r="AX35" i="5"/>
  <c r="AX177" i="5"/>
  <c r="AX23" i="5"/>
  <c r="AD9" i="5"/>
  <c r="AX469" i="5"/>
  <c r="AW416" i="5"/>
  <c r="AX423" i="5"/>
  <c r="AX148" i="5"/>
  <c r="AX515" i="5"/>
  <c r="AX539" i="5"/>
  <c r="AW76" i="5"/>
  <c r="BA76" i="5" s="1"/>
  <c r="BB76" i="5" s="1"/>
  <c r="AX90" i="5"/>
  <c r="AW28" i="5"/>
  <c r="AX121" i="5"/>
  <c r="AX125" i="5"/>
  <c r="AX334" i="5"/>
  <c r="AH151" i="4"/>
  <c r="AJ151" i="4" s="1"/>
  <c r="AW543" i="5"/>
  <c r="AX358" i="5"/>
  <c r="AX184" i="5"/>
  <c r="AX27" i="5"/>
  <c r="AW419" i="5"/>
  <c r="BA419" i="5" s="1"/>
  <c r="BB419" i="5" s="1"/>
  <c r="AW449" i="5"/>
  <c r="BA449" i="5" s="1"/>
  <c r="BB449" i="5" s="1"/>
  <c r="AW260" i="5"/>
  <c r="BA260" i="5" s="1"/>
  <c r="BB260" i="5" s="1"/>
  <c r="AX22" i="5"/>
  <c r="AX139" i="5"/>
  <c r="BA32" i="5"/>
  <c r="BB32" i="5" s="1"/>
  <c r="BA552" i="5"/>
  <c r="BB552" i="5" s="1"/>
  <c r="CE123" i="4"/>
  <c r="AX519" i="5"/>
  <c r="AX553" i="5"/>
  <c r="AW8" i="5"/>
  <c r="AW229" i="5"/>
  <c r="BA229" i="5" s="1"/>
  <c r="BB229" i="5" s="1"/>
  <c r="AX301" i="5"/>
  <c r="AW402" i="5"/>
  <c r="BA402" i="5" s="1"/>
  <c r="BB402" i="5" s="1"/>
  <c r="AX323" i="5"/>
  <c r="AX58" i="5"/>
  <c r="AW554" i="5"/>
  <c r="BA553" i="5" s="1"/>
  <c r="BB553" i="5" s="1"/>
  <c r="AX401" i="5"/>
  <c r="AW250" i="5"/>
  <c r="AX535" i="5"/>
  <c r="AJ123" i="4"/>
  <c r="AW245" i="5"/>
  <c r="AX47" i="5"/>
  <c r="AX506" i="5"/>
  <c r="AX230" i="5"/>
  <c r="AX342" i="5"/>
  <c r="AX170" i="5"/>
  <c r="AW194" i="5"/>
  <c r="BA194" i="5" s="1"/>
  <c r="BB194" i="5" s="1"/>
  <c r="BA456" i="5"/>
  <c r="BB456" i="5" s="1"/>
  <c r="AW306" i="5"/>
  <c r="BA305" i="5" s="1"/>
  <c r="BB305" i="5" s="1"/>
  <c r="AX45" i="5"/>
  <c r="AX166" i="5"/>
  <c r="AW379" i="5"/>
  <c r="BA378" i="5" s="1"/>
  <c r="BB378" i="5" s="1"/>
  <c r="AJ155" i="4"/>
  <c r="BA307" i="5"/>
  <c r="BB307" i="5" s="1"/>
  <c r="AX500" i="5"/>
  <c r="AX172" i="5"/>
  <c r="AX307" i="5"/>
  <c r="AX457" i="5"/>
  <c r="AW474" i="5"/>
  <c r="BA474" i="5" s="1"/>
  <c r="BB474" i="5" s="1"/>
  <c r="AX476" i="5"/>
  <c r="AW473" i="5"/>
  <c r="AX513" i="5"/>
  <c r="AW405" i="5"/>
  <c r="AV11" i="5"/>
  <c r="AW11" i="5" s="1"/>
  <c r="AX211" i="5"/>
  <c r="AX338" i="5"/>
  <c r="BA25" i="5"/>
  <c r="BB25" i="5" s="1"/>
  <c r="AX31" i="5"/>
  <c r="AW137" i="5"/>
  <c r="BA137" i="5" s="1"/>
  <c r="BB137" i="5" s="1"/>
  <c r="AW524" i="5"/>
  <c r="BA67" i="5"/>
  <c r="BB67" i="5" s="1"/>
  <c r="AX439" i="5"/>
  <c r="AX336" i="5"/>
  <c r="AU9" i="5"/>
  <c r="AX226" i="5"/>
  <c r="AW161" i="5"/>
  <c r="BA161" i="5" s="1"/>
  <c r="BB161" i="5" s="1"/>
  <c r="AX127" i="5"/>
  <c r="BA226" i="5"/>
  <c r="BB226" i="5" s="1"/>
  <c r="AX491" i="5"/>
  <c r="AX73" i="5"/>
  <c r="AX111" i="5"/>
  <c r="AX310" i="5"/>
  <c r="AX484" i="5"/>
  <c r="AW86" i="5"/>
  <c r="BA85" i="5" s="1"/>
  <c r="BB85" i="5" s="1"/>
  <c r="AW429" i="5"/>
  <c r="BA429" i="5" s="1"/>
  <c r="BB429" i="5" s="1"/>
  <c r="AX463" i="5"/>
  <c r="AW40" i="5"/>
  <c r="BA39" i="5" s="1"/>
  <c r="BB39" i="5" s="1"/>
  <c r="AW470" i="5"/>
  <c r="BA470" i="5" s="1"/>
  <c r="BB470" i="5" s="1"/>
  <c r="AW257" i="5"/>
  <c r="BA257" i="5" s="1"/>
  <c r="BB257" i="5" s="1"/>
  <c r="AX438" i="5"/>
  <c r="AX266" i="5"/>
  <c r="AV9" i="5"/>
  <c r="AX9" i="5" s="1"/>
  <c r="BA225" i="5"/>
  <c r="BB225" i="5" s="1"/>
  <c r="AW426" i="5"/>
  <c r="BA425" i="5" s="1"/>
  <c r="BB425" i="5" s="1"/>
  <c r="AW364" i="5"/>
  <c r="AX483" i="5"/>
  <c r="AX350" i="5"/>
  <c r="AW374" i="5"/>
  <c r="BA374" i="5" s="1"/>
  <c r="BB374" i="5" s="1"/>
  <c r="AW193" i="5"/>
  <c r="AX479" i="5"/>
  <c r="AD126" i="4"/>
  <c r="AE126" i="4" s="1"/>
  <c r="CH126" i="4" s="1"/>
  <c r="AW204" i="5"/>
  <c r="BA203" i="5" s="1"/>
  <c r="BB203" i="5" s="1"/>
  <c r="AX244" i="5"/>
  <c r="AX369" i="5"/>
  <c r="AX531" i="5"/>
  <c r="AW236" i="5"/>
  <c r="BA235" i="5" s="1"/>
  <c r="BB235" i="5" s="1"/>
  <c r="AW546" i="5"/>
  <c r="AW42" i="5"/>
  <c r="BA41" i="5" s="1"/>
  <c r="BB41" i="5" s="1"/>
  <c r="AX225" i="5"/>
  <c r="AE11" i="5"/>
  <c r="CE129" i="4"/>
  <c r="AH113" i="4"/>
  <c r="AJ113" i="4" s="1"/>
  <c r="AD113" i="4"/>
  <c r="AE113" i="4" s="1"/>
  <c r="CH113" i="4" s="1"/>
  <c r="AH129" i="4"/>
  <c r="AJ129" i="4" s="1"/>
  <c r="CE121" i="4"/>
  <c r="AH121" i="4"/>
  <c r="AJ121" i="4" s="1"/>
  <c r="AD141" i="4"/>
  <c r="AE141" i="4" s="1"/>
  <c r="CH141" i="4" s="1"/>
  <c r="AH141" i="4"/>
  <c r="AJ141" i="4" s="1"/>
  <c r="CE156" i="4"/>
  <c r="AH156" i="4"/>
  <c r="AJ156" i="4" s="1"/>
  <c r="BA555" i="5"/>
  <c r="BB555" i="5" s="1"/>
  <c r="BA380" i="5"/>
  <c r="BB380" i="5" s="1"/>
  <c r="BA197" i="5"/>
  <c r="BB197" i="5" s="1"/>
  <c r="BA319" i="5"/>
  <c r="BB319" i="5" s="1"/>
  <c r="BA234" i="5"/>
  <c r="BB234" i="5" s="1"/>
  <c r="BA151" i="5"/>
  <c r="BB151" i="5" s="1"/>
  <c r="BA350" i="5"/>
  <c r="BB350" i="5" s="1"/>
  <c r="BA61" i="5"/>
  <c r="BB61" i="5" s="1"/>
  <c r="BA446" i="5"/>
  <c r="BB446" i="5" s="1"/>
  <c r="BA163" i="5"/>
  <c r="BB163" i="5" s="1"/>
  <c r="BA298" i="5"/>
  <c r="BB298" i="5" s="1"/>
  <c r="BA310" i="5"/>
  <c r="BB310" i="5" s="1"/>
  <c r="BA139" i="5"/>
  <c r="BB139" i="5" s="1"/>
  <c r="BA334" i="5"/>
  <c r="BB334" i="5" s="1"/>
  <c r="BA509" i="5"/>
  <c r="BB509" i="5" s="1"/>
  <c r="BA48" i="5"/>
  <c r="BB48" i="5" s="1"/>
  <c r="BA172" i="5"/>
  <c r="BB172" i="5" s="1"/>
  <c r="BA483" i="5"/>
  <c r="BB483" i="5" s="1"/>
  <c r="BA385" i="5"/>
  <c r="BB385" i="5" s="1"/>
  <c r="BA384" i="5"/>
  <c r="BB384" i="5" s="1"/>
  <c r="BA329" i="5"/>
  <c r="BB329" i="5" s="1"/>
  <c r="BA201" i="5"/>
  <c r="BB201" i="5" s="1"/>
  <c r="BA142" i="5"/>
  <c r="BB142" i="5" s="1"/>
  <c r="BA206" i="5"/>
  <c r="BB206" i="5" s="1"/>
  <c r="BA112" i="5"/>
  <c r="BB112" i="5" s="1"/>
  <c r="BA179" i="5"/>
  <c r="BB179" i="5" s="1"/>
  <c r="BA299" i="5"/>
  <c r="BB299" i="5" s="1"/>
  <c r="BA400" i="5"/>
  <c r="BB400" i="5" s="1"/>
  <c r="CI108" i="4"/>
  <c r="CJ108" i="4" s="1"/>
  <c r="CI67" i="4"/>
  <c r="CJ67" i="4" s="1"/>
  <c r="BA251" i="5"/>
  <c r="BB251" i="5" s="1"/>
  <c r="BA433" i="5"/>
  <c r="BB433" i="5" s="1"/>
  <c r="CI78" i="4"/>
  <c r="CJ78" i="4" s="1"/>
  <c r="BA409" i="5"/>
  <c r="BB409" i="5" s="1"/>
  <c r="BA266" i="5"/>
  <c r="BB266" i="5" s="1"/>
  <c r="BA49" i="5"/>
  <c r="BB49" i="5" s="1"/>
  <c r="BA366" i="5"/>
  <c r="BB366" i="5" s="1"/>
  <c r="BA339" i="5"/>
  <c r="BB339" i="5" s="1"/>
  <c r="CI114" i="4"/>
  <c r="CJ114" i="4" s="1"/>
  <c r="CI143" i="4"/>
  <c r="CJ143" i="4" s="1"/>
  <c r="CI152" i="4"/>
  <c r="CJ152" i="4" s="1"/>
  <c r="BA434" i="5"/>
  <c r="BB434" i="5" s="1"/>
  <c r="CI65" i="4"/>
  <c r="CJ65" i="4" s="1"/>
  <c r="CI124" i="4"/>
  <c r="CJ124" i="4" s="1"/>
  <c r="CI84" i="4"/>
  <c r="CJ84" i="4" s="1"/>
  <c r="CI51" i="4"/>
  <c r="CJ51" i="4" s="1"/>
  <c r="CI64" i="4"/>
  <c r="CJ64" i="4" s="1"/>
  <c r="CI119" i="4"/>
  <c r="CJ119" i="4" s="1"/>
  <c r="CI133" i="4"/>
  <c r="CJ133" i="4" s="1"/>
  <c r="BA527" i="5"/>
  <c r="BB527" i="5" s="1"/>
  <c r="BA389" i="5"/>
  <c r="BB389" i="5" s="1"/>
  <c r="BA324" i="5"/>
  <c r="BB324" i="5" s="1"/>
  <c r="CI138" i="4"/>
  <c r="CJ138" i="4" s="1"/>
  <c r="CI157" i="4"/>
  <c r="CJ157" i="4" s="1"/>
  <c r="BA531" i="5"/>
  <c r="BB531" i="5" s="1"/>
  <c r="BA344" i="5"/>
  <c r="BB344" i="5" s="1"/>
  <c r="BA209" i="5"/>
  <c r="BB209" i="5" s="1"/>
  <c r="BA156" i="5"/>
  <c r="BB156" i="5" s="1"/>
  <c r="BA164" i="5"/>
  <c r="BB164" i="5" s="1"/>
  <c r="BA243" i="5"/>
  <c r="BB243" i="5" s="1"/>
  <c r="BA83" i="5"/>
  <c r="BB83" i="5" s="1"/>
  <c r="BA508" i="5"/>
  <c r="BB508" i="5" s="1"/>
  <c r="BA73" i="5"/>
  <c r="BB73" i="5" s="1"/>
  <c r="BA377" i="5"/>
  <c r="BB377" i="5" s="1"/>
  <c r="BA182" i="5"/>
  <c r="BB182" i="5" s="1"/>
  <c r="BA207" i="5"/>
  <c r="BB207" i="5" s="1"/>
  <c r="BA479" i="5"/>
  <c r="BB479" i="5" s="1"/>
  <c r="BA30" i="5"/>
  <c r="BB30" i="5" s="1"/>
  <c r="BA131" i="5"/>
  <c r="BB131" i="5" s="1"/>
  <c r="BA230" i="5"/>
  <c r="BB230" i="5" s="1"/>
  <c r="BA125" i="5"/>
  <c r="BB125" i="5" s="1"/>
  <c r="BA395" i="5"/>
  <c r="BB395" i="5" s="1"/>
  <c r="BA118" i="5"/>
  <c r="BB118" i="5" s="1"/>
  <c r="BA21" i="5"/>
  <c r="BB21" i="5" s="1"/>
  <c r="BA518" i="5"/>
  <c r="BB518" i="5" s="1"/>
  <c r="BA534" i="5"/>
  <c r="BB534" i="5" s="1"/>
  <c r="BA224" i="5"/>
  <c r="BB224" i="5" s="1"/>
  <c r="BA165" i="5"/>
  <c r="BB165" i="5" s="1"/>
  <c r="BA398" i="5"/>
  <c r="BB398" i="5" s="1"/>
  <c r="BA315" i="5"/>
  <c r="BB315" i="5" s="1"/>
  <c r="BA20" i="5"/>
  <c r="BB20" i="5" s="1"/>
  <c r="BA414" i="5"/>
  <c r="BB414" i="5" s="1"/>
  <c r="BA282" i="5"/>
  <c r="BB282" i="5" s="1"/>
  <c r="BA155" i="5"/>
  <c r="BB155" i="5" s="1"/>
  <c r="BA74" i="5"/>
  <c r="BB74" i="5" s="1"/>
  <c r="BA528" i="5"/>
  <c r="BB528" i="5" s="1"/>
  <c r="BA184" i="5"/>
  <c r="BB184" i="5" s="1"/>
  <c r="BA180" i="5"/>
  <c r="BB180" i="5" s="1"/>
  <c r="BA392" i="5"/>
  <c r="BB392" i="5" s="1"/>
  <c r="BA199" i="5"/>
  <c r="BB199" i="5" s="1"/>
  <c r="BA452" i="5"/>
  <c r="BB452" i="5" s="1"/>
  <c r="BA252" i="5"/>
  <c r="BB252" i="5" s="1"/>
  <c r="BA273" i="5"/>
  <c r="BB273" i="5" s="1"/>
  <c r="BA99" i="5"/>
  <c r="BB99" i="5" s="1"/>
  <c r="CI70" i="4"/>
  <c r="CJ70" i="4" s="1"/>
  <c r="CI104" i="4"/>
  <c r="CJ104" i="4" s="1"/>
  <c r="CI142" i="4"/>
  <c r="CJ142" i="4" s="1"/>
  <c r="BA81" i="5"/>
  <c r="BB81" i="5" s="1"/>
  <c r="CI147" i="4"/>
  <c r="CJ147" i="4" s="1"/>
  <c r="CI83" i="4"/>
  <c r="CJ83" i="4" s="1"/>
  <c r="CI42" i="4"/>
  <c r="CJ42" i="4" s="1"/>
  <c r="BA169" i="5"/>
  <c r="BB169" i="5" s="1"/>
  <c r="CI27" i="4"/>
  <c r="CJ27" i="4" s="1"/>
  <c r="BA90" i="5"/>
  <c r="BB90" i="5" s="1"/>
  <c r="BA550" i="5"/>
  <c r="BB550" i="5" s="1"/>
  <c r="BA79" i="5"/>
  <c r="BB79" i="5" s="1"/>
  <c r="CI79" i="4"/>
  <c r="CJ79" i="4" s="1"/>
  <c r="BA316" i="5"/>
  <c r="BB316" i="5" s="1"/>
  <c r="BA352" i="5"/>
  <c r="BB352" i="5" s="1"/>
  <c r="CI85" i="4"/>
  <c r="CJ85" i="4" s="1"/>
  <c r="BA304" i="5"/>
  <c r="BB304" i="5" s="1"/>
  <c r="CI17" i="4"/>
  <c r="CJ17" i="4" s="1"/>
  <c r="BA261" i="5"/>
  <c r="BB261" i="5" s="1"/>
  <c r="CI130" i="4"/>
  <c r="CJ130" i="4" s="1"/>
  <c r="CI66" i="4"/>
  <c r="CJ66" i="4" s="1"/>
  <c r="CI140" i="4"/>
  <c r="CJ140" i="4" s="1"/>
  <c r="BA93" i="5"/>
  <c r="BB93" i="5" s="1"/>
  <c r="BA94" i="5"/>
  <c r="BB94" i="5" s="1"/>
  <c r="CI82" i="4"/>
  <c r="CJ82" i="4" s="1"/>
  <c r="BA98" i="5"/>
  <c r="BB98" i="5" s="1"/>
  <c r="BA515" i="5"/>
  <c r="BB515" i="5" s="1"/>
  <c r="BA436" i="5"/>
  <c r="BB436" i="5" s="1"/>
  <c r="BA58" i="5"/>
  <c r="BB58" i="5" s="1"/>
  <c r="BA535" i="5"/>
  <c r="BB535" i="5" s="1"/>
  <c r="BA368" i="5"/>
  <c r="BB368" i="5" s="1"/>
  <c r="BA526" i="5"/>
  <c r="BB526" i="5" s="1"/>
  <c r="BA510" i="5"/>
  <c r="BB510" i="5" s="1"/>
  <c r="CI107" i="4"/>
  <c r="CJ107" i="4" s="1"/>
  <c r="CI59" i="4"/>
  <c r="CJ59" i="4" s="1"/>
  <c r="CI74" i="4"/>
  <c r="CJ74" i="4" s="1"/>
  <c r="CI68" i="4"/>
  <c r="CJ68" i="4" s="1"/>
  <c r="CI93" i="4"/>
  <c r="CJ93" i="4" s="1"/>
  <c r="BA210" i="5"/>
  <c r="BB210" i="5" s="1"/>
  <c r="CI144" i="4"/>
  <c r="CJ144" i="4" s="1"/>
  <c r="BA166" i="5"/>
  <c r="BB166" i="5" s="1"/>
  <c r="CI28" i="4"/>
  <c r="CJ28" i="4" s="1"/>
  <c r="BA132" i="5"/>
  <c r="BB132" i="5" s="1"/>
  <c r="CI36" i="4"/>
  <c r="CJ36" i="4" s="1"/>
  <c r="BA262" i="5"/>
  <c r="BB262" i="5" s="1"/>
  <c r="BA60" i="5"/>
  <c r="BB60" i="5" s="1"/>
  <c r="BA274" i="5"/>
  <c r="BB274" i="5" s="1"/>
  <c r="CI106" i="4"/>
  <c r="CJ106" i="4" s="1"/>
  <c r="BA177" i="5"/>
  <c r="BB177" i="5" s="1"/>
  <c r="BA519" i="5"/>
  <c r="BB519" i="5" s="1"/>
  <c r="BA435" i="5"/>
  <c r="BB435" i="5" s="1"/>
  <c r="CI86" i="4"/>
  <c r="CJ86" i="4" s="1"/>
  <c r="CI15" i="4"/>
  <c r="CJ15" i="4" s="1"/>
  <c r="CI90" i="4"/>
  <c r="CJ90" i="4" s="1"/>
  <c r="BA538" i="5"/>
  <c r="BB538" i="5" s="1"/>
  <c r="BA330" i="5"/>
  <c r="BB330" i="5" s="1"/>
  <c r="BA335" i="5"/>
  <c r="BB335" i="5" s="1"/>
  <c r="CI111" i="4"/>
  <c r="CJ111" i="4" s="1"/>
  <c r="BA283" i="5"/>
  <c r="BB283" i="5" s="1"/>
  <c r="BA503" i="5"/>
  <c r="BB503" i="5" s="1"/>
  <c r="AN73" i="4"/>
  <c r="AQ73" i="4"/>
  <c r="AR73" i="4" s="1"/>
  <c r="AQ32" i="4"/>
  <c r="AR32" i="4" s="1"/>
  <c r="AN32" i="4"/>
  <c r="BA38" i="5"/>
  <c r="BB38" i="5" s="1"/>
  <c r="AN39" i="4"/>
  <c r="AQ39" i="4"/>
  <c r="AR39" i="4" s="1"/>
  <c r="AQ68" i="4"/>
  <c r="AR68" i="4" s="1"/>
  <c r="AN68" i="4"/>
  <c r="BA214" i="5"/>
  <c r="BB214" i="5" s="1"/>
  <c r="AN150" i="4"/>
  <c r="AQ150" i="4"/>
  <c r="AR150" i="4" s="1"/>
  <c r="BA437" i="5"/>
  <c r="BB437" i="5" s="1"/>
  <c r="AQ123" i="4"/>
  <c r="AR123" i="4" s="1"/>
  <c r="AN123" i="4"/>
  <c r="AN51" i="4"/>
  <c r="AQ51" i="4"/>
  <c r="AR51" i="4" s="1"/>
  <c r="AQ11" i="4"/>
  <c r="AR11" i="4" s="1"/>
  <c r="AN11" i="4"/>
  <c r="AN63" i="4"/>
  <c r="AQ63" i="4"/>
  <c r="AR63" i="4" s="1"/>
  <c r="AQ93" i="4"/>
  <c r="AR93" i="4" s="1"/>
  <c r="AN93" i="4"/>
  <c r="AQ65" i="4"/>
  <c r="AR65" i="4" s="1"/>
  <c r="AN65" i="4"/>
  <c r="AN22" i="4"/>
  <c r="AQ22" i="4"/>
  <c r="AR22" i="4" s="1"/>
  <c r="CI132" i="4"/>
  <c r="CJ132" i="4" s="1"/>
  <c r="CI46" i="4"/>
  <c r="CJ46" i="4" s="1"/>
  <c r="CI96" i="4"/>
  <c r="CJ96" i="4" s="1"/>
  <c r="AN59" i="4"/>
  <c r="AQ59" i="4"/>
  <c r="AR59" i="4" s="1"/>
  <c r="BA459" i="5"/>
  <c r="BB459" i="5" s="1"/>
  <c r="CI37" i="4"/>
  <c r="CJ37" i="4" s="1"/>
  <c r="CI94" i="4"/>
  <c r="CJ94" i="4" s="1"/>
  <c r="CI60" i="4"/>
  <c r="CJ60" i="4" s="1"/>
  <c r="CI11" i="4"/>
  <c r="CJ11" i="4" s="1"/>
  <c r="AQ67" i="4"/>
  <c r="AR67" i="4" s="1"/>
  <c r="AN67" i="4"/>
  <c r="AQ126" i="4"/>
  <c r="AR126" i="4" s="1"/>
  <c r="AN126" i="4"/>
  <c r="AN36" i="4"/>
  <c r="AQ36" i="4"/>
  <c r="AR36" i="4" s="1"/>
  <c r="AN69" i="4"/>
  <c r="AQ69" i="4"/>
  <c r="AR69" i="4" s="1"/>
  <c r="CI49" i="4"/>
  <c r="CJ49" i="4" s="1"/>
  <c r="CI103" i="4"/>
  <c r="CJ103" i="4" s="1"/>
  <c r="BA91" i="5"/>
  <c r="BB91" i="5" s="1"/>
  <c r="AQ25" i="4"/>
  <c r="AR25" i="4" s="1"/>
  <c r="AN25" i="4"/>
  <c r="CI76" i="4"/>
  <c r="CJ76" i="4" s="1"/>
  <c r="BA427" i="5"/>
  <c r="BB427" i="5" s="1"/>
  <c r="CI62" i="4"/>
  <c r="CJ62" i="4" s="1"/>
  <c r="AN95" i="4"/>
  <c r="AQ95" i="4"/>
  <c r="AR95" i="4" s="1"/>
  <c r="CI112" i="4"/>
  <c r="CJ112" i="4" s="1"/>
  <c r="CI98" i="4"/>
  <c r="CJ98" i="4" s="1"/>
  <c r="CI145" i="4"/>
  <c r="CJ145" i="4" s="1"/>
  <c r="BA337" i="5"/>
  <c r="BB337" i="5" s="1"/>
  <c r="CI38" i="4"/>
  <c r="CJ38" i="4" s="1"/>
  <c r="CI32" i="4"/>
  <c r="CJ32" i="4" s="1"/>
  <c r="BA145" i="5"/>
  <c r="BB145" i="5" s="1"/>
  <c r="BA532" i="5"/>
  <c r="BB532" i="5" s="1"/>
  <c r="BA188" i="5"/>
  <c r="BB188" i="5" s="1"/>
  <c r="BA111" i="5"/>
  <c r="BB111" i="5" s="1"/>
  <c r="AN15" i="4"/>
  <c r="AQ15" i="4"/>
  <c r="AR15" i="4" s="1"/>
  <c r="BA467" i="5"/>
  <c r="BB467" i="5" s="1"/>
  <c r="BA460" i="5"/>
  <c r="BB460" i="5" s="1"/>
  <c r="BA43" i="5"/>
  <c r="BB43" i="5" s="1"/>
  <c r="BA178" i="5"/>
  <c r="BB178" i="5" s="1"/>
  <c r="BA462" i="5"/>
  <c r="BB462" i="5" s="1"/>
  <c r="BA413" i="5"/>
  <c r="BB413" i="5" s="1"/>
  <c r="BA141" i="5"/>
  <c r="BB141" i="5" s="1"/>
  <c r="BA191" i="5"/>
  <c r="BB191" i="5" s="1"/>
  <c r="BA154" i="5"/>
  <c r="BB154" i="5" s="1"/>
  <c r="AQ70" i="4"/>
  <c r="AR70" i="4" s="1"/>
  <c r="AN70" i="4"/>
  <c r="BA232" i="5"/>
  <c r="BB232" i="5" s="1"/>
  <c r="BA338" i="5"/>
  <c r="BB338" i="5" s="1"/>
  <c r="AQ29" i="4"/>
  <c r="AR29" i="4" s="1"/>
  <c r="AN29" i="4"/>
  <c r="AQ74" i="4"/>
  <c r="AR74" i="4" s="1"/>
  <c r="AN74" i="4"/>
  <c r="CI34" i="4"/>
  <c r="CJ34" i="4" s="1"/>
  <c r="BA351" i="5"/>
  <c r="BB351" i="5" s="1"/>
  <c r="AQ41" i="4"/>
  <c r="AR41" i="4" s="1"/>
  <c r="AN41" i="4"/>
  <c r="AQ46" i="4"/>
  <c r="AR46" i="4" s="1"/>
  <c r="AN46" i="4"/>
  <c r="AQ154" i="4"/>
  <c r="AR154" i="4" s="1"/>
  <c r="AN154" i="4"/>
  <c r="CI122" i="4"/>
  <c r="CJ122" i="4" s="1"/>
  <c r="BA84" i="5"/>
  <c r="BB84" i="5" s="1"/>
  <c r="CI72" i="4"/>
  <c r="CJ72" i="4" s="1"/>
  <c r="BA290" i="5"/>
  <c r="BB290" i="5" s="1"/>
  <c r="AQ148" i="4"/>
  <c r="AR148" i="4" s="1"/>
  <c r="AN148" i="4"/>
  <c r="AQ21" i="4"/>
  <c r="AR21" i="4" s="1"/>
  <c r="AN21" i="4"/>
  <c r="BA68" i="5"/>
  <c r="BB68" i="5" s="1"/>
  <c r="AQ87" i="4"/>
  <c r="AR87" i="4" s="1"/>
  <c r="AN87" i="4"/>
  <c r="AN112" i="4"/>
  <c r="AQ112" i="4"/>
  <c r="AR112" i="4" s="1"/>
  <c r="BA62" i="5"/>
  <c r="BB62" i="5" s="1"/>
  <c r="AN31" i="4"/>
  <c r="AQ31" i="4"/>
  <c r="AR31" i="4" s="1"/>
  <c r="AN30" i="4"/>
  <c r="AQ30" i="4"/>
  <c r="AR30" i="4" s="1"/>
  <c r="AQ131" i="4"/>
  <c r="AR131" i="4" s="1"/>
  <c r="AN131" i="4"/>
  <c r="AQ110" i="4"/>
  <c r="AR110" i="4" s="1"/>
  <c r="AN110" i="4"/>
  <c r="AN111" i="4"/>
  <c r="AQ111" i="4"/>
  <c r="AR111" i="4" s="1"/>
  <c r="AN146" i="4"/>
  <c r="AQ146" i="4"/>
  <c r="AR146" i="4" s="1"/>
  <c r="BA187" i="5"/>
  <c r="BB187" i="5" s="1"/>
  <c r="AN84" i="4"/>
  <c r="AQ84" i="4"/>
  <c r="AR84" i="4" s="1"/>
  <c r="CI9" i="4"/>
  <c r="CJ9" i="4" s="1"/>
  <c r="AN76" i="4"/>
  <c r="AQ76" i="4"/>
  <c r="AR76" i="4" s="1"/>
  <c r="CI19" i="4"/>
  <c r="CJ19" i="4" s="1"/>
  <c r="AN71" i="4"/>
  <c r="AQ71" i="4"/>
  <c r="AR71" i="4" s="1"/>
  <c r="BA367" i="5"/>
  <c r="BB367" i="5" s="1"/>
  <c r="AQ37" i="4"/>
  <c r="AR37" i="4" s="1"/>
  <c r="AN37" i="4"/>
  <c r="AN72" i="4"/>
  <c r="AQ72" i="4"/>
  <c r="AR72" i="4" s="1"/>
  <c r="CI120" i="4"/>
  <c r="CJ120" i="4" s="1"/>
  <c r="CI81" i="4"/>
  <c r="CJ81" i="4" s="1"/>
  <c r="CI148" i="4"/>
  <c r="CJ148" i="4" s="1"/>
  <c r="AN57" i="4"/>
  <c r="AQ57" i="4"/>
  <c r="AR57" i="4" s="1"/>
  <c r="BA121" i="5"/>
  <c r="BB121" i="5" s="1"/>
  <c r="BA200" i="5"/>
  <c r="BB200" i="5" s="1"/>
  <c r="CI10" i="4"/>
  <c r="CJ10" i="4" s="1"/>
  <c r="BA336" i="5"/>
  <c r="BB336" i="5" s="1"/>
  <c r="AN16" i="4"/>
  <c r="AQ16" i="4"/>
  <c r="AR16" i="4" s="1"/>
  <c r="BA423" i="5"/>
  <c r="BB423" i="5" s="1"/>
  <c r="AN101" i="4"/>
  <c r="AQ101" i="4"/>
  <c r="AR101" i="4" s="1"/>
  <c r="AQ133" i="4"/>
  <c r="AR133" i="4" s="1"/>
  <c r="AN133" i="4"/>
  <c r="CI115" i="4"/>
  <c r="CJ115" i="4" s="1"/>
  <c r="AN18" i="4"/>
  <c r="AQ18" i="4"/>
  <c r="AR18" i="4" s="1"/>
  <c r="AN96" i="4"/>
  <c r="AQ96" i="4"/>
  <c r="AR96" i="4" s="1"/>
  <c r="AN140" i="4"/>
  <c r="AQ140" i="4"/>
  <c r="AR140" i="4" s="1"/>
  <c r="BA451" i="5"/>
  <c r="BB451" i="5" s="1"/>
  <c r="BA530" i="5"/>
  <c r="BB530" i="5" s="1"/>
  <c r="AQ122" i="4"/>
  <c r="AR122" i="4" s="1"/>
  <c r="AN122" i="4"/>
  <c r="BA63" i="5"/>
  <c r="BB63" i="5" s="1"/>
  <c r="BA475" i="5"/>
  <c r="BB475" i="5" s="1"/>
  <c r="BA50" i="5"/>
  <c r="BB50" i="5" s="1"/>
  <c r="BA103" i="5"/>
  <c r="BB103" i="5" s="1"/>
  <c r="BA126" i="5"/>
  <c r="BB126" i="5" s="1"/>
  <c r="CI16" i="4"/>
  <c r="CJ16" i="4" s="1"/>
  <c r="CI95" i="4"/>
  <c r="CJ95" i="4" s="1"/>
  <c r="BA59" i="5"/>
  <c r="BB59" i="5" s="1"/>
  <c r="CI30" i="4"/>
  <c r="CJ30" i="4" s="1"/>
  <c r="BA399" i="5"/>
  <c r="BB399" i="5" s="1"/>
  <c r="AN9" i="4"/>
  <c r="AQ9" i="4"/>
  <c r="AR9" i="4" s="1"/>
  <c r="CI57" i="4"/>
  <c r="CJ57" i="4" s="1"/>
  <c r="BA183" i="5"/>
  <c r="BB183" i="5" s="1"/>
  <c r="AQ64" i="4"/>
  <c r="AR64" i="4" s="1"/>
  <c r="AN64" i="4"/>
  <c r="AN139" i="4"/>
  <c r="AQ139" i="4"/>
  <c r="AR139" i="4" s="1"/>
  <c r="BA317" i="5"/>
  <c r="BB317" i="5" s="1"/>
  <c r="AN78" i="4"/>
  <c r="AQ78" i="4"/>
  <c r="AR78" i="4" s="1"/>
  <c r="BA381" i="5"/>
  <c r="BB381" i="5" s="1"/>
  <c r="AQ128" i="4"/>
  <c r="AR128" i="4" s="1"/>
  <c r="AN128" i="4"/>
  <c r="AN90" i="4"/>
  <c r="AQ90" i="4"/>
  <c r="AR90" i="4" s="1"/>
  <c r="CI54" i="4"/>
  <c r="CJ54" i="4" s="1"/>
  <c r="AN50" i="4"/>
  <c r="AQ50" i="4"/>
  <c r="AR50" i="4" s="1"/>
  <c r="BA215" i="5"/>
  <c r="BB215" i="5" s="1"/>
  <c r="AN47" i="4"/>
  <c r="AQ47" i="4"/>
  <c r="AR47" i="4" s="1"/>
  <c r="CI150" i="4"/>
  <c r="CJ150" i="4" s="1"/>
  <c r="AQ66" i="4"/>
  <c r="AR66" i="4" s="1"/>
  <c r="AN66" i="4"/>
  <c r="AQ99" i="4"/>
  <c r="AR99" i="4" s="1"/>
  <c r="AN99" i="4"/>
  <c r="AQ54" i="4"/>
  <c r="AR54" i="4" s="1"/>
  <c r="AN54" i="4"/>
  <c r="AN118" i="4"/>
  <c r="AQ118" i="4"/>
  <c r="AR118" i="4" s="1"/>
  <c r="AQ121" i="4"/>
  <c r="AR121" i="4" s="1"/>
  <c r="AN121" i="4"/>
  <c r="BA80" i="5"/>
  <c r="BB80" i="5" s="1"/>
  <c r="BA444" i="5"/>
  <c r="BB444" i="5" s="1"/>
  <c r="CI63" i="4"/>
  <c r="CJ63" i="4" s="1"/>
  <c r="AQ125" i="4"/>
  <c r="AR125" i="4" s="1"/>
  <c r="AN125" i="4"/>
  <c r="CI101" i="4"/>
  <c r="CJ101" i="4" s="1"/>
  <c r="AQ52" i="4"/>
  <c r="AR52" i="4" s="1"/>
  <c r="AN52" i="4"/>
  <c r="AQ33" i="4"/>
  <c r="AR33" i="4" s="1"/>
  <c r="AN33" i="4"/>
  <c r="BA512" i="5"/>
  <c r="BB512" i="5" s="1"/>
  <c r="AQ81" i="4"/>
  <c r="AR81" i="4" s="1"/>
  <c r="AN81" i="4"/>
  <c r="BA447" i="5"/>
  <c r="BB447" i="5" s="1"/>
  <c r="AQ105" i="4"/>
  <c r="AR105" i="4" s="1"/>
  <c r="AN105" i="4"/>
  <c r="AN106" i="4"/>
  <c r="AQ106" i="4"/>
  <c r="AR106" i="4" s="1"/>
  <c r="CI8" i="4"/>
  <c r="CJ8" i="4" s="1"/>
  <c r="CI75" i="4"/>
  <c r="CJ75" i="4" s="1"/>
  <c r="CI33" i="4"/>
  <c r="CJ33" i="4" s="1"/>
  <c r="BA369" i="5"/>
  <c r="BB369" i="5" s="1"/>
  <c r="CI99" i="4"/>
  <c r="CJ99" i="4" s="1"/>
  <c r="AQ60" i="4"/>
  <c r="AR60" i="4" s="1"/>
  <c r="AN60" i="4"/>
  <c r="CI80" i="4"/>
  <c r="CJ80" i="4" s="1"/>
  <c r="CI69" i="4"/>
  <c r="CJ69" i="4" s="1"/>
  <c r="CI52" i="4"/>
  <c r="CJ52" i="4" s="1"/>
  <c r="AQ108" i="4"/>
  <c r="AR108" i="4" s="1"/>
  <c r="AN108" i="4"/>
  <c r="BA19" i="5"/>
  <c r="BB19" i="5" s="1"/>
  <c r="AN28" i="4"/>
  <c r="AQ28" i="4"/>
  <c r="AR28" i="4" s="1"/>
  <c r="AN152" i="4"/>
  <c r="AQ152" i="4"/>
  <c r="AR152" i="4" s="1"/>
  <c r="AQ156" i="4"/>
  <c r="AR156" i="4" s="1"/>
  <c r="AN156" i="4"/>
  <c r="BA360" i="5"/>
  <c r="BB360" i="5" s="1"/>
  <c r="BA281" i="5"/>
  <c r="BB281" i="5" s="1"/>
  <c r="BA255" i="5"/>
  <c r="BB255" i="5" s="1"/>
  <c r="CI154" i="4"/>
  <c r="CJ154" i="4" s="1"/>
  <c r="BA505" i="5"/>
  <c r="BB505" i="5" s="1"/>
  <c r="BA343" i="5"/>
  <c r="BB343" i="5" s="1"/>
  <c r="BA408" i="5"/>
  <c r="BB408" i="5" s="1"/>
  <c r="AN153" i="4"/>
  <c r="AQ153" i="4"/>
  <c r="AR153" i="4" s="1"/>
  <c r="AQ38" i="4"/>
  <c r="AR38" i="4" s="1"/>
  <c r="AN38" i="4"/>
  <c r="AN144" i="4"/>
  <c r="AQ144" i="4"/>
  <c r="AR144" i="4" s="1"/>
  <c r="CI55" i="4"/>
  <c r="CJ55" i="4" s="1"/>
  <c r="BA159" i="5"/>
  <c r="BB159" i="5" s="1"/>
  <c r="BA480" i="5"/>
  <c r="BB480" i="5" s="1"/>
  <c r="AN151" i="4"/>
  <c r="AQ151" i="4"/>
  <c r="AR151" i="4" s="1"/>
  <c r="AN107" i="4"/>
  <c r="AQ107" i="4"/>
  <c r="AR107" i="4" s="1"/>
  <c r="BA297" i="5"/>
  <c r="BB297" i="5" s="1"/>
  <c r="AQ8" i="4"/>
  <c r="AR8" i="4" s="1"/>
  <c r="AN8" i="4"/>
  <c r="BA323" i="5"/>
  <c r="BB323" i="5" s="1"/>
  <c r="BA438" i="5"/>
  <c r="BB438" i="5" s="1"/>
  <c r="BA529" i="5"/>
  <c r="BB529" i="5" s="1"/>
  <c r="AQ94" i="4"/>
  <c r="AR94" i="4" s="1"/>
  <c r="AN94" i="4"/>
  <c r="CI45" i="4"/>
  <c r="CJ45" i="4" s="1"/>
  <c r="CI92" i="4"/>
  <c r="CJ92" i="4" s="1"/>
  <c r="CI116" i="4"/>
  <c r="CJ116" i="4" s="1"/>
  <c r="CI127" i="4"/>
  <c r="CJ127" i="4" s="1"/>
  <c r="CI53" i="4"/>
  <c r="CJ53" i="4" s="1"/>
  <c r="BA412" i="5"/>
  <c r="BB412" i="5" s="1"/>
  <c r="CI105" i="4"/>
  <c r="CJ105" i="4" s="1"/>
  <c r="CI102" i="4"/>
  <c r="CJ102" i="4" s="1"/>
  <c r="CI128" i="4"/>
  <c r="CJ128" i="4" s="1"/>
  <c r="BA342" i="5"/>
  <c r="BB342" i="5" s="1"/>
  <c r="AQ20" i="4"/>
  <c r="AR20" i="4" s="1"/>
  <c r="AN20" i="4"/>
  <c r="AN116" i="4"/>
  <c r="AQ116" i="4"/>
  <c r="AR116" i="4" s="1"/>
  <c r="AN149" i="4"/>
  <c r="AQ149" i="4"/>
  <c r="AR149" i="4" s="1"/>
  <c r="AN10" i="4"/>
  <c r="AQ10" i="4"/>
  <c r="AR10" i="4" s="1"/>
  <c r="BA453" i="5"/>
  <c r="BB453" i="5" s="1"/>
  <c r="BA326" i="5"/>
  <c r="BB326" i="5" s="1"/>
  <c r="BA102" i="5"/>
  <c r="BB102" i="5" s="1"/>
  <c r="AN14" i="4"/>
  <c r="AQ14" i="4"/>
  <c r="AR14" i="4" s="1"/>
  <c r="BA365" i="5"/>
  <c r="BB365" i="5" s="1"/>
  <c r="AN55" i="4"/>
  <c r="AQ55" i="4"/>
  <c r="AR55" i="4" s="1"/>
  <c r="BA556" i="5"/>
  <c r="BB556" i="5" s="1"/>
  <c r="CI88" i="4"/>
  <c r="CJ88" i="4" s="1"/>
  <c r="AN117" i="4"/>
  <c r="AQ117" i="4"/>
  <c r="AR117" i="4" s="1"/>
  <c r="AQ134" i="4"/>
  <c r="AR134" i="4" s="1"/>
  <c r="AN134" i="4"/>
  <c r="BA95" i="5"/>
  <c r="BB95" i="5" s="1"/>
  <c r="BA420" i="5"/>
  <c r="BB420" i="5" s="1"/>
  <c r="BA450" i="5"/>
  <c r="BB450" i="5" s="1"/>
  <c r="AN132" i="4"/>
  <c r="AQ132" i="4"/>
  <c r="AR132" i="4" s="1"/>
  <c r="AQ44" i="4"/>
  <c r="AR44" i="4" s="1"/>
  <c r="AN44" i="4"/>
  <c r="BA277" i="5"/>
  <c r="BB277" i="5" s="1"/>
  <c r="AN124" i="4"/>
  <c r="AQ124" i="4"/>
  <c r="AR124" i="4" s="1"/>
  <c r="AN130" i="4"/>
  <c r="AQ130" i="4"/>
  <c r="AR130" i="4" s="1"/>
  <c r="BA557" i="5"/>
  <c r="BB557" i="5" s="1"/>
  <c r="BA31" i="5"/>
  <c r="BB31" i="5" s="1"/>
  <c r="CI139" i="4"/>
  <c r="CJ139" i="4" s="1"/>
  <c r="CI44" i="4"/>
  <c r="CJ44" i="4" s="1"/>
  <c r="CI18" i="4"/>
  <c r="CJ18" i="4" s="1"/>
  <c r="CI137" i="4"/>
  <c r="CJ137" i="4" s="1"/>
  <c r="BA237" i="5"/>
  <c r="BB237" i="5" s="1"/>
  <c r="AN155" i="4"/>
  <c r="AQ155" i="4"/>
  <c r="AR155" i="4" s="1"/>
  <c r="AN113" i="4"/>
  <c r="AQ113" i="4"/>
  <c r="AR113" i="4" s="1"/>
  <c r="AN142" i="4"/>
  <c r="AQ142" i="4"/>
  <c r="AR142" i="4" s="1"/>
  <c r="AQ86" i="4"/>
  <c r="AR86" i="4" s="1"/>
  <c r="AN86" i="4"/>
  <c r="BA295" i="5"/>
  <c r="BB295" i="5" s="1"/>
  <c r="AQ83" i="4"/>
  <c r="AR83" i="4" s="1"/>
  <c r="AN83" i="4"/>
  <c r="AQ98" i="4"/>
  <c r="AR98" i="4" s="1"/>
  <c r="AN98" i="4"/>
  <c r="AQ88" i="4"/>
  <c r="AR88" i="4" s="1"/>
  <c r="AN88" i="4"/>
  <c r="AQ136" i="4"/>
  <c r="AR136" i="4" s="1"/>
  <c r="AN136" i="4"/>
  <c r="BA173" i="5"/>
  <c r="BB173" i="5" s="1"/>
  <c r="AQ115" i="4"/>
  <c r="AR115" i="4" s="1"/>
  <c r="AN115" i="4"/>
  <c r="CI24" i="4"/>
  <c r="CJ24" i="4" s="1"/>
  <c r="AN104" i="4"/>
  <c r="AQ104" i="4"/>
  <c r="AR104" i="4" s="1"/>
  <c r="CI117" i="4"/>
  <c r="CJ117" i="4" s="1"/>
  <c r="AN102" i="4"/>
  <c r="AQ102" i="4"/>
  <c r="AR102" i="4" s="1"/>
  <c r="AN145" i="4"/>
  <c r="AQ145" i="4"/>
  <c r="AR145" i="4" s="1"/>
  <c r="CI29" i="4"/>
  <c r="CJ29" i="4" s="1"/>
  <c r="AQ23" i="4"/>
  <c r="AR23" i="4" s="1"/>
  <c r="AN23" i="4"/>
  <c r="AQ53" i="4"/>
  <c r="AR53" i="4" s="1"/>
  <c r="AN53" i="4"/>
  <c r="CI22" i="4"/>
  <c r="CJ22" i="4" s="1"/>
  <c r="BA208" i="5"/>
  <c r="BB208" i="5" s="1"/>
  <c r="AQ147" i="4"/>
  <c r="AR147" i="4" s="1"/>
  <c r="AN147" i="4"/>
  <c r="AN157" i="4"/>
  <c r="AQ157" i="4"/>
  <c r="AR157" i="4" s="1"/>
  <c r="CI77" i="4"/>
  <c r="CJ77" i="4" s="1"/>
  <c r="CI13" i="4"/>
  <c r="CJ13" i="4" s="1"/>
  <c r="CI58" i="4"/>
  <c r="CJ58" i="4" s="1"/>
  <c r="AQ137" i="4"/>
  <c r="AR137" i="4" s="1"/>
  <c r="AN137" i="4"/>
  <c r="BA325" i="5"/>
  <c r="BB325" i="5" s="1"/>
  <c r="CI41" i="4"/>
  <c r="CJ41" i="4" s="1"/>
  <c r="BA185" i="5"/>
  <c r="BB185" i="5" s="1"/>
  <c r="CI43" i="4"/>
  <c r="CJ43" i="4" s="1"/>
  <c r="BA143" i="5"/>
  <c r="BB143" i="5" s="1"/>
  <c r="BA202" i="5"/>
  <c r="BB202" i="5" s="1"/>
  <c r="CI40" i="4"/>
  <c r="CJ40" i="4" s="1"/>
  <c r="CI109" i="4"/>
  <c r="CJ109" i="4" s="1"/>
  <c r="CI12" i="4"/>
  <c r="CJ12" i="4" s="1"/>
  <c r="AN135" i="4"/>
  <c r="AQ135" i="4"/>
  <c r="AR135" i="4" s="1"/>
  <c r="BA320" i="5"/>
  <c r="BB320" i="5" s="1"/>
  <c r="BA490" i="5"/>
  <c r="BB490" i="5" s="1"/>
  <c r="BA144" i="5"/>
  <c r="BB144" i="5" s="1"/>
  <c r="BA269" i="5"/>
  <c r="BB269" i="5" s="1"/>
  <c r="BA551" i="5"/>
  <c r="BB551" i="5" s="1"/>
  <c r="CI39" i="4"/>
  <c r="CJ39" i="4" s="1"/>
  <c r="AQ35" i="4"/>
  <c r="AR35" i="4" s="1"/>
  <c r="AN35" i="4"/>
  <c r="CI20" i="4"/>
  <c r="CJ20" i="4" s="1"/>
  <c r="AQ82" i="4"/>
  <c r="AR82" i="4" s="1"/>
  <c r="AN82" i="4"/>
  <c r="AQ13" i="4"/>
  <c r="AR13" i="4" s="1"/>
  <c r="AN13" i="4"/>
  <c r="AN24" i="4"/>
  <c r="AQ24" i="4"/>
  <c r="AR24" i="4" s="1"/>
  <c r="AN127" i="4"/>
  <c r="AQ127" i="4"/>
  <c r="AR127" i="4" s="1"/>
  <c r="AN75" i="4"/>
  <c r="AQ75" i="4"/>
  <c r="AR75" i="4" s="1"/>
  <c r="AN62" i="4"/>
  <c r="AQ62" i="4"/>
  <c r="AR62" i="4" s="1"/>
  <c r="AQ89" i="4"/>
  <c r="AR89" i="4" s="1"/>
  <c r="AN89" i="4"/>
  <c r="BA44" i="5"/>
  <c r="BB44" i="5" s="1"/>
  <c r="BA133" i="5"/>
  <c r="BB133" i="5" s="1"/>
  <c r="BA357" i="5"/>
  <c r="BB357" i="5" s="1"/>
  <c r="BA231" i="5"/>
  <c r="BB231" i="5" s="1"/>
  <c r="CI31" i="4"/>
  <c r="CJ31" i="4" s="1"/>
  <c r="BA104" i="5"/>
  <c r="BB104" i="5" s="1"/>
  <c r="CI48" i="4"/>
  <c r="CJ48" i="4" s="1"/>
  <c r="AN19" i="4"/>
  <c r="AQ19" i="4"/>
  <c r="AR19" i="4" s="1"/>
  <c r="AQ77" i="4"/>
  <c r="AR77" i="4" s="1"/>
  <c r="AN77" i="4"/>
  <c r="BA162" i="5"/>
  <c r="BB162" i="5" s="1"/>
  <c r="BA22" i="5"/>
  <c r="BB22" i="5" s="1"/>
  <c r="BA445" i="5"/>
  <c r="BB445" i="5" s="1"/>
  <c r="BA198" i="5"/>
  <c r="BB198" i="5" s="1"/>
  <c r="AN61" i="4"/>
  <c r="AQ61" i="4"/>
  <c r="AR61" i="4" s="1"/>
  <c r="BA47" i="5"/>
  <c r="BB47" i="5" s="1"/>
  <c r="BA525" i="5"/>
  <c r="BB525" i="5" s="1"/>
  <c r="CI118" i="4"/>
  <c r="CJ118" i="4" s="1"/>
  <c r="AN109" i="4"/>
  <c r="AQ109" i="4"/>
  <c r="AR109" i="4" s="1"/>
  <c r="CI47" i="4"/>
  <c r="CJ47" i="4" s="1"/>
  <c r="BA78" i="5"/>
  <c r="BB78" i="5" s="1"/>
  <c r="AQ100" i="4"/>
  <c r="AR100" i="4" s="1"/>
  <c r="AN100" i="4"/>
  <c r="CI89" i="4"/>
  <c r="CJ89" i="4" s="1"/>
  <c r="BA233" i="5"/>
  <c r="BB233" i="5" s="1"/>
  <c r="AQ97" i="4"/>
  <c r="AR97" i="4" s="1"/>
  <c r="AN97" i="4"/>
  <c r="AN138" i="4"/>
  <c r="AQ138" i="4"/>
  <c r="AR138" i="4" s="1"/>
  <c r="AQ92" i="4"/>
  <c r="AR92" i="4" s="1"/>
  <c r="AN92" i="4"/>
  <c r="AN34" i="4"/>
  <c r="AQ34" i="4"/>
  <c r="AR34" i="4" s="1"/>
  <c r="BA390" i="5"/>
  <c r="BB390" i="5" s="1"/>
  <c r="AQ119" i="4"/>
  <c r="AR119" i="4" s="1"/>
  <c r="AN119" i="4"/>
  <c r="AQ49" i="4"/>
  <c r="AR49" i="4" s="1"/>
  <c r="AN49" i="4"/>
  <c r="AQ40" i="4"/>
  <c r="AR40" i="4" s="1"/>
  <c r="AN40" i="4"/>
  <c r="AQ129" i="4"/>
  <c r="AR129" i="4" s="1"/>
  <c r="AN129" i="4"/>
  <c r="AQ45" i="4"/>
  <c r="AR45" i="4" s="1"/>
  <c r="AN45" i="4"/>
  <c r="AN80" i="4"/>
  <c r="AQ80" i="4"/>
  <c r="AR80" i="4" s="1"/>
  <c r="BA407" i="5"/>
  <c r="BB407" i="5" s="1"/>
  <c r="BA504" i="5"/>
  <c r="BB504" i="5" s="1"/>
  <c r="CI125" i="4"/>
  <c r="CJ125" i="4" s="1"/>
  <c r="CI21" i="4"/>
  <c r="CJ21" i="4" s="1"/>
  <c r="AQ27" i="4"/>
  <c r="AR27" i="4" s="1"/>
  <c r="AN27" i="4"/>
  <c r="AQ42" i="4"/>
  <c r="AR42" i="4" s="1"/>
  <c r="AN42" i="4"/>
  <c r="CI23" i="4"/>
  <c r="CJ23" i="4" s="1"/>
  <c r="CI73" i="4"/>
  <c r="CJ73" i="4" s="1"/>
  <c r="AN58" i="4"/>
  <c r="AQ58" i="4"/>
  <c r="AR58" i="4" s="1"/>
  <c r="CI56" i="4"/>
  <c r="CJ56" i="4" s="1"/>
  <c r="AN103" i="4"/>
  <c r="AQ103" i="4"/>
  <c r="AR103" i="4" s="1"/>
  <c r="BA211" i="5"/>
  <c r="BB211" i="5" s="1"/>
  <c r="AN17" i="4"/>
  <c r="AQ17" i="4"/>
  <c r="AR17" i="4" s="1"/>
  <c r="CI100" i="4"/>
  <c r="CJ100" i="4" s="1"/>
  <c r="CI26" i="4"/>
  <c r="CJ26" i="4" s="1"/>
  <c r="BA140" i="5"/>
  <c r="BB140" i="5" s="1"/>
  <c r="CI35" i="4"/>
  <c r="CJ35" i="4" s="1"/>
  <c r="CI97" i="4"/>
  <c r="CJ97" i="4" s="1"/>
  <c r="BA82" i="5"/>
  <c r="BB82" i="5" s="1"/>
  <c r="CI91" i="4"/>
  <c r="CJ91" i="4" s="1"/>
  <c r="AN79" i="4"/>
  <c r="AQ79" i="4"/>
  <c r="AR79" i="4" s="1"/>
  <c r="BA487" i="5"/>
  <c r="BB487" i="5" s="1"/>
  <c r="CI71" i="4"/>
  <c r="CJ71" i="4" s="1"/>
  <c r="BA391" i="5"/>
  <c r="BB391" i="5" s="1"/>
  <c r="CI110" i="4"/>
  <c r="CJ110" i="4" s="1"/>
  <c r="AN12" i="4"/>
  <c r="AQ12" i="4"/>
  <c r="AR12" i="4" s="1"/>
  <c r="CI87" i="4"/>
  <c r="CJ87" i="4" s="1"/>
  <c r="AQ143" i="4"/>
  <c r="AR143" i="4" s="1"/>
  <c r="AN143" i="4"/>
  <c r="AQ85" i="4"/>
  <c r="AR85" i="4" s="1"/>
  <c r="AN85" i="4"/>
  <c r="CI135" i="4"/>
  <c r="CJ135" i="4" s="1"/>
  <c r="BA138" i="5"/>
  <c r="BB138" i="5" s="1"/>
  <c r="BA300" i="5"/>
  <c r="BB300" i="5" s="1"/>
  <c r="BA331" i="5"/>
  <c r="BB331" i="5" s="1"/>
  <c r="AN114" i="4"/>
  <c r="AQ114" i="4"/>
  <c r="AR114" i="4" s="1"/>
  <c r="CI149" i="4"/>
  <c r="CJ149" i="4" s="1"/>
  <c r="BA493" i="5"/>
  <c r="BB493" i="5" s="1"/>
  <c r="BA476" i="5"/>
  <c r="BB476" i="5" s="1"/>
  <c r="CI25" i="4"/>
  <c r="CJ25" i="4" s="1"/>
  <c r="AQ56" i="4"/>
  <c r="AR56" i="4" s="1"/>
  <c r="AN56" i="4"/>
  <c r="BA318" i="5"/>
  <c r="BB318" i="5" s="1"/>
  <c r="CI50" i="4"/>
  <c r="CJ50" i="4" s="1"/>
  <c r="BA502" i="5"/>
  <c r="BB502" i="5" s="1"/>
  <c r="AQ91" i="4"/>
  <c r="AR91" i="4" s="1"/>
  <c r="AN91" i="4"/>
  <c r="BA66" i="5"/>
  <c r="BB66" i="5" s="1"/>
  <c r="CI61" i="4"/>
  <c r="CJ61" i="4" s="1"/>
  <c r="AN43" i="4"/>
  <c r="AQ43" i="4"/>
  <c r="AR43" i="4" s="1"/>
  <c r="AN141" i="4"/>
  <c r="AQ141" i="4"/>
  <c r="AR141" i="4" s="1"/>
  <c r="AQ48" i="4"/>
  <c r="AR48" i="4" s="1"/>
  <c r="AN48" i="4"/>
  <c r="BA361" i="5"/>
  <c r="BB361" i="5" s="1"/>
  <c r="BA119" i="5"/>
  <c r="BB119" i="5" s="1"/>
  <c r="AQ120" i="4"/>
  <c r="AR120" i="4" s="1"/>
  <c r="AN120" i="4"/>
  <c r="AN26" i="4"/>
  <c r="AQ26" i="4"/>
  <c r="AR26" i="4" s="1"/>
  <c r="BA432" i="5"/>
  <c r="BB432" i="5" s="1"/>
  <c r="CI153" i="4"/>
  <c r="CJ153" i="4" s="1"/>
  <c r="CI14" i="4"/>
  <c r="CJ14" i="4" s="1"/>
  <c r="BA533" i="5"/>
  <c r="BB533" i="5" s="1"/>
  <c r="BA99" i="13" l="1"/>
  <c r="BB99" i="13" s="1"/>
  <c r="BA517" i="5"/>
  <c r="BB517" i="5" s="1"/>
  <c r="BA290" i="13"/>
  <c r="BB290" i="13" s="1"/>
  <c r="CI146" i="4"/>
  <c r="CJ146" i="4" s="1"/>
  <c r="BA387" i="5"/>
  <c r="BB387" i="5" s="1"/>
  <c r="CI131" i="4"/>
  <c r="CJ131" i="4" s="1"/>
  <c r="BA514" i="5"/>
  <c r="BB514" i="5" s="1"/>
  <c r="BA158" i="5"/>
  <c r="BB158" i="5" s="1"/>
  <c r="BA217" i="5"/>
  <c r="BB217" i="5" s="1"/>
  <c r="BA28" i="5"/>
  <c r="BB28" i="5" s="1"/>
  <c r="BA267" i="5"/>
  <c r="BB267" i="5" s="1"/>
  <c r="BA341" i="13"/>
  <c r="BB341" i="13" s="1"/>
  <c r="BA29" i="13"/>
  <c r="BB29" i="13" s="1"/>
  <c r="BA302" i="5"/>
  <c r="BB302" i="5" s="1"/>
  <c r="BA421" i="5"/>
  <c r="BB421" i="5" s="1"/>
  <c r="BA249" i="5"/>
  <c r="BB249" i="5" s="1"/>
  <c r="BA454" i="5"/>
  <c r="BB454" i="5" s="1"/>
  <c r="BA88" i="5"/>
  <c r="BB88" i="5" s="1"/>
  <c r="BA56" i="5"/>
  <c r="BB56" i="5" s="1"/>
  <c r="BA322" i="5"/>
  <c r="BB322" i="5" s="1"/>
  <c r="BA87" i="5"/>
  <c r="BB87" i="5" s="1"/>
  <c r="BA167" i="5"/>
  <c r="BB167" i="5" s="1"/>
  <c r="BA308" i="5"/>
  <c r="BB308" i="5" s="1"/>
  <c r="BA559" i="5"/>
  <c r="BB559" i="5" s="1"/>
  <c r="BA465" i="5"/>
  <c r="BB465" i="5" s="1"/>
  <c r="BA246" i="5"/>
  <c r="BB246" i="5" s="1"/>
  <c r="BA24" i="5"/>
  <c r="BB24" i="5" s="1"/>
  <c r="BA431" i="5"/>
  <c r="BB431" i="5" s="1"/>
  <c r="BA127" i="5"/>
  <c r="BB127" i="5" s="1"/>
  <c r="BA242" i="5"/>
  <c r="BB242" i="5" s="1"/>
  <c r="BA222" i="5"/>
  <c r="BB222" i="5" s="1"/>
  <c r="BA196" i="5"/>
  <c r="BB196" i="5" s="1"/>
  <c r="BA540" i="5"/>
  <c r="BB540" i="5" s="1"/>
  <c r="BA548" i="5"/>
  <c r="BB548" i="5" s="1"/>
  <c r="BA288" i="5"/>
  <c r="BB288" i="5" s="1"/>
  <c r="BA507" i="5"/>
  <c r="BB507" i="5" s="1"/>
  <c r="BA100" i="5"/>
  <c r="BB100" i="5" s="1"/>
  <c r="BA375" i="5"/>
  <c r="BB375" i="5" s="1"/>
  <c r="BA287" i="5"/>
  <c r="BB287" i="5" s="1"/>
  <c r="BA363" i="5"/>
  <c r="BB363" i="5" s="1"/>
  <c r="BA106" i="5"/>
  <c r="BB106" i="5" s="1"/>
  <c r="BA443" i="5"/>
  <c r="BB443" i="5" s="1"/>
  <c r="BA354" i="5"/>
  <c r="BB354" i="5" s="1"/>
  <c r="BA271" i="5"/>
  <c r="BB271" i="5" s="1"/>
  <c r="AW11" i="13"/>
  <c r="BA135" i="5"/>
  <c r="BB135" i="5" s="1"/>
  <c r="BA254" i="5"/>
  <c r="BB254" i="5" s="1"/>
  <c r="BA394" i="5"/>
  <c r="BB394" i="5" s="1"/>
  <c r="BA149" i="5"/>
  <c r="BB149" i="5" s="1"/>
  <c r="BA89" i="5"/>
  <c r="BB89" i="5" s="1"/>
  <c r="BA424" i="13"/>
  <c r="BB424" i="13" s="1"/>
  <c r="BA264" i="5"/>
  <c r="BB264" i="5" s="1"/>
  <c r="BA114" i="5"/>
  <c r="BB114" i="5" s="1"/>
  <c r="BA440" i="13"/>
  <c r="BB440" i="13" s="1"/>
  <c r="BA278" i="13"/>
  <c r="BB278" i="13" s="1"/>
  <c r="BA410" i="5"/>
  <c r="BB410" i="5" s="1"/>
  <c r="BA356" i="5"/>
  <c r="BB356" i="5" s="1"/>
  <c r="BA170" i="5"/>
  <c r="BB170" i="5" s="1"/>
  <c r="BA488" i="5"/>
  <c r="BB488" i="5" s="1"/>
  <c r="BA314" i="5"/>
  <c r="BB314" i="5" s="1"/>
  <c r="BA289" i="5"/>
  <c r="BB289" i="5" s="1"/>
  <c r="BA340" i="5"/>
  <c r="BB340" i="5" s="1"/>
  <c r="BA366" i="13"/>
  <c r="BB366" i="13" s="1"/>
  <c r="BA34" i="5"/>
  <c r="BB34" i="5" s="1"/>
  <c r="BA545" i="13"/>
  <c r="BB545" i="13" s="1"/>
  <c r="BA54" i="5"/>
  <c r="BB54" i="5" s="1"/>
  <c r="BA107" i="5"/>
  <c r="BB107" i="5" s="1"/>
  <c r="BA79" i="13"/>
  <c r="BB79" i="13" s="1"/>
  <c r="BA427" i="13"/>
  <c r="BB427" i="13" s="1"/>
  <c r="BA204" i="13"/>
  <c r="BB204" i="13" s="1"/>
  <c r="BA488" i="13"/>
  <c r="BB488" i="13" s="1"/>
  <c r="BA390" i="13"/>
  <c r="BB390" i="13" s="1"/>
  <c r="BA111" i="13"/>
  <c r="BB111" i="13" s="1"/>
  <c r="BA127" i="13"/>
  <c r="BB127" i="13" s="1"/>
  <c r="BA309" i="13"/>
  <c r="BB309" i="13" s="1"/>
  <c r="BA207" i="13"/>
  <c r="BB207" i="13" s="1"/>
  <c r="BA305" i="13"/>
  <c r="BB305" i="13" s="1"/>
  <c r="BA23" i="13"/>
  <c r="BB23" i="13" s="1"/>
  <c r="BA414" i="13"/>
  <c r="BB414" i="13" s="1"/>
  <c r="BA351" i="13"/>
  <c r="BB351" i="13" s="1"/>
  <c r="BA295" i="13"/>
  <c r="BB295" i="13" s="1"/>
  <c r="BA222" i="13"/>
  <c r="BB222" i="13" s="1"/>
  <c r="BA116" i="13"/>
  <c r="BB116" i="13" s="1"/>
  <c r="BA518" i="13"/>
  <c r="BB518" i="13" s="1"/>
  <c r="BA499" i="13"/>
  <c r="BB499" i="13" s="1"/>
  <c r="BA413" i="13"/>
  <c r="BB413" i="13" s="1"/>
  <c r="BA101" i="13"/>
  <c r="BB101" i="13" s="1"/>
  <c r="BA382" i="13"/>
  <c r="BB382" i="13" s="1"/>
  <c r="BA40" i="13"/>
  <c r="BB40" i="13" s="1"/>
  <c r="BA148" i="13"/>
  <c r="BB148" i="13" s="1"/>
  <c r="BA321" i="13"/>
  <c r="BB321" i="13" s="1"/>
  <c r="BA65" i="5"/>
  <c r="BB65" i="5" s="1"/>
  <c r="BA20" i="13"/>
  <c r="BB20" i="13" s="1"/>
  <c r="BA192" i="13"/>
  <c r="BB192" i="13" s="1"/>
  <c r="BA379" i="13"/>
  <c r="BB379" i="13" s="1"/>
  <c r="BA458" i="13"/>
  <c r="BB458" i="13" s="1"/>
  <c r="BA476" i="13"/>
  <c r="BB476" i="13" s="1"/>
  <c r="BA399" i="13"/>
  <c r="BB399" i="13" s="1"/>
  <c r="BA461" i="13"/>
  <c r="BB461" i="13" s="1"/>
  <c r="BA170" i="13"/>
  <c r="BB170" i="13" s="1"/>
  <c r="BA372" i="13"/>
  <c r="BB372" i="13" s="1"/>
  <c r="BA164" i="13"/>
  <c r="BB164" i="13" s="1"/>
  <c r="BA221" i="13"/>
  <c r="BB221" i="13" s="1"/>
  <c r="BA75" i="13"/>
  <c r="BB75" i="13" s="1"/>
  <c r="BA123" i="13"/>
  <c r="BB123" i="13" s="1"/>
  <c r="BA182" i="13"/>
  <c r="BB182" i="13" s="1"/>
  <c r="BA317" i="13"/>
  <c r="BB317" i="13" s="1"/>
  <c r="BA436" i="13"/>
  <c r="BB436" i="13" s="1"/>
  <c r="BA510" i="13"/>
  <c r="BB510" i="13" s="1"/>
  <c r="BA235" i="13"/>
  <c r="BB235" i="13" s="1"/>
  <c r="BA357" i="13"/>
  <c r="BB357" i="13" s="1"/>
  <c r="BA406" i="13"/>
  <c r="BB406" i="13" s="1"/>
  <c r="BA177" i="13"/>
  <c r="BB177" i="13" s="1"/>
  <c r="BA138" i="13"/>
  <c r="BB138" i="13" s="1"/>
  <c r="BA429" i="13"/>
  <c r="BB429" i="13" s="1"/>
  <c r="BA229" i="13"/>
  <c r="BB229" i="13" s="1"/>
  <c r="BA279" i="13"/>
  <c r="BB279" i="13" s="1"/>
  <c r="BA469" i="13"/>
  <c r="BB469" i="13" s="1"/>
  <c r="BA216" i="13"/>
  <c r="BB216" i="13" s="1"/>
  <c r="BA210" i="13"/>
  <c r="BB210" i="13" s="1"/>
  <c r="BA422" i="13"/>
  <c r="BB422" i="13" s="1"/>
  <c r="BA394" i="13"/>
  <c r="BB394" i="13" s="1"/>
  <c r="BA403" i="13"/>
  <c r="BB403" i="13" s="1"/>
  <c r="BA473" i="13"/>
  <c r="BB473" i="13" s="1"/>
  <c r="BA550" i="13"/>
  <c r="BB550" i="13" s="1"/>
  <c r="BA307" i="13"/>
  <c r="BB307" i="13" s="1"/>
  <c r="BA329" i="13"/>
  <c r="BB329" i="13" s="1"/>
  <c r="BA68" i="13"/>
  <c r="BB68" i="13" s="1"/>
  <c r="BA106" i="13"/>
  <c r="BB106" i="13" s="1"/>
  <c r="BA230" i="13"/>
  <c r="BB230" i="13" s="1"/>
  <c r="BA438" i="13"/>
  <c r="BB438" i="13" s="1"/>
  <c r="BA496" i="13"/>
  <c r="BB496" i="13" s="1"/>
  <c r="BA364" i="13"/>
  <c r="BB364" i="13" s="1"/>
  <c r="BA47" i="13"/>
  <c r="BB47" i="13" s="1"/>
  <c r="BA467" i="13"/>
  <c r="BB467" i="13" s="1"/>
  <c r="BA306" i="13"/>
  <c r="BB306" i="13" s="1"/>
  <c r="BA273" i="13"/>
  <c r="BB273" i="13" s="1"/>
  <c r="BA294" i="13"/>
  <c r="BB294" i="13" s="1"/>
  <c r="BA98" i="13"/>
  <c r="BB98" i="13" s="1"/>
  <c r="BA100" i="13"/>
  <c r="BB100" i="13" s="1"/>
  <c r="BA250" i="13"/>
  <c r="BB250" i="13" s="1"/>
  <c r="BA213" i="13"/>
  <c r="BB213" i="13" s="1"/>
  <c r="BA196" i="13"/>
  <c r="BB196" i="13" s="1"/>
  <c r="BA367" i="13"/>
  <c r="BB367" i="13" s="1"/>
  <c r="BA483" i="13"/>
  <c r="BB483" i="13" s="1"/>
  <c r="BA497" i="13"/>
  <c r="BB497" i="13" s="1"/>
  <c r="BA312" i="13"/>
  <c r="BB312" i="13" s="1"/>
  <c r="BA270" i="5"/>
  <c r="BB270" i="5" s="1"/>
  <c r="BA294" i="5"/>
  <c r="BB294" i="5" s="1"/>
  <c r="BA536" i="5"/>
  <c r="BB536" i="5" s="1"/>
  <c r="BA346" i="13"/>
  <c r="BB346" i="13" s="1"/>
  <c r="BA322" i="13"/>
  <c r="BB322" i="13" s="1"/>
  <c r="BA69" i="13"/>
  <c r="BB69" i="13" s="1"/>
  <c r="BA387" i="13"/>
  <c r="BB387" i="13" s="1"/>
  <c r="BA539" i="13"/>
  <c r="BB539" i="13" s="1"/>
  <c r="BA173" i="13"/>
  <c r="BB173" i="13" s="1"/>
  <c r="BA432" i="13"/>
  <c r="BB432" i="13" s="1"/>
  <c r="BA547" i="13"/>
  <c r="BB547" i="13" s="1"/>
  <c r="BA314" i="13"/>
  <c r="BB314" i="13" s="1"/>
  <c r="BA338" i="13"/>
  <c r="BB338" i="13" s="1"/>
  <c r="BA358" i="13"/>
  <c r="BB358" i="13" s="1"/>
  <c r="BA135" i="13"/>
  <c r="BB135" i="13" s="1"/>
  <c r="BA214" i="13"/>
  <c r="BB214" i="13" s="1"/>
  <c r="BA30" i="13"/>
  <c r="BB30" i="13" s="1"/>
  <c r="BA360" i="13"/>
  <c r="BB360" i="13" s="1"/>
  <c r="BA408" i="13"/>
  <c r="BB408" i="13" s="1"/>
  <c r="BA120" i="13"/>
  <c r="BB120" i="13" s="1"/>
  <c r="BA48" i="13"/>
  <c r="BB48" i="13" s="1"/>
  <c r="BA447" i="13"/>
  <c r="BB447" i="13" s="1"/>
  <c r="BA302" i="13"/>
  <c r="BB302" i="13" s="1"/>
  <c r="BA300" i="13"/>
  <c r="BB300" i="13" s="1"/>
  <c r="BA248" i="13"/>
  <c r="BB248" i="13" s="1"/>
  <c r="BA50" i="13"/>
  <c r="BB50" i="13" s="1"/>
  <c r="BA225" i="13"/>
  <c r="BB225" i="13" s="1"/>
  <c r="BA134" i="13"/>
  <c r="BB134" i="13" s="1"/>
  <c r="BA291" i="13"/>
  <c r="BB291" i="13" s="1"/>
  <c r="BA293" i="13"/>
  <c r="BB293" i="13" s="1"/>
  <c r="BA324" i="13"/>
  <c r="BB324" i="13" s="1"/>
  <c r="BA493" i="13"/>
  <c r="BB493" i="13" s="1"/>
  <c r="BA557" i="13"/>
  <c r="BB557" i="13" s="1"/>
  <c r="BA95" i="13"/>
  <c r="BB95" i="13" s="1"/>
  <c r="BA471" i="13"/>
  <c r="BB471" i="13" s="1"/>
  <c r="BA45" i="13"/>
  <c r="BB45" i="13" s="1"/>
  <c r="BA431" i="13"/>
  <c r="BB431" i="13" s="1"/>
  <c r="BA241" i="13"/>
  <c r="BB241" i="13" s="1"/>
  <c r="BA199" i="13"/>
  <c r="BB199" i="13" s="1"/>
  <c r="BA452" i="13"/>
  <c r="BB452" i="13" s="1"/>
  <c r="BA255" i="13"/>
  <c r="BB255" i="13" s="1"/>
  <c r="BA66" i="13"/>
  <c r="BB66" i="13" s="1"/>
  <c r="BA78" i="13"/>
  <c r="BB78" i="13" s="1"/>
  <c r="BA420" i="13"/>
  <c r="BB420" i="13" s="1"/>
  <c r="BA425" i="13"/>
  <c r="BB425" i="13" s="1"/>
  <c r="BA375" i="13"/>
  <c r="BB375" i="13" s="1"/>
  <c r="BA27" i="13"/>
  <c r="BB27" i="13" s="1"/>
  <c r="BA537" i="13"/>
  <c r="BB537" i="13" s="1"/>
  <c r="BA384" i="13"/>
  <c r="BB384" i="13" s="1"/>
  <c r="BA501" i="13"/>
  <c r="BB501" i="13" s="1"/>
  <c r="BA183" i="13"/>
  <c r="BB183" i="13" s="1"/>
  <c r="BA454" i="13"/>
  <c r="BB454" i="13" s="1"/>
  <c r="BA137" i="13"/>
  <c r="BB137" i="13" s="1"/>
  <c r="BA65" i="13"/>
  <c r="BB65" i="13" s="1"/>
  <c r="BA542" i="13"/>
  <c r="BB542" i="13" s="1"/>
  <c r="BA244" i="13"/>
  <c r="BB244" i="13" s="1"/>
  <c r="BA283" i="13"/>
  <c r="BB283" i="13" s="1"/>
  <c r="BA441" i="13"/>
  <c r="BB441" i="13" s="1"/>
  <c r="BA267" i="13"/>
  <c r="BB267" i="13" s="1"/>
  <c r="BA152" i="13"/>
  <c r="BB152" i="13" s="1"/>
  <c r="BA463" i="13"/>
  <c r="BB463" i="13" s="1"/>
  <c r="BA344" i="13"/>
  <c r="BB344" i="13" s="1"/>
  <c r="BA263" i="13"/>
  <c r="BB263" i="13" s="1"/>
  <c r="BA282" i="13"/>
  <c r="BB282" i="13" s="1"/>
  <c r="BA335" i="13"/>
  <c r="BB335" i="13" s="1"/>
  <c r="BA160" i="13"/>
  <c r="BB160" i="13" s="1"/>
  <c r="BA61" i="13"/>
  <c r="BB61" i="13" s="1"/>
  <c r="BA289" i="13"/>
  <c r="BB289" i="13" s="1"/>
  <c r="BA261" i="13"/>
  <c r="BB261" i="13" s="1"/>
  <c r="BA87" i="13"/>
  <c r="BB87" i="13" s="1"/>
  <c r="BA36" i="13"/>
  <c r="BB36" i="13" s="1"/>
  <c r="BA117" i="5"/>
  <c r="BB117" i="5" s="1"/>
  <c r="BA109" i="13"/>
  <c r="BB109" i="13" s="1"/>
  <c r="BA465" i="13"/>
  <c r="BB465" i="13" s="1"/>
  <c r="BA257" i="13"/>
  <c r="BB257" i="13" s="1"/>
  <c r="BA419" i="13"/>
  <c r="BB419" i="13" s="1"/>
  <c r="BA84" i="13"/>
  <c r="BB84" i="13" s="1"/>
  <c r="BA218" i="13"/>
  <c r="BB218" i="13" s="1"/>
  <c r="BA350" i="13"/>
  <c r="BB350" i="13" s="1"/>
  <c r="BA333" i="13"/>
  <c r="BB333" i="13" s="1"/>
  <c r="BA186" i="13"/>
  <c r="BB186" i="13" s="1"/>
  <c r="BA534" i="13"/>
  <c r="BB534" i="13" s="1"/>
  <c r="BA524" i="13"/>
  <c r="BB524" i="13" s="1"/>
  <c r="BA118" i="13"/>
  <c r="BB118" i="13" s="1"/>
  <c r="BA237" i="13"/>
  <c r="BB237" i="13" s="1"/>
  <c r="BA369" i="13"/>
  <c r="BB369" i="13" s="1"/>
  <c r="BA297" i="13"/>
  <c r="BB297" i="13" s="1"/>
  <c r="BA28" i="13"/>
  <c r="BB28" i="13" s="1"/>
  <c r="BA328" i="13"/>
  <c r="BB328" i="13" s="1"/>
  <c r="BA327" i="13"/>
  <c r="BB327" i="13" s="1"/>
  <c r="BA398" i="13"/>
  <c r="BB398" i="13" s="1"/>
  <c r="BA38" i="13"/>
  <c r="BB38" i="13" s="1"/>
  <c r="BA112" i="13"/>
  <c r="BB112" i="13" s="1"/>
  <c r="BA115" i="13"/>
  <c r="BB115" i="13" s="1"/>
  <c r="BA157" i="13"/>
  <c r="BB157" i="13" s="1"/>
  <c r="BA139" i="13"/>
  <c r="BB139" i="13" s="1"/>
  <c r="BA487" i="13"/>
  <c r="BB487" i="13" s="1"/>
  <c r="BA528" i="13"/>
  <c r="BB528" i="13" s="1"/>
  <c r="BA145" i="13"/>
  <c r="BB145" i="13" s="1"/>
  <c r="BA169" i="13"/>
  <c r="BB169" i="13" s="1"/>
  <c r="BA507" i="13"/>
  <c r="BB507" i="13" s="1"/>
  <c r="BA269" i="13"/>
  <c r="BB269" i="13" s="1"/>
  <c r="BA353" i="13"/>
  <c r="BB353" i="13" s="1"/>
  <c r="BA481" i="13"/>
  <c r="BB481" i="13" s="1"/>
  <c r="BA445" i="13"/>
  <c r="BB445" i="13" s="1"/>
  <c r="BA265" i="13"/>
  <c r="BB265" i="13" s="1"/>
  <c r="BA480" i="13"/>
  <c r="BB480" i="13" s="1"/>
  <c r="BA474" i="13"/>
  <c r="BB474" i="13" s="1"/>
  <c r="BA456" i="13"/>
  <c r="BB456" i="13" s="1"/>
  <c r="BA209" i="13"/>
  <c r="BB209" i="13" s="1"/>
  <c r="BA527" i="13"/>
  <c r="BB527" i="13" s="1"/>
  <c r="BA67" i="13"/>
  <c r="BB67" i="13" s="1"/>
  <c r="BA105" i="13"/>
  <c r="BB105" i="13" s="1"/>
  <c r="BA103" i="13"/>
  <c r="BB103" i="13" s="1"/>
  <c r="BA546" i="13"/>
  <c r="BB546" i="13" s="1"/>
  <c r="BA311" i="13"/>
  <c r="BB311" i="13" s="1"/>
  <c r="BA42" i="13"/>
  <c r="BB42" i="13" s="1"/>
  <c r="BA156" i="13"/>
  <c r="BB156" i="13" s="1"/>
  <c r="BA262" i="13"/>
  <c r="BB262" i="13" s="1"/>
  <c r="BA144" i="13"/>
  <c r="BB144" i="13" s="1"/>
  <c r="BA212" i="13"/>
  <c r="BB212" i="13" s="1"/>
  <c r="BA516" i="13"/>
  <c r="BB516" i="13" s="1"/>
  <c r="BA405" i="13"/>
  <c r="BB405" i="13" s="1"/>
  <c r="BA72" i="13"/>
  <c r="BB72" i="13" s="1"/>
  <c r="BA472" i="5"/>
  <c r="BB472" i="5" s="1"/>
  <c r="BA270" i="13"/>
  <c r="BB270" i="13" s="1"/>
  <c r="BA149" i="13"/>
  <c r="BB149" i="13" s="1"/>
  <c r="BA55" i="5"/>
  <c r="BB55" i="5" s="1"/>
  <c r="BA56" i="13"/>
  <c r="BB56" i="13" s="1"/>
  <c r="BA190" i="5"/>
  <c r="BB190" i="5" s="1"/>
  <c r="BA543" i="13"/>
  <c r="BB543" i="13" s="1"/>
  <c r="BA275" i="5"/>
  <c r="BB275" i="5" s="1"/>
  <c r="BA485" i="13"/>
  <c r="BB485" i="13" s="1"/>
  <c r="BA449" i="13"/>
  <c r="BB449" i="13" s="1"/>
  <c r="BA152" i="5"/>
  <c r="BB152" i="5" s="1"/>
  <c r="BA97" i="5"/>
  <c r="BB97" i="5" s="1"/>
  <c r="BA245" i="13"/>
  <c r="BB245" i="13" s="1"/>
  <c r="BA63" i="13"/>
  <c r="BB63" i="13" s="1"/>
  <c r="BA395" i="13"/>
  <c r="BB395" i="13" s="1"/>
  <c r="BA90" i="13"/>
  <c r="BB90" i="13" s="1"/>
  <c r="BA484" i="13"/>
  <c r="BB484" i="13" s="1"/>
  <c r="BA513" i="13"/>
  <c r="BB513" i="13" s="1"/>
  <c r="BA383" i="5"/>
  <c r="BB383" i="5" s="1"/>
  <c r="BA263" i="5"/>
  <c r="BB263" i="5" s="1"/>
  <c r="BA154" i="13"/>
  <c r="BB154" i="13" s="1"/>
  <c r="BA166" i="13"/>
  <c r="BB166" i="13" s="1"/>
  <c r="BA51" i="13"/>
  <c r="BB51" i="13" s="1"/>
  <c r="BA108" i="13"/>
  <c r="BB108" i="13" s="1"/>
  <c r="BA433" i="13"/>
  <c r="BB433" i="13" s="1"/>
  <c r="BA348" i="13"/>
  <c r="BB348" i="13" s="1"/>
  <c r="BA330" i="13"/>
  <c r="BB330" i="13" s="1"/>
  <c r="BA258" i="13"/>
  <c r="BB258" i="13" s="1"/>
  <c r="BA91" i="13"/>
  <c r="BB91" i="13" s="1"/>
  <c r="BA271" i="13"/>
  <c r="BB271" i="13" s="1"/>
  <c r="BA253" i="13"/>
  <c r="BB253" i="13" s="1"/>
  <c r="BA310" i="13"/>
  <c r="BB310" i="13" s="1"/>
  <c r="BA82" i="13"/>
  <c r="BB82" i="13" s="1"/>
  <c r="BA286" i="13"/>
  <c r="BB286" i="13" s="1"/>
  <c r="BA239" i="13"/>
  <c r="BB239" i="13" s="1"/>
  <c r="BA58" i="13"/>
  <c r="BB58" i="13" s="1"/>
  <c r="BA409" i="13"/>
  <c r="BB409" i="13" s="1"/>
  <c r="BA453" i="13"/>
  <c r="BB453" i="13" s="1"/>
  <c r="BA345" i="13"/>
  <c r="BB345" i="13" s="1"/>
  <c r="BA558" i="13"/>
  <c r="BB558" i="13" s="1"/>
  <c r="BA264" i="13"/>
  <c r="BB264" i="13" s="1"/>
  <c r="BA62" i="13"/>
  <c r="BB62" i="13" s="1"/>
  <c r="BA381" i="13"/>
  <c r="BB381" i="13" s="1"/>
  <c r="BA190" i="13"/>
  <c r="BB190" i="13" s="1"/>
  <c r="BA319" i="13"/>
  <c r="BB319" i="13" s="1"/>
  <c r="BA325" i="13"/>
  <c r="BB325" i="13" s="1"/>
  <c r="BA478" i="13"/>
  <c r="BB478" i="13" s="1"/>
  <c r="BA242" i="13"/>
  <c r="BB242" i="13" s="1"/>
  <c r="BA551" i="13"/>
  <c r="BB551" i="13" s="1"/>
  <c r="BA226" i="13"/>
  <c r="BB226" i="13" s="1"/>
  <c r="BA223" i="13"/>
  <c r="BB223" i="13" s="1"/>
  <c r="BA464" i="13"/>
  <c r="BB464" i="13" s="1"/>
  <c r="BA490" i="13"/>
  <c r="BB490" i="13" s="1"/>
  <c r="BA81" i="13"/>
  <c r="BB81" i="13" s="1"/>
  <c r="BA337" i="13"/>
  <c r="BB337" i="13" s="1"/>
  <c r="BA252" i="13"/>
  <c r="BB252" i="13" s="1"/>
  <c r="BA161" i="13"/>
  <c r="BB161" i="13" s="1"/>
  <c r="BA143" i="13"/>
  <c r="BB143" i="13" s="1"/>
  <c r="BA197" i="13"/>
  <c r="BB197" i="13" s="1"/>
  <c r="BA523" i="13"/>
  <c r="BB523" i="13" s="1"/>
  <c r="BA531" i="13"/>
  <c r="BB531" i="13" s="1"/>
  <c r="BA96" i="13"/>
  <c r="BB96" i="13" s="1"/>
  <c r="BA442" i="13"/>
  <c r="BB442" i="13" s="1"/>
  <c r="BA298" i="13"/>
  <c r="BB298" i="13" s="1"/>
  <c r="BA172" i="13"/>
  <c r="BB172" i="13" s="1"/>
  <c r="BA201" i="13"/>
  <c r="BB201" i="13" s="1"/>
  <c r="BA32" i="13"/>
  <c r="BB32" i="13" s="1"/>
  <c r="BA521" i="13"/>
  <c r="BB521" i="13" s="1"/>
  <c r="BA368" i="13"/>
  <c r="BB368" i="13" s="1"/>
  <c r="BA448" i="13"/>
  <c r="BB448" i="13" s="1"/>
  <c r="BA132" i="13"/>
  <c r="BB132" i="13" s="1"/>
  <c r="BA418" i="13"/>
  <c r="BB418" i="13" s="1"/>
  <c r="BA238" i="13"/>
  <c r="BB238" i="13" s="1"/>
  <c r="BA393" i="13"/>
  <c r="BB393" i="13" s="1"/>
  <c r="BA494" i="13"/>
  <c r="BB494" i="13" s="1"/>
  <c r="BA464" i="5"/>
  <c r="BB464" i="5" s="1"/>
  <c r="BA275" i="13"/>
  <c r="BB275" i="13" s="1"/>
  <c r="BA64" i="13"/>
  <c r="BB64" i="13" s="1"/>
  <c r="BA121" i="13"/>
  <c r="BB121" i="13" s="1"/>
  <c r="BA285" i="13"/>
  <c r="BB285" i="13" s="1"/>
  <c r="BA26" i="13"/>
  <c r="BB26" i="13" s="1"/>
  <c r="BA514" i="13"/>
  <c r="BB514" i="13" s="1"/>
  <c r="BA554" i="13"/>
  <c r="BB554" i="13" s="1"/>
  <c r="BA505" i="13"/>
  <c r="BB505" i="13" s="1"/>
  <c r="BA370" i="13"/>
  <c r="BB370" i="13" s="1"/>
  <c r="BA195" i="13"/>
  <c r="BB195" i="13" s="1"/>
  <c r="BA542" i="5"/>
  <c r="BB542" i="5" s="1"/>
  <c r="BA416" i="13"/>
  <c r="BB416" i="13" s="1"/>
  <c r="BA70" i="13"/>
  <c r="BB70" i="13" s="1"/>
  <c r="BA88" i="13"/>
  <c r="BB88" i="13" s="1"/>
  <c r="BA519" i="13"/>
  <c r="BB519" i="13" s="1"/>
  <c r="BA388" i="13"/>
  <c r="BB388" i="13" s="1"/>
  <c r="BA486" i="13"/>
  <c r="BB486" i="13" s="1"/>
  <c r="BA434" i="13"/>
  <c r="BB434" i="13" s="1"/>
  <c r="BA167" i="13"/>
  <c r="BB167" i="13" s="1"/>
  <c r="BA55" i="13"/>
  <c r="BB55" i="13" s="1"/>
  <c r="BA113" i="13"/>
  <c r="BB113" i="13" s="1"/>
  <c r="BA374" i="13"/>
  <c r="BB374" i="13" s="1"/>
  <c r="BA376" i="13"/>
  <c r="BB376" i="13" s="1"/>
  <c r="BA508" i="13"/>
  <c r="BB508" i="13" s="1"/>
  <c r="BA117" i="13"/>
  <c r="BB117" i="13" s="1"/>
  <c r="BA383" i="13"/>
  <c r="BB383" i="13" s="1"/>
  <c r="BA24" i="13"/>
  <c r="BB24" i="13" s="1"/>
  <c r="BA389" i="13"/>
  <c r="BB389" i="13" s="1"/>
  <c r="BA219" i="13"/>
  <c r="BB219" i="13" s="1"/>
  <c r="BA35" i="13"/>
  <c r="BB35" i="13" s="1"/>
  <c r="BA280" i="13"/>
  <c r="BB280" i="13" s="1"/>
  <c r="BA363" i="13"/>
  <c r="BB363" i="13" s="1"/>
  <c r="BA236" i="13"/>
  <c r="BB236" i="13" s="1"/>
  <c r="BA553" i="13"/>
  <c r="BB553" i="13" s="1"/>
  <c r="BA240" i="13"/>
  <c r="BB240" i="13" s="1"/>
  <c r="BA500" i="13"/>
  <c r="BB500" i="13" s="1"/>
  <c r="BA512" i="13"/>
  <c r="BB512" i="13" s="1"/>
  <c r="BA299" i="13"/>
  <c r="BB299" i="13" s="1"/>
  <c r="BA92" i="13"/>
  <c r="BB92" i="13" s="1"/>
  <c r="BA180" i="13"/>
  <c r="BB180" i="13" s="1"/>
  <c r="BA194" i="13"/>
  <c r="BB194" i="13" s="1"/>
  <c r="BA97" i="13"/>
  <c r="BB97" i="13" s="1"/>
  <c r="BA517" i="13"/>
  <c r="BB517" i="13" s="1"/>
  <c r="BA189" i="13"/>
  <c r="BB189" i="13" s="1"/>
  <c r="BA417" i="13"/>
  <c r="BB417" i="13" s="1"/>
  <c r="BA93" i="13"/>
  <c r="BB93" i="13" s="1"/>
  <c r="BA412" i="13"/>
  <c r="BB412" i="13" s="1"/>
  <c r="BA168" i="13"/>
  <c r="BB168" i="13" s="1"/>
  <c r="BA147" i="13"/>
  <c r="BB147" i="13" s="1"/>
  <c r="BA37" i="13"/>
  <c r="BB37" i="13" s="1"/>
  <c r="BA421" i="13"/>
  <c r="BB421" i="13" s="1"/>
  <c r="BA439" i="13"/>
  <c r="BB439" i="13" s="1"/>
  <c r="BA450" i="13"/>
  <c r="BB450" i="13" s="1"/>
  <c r="BA532" i="13"/>
  <c r="BB532" i="13" s="1"/>
  <c r="BA21" i="13"/>
  <c r="BB21" i="13" s="1"/>
  <c r="BA331" i="13"/>
  <c r="BB331" i="13" s="1"/>
  <c r="BA498" i="13"/>
  <c r="BB498" i="13" s="1"/>
  <c r="BA529" i="13"/>
  <c r="BB529" i="13" s="1"/>
  <c r="BA128" i="13"/>
  <c r="BB128" i="13" s="1"/>
  <c r="BA191" i="13"/>
  <c r="BB191" i="13" s="1"/>
  <c r="BA22" i="13"/>
  <c r="BB22" i="13" s="1"/>
  <c r="BA73" i="13"/>
  <c r="BB73" i="13" s="1"/>
  <c r="BA525" i="13"/>
  <c r="BB525" i="13" s="1"/>
  <c r="BA76" i="13"/>
  <c r="BB76" i="13" s="1"/>
  <c r="BA131" i="13"/>
  <c r="BB131" i="13" s="1"/>
  <c r="BA110" i="13"/>
  <c r="BB110" i="13" s="1"/>
  <c r="BA136" i="13"/>
  <c r="BB136" i="13" s="1"/>
  <c r="BA526" i="13"/>
  <c r="BB526" i="13" s="1"/>
  <c r="BA83" i="13"/>
  <c r="BB83" i="13" s="1"/>
  <c r="BA462" i="13"/>
  <c r="BB462" i="13" s="1"/>
  <c r="BA426" i="13"/>
  <c r="BB426" i="13" s="1"/>
  <c r="BA228" i="13"/>
  <c r="BB228" i="13" s="1"/>
  <c r="BA256" i="13"/>
  <c r="BB256" i="13" s="1"/>
  <c r="BA437" i="13"/>
  <c r="BB437" i="13" s="1"/>
  <c r="BA94" i="13"/>
  <c r="BB94" i="13" s="1"/>
  <c r="BA268" i="13"/>
  <c r="BB268" i="13" s="1"/>
  <c r="BA114" i="13"/>
  <c r="BB114" i="13" s="1"/>
  <c r="BA254" i="13"/>
  <c r="BB254" i="13" s="1"/>
  <c r="BA304" i="13"/>
  <c r="BB304" i="13" s="1"/>
  <c r="BA540" i="13"/>
  <c r="BB540" i="13" s="1"/>
  <c r="BA227" i="13"/>
  <c r="BB227" i="13" s="1"/>
  <c r="BA158" i="13"/>
  <c r="BB158" i="13" s="1"/>
  <c r="BA359" i="13"/>
  <c r="BB359" i="13" s="1"/>
  <c r="BA243" i="13"/>
  <c r="BB243" i="13" s="1"/>
  <c r="BA457" i="13"/>
  <c r="BB457" i="13" s="1"/>
  <c r="BA151" i="13"/>
  <c r="BB151" i="13" s="1"/>
  <c r="BA316" i="13"/>
  <c r="BB316" i="13" s="1"/>
  <c r="BA541" i="13"/>
  <c r="BB541" i="13" s="1"/>
  <c r="BA392" i="13"/>
  <c r="BB392" i="13" s="1"/>
  <c r="BA489" i="13"/>
  <c r="BB489" i="13" s="1"/>
  <c r="BA130" i="13"/>
  <c r="BB130" i="13" s="1"/>
  <c r="BA460" i="13"/>
  <c r="BB460" i="13" s="1"/>
  <c r="BA272" i="13"/>
  <c r="BB272" i="13" s="1"/>
  <c r="BA371" i="13"/>
  <c r="BB371" i="13" s="1"/>
  <c r="BA466" i="13"/>
  <c r="BB466" i="13" s="1"/>
  <c r="BA202" i="13"/>
  <c r="BB202" i="13" s="1"/>
  <c r="BA423" i="13"/>
  <c r="BB423" i="13" s="1"/>
  <c r="BA340" i="13"/>
  <c r="BB340" i="13" s="1"/>
  <c r="BA162" i="13"/>
  <c r="BB162" i="13" s="1"/>
  <c r="BA549" i="13"/>
  <c r="BB549" i="13" s="1"/>
  <c r="BA313" i="13"/>
  <c r="BB313" i="13" s="1"/>
  <c r="BA208" i="13"/>
  <c r="BB208" i="13" s="1"/>
  <c r="BA181" i="13"/>
  <c r="BB181" i="13" s="1"/>
  <c r="BA415" i="13"/>
  <c r="BB415" i="13" s="1"/>
  <c r="BA174" i="13"/>
  <c r="BB174" i="13" s="1"/>
  <c r="BA354" i="13"/>
  <c r="BB354" i="13" s="1"/>
  <c r="BA150" i="13"/>
  <c r="BB150" i="13" s="1"/>
  <c r="BA400" i="13"/>
  <c r="BB400" i="13" s="1"/>
  <c r="BA57" i="13"/>
  <c r="BB57" i="13" s="1"/>
  <c r="BA80" i="13"/>
  <c r="BB80" i="13" s="1"/>
  <c r="BA133" i="13"/>
  <c r="BB133" i="13" s="1"/>
  <c r="BA39" i="13"/>
  <c r="BB39" i="13" s="1"/>
  <c r="BA287" i="13"/>
  <c r="BB287" i="13" s="1"/>
  <c r="BA179" i="13"/>
  <c r="BB179" i="13" s="1"/>
  <c r="BA444" i="13"/>
  <c r="BB444" i="13" s="1"/>
  <c r="BA119" i="13"/>
  <c r="BB119" i="13" s="1"/>
  <c r="BA193" i="13"/>
  <c r="BB193" i="13" s="1"/>
  <c r="BA411" i="13"/>
  <c r="BB411" i="13" s="1"/>
  <c r="BA336" i="13"/>
  <c r="BB336" i="13" s="1"/>
  <c r="BA451" i="13"/>
  <c r="BB451" i="13" s="1"/>
  <c r="BA446" i="13"/>
  <c r="BB446" i="13" s="1"/>
  <c r="BA495" i="13"/>
  <c r="BB495" i="13" s="1"/>
  <c r="BA301" i="13"/>
  <c r="BB301" i="13" s="1"/>
  <c r="BA479" i="13"/>
  <c r="BB479" i="13" s="1"/>
  <c r="BA407" i="13"/>
  <c r="BB407" i="13" s="1"/>
  <c r="BA49" i="13"/>
  <c r="BB49" i="13" s="1"/>
  <c r="BA281" i="13"/>
  <c r="BB281" i="13" s="1"/>
  <c r="BA266" i="13"/>
  <c r="BB266" i="13" s="1"/>
  <c r="BA296" i="13"/>
  <c r="BB296" i="13" s="1"/>
  <c r="BA416" i="5"/>
  <c r="BB416" i="5" s="1"/>
  <c r="BA54" i="13"/>
  <c r="BB54" i="13" s="1"/>
  <c r="BA124" i="13"/>
  <c r="BB124" i="13" s="1"/>
  <c r="BA276" i="13"/>
  <c r="BB276" i="13" s="1"/>
  <c r="BA246" i="13"/>
  <c r="BB246" i="13" s="1"/>
  <c r="BA538" i="13"/>
  <c r="BB538" i="13" s="1"/>
  <c r="BA559" i="13"/>
  <c r="BB559" i="13" s="1"/>
  <c r="BA443" i="13"/>
  <c r="BB443" i="13" s="1"/>
  <c r="BA332" i="13"/>
  <c r="BB332" i="13" s="1"/>
  <c r="BA140" i="13"/>
  <c r="BB140" i="13" s="1"/>
  <c r="BA410" i="13"/>
  <c r="BB410" i="13" s="1"/>
  <c r="BA535" i="13"/>
  <c r="BB535" i="13" s="1"/>
  <c r="BA361" i="13"/>
  <c r="BB361" i="13" s="1"/>
  <c r="BA34" i="13"/>
  <c r="BB34" i="13" s="1"/>
  <c r="BA391" i="13"/>
  <c r="BB391" i="13" s="1"/>
  <c r="BA231" i="13"/>
  <c r="BB231" i="13" s="1"/>
  <c r="BA377" i="13"/>
  <c r="BB377" i="13" s="1"/>
  <c r="BA520" i="13"/>
  <c r="BB520" i="13" s="1"/>
  <c r="BA292" i="13"/>
  <c r="BB292" i="13" s="1"/>
  <c r="BA153" i="13"/>
  <c r="BB153" i="13" s="1"/>
  <c r="BA232" i="13"/>
  <c r="BB232" i="13" s="1"/>
  <c r="BA107" i="13"/>
  <c r="BB107" i="13" s="1"/>
  <c r="BA320" i="13"/>
  <c r="BB320" i="13" s="1"/>
  <c r="BA511" i="13"/>
  <c r="BB511" i="13" s="1"/>
  <c r="BA211" i="13"/>
  <c r="BB211" i="13" s="1"/>
  <c r="BA386" i="13"/>
  <c r="BB386" i="13" s="1"/>
  <c r="BA175" i="13"/>
  <c r="BB175" i="13" s="1"/>
  <c r="BA249" i="13"/>
  <c r="BB249" i="13" s="1"/>
  <c r="BA323" i="13"/>
  <c r="BB323" i="13" s="1"/>
  <c r="BA492" i="13"/>
  <c r="BB492" i="13" s="1"/>
  <c r="BA85" i="13"/>
  <c r="BB85" i="13" s="1"/>
  <c r="BA142" i="13"/>
  <c r="BB142" i="13" s="1"/>
  <c r="BA503" i="13"/>
  <c r="BB503" i="13" s="1"/>
  <c r="BA318" i="13"/>
  <c r="BB318" i="13" s="1"/>
  <c r="BA31" i="13"/>
  <c r="BB31" i="13" s="1"/>
  <c r="BA165" i="13"/>
  <c r="BB165" i="13" s="1"/>
  <c r="BA220" i="13"/>
  <c r="BB220" i="13" s="1"/>
  <c r="BA347" i="13"/>
  <c r="BB347" i="13" s="1"/>
  <c r="BA234" i="13"/>
  <c r="BB234" i="13" s="1"/>
  <c r="BA203" i="13"/>
  <c r="BB203" i="13" s="1"/>
  <c r="BA159" i="13"/>
  <c r="BB159" i="13" s="1"/>
  <c r="BA380" i="13"/>
  <c r="BB380" i="13" s="1"/>
  <c r="BA472" i="13"/>
  <c r="BB472" i="13" s="1"/>
  <c r="BA522" i="13"/>
  <c r="BB522" i="13" s="1"/>
  <c r="BA303" i="13"/>
  <c r="BB303" i="13" s="1"/>
  <c r="AX9" i="13"/>
  <c r="AW9" i="13"/>
  <c r="BA52" i="13"/>
  <c r="BB52" i="13" s="1"/>
  <c r="BA552" i="13"/>
  <c r="BB552" i="13" s="1"/>
  <c r="BA308" i="13"/>
  <c r="BB308" i="13" s="1"/>
  <c r="BA352" i="13"/>
  <c r="BB352" i="13" s="1"/>
  <c r="BA187" i="13"/>
  <c r="BB187" i="13" s="1"/>
  <c r="BA373" i="13"/>
  <c r="BB373" i="13" s="1"/>
  <c r="BA355" i="13"/>
  <c r="BB355" i="13" s="1"/>
  <c r="BA530" i="13"/>
  <c r="BB530" i="13" s="1"/>
  <c r="BA146" i="13"/>
  <c r="BB146" i="13" s="1"/>
  <c r="BA284" i="13"/>
  <c r="BB284" i="13" s="1"/>
  <c r="BA274" i="13"/>
  <c r="BB274" i="13" s="1"/>
  <c r="BA362" i="13"/>
  <c r="BB362" i="13" s="1"/>
  <c r="BA477" i="13"/>
  <c r="BB477" i="13" s="1"/>
  <c r="BA251" i="13"/>
  <c r="BB251" i="13" s="1"/>
  <c r="BA89" i="13"/>
  <c r="BB89" i="13" s="1"/>
  <c r="BA401" i="13"/>
  <c r="BB401" i="13" s="1"/>
  <c r="BA402" i="13"/>
  <c r="BB402" i="13" s="1"/>
  <c r="BA122" i="13"/>
  <c r="BB122" i="13" s="1"/>
  <c r="BA544" i="13"/>
  <c r="BB544" i="13" s="1"/>
  <c r="BA155" i="13"/>
  <c r="BB155" i="13" s="1"/>
  <c r="BA339" i="13"/>
  <c r="BB339" i="13" s="1"/>
  <c r="BA509" i="13"/>
  <c r="BB509" i="13" s="1"/>
  <c r="BA60" i="13"/>
  <c r="BB60" i="13" s="1"/>
  <c r="BA104" i="13"/>
  <c r="BB104" i="13" s="1"/>
  <c r="BA200" i="13"/>
  <c r="BB200" i="13" s="1"/>
  <c r="BA459" i="13"/>
  <c r="BB459" i="13" s="1"/>
  <c r="BA33" i="13"/>
  <c r="BB33" i="13" s="1"/>
  <c r="BA428" i="13"/>
  <c r="BB428" i="13" s="1"/>
  <c r="BA259" i="13"/>
  <c r="BB259" i="13" s="1"/>
  <c r="BA506" i="13"/>
  <c r="BB506" i="13" s="1"/>
  <c r="BA129" i="13"/>
  <c r="BB129" i="13" s="1"/>
  <c r="BA141" i="13"/>
  <c r="BB141" i="13" s="1"/>
  <c r="BA178" i="13"/>
  <c r="BB178" i="13" s="1"/>
  <c r="BA71" i="13"/>
  <c r="BB71" i="13" s="1"/>
  <c r="BA184" i="13"/>
  <c r="BB184" i="13" s="1"/>
  <c r="BA25" i="13"/>
  <c r="BB25" i="13" s="1"/>
  <c r="BA482" i="13"/>
  <c r="BB482" i="13" s="1"/>
  <c r="BA188" i="13"/>
  <c r="BB188" i="13" s="1"/>
  <c r="BA385" i="13"/>
  <c r="BB385" i="13" s="1"/>
  <c r="BA74" i="13"/>
  <c r="BB74" i="13" s="1"/>
  <c r="BA475" i="13"/>
  <c r="BB475" i="13" s="1"/>
  <c r="BA59" i="13"/>
  <c r="BB59" i="13" s="1"/>
  <c r="BA468" i="13"/>
  <c r="BB468" i="13" s="1"/>
  <c r="BA515" i="13"/>
  <c r="BB515" i="13" s="1"/>
  <c r="BA533" i="13"/>
  <c r="BB533" i="13" s="1"/>
  <c r="BA224" i="13"/>
  <c r="BB224" i="13" s="1"/>
  <c r="BA356" i="13"/>
  <c r="BB356" i="13" s="1"/>
  <c r="BA77" i="13"/>
  <c r="BB77" i="13" s="1"/>
  <c r="BA470" i="13"/>
  <c r="BB470" i="13" s="1"/>
  <c r="BA404" i="13"/>
  <c r="BB404" i="13" s="1"/>
  <c r="BA277" i="13"/>
  <c r="BB277" i="13" s="1"/>
  <c r="BA102" i="13"/>
  <c r="BB102" i="13" s="1"/>
  <c r="BA555" i="13"/>
  <c r="BB555" i="13" s="1"/>
  <c r="BA435" i="13"/>
  <c r="BB435" i="13" s="1"/>
  <c r="BA326" i="13"/>
  <c r="BB326" i="13" s="1"/>
  <c r="BA46" i="13"/>
  <c r="BB46" i="13" s="1"/>
  <c r="BA396" i="13"/>
  <c r="BB396" i="13" s="1"/>
  <c r="BA504" i="13"/>
  <c r="BB504" i="13" s="1"/>
  <c r="BA205" i="13"/>
  <c r="BB205" i="13" s="1"/>
  <c r="BA53" i="13"/>
  <c r="BB53" i="13" s="1"/>
  <c r="BA315" i="13"/>
  <c r="BB315" i="13" s="1"/>
  <c r="BA365" i="13"/>
  <c r="BB365" i="13" s="1"/>
  <c r="BA491" i="13"/>
  <c r="BB491" i="13" s="1"/>
  <c r="BA548" i="13"/>
  <c r="BB548" i="13" s="1"/>
  <c r="BA215" i="13"/>
  <c r="BB215" i="13" s="1"/>
  <c r="BA455" i="13"/>
  <c r="BB455" i="13" s="1"/>
  <c r="BA41" i="13"/>
  <c r="BB41" i="13" s="1"/>
  <c r="BA171" i="13"/>
  <c r="BB171" i="13" s="1"/>
  <c r="BA502" i="13"/>
  <c r="BB502" i="13" s="1"/>
  <c r="BA334" i="13"/>
  <c r="BB334" i="13" s="1"/>
  <c r="BA233" i="13"/>
  <c r="BB233" i="13" s="1"/>
  <c r="BA288" i="13"/>
  <c r="BB288" i="13" s="1"/>
  <c r="BA217" i="13"/>
  <c r="BB217" i="13" s="1"/>
  <c r="BA185" i="13"/>
  <c r="BB185" i="13" s="1"/>
  <c r="BA430" i="13"/>
  <c r="BB430" i="13" s="1"/>
  <c r="BA176" i="13"/>
  <c r="BB176" i="13" s="1"/>
  <c r="BA536" i="13"/>
  <c r="BB536" i="13" s="1"/>
  <c r="BA260" i="13"/>
  <c r="BB260" i="13" s="1"/>
  <c r="BA206" i="13"/>
  <c r="BB206" i="13" s="1"/>
  <c r="BA86" i="13"/>
  <c r="BB86" i="13" s="1"/>
  <c r="BA19" i="13"/>
  <c r="BA27" i="5"/>
  <c r="BB27" i="5" s="1"/>
  <c r="BA482" i="5"/>
  <c r="BB482" i="5" s="1"/>
  <c r="BA332" i="5"/>
  <c r="BB332" i="5" s="1"/>
  <c r="BA109" i="5"/>
  <c r="BB109" i="5" s="1"/>
  <c r="BA292" i="5"/>
  <c r="BB292" i="5" s="1"/>
  <c r="BA219" i="5"/>
  <c r="BB219" i="5" s="1"/>
  <c r="BA458" i="5"/>
  <c r="BB458" i="5" s="1"/>
  <c r="BA496" i="5"/>
  <c r="BB496" i="5" s="1"/>
  <c r="BA401" i="5"/>
  <c r="BB401" i="5" s="1"/>
  <c r="BA71" i="5"/>
  <c r="BB71" i="5" s="1"/>
  <c r="BA370" i="5"/>
  <c r="BB370" i="5" s="1"/>
  <c r="BA418" i="5"/>
  <c r="BB418" i="5" s="1"/>
  <c r="BA348" i="5"/>
  <c r="BB348" i="5" s="1"/>
  <c r="BA359" i="5"/>
  <c r="BB359" i="5" s="1"/>
  <c r="BA220" i="5"/>
  <c r="BB220" i="5" s="1"/>
  <c r="CI151" i="4"/>
  <c r="CJ151" i="4" s="1"/>
  <c r="BA239" i="5"/>
  <c r="BB239" i="5" s="1"/>
  <c r="BA498" i="5"/>
  <c r="BB498" i="5" s="1"/>
  <c r="BA280" i="5"/>
  <c r="BB280" i="5" s="1"/>
  <c r="BA404" i="5"/>
  <c r="BB404" i="5" s="1"/>
  <c r="BA500" i="5"/>
  <c r="BB500" i="5" s="1"/>
  <c r="BA373" i="5"/>
  <c r="BB373" i="5" s="1"/>
  <c r="BA347" i="5"/>
  <c r="BB347" i="5" s="1"/>
  <c r="BA345" i="5"/>
  <c r="BB345" i="5" s="1"/>
  <c r="BA312" i="5"/>
  <c r="BB312" i="5" s="1"/>
  <c r="BA541" i="5"/>
  <c r="BB541" i="5" s="1"/>
  <c r="AW9" i="5"/>
  <c r="BA485" i="5"/>
  <c r="BB485" i="5" s="1"/>
  <c r="BA221" i="5"/>
  <c r="BB221" i="5" s="1"/>
  <c r="BA523" i="5"/>
  <c r="BB523" i="5" s="1"/>
  <c r="BA122" i="5"/>
  <c r="BB122" i="5" s="1"/>
  <c r="BA70" i="5"/>
  <c r="BB70" i="5" s="1"/>
  <c r="BA130" i="5"/>
  <c r="BB130" i="5" s="1"/>
  <c r="BA36" i="5"/>
  <c r="BB36" i="5" s="1"/>
  <c r="BA245" i="5"/>
  <c r="BB245" i="5" s="1"/>
  <c r="BA491" i="5"/>
  <c r="BB491" i="5" s="1"/>
  <c r="BA250" i="5"/>
  <c r="BB250" i="5" s="1"/>
  <c r="BA396" i="5"/>
  <c r="BB396" i="5" s="1"/>
  <c r="BA415" i="5"/>
  <c r="BB415" i="5" s="1"/>
  <c r="BA150" i="5"/>
  <c r="BB150" i="5" s="1"/>
  <c r="BA520" i="5"/>
  <c r="BB520" i="5" s="1"/>
  <c r="BA86" i="5"/>
  <c r="BB86" i="5" s="1"/>
  <c r="BA244" i="5"/>
  <c r="BB244" i="5" s="1"/>
  <c r="BA175" i="5"/>
  <c r="BB175" i="5" s="1"/>
  <c r="BA51" i="5"/>
  <c r="BB51" i="5" s="1"/>
  <c r="BA546" i="5"/>
  <c r="BB546" i="5" s="1"/>
  <c r="BA228" i="5"/>
  <c r="BB228" i="5" s="1"/>
  <c r="BA405" i="5"/>
  <c r="BB405" i="5" s="1"/>
  <c r="CI155" i="4"/>
  <c r="CJ155" i="4" s="1"/>
  <c r="BA448" i="5"/>
  <c r="BB448" i="5" s="1"/>
  <c r="BA259" i="5"/>
  <c r="BB259" i="5" s="1"/>
  <c r="BA554" i="5"/>
  <c r="BB554" i="5" s="1"/>
  <c r="BA213" i="5"/>
  <c r="BB213" i="5" s="1"/>
  <c r="BA174" i="5"/>
  <c r="BB174" i="5" s="1"/>
  <c r="BA543" i="5"/>
  <c r="BB543" i="5" s="1"/>
  <c r="BA379" i="5"/>
  <c r="BB379" i="5" s="1"/>
  <c r="BA136" i="5"/>
  <c r="BB136" i="5" s="1"/>
  <c r="BA160" i="5"/>
  <c r="BB160" i="5" s="1"/>
  <c r="AX11" i="5"/>
  <c r="BA193" i="5"/>
  <c r="BB193" i="5" s="1"/>
  <c r="BA192" i="5"/>
  <c r="BB192" i="5" s="1"/>
  <c r="BA75" i="5"/>
  <c r="BB75" i="5" s="1"/>
  <c r="BA473" i="5"/>
  <c r="BB473" i="5" s="1"/>
  <c r="CI123" i="4"/>
  <c r="CJ123" i="4" s="1"/>
  <c r="BA306" i="5"/>
  <c r="BB306" i="5" s="1"/>
  <c r="BA524" i="5"/>
  <c r="BB524" i="5" s="1"/>
  <c r="BA469" i="5"/>
  <c r="BB469" i="5" s="1"/>
  <c r="BA40" i="5"/>
  <c r="BB40" i="5" s="1"/>
  <c r="BA364" i="5"/>
  <c r="BB364" i="5" s="1"/>
  <c r="BA236" i="5"/>
  <c r="BB236" i="5" s="1"/>
  <c r="BA428" i="5"/>
  <c r="BB428" i="5" s="1"/>
  <c r="BA256" i="5"/>
  <c r="BB256" i="5" s="1"/>
  <c r="CI126" i="4"/>
  <c r="CJ126" i="4" s="1"/>
  <c r="BA545" i="5"/>
  <c r="BB545" i="5" s="1"/>
  <c r="BA426" i="5"/>
  <c r="BB426" i="5" s="1"/>
  <c r="CI129" i="4"/>
  <c r="CJ129" i="4" s="1"/>
  <c r="BA42" i="5"/>
  <c r="BB42" i="5" s="1"/>
  <c r="BA204" i="5"/>
  <c r="BB204" i="5" s="1"/>
  <c r="CI113" i="4"/>
  <c r="CJ113" i="4" s="1"/>
  <c r="CI121" i="4"/>
  <c r="CJ121" i="4" s="1"/>
  <c r="CI141" i="4"/>
  <c r="CJ141" i="4" s="1"/>
  <c r="CI156" i="4"/>
  <c r="CJ156" i="4" s="1"/>
  <c r="AS91" i="4"/>
  <c r="AS85" i="4"/>
  <c r="AS49" i="4"/>
  <c r="AS13" i="4"/>
  <c r="AS121" i="4"/>
  <c r="AS66" i="4"/>
  <c r="AS71" i="4"/>
  <c r="AS111" i="4"/>
  <c r="AS30" i="4"/>
  <c r="AS131" i="4"/>
  <c r="AS21" i="4"/>
  <c r="AS65" i="4"/>
  <c r="AS11" i="4"/>
  <c r="AS48" i="4"/>
  <c r="AS143" i="4"/>
  <c r="AS27" i="4"/>
  <c r="AS129" i="4"/>
  <c r="AS86" i="4"/>
  <c r="AS134" i="4"/>
  <c r="AS53" i="4"/>
  <c r="AS8" i="4"/>
  <c r="AS38" i="4"/>
  <c r="AS122" i="4"/>
  <c r="AS133" i="4"/>
  <c r="AS41" i="4"/>
  <c r="AS67" i="4"/>
  <c r="AS72" i="4"/>
  <c r="AS31" i="4"/>
  <c r="AS59" i="4"/>
  <c r="AS39" i="4"/>
  <c r="AS9" i="4"/>
  <c r="AS112" i="4"/>
  <c r="AS150" i="4"/>
  <c r="AS51" i="4"/>
  <c r="AS73" i="4"/>
  <c r="AS95" i="4"/>
  <c r="AS40" i="4"/>
  <c r="AS35" i="4"/>
  <c r="AS81" i="4"/>
  <c r="AS80" i="4"/>
  <c r="AS107" i="4"/>
  <c r="AS152" i="4"/>
  <c r="AS43" i="4"/>
  <c r="AS103" i="4"/>
  <c r="AS97" i="4"/>
  <c r="AS100" i="4"/>
  <c r="AS24" i="4"/>
  <c r="AS82" i="4"/>
  <c r="AS137" i="4"/>
  <c r="AS157" i="4"/>
  <c r="AS102" i="4"/>
  <c r="AS136" i="4"/>
  <c r="AS117" i="4"/>
  <c r="AS116" i="4"/>
  <c r="AS125" i="4"/>
  <c r="AS118" i="4"/>
  <c r="AS50" i="4"/>
  <c r="AS87" i="4"/>
  <c r="AS54" i="4"/>
  <c r="AS26" i="4"/>
  <c r="AS79" i="4"/>
  <c r="AS17" i="4"/>
  <c r="AS58" i="4"/>
  <c r="AS34" i="4"/>
  <c r="AS109" i="4"/>
  <c r="AS104" i="4"/>
  <c r="AS99" i="4"/>
  <c r="AS90" i="4"/>
  <c r="AS29" i="4"/>
  <c r="AS115" i="4"/>
  <c r="AS42" i="4"/>
  <c r="AS89" i="4"/>
  <c r="AS147" i="4"/>
  <c r="AS83" i="4"/>
  <c r="AS32" i="4"/>
  <c r="AS57" i="4"/>
  <c r="AS36" i="4"/>
  <c r="AS56" i="4"/>
  <c r="AS12" i="4"/>
  <c r="AS45" i="4"/>
  <c r="AS119" i="4"/>
  <c r="AS138" i="4"/>
  <c r="AS77" i="4"/>
  <c r="AS135" i="4"/>
  <c r="AS23" i="4"/>
  <c r="AS113" i="4"/>
  <c r="AS44" i="4"/>
  <c r="AS151" i="4"/>
  <c r="AS28" i="4"/>
  <c r="AS60" i="4"/>
  <c r="AS105" i="4"/>
  <c r="AS101" i="4"/>
  <c r="AS37" i="4"/>
  <c r="AS76" i="4"/>
  <c r="AS154" i="4"/>
  <c r="AS126" i="4"/>
  <c r="AS22" i="4"/>
  <c r="AS63" i="4"/>
  <c r="AS106" i="4"/>
  <c r="AS144" i="4"/>
  <c r="AS16" i="4"/>
  <c r="AS155" i="4"/>
  <c r="AS14" i="4"/>
  <c r="AS78" i="4"/>
  <c r="AS18" i="4"/>
  <c r="AS146" i="4"/>
  <c r="AS46" i="4"/>
  <c r="AS74" i="4"/>
  <c r="AS127" i="4"/>
  <c r="AS114" i="4"/>
  <c r="AS19" i="4"/>
  <c r="AS62" i="4"/>
  <c r="AS88" i="4"/>
  <c r="AS130" i="4"/>
  <c r="AS132" i="4"/>
  <c r="AS94" i="4"/>
  <c r="AS156" i="4"/>
  <c r="AS108" i="4"/>
  <c r="AS33" i="4"/>
  <c r="AS64" i="4"/>
  <c r="AS84" i="4"/>
  <c r="AS148" i="4"/>
  <c r="AS70" i="4"/>
  <c r="AS25" i="4"/>
  <c r="AS68" i="4"/>
  <c r="AS149" i="4"/>
  <c r="AS139" i="4"/>
  <c r="AS96" i="4"/>
  <c r="AS120" i="4"/>
  <c r="AS141" i="4"/>
  <c r="AS92" i="4"/>
  <c r="AS61" i="4"/>
  <c r="AS75" i="4"/>
  <c r="AS145" i="4"/>
  <c r="AS98" i="4"/>
  <c r="AS142" i="4"/>
  <c r="AS124" i="4"/>
  <c r="AS55" i="4"/>
  <c r="AS10" i="4"/>
  <c r="AS20" i="4"/>
  <c r="AS153" i="4"/>
  <c r="AS52" i="4"/>
  <c r="AS47" i="4"/>
  <c r="AS128" i="4"/>
  <c r="AS140" i="4"/>
  <c r="AS110" i="4"/>
  <c r="AS15" i="4"/>
  <c r="AS69" i="4"/>
  <c r="AS93" i="4"/>
  <c r="AS123" i="4"/>
  <c r="BB12" i="13" l="1"/>
  <c r="D78" i="13" s="1"/>
  <c r="B78" i="13" s="1"/>
  <c r="A78" i="13" s="1"/>
  <c r="B283" i="2" s="1"/>
  <c r="BB19" i="13"/>
  <c r="BB14" i="13" s="1"/>
  <c r="D79" i="13" s="1"/>
  <c r="B79" i="13" s="1"/>
  <c r="A79" i="13" s="1"/>
  <c r="B284" i="2" s="1"/>
  <c r="BB14" i="5"/>
  <c r="D79" i="5" s="1"/>
  <c r="B79" i="5" s="1"/>
  <c r="A79" i="5" s="1"/>
  <c r="BB12" i="5"/>
  <c r="D78" i="5" s="1"/>
  <c r="B78" i="5" s="1"/>
  <c r="A7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BMC-BCS</author>
    <author>Cai, Yinsong</author>
    <author>Schauer, Stefan</author>
  </authors>
  <commentList>
    <comment ref="A3" authorId="0" shapeId="0" xr:uid="{00000000-0006-0000-0000-000001000000}">
      <text>
        <r>
          <rPr>
            <b/>
            <sz val="11"/>
            <color indexed="10"/>
            <rFont val="Tahoma"/>
            <family val="2"/>
          </rPr>
          <t>Welcome to the LM5157x/58x Design Tool</t>
        </r>
        <r>
          <rPr>
            <sz val="9"/>
            <color indexed="81"/>
            <rFont val="Tahoma"/>
            <family val="2"/>
          </rPr>
          <t xml:space="preserve">
This stand-alone tool facilitates and assists the power supply engineer with design of a DC-DC boost converter based on the LM5157x/58x controller. As such, the user can expeditiously arrive at an optimized design by virtue of the following:
- Select components
- Optimize compensation values and pole/zero placement in terms of control loop stability using crossover frquency as a performance metric
- Inspect regulator efficiency and component power dissipation
- Analyze efficiency based on selected MOSFET, inductor and diode parameters
IMPORTANT: You must enable macros if Microsoft Excel asks as the file is being opened. U.S. English notation is used throughout. Make sure to input or select values in all of the yellow shaded cells even if a value already exists in that cell. Do not over write equations in cells, as this may result in calculation errors.
</t>
        </r>
      </text>
    </comment>
    <comment ref="H7" authorId="0" shapeId="0" xr:uid="{00000000-0006-0000-0000-000003000000}">
      <text>
        <r>
          <rPr>
            <b/>
            <u/>
            <sz val="10"/>
            <color indexed="81"/>
            <rFont val="Tahoma"/>
            <family val="2"/>
          </rPr>
          <t>Minimum Operating Voltage</t>
        </r>
        <r>
          <rPr>
            <b/>
            <sz val="9"/>
            <color indexed="81"/>
            <rFont val="Tahoma"/>
            <family val="2"/>
          </rPr>
          <t xml:space="preserve">
</t>
        </r>
        <r>
          <rPr>
            <sz val="10"/>
            <color indexed="81"/>
            <rFont val="Tahoma"/>
            <family val="2"/>
          </rPr>
          <t>Enter the minimum operating voltage. If the BIAS pin voltage is less than 
   2.9V the LM5157x 
   3.2V the LM5158x 
should be externally biased. If low voltage operation is required the BIAS pin can be supplied with VOUT extending operation to 1.5V</t>
        </r>
        <r>
          <rPr>
            <sz val="9"/>
            <color indexed="81"/>
            <rFont val="Tahoma"/>
            <family val="2"/>
          </rPr>
          <t xml:space="preserve">
</t>
        </r>
        <r>
          <rPr>
            <sz val="10"/>
            <color indexed="10"/>
            <rFont val="Tahoma"/>
            <family val="2"/>
          </rPr>
          <t xml:space="preserve">The text in the cell is flagged red if:
</t>
        </r>
        <r>
          <rPr>
            <sz val="10"/>
            <color indexed="81"/>
            <rFont val="Tahoma"/>
            <family val="2"/>
          </rPr>
          <t>-The input voltage is above the maximum rating of the selected device
   For LM5157 and LM51571, the input max is 45V
   For LM5158 and LM51581, the input max is 60V
-The input voltage is below 1.5V</t>
        </r>
      </text>
    </comment>
    <comment ref="N7" authorId="0" shapeId="0" xr:uid="{00000000-0006-0000-0000-000004000000}">
      <text>
        <r>
          <rPr>
            <b/>
            <sz val="11"/>
            <color indexed="81"/>
            <rFont val="Tahoma"/>
            <family val="2"/>
          </rPr>
          <t>Output Voltage Load 1:</t>
        </r>
        <r>
          <rPr>
            <b/>
            <sz val="9"/>
            <color indexed="81"/>
            <rFont val="Tahoma"/>
            <family val="2"/>
          </rPr>
          <t xml:space="preserve">
</t>
        </r>
        <r>
          <rPr>
            <sz val="10"/>
            <color indexed="81"/>
            <rFont val="Tahoma"/>
            <family val="2"/>
          </rPr>
          <t xml:space="preserve">Select the desired voltage of load 1.
</t>
        </r>
        <r>
          <rPr>
            <b/>
            <sz val="10"/>
            <color indexed="10"/>
            <rFont val="Tahoma"/>
            <family val="2"/>
          </rPr>
          <t>Load 1 voltage should be entered as the regulated load regardless of the feedback type
Must be positive.</t>
        </r>
        <r>
          <rPr>
            <sz val="9"/>
            <color indexed="81"/>
            <rFont val="Tahoma"/>
            <family val="2"/>
          </rPr>
          <t xml:space="preserve">
</t>
        </r>
      </text>
    </comment>
    <comment ref="H8" authorId="0" shapeId="0" xr:uid="{00000000-0006-0000-0000-000005000000}">
      <text>
        <r>
          <rPr>
            <b/>
            <u/>
            <sz val="10"/>
            <color indexed="81"/>
            <rFont val="Tahoma"/>
            <family val="2"/>
          </rPr>
          <t>Nominal Input Voltage:</t>
        </r>
        <r>
          <rPr>
            <b/>
            <u/>
            <sz val="11"/>
            <color indexed="81"/>
            <rFont val="Tahoma"/>
            <family val="2"/>
          </rPr>
          <t xml:space="preserve">
</t>
        </r>
        <r>
          <rPr>
            <sz val="10"/>
            <color indexed="81"/>
            <rFont val="Tahoma"/>
            <family val="2"/>
          </rPr>
          <t xml:space="preserve">Enter the nominal operating input voltage.
The LM5157x input voltage operating range is 1.5V to 45V.
The LM5158x input voltage operating range is 1.5V to 60V.
</t>
        </r>
        <r>
          <rPr>
            <sz val="10"/>
            <color indexed="10"/>
            <rFont val="Tahoma"/>
            <family val="2"/>
          </rPr>
          <t xml:space="preserve">
The text in the cell is flagged red if:</t>
        </r>
        <r>
          <rPr>
            <sz val="10"/>
            <color indexed="81"/>
            <rFont val="Tahoma"/>
            <family val="2"/>
          </rPr>
          <t xml:space="preserve">
-The input voltage is above VSUPPLY(max)
-The input voltage is below VSUPPLY(min)</t>
        </r>
      </text>
    </comment>
    <comment ref="H9" authorId="0" shapeId="0" xr:uid="{00000000-0006-0000-0000-000006000000}">
      <text>
        <r>
          <rPr>
            <b/>
            <u/>
            <sz val="10"/>
            <color indexed="81"/>
            <rFont val="Tahoma"/>
            <family val="2"/>
          </rPr>
          <t>Maximum Operating Votlage</t>
        </r>
        <r>
          <rPr>
            <sz val="10"/>
            <color indexed="81"/>
            <rFont val="Tahoma"/>
            <family val="2"/>
          </rPr>
          <t xml:space="preserve">
Enter the maximum operating voltage. 
</t>
        </r>
        <r>
          <rPr>
            <sz val="10"/>
            <color indexed="81"/>
            <rFont val="Tahoma"/>
            <family val="2"/>
          </rPr>
          <t xml:space="preserve">
</t>
        </r>
        <r>
          <rPr>
            <sz val="10"/>
            <color indexed="10"/>
            <rFont val="Tahoma"/>
            <family val="2"/>
          </rPr>
          <t>The text in the cell is flagged red if:</t>
        </r>
        <r>
          <rPr>
            <sz val="10"/>
            <color indexed="81"/>
            <rFont val="Tahoma"/>
            <family val="2"/>
          </rPr>
          <t xml:space="preserve">
-The input voltage is above the maximum rating of the selected device
   For LM5157 and LM51571, the input max is 45V
   For LM5158 and LM51581, the input max is 60V
-The input voltage is below 1.5V</t>
        </r>
        <r>
          <rPr>
            <sz val="9"/>
            <color indexed="81"/>
            <rFont val="Tahoma"/>
            <family val="2"/>
          </rPr>
          <t xml:space="preserve">
</t>
        </r>
      </text>
    </comment>
    <comment ref="N10" authorId="0" shapeId="0" xr:uid="{00000000-0006-0000-0000-000007000000}">
      <text>
        <r>
          <rPr>
            <b/>
            <u/>
            <sz val="9"/>
            <color indexed="81"/>
            <rFont val="Tahoma"/>
            <family val="2"/>
          </rPr>
          <t>Load 1 Turns Ratio</t>
        </r>
        <r>
          <rPr>
            <sz val="9"/>
            <color indexed="81"/>
            <rFont val="Tahoma"/>
            <family val="2"/>
          </rPr>
          <t xml:space="preserve">
The turns ratio on the secondary winding of load 1. 
</t>
        </r>
        <r>
          <rPr>
            <b/>
            <sz val="9"/>
            <color indexed="10"/>
            <rFont val="Tahoma"/>
            <family val="2"/>
          </rPr>
          <t>The primary turns ratio (Np) is assumed to be 1</t>
        </r>
      </text>
    </comment>
    <comment ref="N11" authorId="0" shapeId="0" xr:uid="{00000000-0006-0000-0000-000008000000}">
      <text>
        <r>
          <rPr>
            <b/>
            <u/>
            <sz val="9"/>
            <color indexed="81"/>
            <rFont val="Tahoma"/>
            <family val="2"/>
          </rPr>
          <t>DC Resistance of Load 1 Winding</t>
        </r>
        <r>
          <rPr>
            <sz val="9"/>
            <color indexed="81"/>
            <rFont val="Tahoma"/>
            <family val="2"/>
          </rPr>
          <t xml:space="preserve">
Resistance of load 1 winding. For high current outputs this value should be minimized</t>
        </r>
      </text>
    </comment>
    <comment ref="H14" authorId="0" shapeId="0" xr:uid="{00000000-0006-0000-0000-000009000000}">
      <text>
        <r>
          <rPr>
            <b/>
            <u/>
            <sz val="11"/>
            <color indexed="81"/>
            <rFont val="Tahoma"/>
            <family val="2"/>
          </rPr>
          <t>Operating Frequency Set by RT</t>
        </r>
        <r>
          <rPr>
            <b/>
            <sz val="9"/>
            <color indexed="81"/>
            <rFont val="Tahoma"/>
            <family val="2"/>
          </rPr>
          <t xml:space="preserve">
</t>
        </r>
        <r>
          <rPr>
            <sz val="10"/>
            <color indexed="81"/>
            <rFont val="Tahoma"/>
            <family val="2"/>
          </rPr>
          <t>This cell defines the free running switching frequency</t>
        </r>
        <r>
          <rPr>
            <b/>
            <sz val="9"/>
            <color indexed="81"/>
            <rFont val="Tahoma"/>
            <family val="2"/>
          </rPr>
          <t xml:space="preserve">
</t>
        </r>
        <r>
          <rPr>
            <sz val="9"/>
            <color indexed="10"/>
            <rFont val="Tahoma"/>
            <family val="2"/>
          </rPr>
          <t xml:space="preserve">
The text in the cell is flagged red if:</t>
        </r>
        <r>
          <rPr>
            <b/>
            <sz val="9"/>
            <color indexed="81"/>
            <rFont val="Tahoma"/>
            <family val="2"/>
          </rPr>
          <t xml:space="preserve">
</t>
        </r>
        <r>
          <rPr>
            <sz val="10"/>
            <color indexed="81"/>
            <rFont val="Tahoma"/>
            <family val="2"/>
          </rPr>
          <t>Frequency is set below: 100kHz
Frequenyc is set above: 2.2MHz</t>
        </r>
        <r>
          <rPr>
            <sz val="9"/>
            <color indexed="81"/>
            <rFont val="Tahoma"/>
            <family val="2"/>
          </rPr>
          <t xml:space="preserve">
</t>
        </r>
      </text>
    </comment>
    <comment ref="H17" authorId="0" shapeId="0" xr:uid="{00000000-0006-0000-0000-00000A000000}">
      <text>
        <r>
          <rPr>
            <b/>
            <u/>
            <sz val="10"/>
            <color indexed="81"/>
            <rFont val="Tahoma"/>
            <family val="2"/>
          </rPr>
          <t xml:space="preserve">Maximum duty cycle </t>
        </r>
        <r>
          <rPr>
            <sz val="9"/>
            <color indexed="81"/>
            <rFont val="Tahoma"/>
            <family val="2"/>
          </rPr>
          <t xml:space="preserve">
</t>
        </r>
        <r>
          <rPr>
            <sz val="10"/>
            <color indexed="81"/>
            <rFont val="Tahoma"/>
            <family val="2"/>
          </rPr>
          <t>Desired maximum duty cycle of the regulator. 
If the duty cycle the is set to less than 50% external slope compensation is not required. 
Typically between 30% to 70% is  a good starting point.</t>
        </r>
        <r>
          <rPr>
            <sz val="9"/>
            <color indexed="81"/>
            <rFont val="Tahoma"/>
            <family val="2"/>
          </rPr>
          <t xml:space="preserve">
</t>
        </r>
      </text>
    </comment>
    <comment ref="H22" authorId="0" shapeId="0" xr:uid="{00000000-0006-0000-0000-00000B000000}">
      <text>
        <r>
          <rPr>
            <b/>
            <u/>
            <sz val="9"/>
            <color indexed="81"/>
            <rFont val="Tahoma"/>
            <family val="2"/>
          </rPr>
          <t>Primary winding current ripple ratio</t>
        </r>
        <r>
          <rPr>
            <b/>
            <sz val="9"/>
            <color indexed="81"/>
            <rFont val="Tahoma"/>
            <family val="2"/>
          </rPr>
          <t xml:space="preserve">
</t>
        </r>
        <r>
          <rPr>
            <sz val="9"/>
            <color indexed="81"/>
            <rFont val="Tahoma"/>
            <family val="2"/>
          </rPr>
          <t>The ratio between the ripple current vs the average current in the primary winding
30% to 70% ripple is a good starting point.</t>
        </r>
      </text>
    </comment>
    <comment ref="H24" authorId="0" shapeId="0" xr:uid="{00000000-0006-0000-0000-00000C000000}">
      <text>
        <r>
          <rPr>
            <b/>
            <sz val="9"/>
            <color indexed="81"/>
            <rFont val="Tahoma"/>
            <family val="2"/>
          </rPr>
          <t>Primary Winding Inductance</t>
        </r>
        <r>
          <rPr>
            <sz val="9"/>
            <color indexed="81"/>
            <rFont val="Tahoma"/>
            <family val="2"/>
          </rPr>
          <t xml:space="preserve">
Enter the primary winding magnetizing inductance here.
</t>
        </r>
      </text>
    </comment>
    <comment ref="H25" authorId="0" shapeId="0" xr:uid="{00000000-0006-0000-0000-00000D000000}">
      <text>
        <r>
          <rPr>
            <b/>
            <u/>
            <sz val="9"/>
            <color indexed="81"/>
            <rFont val="Tahoma"/>
            <family val="2"/>
          </rPr>
          <t>DC Resistance of Primary Winding</t>
        </r>
        <r>
          <rPr>
            <b/>
            <sz val="9"/>
            <color indexed="81"/>
            <rFont val="Tahoma"/>
            <family val="2"/>
          </rPr>
          <t xml:space="preserve">
</t>
        </r>
        <r>
          <rPr>
            <sz val="9"/>
            <color indexed="81"/>
            <rFont val="Tahoma"/>
            <family val="2"/>
          </rPr>
          <t xml:space="preserve">Resistance of Primary winding. For high power applications this value should be minimized
</t>
        </r>
      </text>
    </comment>
    <comment ref="H26" authorId="0" shapeId="0" xr:uid="{00000000-0006-0000-0000-00000E000000}">
      <text>
        <r>
          <rPr>
            <b/>
            <u/>
            <sz val="9"/>
            <color indexed="81"/>
            <rFont val="Tahoma"/>
            <family val="2"/>
          </rPr>
          <t>Primary Winding Peak Current:</t>
        </r>
        <r>
          <rPr>
            <b/>
            <sz val="9"/>
            <color indexed="81"/>
            <rFont val="Tahoma"/>
            <family val="2"/>
          </rPr>
          <t xml:space="preserve">
</t>
        </r>
        <r>
          <rPr>
            <sz val="9"/>
            <color indexed="81"/>
            <rFont val="Tahoma"/>
            <family val="2"/>
          </rPr>
          <t xml:space="preserve">Peak current in the primary winding at full output power.
</t>
        </r>
      </text>
    </comment>
    <comment ref="H29" authorId="1" shapeId="0" xr:uid="{6B060387-80D9-4A64-9321-2FADC06DD712}">
      <text>
        <r>
          <rPr>
            <b/>
            <sz val="9"/>
            <color indexed="81"/>
            <rFont val="Tahoma"/>
            <family val="2"/>
          </rPr>
          <t>Device Recommendation</t>
        </r>
        <r>
          <rPr>
            <sz val="9"/>
            <color indexed="81"/>
            <rFont val="Tahoma"/>
            <family val="2"/>
          </rPr>
          <t xml:space="preserve">
Internal MOSFET current limit for LM51581 is 1.5A.
Internal MOSFET current limit for LM5187 is 3A.
Internal MOSFET current limit for LM51571 is 4A.
Internal MOSFET current limit for LM5157 is 6A.
The recommendation is based on 15% peak current limit margin.</t>
        </r>
        <r>
          <rPr>
            <b/>
            <sz val="9"/>
            <color indexed="81"/>
            <rFont val="Tahoma"/>
            <family val="2"/>
          </rPr>
          <t xml:space="preserve">
</t>
        </r>
        <r>
          <rPr>
            <b/>
            <sz val="9"/>
            <color indexed="10"/>
            <rFont val="Tahoma"/>
            <family val="2"/>
          </rPr>
          <t>The text in the cell is flagged red with "No Device" if:</t>
        </r>
        <r>
          <rPr>
            <sz val="9"/>
            <color indexed="81"/>
            <rFont val="Tahoma"/>
            <family val="2"/>
          </rPr>
          <t xml:space="preserve">
- The peak current is above the limit.
- The max input or output voltage is above the limit.
</t>
        </r>
      </text>
    </comment>
    <comment ref="H30" authorId="1" shapeId="0" xr:uid="{3DCC9711-200B-428E-86CD-54603B84125F}">
      <text>
        <r>
          <rPr>
            <b/>
            <sz val="9"/>
            <color indexed="81"/>
            <rFont val="Tahoma"/>
            <family val="2"/>
          </rPr>
          <t xml:space="preserve">User Select Device:
</t>
        </r>
        <r>
          <rPr>
            <sz val="9"/>
            <color indexed="81"/>
            <rFont val="Tahoma"/>
            <family val="2"/>
          </rPr>
          <t xml:space="preserve">Select the prefered device.
</t>
        </r>
      </text>
    </comment>
    <comment ref="H31" authorId="0" shapeId="0" xr:uid="{90553831-B199-4D08-B971-A49694D181A6}">
      <text>
        <r>
          <rPr>
            <b/>
            <sz val="9"/>
            <color indexed="81"/>
            <rFont val="Tahoma"/>
            <family val="2"/>
          </rPr>
          <t>Peak Current Limit Margin</t>
        </r>
        <r>
          <rPr>
            <sz val="9"/>
            <color indexed="81"/>
            <rFont val="Tahoma"/>
            <family val="2"/>
          </rPr>
          <t xml:space="preserve">
Margin above the calculated peak inductor current. Margin must be given to allow for load transients and component tolerances.
</t>
        </r>
        <r>
          <rPr>
            <b/>
            <sz val="9"/>
            <color indexed="10"/>
            <rFont val="Tahoma"/>
            <family val="2"/>
          </rPr>
          <t xml:space="preserve">
The text in the cell is flagged red if:</t>
        </r>
        <r>
          <rPr>
            <sz val="9"/>
            <color indexed="81"/>
            <rFont val="Tahoma"/>
            <family val="2"/>
          </rPr>
          <t xml:space="preserve">
- The margin is below 15%</t>
        </r>
      </text>
    </comment>
    <comment ref="H32" authorId="1" shapeId="0" xr:uid="{882A7C5F-AE23-4904-AFD6-394A06F1E225}">
      <text>
        <r>
          <rPr>
            <b/>
            <sz val="9"/>
            <color indexed="81"/>
            <rFont val="Tahoma"/>
            <family val="2"/>
          </rPr>
          <t xml:space="preserve">Slope Compensation Check
</t>
        </r>
        <r>
          <rPr>
            <sz val="9"/>
            <color indexed="81"/>
            <rFont val="Tahoma"/>
            <family val="2"/>
          </rPr>
          <t xml:space="preserve">
According to peak current mode control theory, the slope of the compensation ramp must be greater than half of the sensed inductor current falling slope to prevent subharmonic oscillation at high duty cycle.</t>
        </r>
        <r>
          <rPr>
            <b/>
            <sz val="9"/>
            <color indexed="81"/>
            <rFont val="Tahoma"/>
            <family val="2"/>
          </rPr>
          <t xml:space="preserve">
</t>
        </r>
        <r>
          <rPr>
            <b/>
            <sz val="9"/>
            <color indexed="10"/>
            <rFont val="Tahoma"/>
            <family val="2"/>
          </rPr>
          <t>The text in the cell is flagged red with "Fail" if:</t>
        </r>
        <r>
          <rPr>
            <b/>
            <sz val="9"/>
            <color indexed="81"/>
            <rFont val="Tahoma"/>
            <family val="2"/>
          </rPr>
          <t xml:space="preserve">
</t>
        </r>
        <r>
          <rPr>
            <sz val="9"/>
            <color indexed="81"/>
            <rFont val="Tahoma"/>
            <family val="2"/>
          </rPr>
          <t xml:space="preserve">- The slope compensation ramp is smaller than half of the sensed inductor current falling slope. The inductor should be increased in that case.
</t>
        </r>
      </text>
    </comment>
    <comment ref="H39" authorId="0" shapeId="0" xr:uid="{00000000-0006-0000-0000-000014000000}">
      <text>
        <r>
          <rPr>
            <b/>
            <u/>
            <sz val="9"/>
            <color indexed="81"/>
            <rFont val="Tahoma"/>
            <family val="2"/>
          </rPr>
          <t>Load 1 Load Transient Voltage Ripple</t>
        </r>
        <r>
          <rPr>
            <sz val="9"/>
            <color indexed="81"/>
            <rFont val="Tahoma"/>
            <family val="2"/>
          </rPr>
          <t xml:space="preserve">
Desired output voltage transient for 50% load to 100% load step.
</t>
        </r>
      </text>
    </comment>
    <comment ref="H41" authorId="0" shapeId="0" xr:uid="{00000000-0006-0000-0000-000015000000}">
      <text>
        <r>
          <rPr>
            <b/>
            <u/>
            <sz val="9"/>
            <color indexed="81"/>
            <rFont val="Tahoma"/>
            <family val="2"/>
          </rPr>
          <t>Output Capacitance:</t>
        </r>
        <r>
          <rPr>
            <b/>
            <sz val="9"/>
            <color indexed="81"/>
            <rFont val="Tahoma"/>
            <family val="2"/>
          </rPr>
          <t xml:space="preserve">
</t>
        </r>
        <r>
          <rPr>
            <sz val="9"/>
            <color indexed="81"/>
            <rFont val="Tahoma"/>
            <family val="2"/>
          </rPr>
          <t xml:space="preserve">Enter the output capacitance here, consider the calculated minimum output capacitance. Make sure that the nominal capacitance is appropriately derated for applied voltage, particularly with ceramics.
</t>
        </r>
        <r>
          <rPr>
            <b/>
            <sz val="9"/>
            <color indexed="10"/>
            <rFont val="Tahoma"/>
            <family val="2"/>
          </rPr>
          <t xml:space="preserve">
The text in the cell is flagged red if:</t>
        </r>
        <r>
          <rPr>
            <sz val="9"/>
            <color indexed="81"/>
            <rFont val="Tahoma"/>
            <family val="2"/>
          </rPr>
          <t xml:space="preserve">
- the selected value is less then the calculated minimum value in the cell above.</t>
        </r>
      </text>
    </comment>
    <comment ref="N41" authorId="0" shapeId="0" xr:uid="{05A3F1CD-EE8D-49D4-AD86-4F24D01DED32}">
      <text>
        <r>
          <rPr>
            <b/>
            <u/>
            <sz val="9"/>
            <color indexed="81"/>
            <rFont val="Tahoma"/>
            <family val="2"/>
          </rPr>
          <t>Load Output Capacitance:</t>
        </r>
        <r>
          <rPr>
            <b/>
            <sz val="9"/>
            <color indexed="81"/>
            <rFont val="Tahoma"/>
            <family val="2"/>
          </rPr>
          <t xml:space="preserve">
</t>
        </r>
        <r>
          <rPr>
            <sz val="9"/>
            <color indexed="81"/>
            <rFont val="Tahoma"/>
            <family val="2"/>
          </rPr>
          <t xml:space="preserve">Enter the output capacitance here, consider the calculated minimum output capacitance. Make sure that the nominal capacitance is appropriately derated for applied voltage, particularly with ceramics.
</t>
        </r>
        <r>
          <rPr>
            <b/>
            <sz val="9"/>
            <color indexed="10"/>
            <rFont val="Tahoma"/>
            <family val="2"/>
          </rPr>
          <t xml:space="preserve">
The text in the cell is flagged red if:</t>
        </r>
        <r>
          <rPr>
            <sz val="9"/>
            <color indexed="81"/>
            <rFont val="Tahoma"/>
            <family val="2"/>
          </rPr>
          <t xml:space="preserve">
- the selected value is less then the calculated minimum value in the cell above.</t>
        </r>
      </text>
    </comment>
    <comment ref="V41" authorId="0" shapeId="0" xr:uid="{940325A4-B7BC-49EB-A3AE-C6532C6F0332}">
      <text>
        <r>
          <rPr>
            <b/>
            <u/>
            <sz val="9"/>
            <color indexed="81"/>
            <rFont val="Tahoma"/>
            <family val="2"/>
          </rPr>
          <t>Load Output Capacitance:</t>
        </r>
        <r>
          <rPr>
            <b/>
            <sz val="9"/>
            <color indexed="81"/>
            <rFont val="Tahoma"/>
            <family val="2"/>
          </rPr>
          <t xml:space="preserve">
</t>
        </r>
        <r>
          <rPr>
            <sz val="9"/>
            <color indexed="81"/>
            <rFont val="Tahoma"/>
            <family val="2"/>
          </rPr>
          <t xml:space="preserve">Enter the output capacitance here, consider the calculated minimum output capacitance. Make sure that the nominal capacitance is appropriately derated for applied voltage, particularly with ceramics.
</t>
        </r>
        <r>
          <rPr>
            <b/>
            <sz val="9"/>
            <color indexed="10"/>
            <rFont val="Tahoma"/>
            <family val="2"/>
          </rPr>
          <t xml:space="preserve">
The text in the cell is flagged red if:</t>
        </r>
        <r>
          <rPr>
            <sz val="9"/>
            <color indexed="81"/>
            <rFont val="Tahoma"/>
            <family val="2"/>
          </rPr>
          <t xml:space="preserve">
- the selected value is less then the calculated minimum value in the cell above.</t>
        </r>
      </text>
    </comment>
    <comment ref="H45" authorId="0" shapeId="0" xr:uid="{3946F382-07EC-43FF-B2D7-110712B52FE8}">
      <text>
        <r>
          <rPr>
            <b/>
            <u/>
            <sz val="9"/>
            <color indexed="81"/>
            <rFont val="Tahoma"/>
            <family val="2"/>
          </rPr>
          <t>Soft-start Capacitor</t>
        </r>
        <r>
          <rPr>
            <sz val="9"/>
            <color indexed="81"/>
            <rFont val="Tahoma"/>
            <family val="2"/>
          </rPr>
          <t xml:space="preserve">
If the feedback is selected to be isolated a secondary side soft-start cirucuit should be implemented.</t>
        </r>
      </text>
    </comment>
    <comment ref="H50" authorId="0" shapeId="0" xr:uid="{00000000-0006-0000-0000-000016000000}">
      <text>
        <r>
          <rPr>
            <b/>
            <u/>
            <sz val="9"/>
            <color indexed="81"/>
            <rFont val="Tahoma"/>
            <family val="2"/>
          </rPr>
          <t>UVLO On Voltage</t>
        </r>
        <r>
          <rPr>
            <sz val="9"/>
            <color indexed="81"/>
            <rFont val="Tahoma"/>
            <family val="2"/>
          </rPr>
          <t xml:space="preserve">
Input voltage when LM515x starts switching. Assuming the UVLO resistor divider is connected to the input rail. This value should be greater than the V</t>
        </r>
        <r>
          <rPr>
            <vertAlign val="subscript"/>
            <sz val="9"/>
            <color indexed="81"/>
            <rFont val="Tahoma"/>
            <family val="2"/>
          </rPr>
          <t xml:space="preserve">UVLO_OFF  </t>
        </r>
        <r>
          <rPr>
            <sz val="9"/>
            <color indexed="81"/>
            <rFont val="Tahoma"/>
            <family val="2"/>
          </rPr>
          <t xml:space="preserve">voltage
</t>
        </r>
      </text>
    </comment>
    <comment ref="H51" authorId="0" shapeId="0" xr:uid="{00000000-0006-0000-0000-000017000000}">
      <text>
        <r>
          <rPr>
            <b/>
            <u/>
            <sz val="9"/>
            <color indexed="81"/>
            <rFont val="Tahoma"/>
            <family val="2"/>
          </rPr>
          <t xml:space="preserve">UVLO Off Voltage
</t>
        </r>
        <r>
          <rPr>
            <sz val="9"/>
            <color indexed="81"/>
            <rFont val="Tahoma"/>
            <family val="2"/>
          </rPr>
          <t xml:space="preserve">
Input voltage when LM515x stops switching. Assuming the UVLO resistor divider is connected to the input rail. This value should be less than the V</t>
        </r>
        <r>
          <rPr>
            <vertAlign val="subscript"/>
            <sz val="9"/>
            <color indexed="81"/>
            <rFont val="Tahoma"/>
            <family val="2"/>
          </rPr>
          <t>UVLO_ON</t>
        </r>
        <r>
          <rPr>
            <sz val="9"/>
            <color indexed="81"/>
            <rFont val="Tahoma"/>
            <family val="2"/>
          </rPr>
          <t xml:space="preserve">  voltage.</t>
        </r>
      </text>
    </comment>
    <comment ref="H52" authorId="0" shapeId="0" xr:uid="{75153F65-CCA9-4063-BC68-B8FFA75027AA}">
      <text>
        <r>
          <rPr>
            <b/>
            <u/>
            <sz val="9"/>
            <color indexed="81"/>
            <rFont val="Tahoma"/>
            <family val="2"/>
          </rPr>
          <t>Calculated top ULVO resistor:</t>
        </r>
        <r>
          <rPr>
            <b/>
            <sz val="9"/>
            <color indexed="81"/>
            <rFont val="Tahoma"/>
            <family val="2"/>
          </rPr>
          <t xml:space="preserve">
</t>
        </r>
        <r>
          <rPr>
            <sz val="9"/>
            <color indexed="81"/>
            <rFont val="Tahoma"/>
            <family val="2"/>
          </rPr>
          <t xml:space="preserve">Calculated top UVLO resistor value based on the desired on/off voltage set above.
</t>
        </r>
        <r>
          <rPr>
            <b/>
            <sz val="9"/>
            <color indexed="10"/>
            <rFont val="Tahoma"/>
            <family val="2"/>
          </rPr>
          <t xml:space="preserve">
The text in the cell is flagged red and negativ if:</t>
        </r>
        <r>
          <rPr>
            <sz val="9"/>
            <color indexed="81"/>
            <rFont val="Tahoma"/>
            <family val="2"/>
          </rPr>
          <t xml:space="preserve">
- the hysteresis between on and off value is too small. Increase the distance between on and off value in this case.</t>
        </r>
      </text>
    </comment>
    <comment ref="H60" authorId="0" shapeId="0" xr:uid="{00000000-0006-0000-0000-000018000000}">
      <text>
        <r>
          <rPr>
            <b/>
            <u/>
            <sz val="9"/>
            <color indexed="81"/>
            <rFont val="Tahoma"/>
            <family val="2"/>
          </rPr>
          <t xml:space="preserve">External Reference Voltage
</t>
        </r>
        <r>
          <rPr>
            <sz val="9"/>
            <color indexed="81"/>
            <rFont val="Tahoma"/>
            <family val="2"/>
          </rPr>
          <t xml:space="preserve">Isolated feedback requires the use of an external voltage reference on the secondary side. This is the voltage of the external shunt voltage reference. 
For low ouput voltages (&lt;5V) it is recommended to select a reference voltage of ~1.24V to help simplify the loop compensation design.
</t>
        </r>
      </text>
    </comment>
    <comment ref="H63" authorId="2" shapeId="0" xr:uid="{2EB2E0BF-CFA2-4018-B30C-2FA5EA12C6EB}">
      <text>
        <r>
          <rPr>
            <b/>
            <sz val="9"/>
            <color indexed="81"/>
            <rFont val="Tahoma"/>
            <family val="2"/>
          </rPr>
          <t>Select Bottom resistor R</t>
        </r>
        <r>
          <rPr>
            <b/>
            <sz val="8"/>
            <color indexed="81"/>
            <rFont val="Tahoma"/>
            <family val="2"/>
          </rPr>
          <t>FBB</t>
        </r>
        <r>
          <rPr>
            <sz val="9"/>
            <color indexed="81"/>
            <rFont val="Tahoma"/>
            <family val="2"/>
          </rPr>
          <t xml:space="preserve">
Select the closes value to the calculated bottom feedback resistor based on the used standard resistor series (e.g. E48).</t>
        </r>
      </text>
    </comment>
    <comment ref="H66" authorId="0" shapeId="0" xr:uid="{00000000-0006-0000-0000-000019000000}">
      <text>
        <r>
          <rPr>
            <b/>
            <u/>
            <sz val="10"/>
            <color indexed="81"/>
            <rFont val="Tahoma"/>
            <family val="2"/>
          </rPr>
          <t>Minimum Current Transfer Ratio</t>
        </r>
        <r>
          <rPr>
            <sz val="9"/>
            <color indexed="81"/>
            <rFont val="Tahoma"/>
            <family val="2"/>
          </rPr>
          <t xml:space="preserve">
</t>
        </r>
        <r>
          <rPr>
            <sz val="10"/>
            <color indexed="81"/>
            <rFont val="Tahoma"/>
            <family val="2"/>
          </rPr>
          <t xml:space="preserve">Minimum specified current transfer ratio (CTR) of the selected optocoupler. This is the gain of the optocoupler and is the ratio of the phototransistor collector current to the diode forward current.
Note:
Loop compensation becomes easier with lower distance between minimum and maximum CTR. </t>
        </r>
      </text>
    </comment>
    <comment ref="H67" authorId="0" shapeId="0" xr:uid="{00000000-0006-0000-0000-00001A000000}">
      <text>
        <r>
          <rPr>
            <b/>
            <sz val="9"/>
            <color indexed="81"/>
            <rFont val="Tahoma"/>
            <family val="2"/>
          </rPr>
          <t xml:space="preserve">Maximum Current Transfer Ratio
</t>
        </r>
        <r>
          <rPr>
            <sz val="9"/>
            <color indexed="81"/>
            <rFont val="Tahoma"/>
            <family val="2"/>
          </rPr>
          <t>Maximum specified current transfer ratio (CTR) of the selected optocoupler. This is the gain of the optocoupler and is the ratio of the phototransistor collector current to the diode forward current.
Note:
Loop compensation becomes easier with lower distance between minimum and maximum CTR.</t>
        </r>
      </text>
    </comment>
    <comment ref="H68" authorId="0" shapeId="0" xr:uid="{00000000-0006-0000-0000-00001B000000}">
      <text>
        <r>
          <rPr>
            <b/>
            <u/>
            <sz val="9"/>
            <color indexed="81"/>
            <rFont val="Tahoma"/>
            <family val="2"/>
          </rPr>
          <t>Optocoupler Diode Forward Voltage Drop</t>
        </r>
        <r>
          <rPr>
            <sz val="9"/>
            <color indexed="81"/>
            <rFont val="Tahoma"/>
            <family val="2"/>
          </rPr>
          <t xml:space="preserve">
Use the specified diode voltage drop from the optocoupler datasheet. Typically this is specified with a couple mA of forward current</t>
        </r>
      </text>
    </comment>
    <comment ref="H69" authorId="0" shapeId="0" xr:uid="{00000000-0006-0000-0000-00001C000000}">
      <text>
        <r>
          <rPr>
            <b/>
            <u/>
            <sz val="9"/>
            <color indexed="81"/>
            <rFont val="Tahoma"/>
            <family val="2"/>
          </rPr>
          <t xml:space="preserve">Phototransistor Collector Capacitance
</t>
        </r>
        <r>
          <rPr>
            <sz val="9"/>
            <color indexed="81"/>
            <rFont val="Tahoma"/>
            <family val="2"/>
          </rPr>
          <t>The capacitance of the phototransistor collector. This sets the high frequency pole in the error amplifier frequency response. This can be estimated by using the frequency response of the optocoupler from the datasheet and the pull-up resistor value.
C</t>
        </r>
        <r>
          <rPr>
            <vertAlign val="subscript"/>
            <sz val="9"/>
            <color indexed="81"/>
            <rFont val="Tahoma"/>
            <family val="2"/>
          </rPr>
          <t>OPTO</t>
        </r>
        <r>
          <rPr>
            <sz val="9"/>
            <color indexed="81"/>
            <rFont val="Tahoma"/>
            <family val="2"/>
          </rPr>
          <t xml:space="preserve"> = 1/(2</t>
        </r>
        <r>
          <rPr>
            <sz val="9"/>
            <color indexed="81"/>
            <rFont val="Calibri"/>
            <family val="2"/>
          </rPr>
          <t>π</t>
        </r>
        <r>
          <rPr>
            <sz val="9"/>
            <color indexed="81"/>
            <rFont val="Tahoma"/>
            <family val="2"/>
          </rPr>
          <t>*R</t>
        </r>
        <r>
          <rPr>
            <vertAlign val="subscript"/>
            <sz val="9"/>
            <color indexed="81"/>
            <rFont val="Tahoma"/>
            <family val="2"/>
          </rPr>
          <t>PULLUP</t>
        </r>
        <r>
          <rPr>
            <sz val="9"/>
            <color indexed="81"/>
            <rFont val="Tahoma"/>
            <family val="2"/>
          </rPr>
          <t>*f</t>
        </r>
        <r>
          <rPr>
            <vertAlign val="subscript"/>
            <sz val="9"/>
            <color indexed="81"/>
            <rFont val="Tahoma"/>
            <family val="2"/>
          </rPr>
          <t>CUTOFF</t>
        </r>
        <r>
          <rPr>
            <sz val="9"/>
            <color indexed="81"/>
            <rFont val="Tahoma"/>
            <family val="2"/>
          </rPr>
          <t>)
A capacitor can be added in parallel to the phototransistor to lower the pole frequency as needed.</t>
        </r>
      </text>
    </comment>
    <comment ref="H70" authorId="0" shapeId="0" xr:uid="{00000000-0006-0000-0000-00001D000000}">
      <text>
        <r>
          <rPr>
            <b/>
            <u/>
            <sz val="9"/>
            <color indexed="81"/>
            <rFont val="Tahoma"/>
            <family val="2"/>
          </rPr>
          <t xml:space="preserve">Phototransistor Saturation voltage
</t>
        </r>
        <r>
          <rPr>
            <sz val="9"/>
            <color indexed="81"/>
            <rFont val="Tahoma"/>
            <family val="2"/>
          </rPr>
          <t>Saturation voltage of the phototransistor as specified in the optocoupler datasheet.</t>
        </r>
      </text>
    </comment>
    <comment ref="H73" authorId="0" shapeId="0" xr:uid="{00000000-0006-0000-0000-00001E000000}">
      <text>
        <r>
          <rPr>
            <b/>
            <u/>
            <sz val="9"/>
            <color indexed="81"/>
            <rFont val="Tahoma"/>
            <family val="2"/>
          </rPr>
          <t>Pull up voltage (V</t>
        </r>
        <r>
          <rPr>
            <b/>
            <u/>
            <vertAlign val="subscript"/>
            <sz val="9"/>
            <color indexed="81"/>
            <rFont val="Tahoma"/>
            <family val="2"/>
          </rPr>
          <t>PULLUP</t>
        </r>
        <r>
          <rPr>
            <b/>
            <u/>
            <sz val="9"/>
            <color indexed="81"/>
            <rFont val="Tahoma"/>
            <family val="2"/>
          </rPr>
          <t>)</t>
        </r>
        <r>
          <rPr>
            <sz val="9"/>
            <color indexed="81"/>
            <rFont val="Tahoma"/>
            <family val="2"/>
          </rPr>
          <t xml:space="preserve">
This can be the VCC voltage of the LM515x or can be supplied by an auxillary winding on the primary side. This value will affect the selection of the pull up resistor.</t>
        </r>
      </text>
    </comment>
    <comment ref="H75" authorId="0" shapeId="0" xr:uid="{00000000-0006-0000-0000-00001F000000}">
      <text>
        <r>
          <rPr>
            <b/>
            <u/>
            <sz val="9"/>
            <color indexed="81"/>
            <rFont val="Tahoma"/>
            <family val="2"/>
          </rPr>
          <t>Pullup Resistor Value</t>
        </r>
        <r>
          <rPr>
            <sz val="9"/>
            <color indexed="81"/>
            <rFont val="Tahoma"/>
            <family val="2"/>
          </rPr>
          <t xml:space="preserve">
Resistor between V</t>
        </r>
        <r>
          <rPr>
            <vertAlign val="subscript"/>
            <sz val="9"/>
            <color indexed="81"/>
            <rFont val="Tahoma"/>
            <family val="2"/>
          </rPr>
          <t>PULLUP</t>
        </r>
        <r>
          <rPr>
            <sz val="9"/>
            <color indexed="81"/>
            <rFont val="Tahoma"/>
            <family val="2"/>
          </rPr>
          <t xml:space="preserve"> and the collector of the phototransistor of the  optocoupler. This resistor selection directly affects the mid-band gain of the error amplifier bandwidth</t>
        </r>
      </text>
    </comment>
    <comment ref="H77" authorId="0" shapeId="0" xr:uid="{00000000-0006-0000-0000-000020000000}">
      <text>
        <r>
          <rPr>
            <b/>
            <u/>
            <sz val="9"/>
            <color indexed="81"/>
            <rFont val="Tahoma"/>
            <family val="2"/>
          </rPr>
          <t>LED Resistor (R</t>
        </r>
        <r>
          <rPr>
            <b/>
            <u/>
            <vertAlign val="subscript"/>
            <sz val="9"/>
            <color indexed="81"/>
            <rFont val="Tahoma"/>
            <family val="2"/>
          </rPr>
          <t>LED</t>
        </r>
        <r>
          <rPr>
            <b/>
            <u/>
            <sz val="9"/>
            <color indexed="81"/>
            <rFont val="Tahoma"/>
            <family val="2"/>
          </rPr>
          <t>)</t>
        </r>
        <r>
          <rPr>
            <sz val="9"/>
            <color indexed="81"/>
            <rFont val="Tahoma"/>
            <family val="2"/>
          </rPr>
          <t xml:space="preserve">
Resistor connected between the output voltage and the anode of the optocoupler diode. This value should be less than the calculated R</t>
        </r>
        <r>
          <rPr>
            <vertAlign val="subscript"/>
            <sz val="9"/>
            <color indexed="81"/>
            <rFont val="Tahoma"/>
            <family val="2"/>
          </rPr>
          <t>LED_max</t>
        </r>
        <r>
          <rPr>
            <sz val="9"/>
            <color indexed="81"/>
            <rFont val="Tahoma"/>
            <family val="2"/>
          </rPr>
          <t xml:space="preserve"> value above.</t>
        </r>
      </text>
    </comment>
    <comment ref="H81" authorId="0" shapeId="0" xr:uid="{00000000-0006-0000-0000-000021000000}">
      <text>
        <r>
          <rPr>
            <b/>
            <u/>
            <sz val="9"/>
            <color indexed="81"/>
            <rFont val="Tahoma"/>
            <family val="2"/>
          </rPr>
          <t>Selected Loop Crossover Frequency</t>
        </r>
        <r>
          <rPr>
            <sz val="9"/>
            <color indexed="81"/>
            <rFont val="Tahoma"/>
            <family val="2"/>
          </rPr>
          <t xml:space="preserve">
Selected crossover frequency of the control loop. It is recommend to select this value to be less than the value in the cell above.
</t>
        </r>
        <r>
          <rPr>
            <b/>
            <sz val="9"/>
            <color indexed="10"/>
            <rFont val="Tahoma"/>
            <family val="2"/>
          </rPr>
          <t xml:space="preserve">
The text in the cell is flagged red if:</t>
        </r>
        <r>
          <rPr>
            <sz val="9"/>
            <color indexed="81"/>
            <rFont val="Tahoma"/>
            <family val="2"/>
          </rPr>
          <t xml:space="preserve">
- the selected value is less then the calculated minimum value in the cell above.</t>
        </r>
      </text>
    </comment>
    <comment ref="H84" authorId="0" shapeId="0" xr:uid="{00000000-0006-0000-0000-000022000000}">
      <text>
        <r>
          <rPr>
            <b/>
            <u/>
            <sz val="9"/>
            <color indexed="81"/>
            <rFont val="Tahoma"/>
            <family val="2"/>
          </rPr>
          <t>Compensation Resistor Selection (R</t>
        </r>
        <r>
          <rPr>
            <b/>
            <u/>
            <vertAlign val="subscript"/>
            <sz val="9"/>
            <color indexed="81"/>
            <rFont val="Tahoma"/>
            <family val="2"/>
          </rPr>
          <t>COMP</t>
        </r>
        <r>
          <rPr>
            <b/>
            <u/>
            <sz val="9"/>
            <color indexed="81"/>
            <rFont val="Tahoma"/>
            <family val="2"/>
          </rPr>
          <t>)</t>
        </r>
        <r>
          <rPr>
            <b/>
            <sz val="9"/>
            <color indexed="81"/>
            <rFont val="Tahoma"/>
            <family val="2"/>
          </rPr>
          <t xml:space="preserve">
</t>
        </r>
        <r>
          <rPr>
            <sz val="9"/>
            <color indexed="81"/>
            <rFont val="Tahoma"/>
            <family val="2"/>
          </rPr>
          <t>Directly affects the location for the compensation zero and the mid-band gain.
Increasing this value will increase the cross over frequency but decrease the phase margin.</t>
        </r>
      </text>
    </comment>
    <comment ref="H85" authorId="0" shapeId="0" xr:uid="{00000000-0006-0000-0000-000023000000}">
      <text>
        <r>
          <rPr>
            <b/>
            <u/>
            <sz val="9"/>
            <color indexed="81"/>
            <rFont val="Tahoma"/>
            <family val="2"/>
          </rPr>
          <t>Compensation Resistor Selection (C</t>
        </r>
        <r>
          <rPr>
            <b/>
            <u/>
            <vertAlign val="subscript"/>
            <sz val="9"/>
            <color indexed="81"/>
            <rFont val="Tahoma"/>
            <family val="2"/>
          </rPr>
          <t>COMP</t>
        </r>
        <r>
          <rPr>
            <b/>
            <u/>
            <sz val="9"/>
            <color indexed="81"/>
            <rFont val="Tahoma"/>
            <family val="2"/>
          </rPr>
          <t>)</t>
        </r>
        <r>
          <rPr>
            <b/>
            <sz val="9"/>
            <color indexed="81"/>
            <rFont val="Tahoma"/>
            <family val="2"/>
          </rPr>
          <t xml:space="preserve">
</t>
        </r>
        <r>
          <rPr>
            <sz val="9"/>
            <color indexed="81"/>
            <rFont val="Tahoma"/>
            <family val="2"/>
          </rPr>
          <t>Directly affects the location for the compensation zero. Increasing this value will decrease compensation zero location and increase the phase margin</t>
        </r>
        <r>
          <rPr>
            <b/>
            <sz val="9"/>
            <color indexed="81"/>
            <rFont val="Tahoma"/>
            <family val="2"/>
          </rPr>
          <t>.</t>
        </r>
        <r>
          <rPr>
            <sz val="9"/>
            <color indexed="81"/>
            <rFont val="Tahoma"/>
            <family val="2"/>
          </rPr>
          <t xml:space="preserve">
</t>
        </r>
      </text>
    </comment>
    <comment ref="H86" authorId="0" shapeId="0" xr:uid="{00000000-0006-0000-0000-000024000000}">
      <text>
        <r>
          <rPr>
            <b/>
            <u/>
            <sz val="9"/>
            <color indexed="81"/>
            <rFont val="Tahoma"/>
            <family val="2"/>
          </rPr>
          <t>Compensation Capacitor Selection (C</t>
        </r>
        <r>
          <rPr>
            <b/>
            <u/>
            <vertAlign val="subscript"/>
            <sz val="9"/>
            <color indexed="81"/>
            <rFont val="Tahoma"/>
            <family val="2"/>
          </rPr>
          <t>HF</t>
        </r>
        <r>
          <rPr>
            <b/>
            <u/>
            <sz val="9"/>
            <color indexed="81"/>
            <rFont val="Tahoma"/>
            <family val="2"/>
          </rPr>
          <t xml:space="preserve">)
</t>
        </r>
        <r>
          <rPr>
            <sz val="9"/>
            <color indexed="81"/>
            <rFont val="Tahoma"/>
            <family val="2"/>
          </rPr>
          <t xml:space="preserve">
Directly affects the location for the compensation pole. Increasing this value will decrease compensation zero frequency.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K113" authorId="0" shapeId="0" xr:uid="{00000000-0006-0000-0100-000001000000}">
      <text>
        <r>
          <rPr>
            <b/>
            <sz val="9"/>
            <color indexed="81"/>
            <rFont val="Tahoma"/>
            <family val="2"/>
          </rPr>
          <t xml:space="preserve">Slope Compensation flag. If this flag is tripped there is not enough slope compensation. Double check the calculated values
</t>
        </r>
        <r>
          <rPr>
            <sz val="9"/>
            <color indexed="81"/>
            <rFont val="Tahoma"/>
            <family val="2"/>
          </rPr>
          <t xml:space="preserve">
</t>
        </r>
      </text>
    </comment>
    <comment ref="K114" authorId="0" shapeId="0" xr:uid="{00000000-0006-0000-0100-000002000000}">
      <text>
        <r>
          <rPr>
            <sz val="9"/>
            <color indexed="81"/>
            <rFont val="Tahoma"/>
            <family val="2"/>
          </rPr>
          <t xml:space="preserve">Tripped if the current sense resistor results in a lower current limit
</t>
        </r>
      </text>
    </comment>
    <comment ref="B154" authorId="0" shapeId="0" xr:uid="{00000000-0006-0000-0100-000003000000}">
      <text>
        <r>
          <rPr>
            <b/>
            <sz val="9"/>
            <color indexed="81"/>
            <rFont val="Tahoma"/>
            <family val="2"/>
          </rPr>
          <t>BMC-BCS:</t>
        </r>
        <r>
          <rPr>
            <sz val="9"/>
            <color indexed="81"/>
            <rFont val="Tahoma"/>
            <family val="2"/>
          </rPr>
          <t xml:space="preserve">
Needs to be updated for flyback configuration
</t>
        </r>
      </text>
    </comment>
    <comment ref="B164" authorId="0" shapeId="0" xr:uid="{00000000-0006-0000-0100-000004000000}">
      <text>
        <r>
          <rPr>
            <b/>
            <sz val="9"/>
            <color indexed="81"/>
            <rFont val="Tahoma"/>
            <family val="2"/>
          </rPr>
          <t>BMC-BCS:</t>
        </r>
        <r>
          <rPr>
            <sz val="9"/>
            <color indexed="81"/>
            <rFont val="Tahoma"/>
            <family val="2"/>
          </rPr>
          <t xml:space="preserve">
Needs to be updated for flyback configuration
</t>
        </r>
      </text>
    </comment>
    <comment ref="B174" authorId="0" shapeId="0" xr:uid="{00000000-0006-0000-0100-000005000000}">
      <text>
        <r>
          <rPr>
            <b/>
            <sz val="9"/>
            <color indexed="81"/>
            <rFont val="Tahoma"/>
            <family val="2"/>
          </rPr>
          <t>BMC-BCS:</t>
        </r>
        <r>
          <rPr>
            <sz val="9"/>
            <color indexed="81"/>
            <rFont val="Tahoma"/>
            <family val="2"/>
          </rPr>
          <t xml:space="preserve">
Needs to be updated for flyback configuration
</t>
        </r>
      </text>
    </comment>
    <comment ref="B184" authorId="0" shapeId="0" xr:uid="{00000000-0006-0000-0100-000006000000}">
      <text>
        <r>
          <rPr>
            <b/>
            <sz val="9"/>
            <color indexed="81"/>
            <rFont val="Tahoma"/>
            <family val="2"/>
          </rPr>
          <t>BMC-BCS:</t>
        </r>
        <r>
          <rPr>
            <sz val="9"/>
            <color indexed="81"/>
            <rFont val="Tahoma"/>
            <family val="2"/>
          </rPr>
          <t xml:space="preserve">
Needs to be updated for flyback configuration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N13" authorId="0" shapeId="0" xr:uid="{3425FC20-6277-4C51-A262-2F838AA28E79}">
      <text>
        <r>
          <rPr>
            <b/>
            <sz val="9"/>
            <color indexed="81"/>
            <rFont val="Tahoma"/>
            <family val="2"/>
          </rPr>
          <t>BMC-BCS:</t>
        </r>
        <r>
          <rPr>
            <sz val="9"/>
            <color indexed="81"/>
            <rFont val="Tahoma"/>
            <family val="2"/>
          </rPr>
          <t xml:space="preserve">
Ignore this for the design, Pole is based on optocoupler capacitance</t>
        </r>
      </text>
    </comment>
    <comment ref="O18" authorId="0" shapeId="0" xr:uid="{205351DA-AE9B-4D92-ADD7-8196F30BE7D0}">
      <text>
        <r>
          <rPr>
            <b/>
            <sz val="9"/>
            <color indexed="81"/>
            <rFont val="Tahoma"/>
            <family val="2"/>
          </rPr>
          <t>BMC-BCS:</t>
        </r>
        <r>
          <rPr>
            <sz val="9"/>
            <color indexed="81"/>
            <rFont val="Tahoma"/>
            <family val="2"/>
          </rPr>
          <t xml:space="preserve">
Need to make this log not linear at some point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O18" authorId="0" shapeId="0" xr:uid="{00000000-0006-0000-0400-000001000000}">
      <text>
        <r>
          <rPr>
            <b/>
            <sz val="9"/>
            <color indexed="81"/>
            <rFont val="Tahoma"/>
            <family val="2"/>
          </rPr>
          <t>BMC-BCS:</t>
        </r>
        <r>
          <rPr>
            <sz val="9"/>
            <color indexed="81"/>
            <rFont val="Tahoma"/>
            <family val="2"/>
          </rPr>
          <t xml:space="preserve">
Need to make this log not linear at some point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AF5" authorId="0" shapeId="0" xr:uid="{00000000-0006-0000-0500-000001000000}">
      <text>
        <r>
          <rPr>
            <b/>
            <sz val="9"/>
            <color indexed="81"/>
            <rFont val="Tahoma"/>
            <family val="2"/>
          </rPr>
          <t>BMC-BCS:</t>
        </r>
        <r>
          <rPr>
            <sz val="9"/>
            <color indexed="81"/>
            <rFont val="Tahoma"/>
            <family val="2"/>
          </rPr>
          <t xml:space="preserve">
To simplify the design just assme a fixed loss for the snubber and leakage
</t>
        </r>
      </text>
    </comment>
    <comment ref="U6" authorId="0" shapeId="0" xr:uid="{00000000-0006-0000-0500-000002000000}">
      <text>
        <r>
          <rPr>
            <b/>
            <sz val="9"/>
            <color indexed="81"/>
            <rFont val="Tahoma"/>
            <family val="2"/>
          </rPr>
          <t xml:space="preserve">1 = DCM operation
2 = CCM operation
</t>
        </r>
      </text>
    </comment>
    <comment ref="V6" authorId="0" shapeId="0" xr:uid="{00000000-0006-0000-0500-000003000000}">
      <text>
        <r>
          <rPr>
            <b/>
            <sz val="9"/>
            <color indexed="81"/>
            <rFont val="Tahoma"/>
            <family val="2"/>
          </rPr>
          <t>BMC-BCS:</t>
        </r>
        <r>
          <rPr>
            <sz val="9"/>
            <color indexed="81"/>
            <rFont val="Tahoma"/>
            <family val="2"/>
          </rPr>
          <t xml:space="preserve">
To make the calculations simple the diode is assumed to be idela in CCM operation
</t>
        </r>
      </text>
    </comment>
    <comment ref="AT6" authorId="0" shapeId="0" xr:uid="{00000000-0006-0000-0500-000004000000}">
      <text>
        <r>
          <rPr>
            <b/>
            <sz val="9"/>
            <color indexed="81"/>
            <rFont val="Tahoma"/>
            <family val="2"/>
          </rPr>
          <t>BMC-BCS:</t>
        </r>
        <r>
          <rPr>
            <sz val="9"/>
            <color indexed="81"/>
            <rFont val="Tahoma"/>
            <family val="2"/>
          </rPr>
          <t xml:space="preserve">
Should calculate later
</t>
        </r>
      </text>
    </comment>
    <comment ref="BC6" authorId="0" shapeId="0" xr:uid="{00000000-0006-0000-0500-000005000000}">
      <text>
        <r>
          <rPr>
            <sz val="9"/>
            <color indexed="81"/>
            <rFont val="Tahoma"/>
            <family val="2"/>
          </rPr>
          <t xml:space="preserve">Just use the average current for the approximations
</t>
        </r>
      </text>
    </comment>
    <comment ref="BN6" authorId="0" shapeId="0" xr:uid="{00000000-0006-0000-0500-000006000000}">
      <text>
        <r>
          <rPr>
            <sz val="9"/>
            <color indexed="81"/>
            <rFont val="Tahoma"/>
            <family val="2"/>
          </rPr>
          <t xml:space="preserve">Just use the average current for the approximations
</t>
        </r>
      </text>
    </comment>
    <comment ref="BX6" authorId="0" shapeId="0" xr:uid="{00000000-0006-0000-0500-000007000000}">
      <text>
        <r>
          <rPr>
            <sz val="9"/>
            <color indexed="81"/>
            <rFont val="Tahoma"/>
            <family val="2"/>
          </rPr>
          <t xml:space="preserve">Just use the average current for the approximations
</t>
        </r>
      </text>
    </comment>
  </commentList>
</comments>
</file>

<file path=xl/sharedStrings.xml><?xml version="1.0" encoding="utf-8"?>
<sst xmlns="http://schemas.openxmlformats.org/spreadsheetml/2006/main" count="1575" uniqueCount="803">
  <si>
    <t>TERMS OF USE</t>
  </si>
  <si>
    <t>ABOUT</t>
  </si>
  <si>
    <t>=Input Box</t>
  </si>
  <si>
    <t>Step 1: Design Specifications</t>
  </si>
  <si>
    <r>
      <t>Minimum Input Supply Voltage , V</t>
    </r>
    <r>
      <rPr>
        <vertAlign val="subscript"/>
        <sz val="10"/>
        <color theme="1"/>
        <rFont val="Calibri"/>
        <family val="2"/>
        <scheme val="minor"/>
      </rPr>
      <t>SUPPLY(min)</t>
    </r>
    <r>
      <rPr>
        <sz val="10"/>
        <color theme="1"/>
        <rFont val="Calibri"/>
        <family val="2"/>
        <scheme val="minor"/>
      </rPr>
      <t xml:space="preserve"> </t>
    </r>
  </si>
  <si>
    <r>
      <t>Typical Input Supply Voltage, V</t>
    </r>
    <r>
      <rPr>
        <vertAlign val="subscript"/>
        <sz val="10"/>
        <color theme="1"/>
        <rFont val="Calibri"/>
        <family val="2"/>
        <scheme val="minor"/>
      </rPr>
      <t>SUPPLY(typ)</t>
    </r>
    <r>
      <rPr>
        <sz val="10"/>
        <color theme="1"/>
        <rFont val="Calibri"/>
        <family val="2"/>
        <scheme val="minor"/>
      </rPr>
      <t xml:space="preserve"> </t>
    </r>
  </si>
  <si>
    <r>
      <t>Maximum Input Supply Voltage , V</t>
    </r>
    <r>
      <rPr>
        <vertAlign val="subscript"/>
        <sz val="10"/>
        <color theme="1"/>
        <rFont val="Calibri"/>
        <family val="2"/>
        <scheme val="minor"/>
      </rPr>
      <t>SUPPLY(max)</t>
    </r>
    <r>
      <rPr>
        <sz val="10"/>
        <color theme="1"/>
        <rFont val="Calibri"/>
        <family val="2"/>
        <scheme val="minor"/>
      </rPr>
      <t xml:space="preserve"> </t>
    </r>
  </si>
  <si>
    <r>
      <t>Maximum Output Current , I</t>
    </r>
    <r>
      <rPr>
        <vertAlign val="subscript"/>
        <sz val="10"/>
        <color theme="1"/>
        <rFont val="Calibri"/>
        <family val="2"/>
        <scheme val="minor"/>
      </rPr>
      <t>LOAD</t>
    </r>
    <r>
      <rPr>
        <sz val="10"/>
        <color theme="1"/>
        <rFont val="Calibri"/>
        <family val="2"/>
        <scheme val="minor"/>
      </rPr>
      <t xml:space="preserve"> </t>
    </r>
  </si>
  <si>
    <r>
      <t>Free Running Switching Frequency, F</t>
    </r>
    <r>
      <rPr>
        <vertAlign val="subscript"/>
        <sz val="10"/>
        <color theme="1"/>
        <rFont val="Calibri"/>
        <family val="2"/>
        <scheme val="minor"/>
      </rPr>
      <t>SW</t>
    </r>
  </si>
  <si>
    <t>V</t>
  </si>
  <si>
    <t>A</t>
  </si>
  <si>
    <t>kHz</t>
  </si>
  <si>
    <t>%</t>
  </si>
  <si>
    <r>
      <t>Output Power, P</t>
    </r>
    <r>
      <rPr>
        <vertAlign val="subscript"/>
        <sz val="10"/>
        <color theme="1"/>
        <rFont val="Calibri"/>
        <family val="2"/>
        <scheme val="minor"/>
      </rPr>
      <t>OUT</t>
    </r>
    <r>
      <rPr>
        <sz val="10"/>
        <color theme="1"/>
        <rFont val="Calibri"/>
        <family val="2"/>
        <scheme val="minor"/>
      </rPr>
      <t xml:space="preserve"> </t>
    </r>
  </si>
  <si>
    <t>EXCEL Variables Names/Calculations</t>
  </si>
  <si>
    <t>Input from user =</t>
  </si>
  <si>
    <t>Output =</t>
  </si>
  <si>
    <t>Constant</t>
  </si>
  <si>
    <t>Variable Name</t>
  </si>
  <si>
    <t>Value</t>
  </si>
  <si>
    <t>STD Units</t>
  </si>
  <si>
    <t>Notes</t>
  </si>
  <si>
    <t>Iteration</t>
  </si>
  <si>
    <t>Step 1: Operational Specs</t>
  </si>
  <si>
    <t>VIN_min</t>
  </si>
  <si>
    <t>VIN_nom</t>
  </si>
  <si>
    <t>VIN_max</t>
  </si>
  <si>
    <t>Minimum input voltage</t>
  </si>
  <si>
    <t>Nominal input voltage</t>
  </si>
  <si>
    <t>Maximum input voltage</t>
  </si>
  <si>
    <t>VOUT</t>
  </si>
  <si>
    <t>IOUT</t>
  </si>
  <si>
    <t>Maximum Output current</t>
  </si>
  <si>
    <t>Ω</t>
  </si>
  <si>
    <t>W</t>
  </si>
  <si>
    <t>EFF_est</t>
  </si>
  <si>
    <t>Total output power</t>
  </si>
  <si>
    <t>Minimum load resistance</t>
  </si>
  <si>
    <t>D_2p2_min</t>
  </si>
  <si>
    <t>D_2p2_nom</t>
  </si>
  <si>
    <t>D_2p2_max</t>
  </si>
  <si>
    <t>Minimum max duty cycle at 2p2MHZ operation</t>
  </si>
  <si>
    <t>t_off_max</t>
  </si>
  <si>
    <t>T_off_nom</t>
  </si>
  <si>
    <t>T_off_min</t>
  </si>
  <si>
    <t>s</t>
  </si>
  <si>
    <t>Minimum forced off time</t>
  </si>
  <si>
    <t>nominal forced off time</t>
  </si>
  <si>
    <t>Maximum forced off time</t>
  </si>
  <si>
    <t xml:space="preserve">IC Duty Cycle Limitation: </t>
  </si>
  <si>
    <t>D_limit_min</t>
  </si>
  <si>
    <t>D_limit_nom</t>
  </si>
  <si>
    <t>D_limit_max</t>
  </si>
  <si>
    <t>Nomminal max duty cycle at low frequency</t>
  </si>
  <si>
    <t>Spec conditions</t>
  </si>
  <si>
    <t>Min max duty cycle at low frequency</t>
  </si>
  <si>
    <t>Maximum max duty cycle at low frequency</t>
  </si>
  <si>
    <t>Nominal right now</t>
  </si>
  <si>
    <t>Fsw</t>
  </si>
  <si>
    <t>Hz</t>
  </si>
  <si>
    <t xml:space="preserve">Switching frequnecy </t>
  </si>
  <si>
    <t>Flag</t>
  </si>
  <si>
    <t>Forced off time limit? [2 True, 1 False]</t>
  </si>
  <si>
    <t>RT</t>
  </si>
  <si>
    <t>Oscillator Set resistor. Based on the datasheet equation</t>
  </si>
  <si>
    <r>
      <t>Free running Oscillator Set Resistor, R</t>
    </r>
    <r>
      <rPr>
        <vertAlign val="subscript"/>
        <sz val="10"/>
        <color theme="1"/>
        <rFont val="Calibri"/>
        <family val="2"/>
        <scheme val="minor"/>
      </rPr>
      <t>T</t>
    </r>
  </si>
  <si>
    <r>
      <t>k</t>
    </r>
    <r>
      <rPr>
        <sz val="11"/>
        <color theme="1"/>
        <rFont val="Calibri"/>
        <family val="2"/>
      </rPr>
      <t>Ω</t>
    </r>
  </si>
  <si>
    <t>Dc_Limit</t>
  </si>
  <si>
    <t>Max duty cycle of LM5155 at Fsw</t>
  </si>
  <si>
    <t>EXCEL Constants / Values / IC Limits</t>
  </si>
  <si>
    <t>ton_min</t>
  </si>
  <si>
    <t>Typical Ton minimum value</t>
  </si>
  <si>
    <t>Lcalc_VIN_min</t>
  </si>
  <si>
    <t>H</t>
  </si>
  <si>
    <t>ILrip</t>
  </si>
  <si>
    <t>Lm</t>
  </si>
  <si>
    <t>Selected filter inductor</t>
  </si>
  <si>
    <t>Rdcr</t>
  </si>
  <si>
    <r>
      <t>m</t>
    </r>
    <r>
      <rPr>
        <sz val="11"/>
        <color theme="1"/>
        <rFont val="Calibri"/>
        <family val="2"/>
      </rPr>
      <t>Ω</t>
    </r>
  </si>
  <si>
    <t>.</t>
  </si>
  <si>
    <t>ILp_VINmin</t>
  </si>
  <si>
    <t>Peak inductor current at VIN min. Including estimated efficiency</t>
  </si>
  <si>
    <t>ILrip_VINmin</t>
  </si>
  <si>
    <t xml:space="preserve">Inductor ripple current at VIN min. </t>
  </si>
  <si>
    <t>ILrip_VINnom</t>
  </si>
  <si>
    <t>ILp_VINnom</t>
  </si>
  <si>
    <t>ILrip_VINmax</t>
  </si>
  <si>
    <t>ILp_VINmax</t>
  </si>
  <si>
    <t>Step 3: Current Sense Resistor</t>
  </si>
  <si>
    <t>Selected indutor ripple ratio. Will be changed later to a standard value just to keep things simple</t>
  </si>
  <si>
    <t xml:space="preserve">Inductor ripple current at VIN nom. </t>
  </si>
  <si>
    <t>Peak inductor current at VIN nom. Including estimated efficiency</t>
  </si>
  <si>
    <t xml:space="preserve">Inductor ripple current at VIN max. </t>
  </si>
  <si>
    <t>Peak inductor current at VIN max. Including estimated efficiency</t>
  </si>
  <si>
    <t>Ipk_margin</t>
  </si>
  <si>
    <t>Peak current limit margin. 20% is a typical value</t>
  </si>
  <si>
    <t>Ipk_selected</t>
  </si>
  <si>
    <t>Selected peak current limit based on margin selection</t>
  </si>
  <si>
    <t>Filter inductor DCR</t>
  </si>
  <si>
    <t>Ltol</t>
  </si>
  <si>
    <t>Assumed inductor tolerance. Constant to help simplify the user experience</t>
  </si>
  <si>
    <t>Rcs_max</t>
  </si>
  <si>
    <t>Maximum Rcs based on internal slope compensation. Assuming slope ratio of 1/2</t>
  </si>
  <si>
    <t>Rcs_sl_ratio</t>
  </si>
  <si>
    <t>ratio of down slope to slope compensation. This can be updated to give more margin</t>
  </si>
  <si>
    <t>Isl</t>
  </si>
  <si>
    <t>Internal slope compensation ramp</t>
  </si>
  <si>
    <t>Rsl_int</t>
  </si>
  <si>
    <t>Internal Slope compensation resistor</t>
  </si>
  <si>
    <t>Rcs_wo_sl</t>
  </si>
  <si>
    <t>Current sense resistor without slope compensation</t>
  </si>
  <si>
    <t>Vcl</t>
  </si>
  <si>
    <t>Current Limit Value. See datsheet for Parameters</t>
  </si>
  <si>
    <t>Flag_ext_sl</t>
  </si>
  <si>
    <t>Rcs_w_sl</t>
  </si>
  <si>
    <t>Rcs_ext_sl_ratio</t>
  </si>
  <si>
    <t>External Slope compensation ratio. Constant</t>
  </si>
  <si>
    <t>R_sl_ext</t>
  </si>
  <si>
    <t>R_cs_calc</t>
  </si>
  <si>
    <t>R_sl_calc</t>
  </si>
  <si>
    <t>R_cs</t>
  </si>
  <si>
    <t>R_sl</t>
  </si>
  <si>
    <t>Current Sense Resistor calculated</t>
  </si>
  <si>
    <t>External slope compensation resistor</t>
  </si>
  <si>
    <t>Calculated external slope compensation resistor</t>
  </si>
  <si>
    <t>Calculated current sense resistor with slope compensation included</t>
  </si>
  <si>
    <t>Selected external slope compensation</t>
  </si>
  <si>
    <t>Check to make sure that slope compensation is high enough at the minimum input voltage</t>
  </si>
  <si>
    <t>Slope Compensation</t>
  </si>
  <si>
    <t>sl_vin_min</t>
  </si>
  <si>
    <t>IL_pk</t>
  </si>
  <si>
    <t>IL_pk_max</t>
  </si>
  <si>
    <t>Peak current limit at the minimum input voltage</t>
  </si>
  <si>
    <t>Peak inductor current limit for saturation rating.  VIN max due to the possibility of external slope comp</t>
  </si>
  <si>
    <t>sat_mar</t>
  </si>
  <si>
    <t>Margin for saturation current of the inductor</t>
  </si>
  <si>
    <t>V/V</t>
  </si>
  <si>
    <t>COMP voltage Limit checks</t>
  </si>
  <si>
    <t>Step 4: Output Capacitor Selection</t>
  </si>
  <si>
    <t>mV</t>
  </si>
  <si>
    <t>uF</t>
  </si>
  <si>
    <r>
      <t>Selected Output Capacitance (C</t>
    </r>
    <r>
      <rPr>
        <vertAlign val="subscript"/>
        <sz val="11"/>
        <color theme="1"/>
        <rFont val="Calibri"/>
        <family val="2"/>
        <scheme val="minor"/>
      </rPr>
      <t>OUT</t>
    </r>
    <r>
      <rPr>
        <sz val="11"/>
        <color theme="1"/>
        <rFont val="Calibri"/>
        <family val="2"/>
        <scheme val="minor"/>
      </rPr>
      <t>)</t>
    </r>
  </si>
  <si>
    <t>Desired output ripple</t>
  </si>
  <si>
    <t>F</t>
  </si>
  <si>
    <t>IRMS_COUT</t>
  </si>
  <si>
    <t>RMS current of the output capacitor at VIN min IOUT max. RMS current rating should be larger than this.</t>
  </si>
  <si>
    <r>
      <t>Equivalent  COUT ESR (R</t>
    </r>
    <r>
      <rPr>
        <vertAlign val="subscript"/>
        <sz val="11"/>
        <color theme="1"/>
        <rFont val="Calibri"/>
        <family val="2"/>
        <scheme val="minor"/>
      </rPr>
      <t>ESR</t>
    </r>
    <r>
      <rPr>
        <sz val="11"/>
        <color theme="1"/>
        <rFont val="Calibri"/>
        <family val="2"/>
        <scheme val="minor"/>
      </rPr>
      <t>)</t>
    </r>
  </si>
  <si>
    <t>Selected Output Capacitance</t>
  </si>
  <si>
    <t>Selected output capacitance ESR</t>
  </si>
  <si>
    <t>Input Parameters</t>
  </si>
  <si>
    <t>Output Voltage</t>
  </si>
  <si>
    <t>Component Selection</t>
  </si>
  <si>
    <t>LM</t>
  </si>
  <si>
    <t>filter Inductor</t>
  </si>
  <si>
    <t>Current sense resi</t>
  </si>
  <si>
    <t>External Slope Compensation Resistor</t>
  </si>
  <si>
    <t>Interanl Slope Compesnation Resistor</t>
  </si>
  <si>
    <t>Interanl Slope Compesnation current</t>
  </si>
  <si>
    <t>RCOMP</t>
  </si>
  <si>
    <t>kΩ</t>
  </si>
  <si>
    <t>Feedback Resistor Selection</t>
  </si>
  <si>
    <t>pF</t>
  </si>
  <si>
    <t>nF</t>
  </si>
  <si>
    <t>CCOMP</t>
  </si>
  <si>
    <t>CHF</t>
  </si>
  <si>
    <t>Type II compensation Resistort</t>
  </si>
  <si>
    <t>Type II compensation Capacitor</t>
  </si>
  <si>
    <t>Type II high frequency capacitor</t>
  </si>
  <si>
    <t>RFBT</t>
  </si>
  <si>
    <t>RFBB</t>
  </si>
  <si>
    <t>Compensation Components</t>
  </si>
  <si>
    <t>Top feedback resistor</t>
  </si>
  <si>
    <t>Bottom feedback resistor</t>
  </si>
  <si>
    <t>Calculations</t>
  </si>
  <si>
    <t>Frequency</t>
  </si>
  <si>
    <t>Selected VIN</t>
  </si>
  <si>
    <t>VIN_var</t>
  </si>
  <si>
    <t>VIN_VAR</t>
  </si>
  <si>
    <t>Variable input voltage</t>
  </si>
  <si>
    <t>ADC</t>
  </si>
  <si>
    <t>Gcomp</t>
  </si>
  <si>
    <t>Scale down factor of the interal comp voltage divider</t>
  </si>
  <si>
    <t>Intenal step down of the divider</t>
  </si>
  <si>
    <t>DC gain of the plant function</t>
  </si>
  <si>
    <t>Acs</t>
  </si>
  <si>
    <t>Current sense Amplifier Gain (1 for this device)</t>
  </si>
  <si>
    <t>Low Frequency Pole</t>
  </si>
  <si>
    <t>RHPz zero of boost converter</t>
  </si>
  <si>
    <t>ESR zero cause by output capacitance</t>
  </si>
  <si>
    <t>wsl</t>
  </si>
  <si>
    <t>Q</t>
  </si>
  <si>
    <t>Se</t>
  </si>
  <si>
    <t xml:space="preserve">Slope compensation </t>
  </si>
  <si>
    <t>Down slope at the selected input voltage</t>
  </si>
  <si>
    <t>Sn</t>
  </si>
  <si>
    <t>Rad</t>
  </si>
  <si>
    <t>wp_lf</t>
  </si>
  <si>
    <t>wz_rhp</t>
  </si>
  <si>
    <t>wz_esr</t>
  </si>
  <si>
    <t>Gain</t>
  </si>
  <si>
    <t>Phase</t>
  </si>
  <si>
    <t>Sampling</t>
  </si>
  <si>
    <t>Complex</t>
  </si>
  <si>
    <t>Total</t>
  </si>
  <si>
    <t>Plant Transfer Function</t>
  </si>
  <si>
    <t>Error Amplifier</t>
  </si>
  <si>
    <t>Plant Parameters</t>
  </si>
  <si>
    <t>wz_ea</t>
  </si>
  <si>
    <t>Adc_ea</t>
  </si>
  <si>
    <t>gm_ea</t>
  </si>
  <si>
    <t>Error Amplifier Gain</t>
  </si>
  <si>
    <t>A/V</t>
  </si>
  <si>
    <t>wp0_ea</t>
  </si>
  <si>
    <t>wp1_ea</t>
  </si>
  <si>
    <t>ADC_ea</t>
  </si>
  <si>
    <t xml:space="preserve">Gain </t>
  </si>
  <si>
    <t>Open Loop Response</t>
  </si>
  <si>
    <t>COMPLEX</t>
  </si>
  <si>
    <t>dB</t>
  </si>
  <si>
    <t>Selected by user. Feedback resistor should be &gt;100uA to help reject noise</t>
  </si>
  <si>
    <t>Error Amplifier Zero</t>
  </si>
  <si>
    <t>Error Amplifier pole at the origin</t>
  </si>
  <si>
    <t>Error Amplifier pole at high frequencies</t>
  </si>
  <si>
    <t>RFBB_CALC</t>
  </si>
  <si>
    <t>Vref</t>
  </si>
  <si>
    <t>Reference voltage</t>
  </si>
  <si>
    <t>Estimated bottom feedback resistor</t>
  </si>
  <si>
    <t>Selected botton feedback resistor</t>
  </si>
  <si>
    <t>Ifb</t>
  </si>
  <si>
    <t>Current Drawn from the feedback resistors (Typically higher than 100uA to help w/ noise)</t>
  </si>
  <si>
    <r>
      <t xml:space="preserve">Plant low frequency pole. </t>
    </r>
    <r>
      <rPr>
        <b/>
        <sz val="11"/>
        <color theme="1"/>
        <rFont val="Calibri"/>
        <family val="2"/>
        <scheme val="minor"/>
      </rPr>
      <t>IN Hz!!!</t>
    </r>
  </si>
  <si>
    <r>
      <t xml:space="preserve">Plant RHP Zero, </t>
    </r>
    <r>
      <rPr>
        <b/>
        <sz val="11"/>
        <color theme="1"/>
        <rFont val="Calibri"/>
        <family val="2"/>
        <scheme val="minor"/>
      </rPr>
      <t>(IN Hz)</t>
    </r>
  </si>
  <si>
    <r>
      <t xml:space="preserve">Plant capacitor ESR zero </t>
    </r>
    <r>
      <rPr>
        <b/>
        <sz val="11"/>
        <color theme="1"/>
        <rFont val="Calibri"/>
        <family val="2"/>
        <scheme val="minor"/>
      </rPr>
      <t>(In Hz)</t>
    </r>
  </si>
  <si>
    <t>Feedback resistor selection</t>
  </si>
  <si>
    <t>Crossover Frequency Selection</t>
  </si>
  <si>
    <t>Fcross_est</t>
  </si>
  <si>
    <r>
      <t>Calculated bottom feedback resistor (R</t>
    </r>
    <r>
      <rPr>
        <vertAlign val="subscript"/>
        <sz val="11"/>
        <color theme="1"/>
        <rFont val="Calibri"/>
        <family val="2"/>
        <scheme val="minor"/>
      </rPr>
      <t>FBB_cala</t>
    </r>
    <r>
      <rPr>
        <sz val="11"/>
        <color theme="1"/>
        <rFont val="Calibri"/>
        <family val="2"/>
        <scheme val="minor"/>
      </rPr>
      <t>)</t>
    </r>
  </si>
  <si>
    <t>fcross</t>
  </si>
  <si>
    <t>Desired Crossover frequency</t>
  </si>
  <si>
    <t>1/10 the swictching frequency</t>
  </si>
  <si>
    <t>Conservative. Set Fcross to be 1/5th the RHP zero frequency or 1/10th SW: whichever is lower</t>
  </si>
  <si>
    <t>Select the lower crossover frequency</t>
  </si>
  <si>
    <t>Gplant_fc</t>
  </si>
  <si>
    <t>Gain of the plant at the desired crossover frequency</t>
  </si>
  <si>
    <t>Fcross</t>
  </si>
  <si>
    <t>wz_RHP</t>
  </si>
  <si>
    <t>Gplant_fc_dB</t>
  </si>
  <si>
    <t>Plant gain at crossover frequency (dB)</t>
  </si>
  <si>
    <t>Gea_mid_calc</t>
  </si>
  <si>
    <t>Error Amplifier Mid-band gain to set cross over frequency correctly</t>
  </si>
  <si>
    <t>Rcomp_Calc</t>
  </si>
  <si>
    <t>Calculate on based on the desired Mid-band gain needed to set the crossover frequency</t>
  </si>
  <si>
    <t>fz_ea_est</t>
  </si>
  <si>
    <t>Set the fz_ea 1/10th the cross over frequency (Common approach)</t>
  </si>
  <si>
    <t>Set the fz_ea geometerically inbetween crossover and the wp_lf</t>
  </si>
  <si>
    <t>Fz_ea_1</t>
  </si>
  <si>
    <t>Fz_ea_2</t>
  </si>
  <si>
    <t>CCOMP_calc</t>
  </si>
  <si>
    <t>CHF_Calc</t>
  </si>
  <si>
    <t>fp_ea_est</t>
  </si>
  <si>
    <r>
      <t>Select a top feedback resistor(R</t>
    </r>
    <r>
      <rPr>
        <vertAlign val="subscript"/>
        <sz val="11"/>
        <color theme="1"/>
        <rFont val="Calibri"/>
        <family val="2"/>
        <scheme val="minor"/>
      </rPr>
      <t>FBT</t>
    </r>
    <r>
      <rPr>
        <sz val="11"/>
        <color theme="1"/>
        <rFont val="Calibri"/>
        <family val="2"/>
        <scheme val="minor"/>
      </rPr>
      <t>)</t>
    </r>
  </si>
  <si>
    <r>
      <t>Select a bottomresistor based on calculated balue(R</t>
    </r>
    <r>
      <rPr>
        <vertAlign val="subscript"/>
        <sz val="11"/>
        <color theme="1"/>
        <rFont val="Calibri"/>
        <family val="2"/>
        <scheme val="minor"/>
      </rPr>
      <t>FBB</t>
    </r>
    <r>
      <rPr>
        <sz val="11"/>
        <color theme="1"/>
        <rFont val="Calibri"/>
        <family val="2"/>
        <scheme val="minor"/>
      </rPr>
      <t>)</t>
    </r>
  </si>
  <si>
    <t>Step 6: UVLO Resistor Divider Selection</t>
  </si>
  <si>
    <t>Efficiency / Power Loss Analyzer</t>
  </si>
  <si>
    <r>
      <t>R</t>
    </r>
    <r>
      <rPr>
        <vertAlign val="subscript"/>
        <sz val="11"/>
        <color theme="1"/>
        <rFont val="Calibri"/>
        <family val="2"/>
        <scheme val="minor"/>
      </rPr>
      <t>COMP</t>
    </r>
  </si>
  <si>
    <t>Calculated</t>
  </si>
  <si>
    <t>Selected</t>
  </si>
  <si>
    <t>Steps</t>
  </si>
  <si>
    <t>Step size</t>
  </si>
  <si>
    <t>VIN</t>
  </si>
  <si>
    <t>DCM/CCM</t>
  </si>
  <si>
    <t>DC</t>
  </si>
  <si>
    <t>IIN</t>
  </si>
  <si>
    <t>Icrms_min</t>
  </si>
  <si>
    <t>Minimum required RMS current rating for the output capacitor bank</t>
  </si>
  <si>
    <t>Soft-Start</t>
  </si>
  <si>
    <t>Iss</t>
  </si>
  <si>
    <t>Soft-start capacitor charge current</t>
  </si>
  <si>
    <t>Soft-Start Charge current</t>
  </si>
  <si>
    <t>Css_min</t>
  </si>
  <si>
    <t>Suggested minimum SS capacitor to minize the over shoot.</t>
  </si>
  <si>
    <t>tss</t>
  </si>
  <si>
    <t>Desired Soft-Start Capacitor</t>
  </si>
  <si>
    <r>
      <t>Suggested minimum soft-start capacitor (C</t>
    </r>
    <r>
      <rPr>
        <vertAlign val="subscript"/>
        <sz val="11"/>
        <color theme="1"/>
        <rFont val="Calibri"/>
        <family val="2"/>
        <scheme val="minor"/>
      </rPr>
      <t>SS_MIN</t>
    </r>
    <r>
      <rPr>
        <sz val="11"/>
        <color theme="1"/>
        <rFont val="Calibri"/>
        <family val="2"/>
        <scheme val="minor"/>
      </rPr>
      <t>)</t>
    </r>
  </si>
  <si>
    <t>ms</t>
  </si>
  <si>
    <t>Css_calc</t>
  </si>
  <si>
    <t>Calcualted Soft-start capacitor</t>
  </si>
  <si>
    <r>
      <t>Calculated soft-start capacitor (C</t>
    </r>
    <r>
      <rPr>
        <vertAlign val="subscript"/>
        <sz val="11"/>
        <color theme="1"/>
        <rFont val="Calibri"/>
        <family val="2"/>
        <scheme val="minor"/>
      </rPr>
      <t>SS</t>
    </r>
    <r>
      <rPr>
        <sz val="11"/>
        <color theme="1"/>
        <rFont val="Calibri"/>
        <family val="2"/>
        <scheme val="minor"/>
      </rPr>
      <t>)</t>
    </r>
  </si>
  <si>
    <r>
      <t>Desired voltage OFF (V</t>
    </r>
    <r>
      <rPr>
        <vertAlign val="subscript"/>
        <sz val="11"/>
        <color theme="1"/>
        <rFont val="Calibri"/>
        <family val="2"/>
        <scheme val="minor"/>
      </rPr>
      <t>UVLO_OFF</t>
    </r>
    <r>
      <rPr>
        <sz val="11"/>
        <color theme="1"/>
        <rFont val="Calibri"/>
        <family val="2"/>
        <scheme val="minor"/>
      </rPr>
      <t>)</t>
    </r>
  </si>
  <si>
    <r>
      <t>Desired voltage On (V</t>
    </r>
    <r>
      <rPr>
        <vertAlign val="subscript"/>
        <sz val="11"/>
        <color theme="1"/>
        <rFont val="Calibri"/>
        <family val="2"/>
        <scheme val="minor"/>
      </rPr>
      <t>UVLO_ON</t>
    </r>
    <r>
      <rPr>
        <sz val="11"/>
        <color theme="1"/>
        <rFont val="Calibri"/>
        <family val="2"/>
        <scheme val="minor"/>
      </rPr>
      <t>)</t>
    </r>
  </si>
  <si>
    <t>Step 6: UVLO Resistor Selection</t>
  </si>
  <si>
    <t>Step 5: Soft-start Capacitor selection</t>
  </si>
  <si>
    <t>Vuvlo_on</t>
  </si>
  <si>
    <t>Vuvlo_off</t>
  </si>
  <si>
    <t>Desired turn on voltage</t>
  </si>
  <si>
    <t>Desired turn off voltage</t>
  </si>
  <si>
    <t>UVLO Thresholds</t>
  </si>
  <si>
    <t>UV_rise</t>
  </si>
  <si>
    <t>UV_fall</t>
  </si>
  <si>
    <t>Falling threshold (See datasheet for more details)</t>
  </si>
  <si>
    <t>Rising Threshold (See datasheet for more details)</t>
  </si>
  <si>
    <t>Rising UV threshold</t>
  </si>
  <si>
    <t>Falling  UV threshold</t>
  </si>
  <si>
    <t>UV_I_hyst</t>
  </si>
  <si>
    <t>UVLO current hysteresis</t>
  </si>
  <si>
    <t>UVLO circuit current hysteresis</t>
  </si>
  <si>
    <t>Ruvlo_top_calc</t>
  </si>
  <si>
    <t>Ruvlo_bottom_calc</t>
  </si>
  <si>
    <t>Vuvlo_on_act</t>
  </si>
  <si>
    <t>Vuvlo_off_act</t>
  </si>
  <si>
    <t>Actual turn on voltage</t>
  </si>
  <si>
    <t>Actual turn off voltage</t>
  </si>
  <si>
    <t>Step  7: Loop Compensation</t>
  </si>
  <si>
    <t>Operation Variables</t>
  </si>
  <si>
    <t>Duty Cycle</t>
  </si>
  <si>
    <t>dIL</t>
  </si>
  <si>
    <r>
      <t>IL</t>
    </r>
    <r>
      <rPr>
        <vertAlign val="subscript"/>
        <sz val="11"/>
        <color theme="1"/>
        <rFont val="Calibri"/>
        <family val="2"/>
        <scheme val="minor"/>
      </rPr>
      <t>RMS</t>
    </r>
  </si>
  <si>
    <r>
      <t>IL</t>
    </r>
    <r>
      <rPr>
        <vertAlign val="subscript"/>
        <sz val="11"/>
        <color theme="1"/>
        <rFont val="Calibri"/>
        <family val="2"/>
        <scheme val="minor"/>
      </rPr>
      <t>PEAK</t>
    </r>
  </si>
  <si>
    <t>Step 7: Component Selection</t>
  </si>
  <si>
    <r>
      <t>P</t>
    </r>
    <r>
      <rPr>
        <vertAlign val="subscript"/>
        <sz val="11"/>
        <color theme="1"/>
        <rFont val="Calibri"/>
        <family val="2"/>
        <scheme val="minor"/>
      </rPr>
      <t>Lac</t>
    </r>
    <r>
      <rPr>
        <sz val="11"/>
        <color theme="1"/>
        <rFont val="Calibri"/>
        <family val="2"/>
        <scheme val="minor"/>
      </rPr>
      <t xml:space="preserve"> (W)</t>
    </r>
  </si>
  <si>
    <r>
      <t>P</t>
    </r>
    <r>
      <rPr>
        <vertAlign val="subscript"/>
        <sz val="11"/>
        <color theme="1"/>
        <rFont val="Calibri"/>
        <family val="2"/>
        <scheme val="minor"/>
      </rPr>
      <t>L_DCR</t>
    </r>
    <r>
      <rPr>
        <sz val="11"/>
        <color theme="1"/>
        <rFont val="Calibri"/>
        <family val="2"/>
        <scheme val="minor"/>
      </rPr>
      <t xml:space="preserve"> (W)</t>
    </r>
  </si>
  <si>
    <r>
      <t>On-State Resistance, R</t>
    </r>
    <r>
      <rPr>
        <vertAlign val="subscript"/>
        <sz val="10"/>
        <rFont val="Arial"/>
        <family val="2"/>
      </rPr>
      <t>DS(on)</t>
    </r>
    <r>
      <rPr>
        <sz val="10"/>
        <rFont val="Arial"/>
        <family val="2"/>
      </rPr>
      <t xml:space="preserve"> </t>
    </r>
  </si>
  <si>
    <r>
      <t>Total Gate Charge, Q</t>
    </r>
    <r>
      <rPr>
        <vertAlign val="subscript"/>
        <sz val="10"/>
        <rFont val="Arial"/>
        <family val="2"/>
      </rPr>
      <t>G</t>
    </r>
    <r>
      <rPr>
        <sz val="10"/>
        <rFont val="Arial"/>
        <family val="2"/>
      </rPr>
      <t xml:space="preserve"> </t>
    </r>
  </si>
  <si>
    <r>
      <t>Gate-Drain Charge, Q</t>
    </r>
    <r>
      <rPr>
        <vertAlign val="subscript"/>
        <sz val="10"/>
        <rFont val="Arial"/>
        <family val="2"/>
      </rPr>
      <t>GD</t>
    </r>
    <r>
      <rPr>
        <sz val="10"/>
        <rFont val="Arial"/>
        <family val="2"/>
      </rPr>
      <t xml:space="preserve"> </t>
    </r>
  </si>
  <si>
    <r>
      <t>Gate-Source Charge, Q</t>
    </r>
    <r>
      <rPr>
        <vertAlign val="subscript"/>
        <sz val="10"/>
        <rFont val="Arial"/>
        <family val="2"/>
      </rPr>
      <t>GS</t>
    </r>
    <r>
      <rPr>
        <sz val="10"/>
        <rFont val="Arial"/>
        <family val="2"/>
      </rPr>
      <t xml:space="preserve"> </t>
    </r>
  </si>
  <si>
    <r>
      <t>Gate Resistance, R</t>
    </r>
    <r>
      <rPr>
        <vertAlign val="subscript"/>
        <sz val="10"/>
        <rFont val="Arial"/>
        <family val="2"/>
      </rPr>
      <t>G</t>
    </r>
    <r>
      <rPr>
        <sz val="10"/>
        <rFont val="Arial"/>
        <family val="2"/>
      </rPr>
      <t xml:space="preserve"> </t>
    </r>
  </si>
  <si>
    <r>
      <t>Gate-Source Threshold Voltage, V</t>
    </r>
    <r>
      <rPr>
        <vertAlign val="subscript"/>
        <sz val="10"/>
        <rFont val="Arial"/>
        <family val="2"/>
      </rPr>
      <t>TH</t>
    </r>
    <r>
      <rPr>
        <sz val="10"/>
        <rFont val="Arial"/>
        <family val="2"/>
      </rPr>
      <t xml:space="preserve"> </t>
    </r>
  </si>
  <si>
    <t>nC</t>
  </si>
  <si>
    <t>S</t>
  </si>
  <si>
    <t>Diode Parameters</t>
  </si>
  <si>
    <t>MOSFET Parameters</t>
  </si>
  <si>
    <t>Qg_tot</t>
  </si>
  <si>
    <t>Qgs</t>
  </si>
  <si>
    <t>Qgd</t>
  </si>
  <si>
    <t>Rgate</t>
  </si>
  <si>
    <t>gfs</t>
  </si>
  <si>
    <t>Vth</t>
  </si>
  <si>
    <t>C</t>
  </si>
  <si>
    <t>RDS_on</t>
  </si>
  <si>
    <t>Rgate_int</t>
  </si>
  <si>
    <t>Internal Gate resistance of the MOSFET driver.</t>
  </si>
  <si>
    <t>Vsp</t>
  </si>
  <si>
    <t>Gate voltage when MOSFET begins conducting current</t>
  </si>
  <si>
    <t>Rise time of the switch node</t>
  </si>
  <si>
    <t>Fall time of the switch node</t>
  </si>
  <si>
    <t>VCC</t>
  </si>
  <si>
    <t>VCC regulator</t>
  </si>
  <si>
    <t>Vcc</t>
  </si>
  <si>
    <t>Regulated output voltage of internal LDO. Can change if this is externally biased.</t>
  </si>
  <si>
    <t>Need to double check this value</t>
  </si>
  <si>
    <t xml:space="preserve">VCC voltage. Can be changed with external bias. </t>
  </si>
  <si>
    <t>tr_sw</t>
  </si>
  <si>
    <t>tf_sw</t>
  </si>
  <si>
    <r>
      <t>P</t>
    </r>
    <r>
      <rPr>
        <vertAlign val="subscript"/>
        <sz val="11"/>
        <color theme="1"/>
        <rFont val="Calibri"/>
        <family val="2"/>
        <scheme val="minor"/>
      </rPr>
      <t xml:space="preserve">Q_SW </t>
    </r>
    <r>
      <rPr>
        <sz val="11"/>
        <color theme="1"/>
        <rFont val="Calibri"/>
        <family val="2"/>
        <scheme val="minor"/>
      </rPr>
      <t>(W)</t>
    </r>
  </si>
  <si>
    <r>
      <t>P</t>
    </r>
    <r>
      <rPr>
        <vertAlign val="subscript"/>
        <sz val="11"/>
        <color theme="1"/>
        <rFont val="Calibri"/>
        <family val="2"/>
        <scheme val="minor"/>
      </rPr>
      <t xml:space="preserve">Q_COND </t>
    </r>
    <r>
      <rPr>
        <sz val="11"/>
        <color theme="1"/>
        <rFont val="Calibri"/>
        <family val="2"/>
        <scheme val="minor"/>
      </rPr>
      <t>(W)</t>
    </r>
  </si>
  <si>
    <r>
      <t>P</t>
    </r>
    <r>
      <rPr>
        <vertAlign val="subscript"/>
        <sz val="11"/>
        <color theme="1"/>
        <rFont val="Calibri"/>
        <family val="2"/>
        <scheme val="minor"/>
      </rPr>
      <t xml:space="preserve">Q_tot </t>
    </r>
    <r>
      <rPr>
        <sz val="11"/>
        <color theme="1"/>
        <rFont val="Calibri"/>
        <family val="2"/>
        <scheme val="minor"/>
      </rPr>
      <t>(W)</t>
    </r>
  </si>
  <si>
    <r>
      <t>P</t>
    </r>
    <r>
      <rPr>
        <vertAlign val="subscript"/>
        <sz val="11"/>
        <color theme="1"/>
        <rFont val="Calibri"/>
        <family val="2"/>
        <scheme val="minor"/>
      </rPr>
      <t>L_tot</t>
    </r>
    <r>
      <rPr>
        <sz val="11"/>
        <color theme="1"/>
        <rFont val="Calibri"/>
        <family val="2"/>
        <scheme val="minor"/>
      </rPr>
      <t xml:space="preserve"> (W)</t>
    </r>
  </si>
  <si>
    <r>
      <t>P</t>
    </r>
    <r>
      <rPr>
        <vertAlign val="subscript"/>
        <sz val="11"/>
        <color theme="1"/>
        <rFont val="Calibri"/>
        <family val="2"/>
        <scheme val="minor"/>
      </rPr>
      <t>RCS</t>
    </r>
    <r>
      <rPr>
        <sz val="11"/>
        <color theme="1"/>
        <rFont val="Calibri"/>
        <family val="2"/>
        <scheme val="minor"/>
      </rPr>
      <t xml:space="preserve"> (W)</t>
    </r>
  </si>
  <si>
    <r>
      <t>P</t>
    </r>
    <r>
      <rPr>
        <vertAlign val="subscript"/>
        <sz val="11"/>
        <color theme="1"/>
        <rFont val="Calibri"/>
        <family val="2"/>
        <scheme val="minor"/>
      </rPr>
      <t>G_drv</t>
    </r>
    <r>
      <rPr>
        <sz val="11"/>
        <color theme="1"/>
        <rFont val="Calibri"/>
        <family val="2"/>
        <scheme val="minor"/>
      </rPr>
      <t xml:space="preserve"> (W)</t>
    </r>
  </si>
  <si>
    <r>
      <t>P</t>
    </r>
    <r>
      <rPr>
        <vertAlign val="subscript"/>
        <sz val="11"/>
        <color theme="1"/>
        <rFont val="Calibri"/>
        <family val="2"/>
        <scheme val="minor"/>
      </rPr>
      <t>IQ</t>
    </r>
    <r>
      <rPr>
        <sz val="11"/>
        <color theme="1"/>
        <rFont val="Calibri"/>
        <family val="2"/>
        <scheme val="minor"/>
      </rPr>
      <t xml:space="preserve"> (W)</t>
    </r>
  </si>
  <si>
    <t>IQ current</t>
  </si>
  <si>
    <t xml:space="preserve">IQ </t>
  </si>
  <si>
    <t>Non-switching IQ current</t>
  </si>
  <si>
    <t>Other Losses</t>
  </si>
  <si>
    <r>
      <t>C</t>
    </r>
    <r>
      <rPr>
        <vertAlign val="subscript"/>
        <sz val="11"/>
        <color theme="1"/>
        <rFont val="Calibri"/>
        <family val="2"/>
        <scheme val="minor"/>
      </rPr>
      <t>COMP</t>
    </r>
  </si>
  <si>
    <r>
      <t>C</t>
    </r>
    <r>
      <rPr>
        <vertAlign val="subscript"/>
        <sz val="11"/>
        <color theme="1"/>
        <rFont val="Calibri"/>
        <family val="2"/>
        <scheme val="minor"/>
      </rPr>
      <t>HF</t>
    </r>
  </si>
  <si>
    <t>RHP_zero location based on the minimum input voltage</t>
  </si>
  <si>
    <t>Low frequency pole based on the minimum input voltage</t>
  </si>
  <si>
    <t>rad</t>
  </si>
  <si>
    <t>ESR zero based on the minimum input voltage</t>
  </si>
  <si>
    <t>This is based on the minimum input voltage. T</t>
  </si>
  <si>
    <t>Input Voltage</t>
  </si>
  <si>
    <r>
      <t>Calculated top UVLO resistor value (R</t>
    </r>
    <r>
      <rPr>
        <vertAlign val="subscript"/>
        <sz val="11"/>
        <color theme="1"/>
        <rFont val="Calibri"/>
        <family val="2"/>
        <scheme val="minor"/>
      </rPr>
      <t>UVT_CALC</t>
    </r>
    <r>
      <rPr>
        <sz val="11"/>
        <color theme="1"/>
        <rFont val="Calibri"/>
        <family val="2"/>
        <scheme val="minor"/>
      </rPr>
      <t>)</t>
    </r>
  </si>
  <si>
    <r>
      <t>Selected top UVLO resistor value (R</t>
    </r>
    <r>
      <rPr>
        <vertAlign val="subscript"/>
        <sz val="11"/>
        <color theme="1"/>
        <rFont val="Calibri"/>
        <family val="2"/>
        <scheme val="minor"/>
      </rPr>
      <t>UVT</t>
    </r>
    <r>
      <rPr>
        <sz val="11"/>
        <color theme="1"/>
        <rFont val="Calibri"/>
        <family val="2"/>
        <scheme val="minor"/>
      </rPr>
      <t>)</t>
    </r>
  </si>
  <si>
    <r>
      <t>Bottom UVLO Resistor (R</t>
    </r>
    <r>
      <rPr>
        <vertAlign val="subscript"/>
        <sz val="11"/>
        <color theme="1"/>
        <rFont val="Calibri"/>
        <family val="2"/>
        <scheme val="minor"/>
      </rPr>
      <t>UVB</t>
    </r>
    <r>
      <rPr>
        <sz val="11"/>
        <color theme="1"/>
        <rFont val="Calibri"/>
        <family val="2"/>
        <scheme val="minor"/>
      </rPr>
      <t>)</t>
    </r>
  </si>
  <si>
    <t>Calcualted top UVLO resistor</t>
  </si>
  <si>
    <t>Selected top UVLO resistor</t>
  </si>
  <si>
    <t>Calcualted Bottom UBLO Resistor</t>
  </si>
  <si>
    <t>Frcoss (VIN)min</t>
  </si>
  <si>
    <t>ADC_VINmin</t>
  </si>
  <si>
    <t>wp_lf_VINmin</t>
  </si>
  <si>
    <t>fp_lf_VINmin</t>
  </si>
  <si>
    <t>wz_esr_VINmin</t>
  </si>
  <si>
    <t>fz_esr_VINmin</t>
  </si>
  <si>
    <t>wz_RHP_VINmin</t>
  </si>
  <si>
    <t>fz_rhp_VINmin</t>
  </si>
  <si>
    <t>Se_VINmin</t>
  </si>
  <si>
    <t>Sn_VINmin</t>
  </si>
  <si>
    <t>wsl_VINmin</t>
  </si>
  <si>
    <t>Q_VINmin</t>
  </si>
  <si>
    <t>Vin_op_min</t>
  </si>
  <si>
    <t>Minimum operating voltage</t>
  </si>
  <si>
    <r>
      <t>Desired Maximum Inductor Current Ripple Ratio (I</t>
    </r>
    <r>
      <rPr>
        <vertAlign val="subscript"/>
        <sz val="10"/>
        <color theme="1"/>
        <rFont val="Calibri"/>
        <family val="2"/>
        <scheme val="minor"/>
      </rPr>
      <t>RR_MAX</t>
    </r>
    <r>
      <rPr>
        <sz val="10"/>
        <color theme="1"/>
        <rFont val="Calibri"/>
        <family val="2"/>
        <scheme val="minor"/>
      </rPr>
      <t>)</t>
    </r>
  </si>
  <si>
    <t>Peak Current Limit Margin</t>
  </si>
  <si>
    <r>
      <t>Voltage selected (V</t>
    </r>
    <r>
      <rPr>
        <vertAlign val="subscript"/>
        <sz val="11"/>
        <rFont val="Calibri"/>
        <family val="2"/>
        <scheme val="minor"/>
      </rPr>
      <t>IN_VAR</t>
    </r>
    <r>
      <rPr>
        <sz val="11"/>
        <rFont val="Calibri"/>
        <family val="2"/>
        <scheme val="minor"/>
      </rPr>
      <t>)</t>
    </r>
  </si>
  <si>
    <t>This should be set at or near the lowest RHP zero Frequency</t>
  </si>
  <si>
    <t>Set between 1/2 fsw and the RHPz in the application note. This is aggressive</t>
  </si>
  <si>
    <t>VOUT1</t>
  </si>
  <si>
    <t>IOUT1</t>
  </si>
  <si>
    <t>ROUT1</t>
  </si>
  <si>
    <t>POUT1</t>
  </si>
  <si>
    <t>VOUT2</t>
  </si>
  <si>
    <t>IOUT2</t>
  </si>
  <si>
    <t>ROUT2</t>
  </si>
  <si>
    <t>POUT2</t>
  </si>
  <si>
    <t>VOUT3</t>
  </si>
  <si>
    <t>IOUT3</t>
  </si>
  <si>
    <t>ROUT3</t>
  </si>
  <si>
    <t>POUT3</t>
  </si>
  <si>
    <t>POUT_Total</t>
  </si>
  <si>
    <t>Enable</t>
  </si>
  <si>
    <t>EN_OUT_3</t>
  </si>
  <si>
    <t>EN_OUT_2</t>
  </si>
  <si>
    <t>Enable the second output voltage</t>
  </si>
  <si>
    <t>Enable the third output voltage</t>
  </si>
  <si>
    <t>Target Output Voltage, First output voltage should always be the one regulated, and should be active</t>
  </si>
  <si>
    <t>Step 2: Transformer Specifications</t>
  </si>
  <si>
    <r>
      <t>Recommended Inductance Primary Inductance (L</t>
    </r>
    <r>
      <rPr>
        <vertAlign val="subscript"/>
        <sz val="10"/>
        <color theme="1"/>
        <rFont val="Calibri"/>
        <family val="2"/>
        <scheme val="minor"/>
      </rPr>
      <t>M_CALC</t>
    </r>
    <r>
      <rPr>
        <sz val="10"/>
        <color theme="1"/>
        <rFont val="Calibri"/>
        <family val="2"/>
        <scheme val="minor"/>
      </rPr>
      <t>)</t>
    </r>
  </si>
  <si>
    <r>
      <t>User Selected Primary Inductance, (L</t>
    </r>
    <r>
      <rPr>
        <vertAlign val="subscript"/>
        <sz val="10"/>
        <color theme="1"/>
        <rFont val="Calibri"/>
        <family val="2"/>
        <scheme val="minor"/>
      </rPr>
      <t>M</t>
    </r>
    <r>
      <rPr>
        <sz val="10"/>
        <color theme="1"/>
        <rFont val="Calibri"/>
        <family val="2"/>
        <scheme val="minor"/>
      </rPr>
      <t>)</t>
    </r>
  </si>
  <si>
    <t>Np</t>
  </si>
  <si>
    <t>Step 2: Transformer Specs</t>
  </si>
  <si>
    <t>The number of turns on the primary side. Can change to help ease calculations</t>
  </si>
  <si>
    <t>Maximum duty cycle for the design</t>
  </si>
  <si>
    <r>
      <t>Desired Maximum Duty Cycle (D</t>
    </r>
    <r>
      <rPr>
        <vertAlign val="subscript"/>
        <sz val="11"/>
        <color theme="1"/>
        <rFont val="Calibri"/>
        <family val="2"/>
        <scheme val="minor"/>
      </rPr>
      <t>MAX</t>
    </r>
    <r>
      <rPr>
        <sz val="11"/>
        <color theme="1"/>
        <rFont val="Calibri"/>
        <family val="2"/>
        <scheme val="minor"/>
      </rPr>
      <t>)</t>
    </r>
  </si>
  <si>
    <t>System Constants</t>
  </si>
  <si>
    <t>Vd</t>
  </si>
  <si>
    <t>This is just the standard voltage drop of a diode allows for some head room on duty cycle calculations</t>
  </si>
  <si>
    <t>Dmax_limit</t>
  </si>
  <si>
    <t>Calcualted secondary side (VOUT1) Turns Ratio (Assuming CCM operation)</t>
  </si>
  <si>
    <t>Selected Turns Ratio for regulated primary rail</t>
  </si>
  <si>
    <t>NS2_calc</t>
  </si>
  <si>
    <t>NS2</t>
  </si>
  <si>
    <t>Calcualted secondary side (VOUT2)</t>
  </si>
  <si>
    <t xml:space="preserve">Selected Turns Ratio for VOUT2 </t>
  </si>
  <si>
    <t>N1S_calc</t>
  </si>
  <si>
    <t>Ns1_</t>
  </si>
  <si>
    <t>Turns</t>
  </si>
  <si>
    <t>Target Output Voltage (Absolute Maximum)</t>
  </si>
  <si>
    <t>Target Output Voltage (Absolute Maximum Voltage)</t>
  </si>
  <si>
    <r>
      <t>Calculated Secondary Side turns (N</t>
    </r>
    <r>
      <rPr>
        <vertAlign val="subscript"/>
        <sz val="11"/>
        <color theme="1"/>
        <rFont val="Calibri"/>
        <family val="2"/>
        <scheme val="minor"/>
      </rPr>
      <t>Sx_calc</t>
    </r>
    <r>
      <rPr>
        <sz val="11"/>
        <color theme="1"/>
        <rFont val="Calibri"/>
        <family val="2"/>
        <scheme val="minor"/>
      </rPr>
      <t>)</t>
    </r>
  </si>
  <si>
    <r>
      <t>Selected Secondary Side turns (N</t>
    </r>
    <r>
      <rPr>
        <vertAlign val="subscript"/>
        <sz val="11"/>
        <color theme="1"/>
        <rFont val="Calibri"/>
        <family val="2"/>
        <scheme val="minor"/>
      </rPr>
      <t>Sx_</t>
    </r>
    <r>
      <rPr>
        <sz val="11"/>
        <color theme="1"/>
        <rFont val="Calibri"/>
        <family val="2"/>
        <scheme val="minor"/>
      </rPr>
      <t>)</t>
    </r>
  </si>
  <si>
    <t>Ns3_calc</t>
  </si>
  <si>
    <t>NS3_</t>
  </si>
  <si>
    <t>Calcualted secondary side (VOUT3)</t>
  </si>
  <si>
    <t xml:space="preserve">Selected Turns Ratio for VOUT3 </t>
  </si>
  <si>
    <r>
      <t>Adjusted output voltage (V</t>
    </r>
    <r>
      <rPr>
        <vertAlign val="subscript"/>
        <sz val="11"/>
        <color theme="1"/>
        <rFont val="Calibri"/>
        <family val="2"/>
        <scheme val="minor"/>
      </rPr>
      <t>LOADx</t>
    </r>
    <r>
      <rPr>
        <sz val="11"/>
        <color theme="1"/>
        <rFont val="Calibri"/>
        <family val="2"/>
        <scheme val="minor"/>
      </rPr>
      <t>)</t>
    </r>
  </si>
  <si>
    <t>VOUT2_act</t>
  </si>
  <si>
    <t>Actual Output voltage</t>
  </si>
  <si>
    <t>VOUT3_act</t>
  </si>
  <si>
    <t>Dmax_act</t>
  </si>
  <si>
    <r>
      <t>Approximate Maximum Duty Cycle (D</t>
    </r>
    <r>
      <rPr>
        <vertAlign val="subscript"/>
        <sz val="11"/>
        <color theme="1"/>
        <rFont val="Calibri"/>
        <family val="2"/>
        <scheme val="minor"/>
      </rPr>
      <t>MAX</t>
    </r>
    <r>
      <rPr>
        <sz val="11"/>
        <color theme="1"/>
        <rFont val="Calibri"/>
        <family val="2"/>
        <scheme val="minor"/>
      </rPr>
      <t>)</t>
    </r>
  </si>
  <si>
    <t>Occurs at the minimum input voltage</t>
  </si>
  <si>
    <t>VIN nom nominal Duty cycle</t>
  </si>
  <si>
    <t>VIN max nominal Duty cycle</t>
  </si>
  <si>
    <t>Estimated efficiency of the conveter. For right now need to just keep this 1</t>
  </si>
  <si>
    <t>Vreflect</t>
  </si>
  <si>
    <t>Inductor at Maximum input voltage (Includes the diode drop in the duty cycle calculation)</t>
  </si>
  <si>
    <t>IL_avg_VIN_min</t>
  </si>
  <si>
    <t>average input current</t>
  </si>
  <si>
    <t>Vout1_rip_sel</t>
  </si>
  <si>
    <t>Cout1_min</t>
  </si>
  <si>
    <t>Resr1</t>
  </si>
  <si>
    <t>Vout3_rip_sel</t>
  </si>
  <si>
    <t>Cout3_min</t>
  </si>
  <si>
    <t>Resr3</t>
  </si>
  <si>
    <t>Load 2</t>
  </si>
  <si>
    <t>Load 3</t>
  </si>
  <si>
    <t>Load 1</t>
  </si>
  <si>
    <t>Cout_total</t>
  </si>
  <si>
    <t>Resr_total</t>
  </si>
  <si>
    <t>Vout2_rip_sel</t>
  </si>
  <si>
    <t>Cout2_min</t>
  </si>
  <si>
    <t>Cout2</t>
  </si>
  <si>
    <t>Resr2</t>
  </si>
  <si>
    <t>Resr2_Trans</t>
  </si>
  <si>
    <t>ESR tranfered to the regualted winding of the transformer</t>
  </si>
  <si>
    <t>Total output cap ESR refered to the pregulated winding (VOUT1). Used for loop modeling</t>
  </si>
  <si>
    <t>Total output capacitance refered to the regulated winding (VOUT1). Used for loop modeling</t>
  </si>
  <si>
    <t>Need to finish updating from here</t>
  </si>
  <si>
    <t>POUT_Var</t>
  </si>
  <si>
    <t>Variable output Power (Need to add this in</t>
  </si>
  <si>
    <t>COUT_total</t>
  </si>
  <si>
    <t>CCM Model</t>
  </si>
  <si>
    <t>Dc</t>
  </si>
  <si>
    <t>Duty cycle at Vin_var</t>
  </si>
  <si>
    <t>mc</t>
  </si>
  <si>
    <r>
      <t>External voltage reference voltage (V</t>
    </r>
    <r>
      <rPr>
        <vertAlign val="subscript"/>
        <sz val="11"/>
        <color theme="1"/>
        <rFont val="Calibri"/>
        <family val="2"/>
        <scheme val="minor"/>
      </rPr>
      <t>ref_iso</t>
    </r>
    <r>
      <rPr>
        <sz val="11"/>
        <color theme="1"/>
        <rFont val="Calibri"/>
        <family val="2"/>
        <scheme val="minor"/>
      </rPr>
      <t>)</t>
    </r>
  </si>
  <si>
    <r>
      <t>Minimum current transfer Ratio (k</t>
    </r>
    <r>
      <rPr>
        <vertAlign val="subscript"/>
        <sz val="11"/>
        <color theme="1"/>
        <rFont val="Calibri"/>
        <family val="2"/>
        <scheme val="minor"/>
      </rPr>
      <t>OPTO_min</t>
    </r>
    <r>
      <rPr>
        <sz val="11"/>
        <color theme="1"/>
        <rFont val="Calibri"/>
        <family val="2"/>
        <scheme val="minor"/>
      </rPr>
      <t>)</t>
    </r>
  </si>
  <si>
    <r>
      <t>Maximum current transfer Ratio (k</t>
    </r>
    <r>
      <rPr>
        <vertAlign val="subscript"/>
        <sz val="11"/>
        <color theme="1"/>
        <rFont val="Calibri"/>
        <family val="2"/>
        <scheme val="minor"/>
      </rPr>
      <t>OPTO_max</t>
    </r>
    <r>
      <rPr>
        <sz val="11"/>
        <color theme="1"/>
        <rFont val="Calibri"/>
        <family val="2"/>
        <scheme val="minor"/>
      </rPr>
      <t>)</t>
    </r>
  </si>
  <si>
    <r>
      <t>Worst case diode voltage drop (V</t>
    </r>
    <r>
      <rPr>
        <vertAlign val="subscript"/>
        <sz val="11"/>
        <color theme="1"/>
        <rFont val="Calibri"/>
        <family val="2"/>
        <scheme val="minor"/>
      </rPr>
      <t>D_opto</t>
    </r>
    <r>
      <rPr>
        <sz val="11"/>
        <color theme="1"/>
        <rFont val="Calibri"/>
        <family val="2"/>
        <scheme val="minor"/>
      </rPr>
      <t>)</t>
    </r>
  </si>
  <si>
    <t>Select Feedback type</t>
  </si>
  <si>
    <t>Feedback type</t>
  </si>
  <si>
    <t>Isolated</t>
  </si>
  <si>
    <t>Non-isolated</t>
  </si>
  <si>
    <t>FB_type</t>
  </si>
  <si>
    <t>isolate Feedback calculations</t>
  </si>
  <si>
    <t>Vref_iso</t>
  </si>
  <si>
    <t>External reference voltage. This is needed for isolated feedback designs</t>
  </si>
  <si>
    <t>RFBT_iso</t>
  </si>
  <si>
    <t>RFBB_iso_calc</t>
  </si>
  <si>
    <t>RFBB_iso</t>
  </si>
  <si>
    <t>Calcualted bottom feedback resistor</t>
  </si>
  <si>
    <t>Selected top feedback resistor</t>
  </si>
  <si>
    <t>Selected bottom feedback resistor</t>
  </si>
  <si>
    <t>A/A</t>
  </si>
  <si>
    <r>
      <t>Minimum value for pullup resistor (R</t>
    </r>
    <r>
      <rPr>
        <vertAlign val="subscript"/>
        <sz val="11"/>
        <color theme="1"/>
        <rFont val="Calibri"/>
        <family val="2"/>
        <scheme val="minor"/>
      </rPr>
      <t>PULLUP_min</t>
    </r>
    <r>
      <rPr>
        <sz val="11"/>
        <color theme="1"/>
        <rFont val="Calibri"/>
        <family val="2"/>
        <scheme val="minor"/>
      </rPr>
      <t>)</t>
    </r>
  </si>
  <si>
    <t>Feedback resistors</t>
  </si>
  <si>
    <t>Opto coupler parameters</t>
  </si>
  <si>
    <t>Non-isolated feedback</t>
  </si>
  <si>
    <t>kopto_min</t>
  </si>
  <si>
    <t>kopto_max</t>
  </si>
  <si>
    <t>Minimum CTR of the optocoupler</t>
  </si>
  <si>
    <t>Maximum CTR of the optocoupler</t>
  </si>
  <si>
    <t>Vd_opto</t>
  </si>
  <si>
    <t>Should be the worst case diode drop to ensure feedback works properly over operating conditions</t>
  </si>
  <si>
    <t>Copto</t>
  </si>
  <si>
    <t>Vcomp_max</t>
  </si>
  <si>
    <t>Maximum voltage on the COMP pin</t>
  </si>
  <si>
    <t>Icomp_sink_max</t>
  </si>
  <si>
    <t>Maximum current the COMP pin can sink to keep voltage at 2.5V</t>
  </si>
  <si>
    <t>Rpullup_min</t>
  </si>
  <si>
    <r>
      <t>Pullup voltage (V</t>
    </r>
    <r>
      <rPr>
        <vertAlign val="subscript"/>
        <sz val="11"/>
        <color theme="1"/>
        <rFont val="Calibri"/>
        <family val="2"/>
        <scheme val="minor"/>
      </rPr>
      <t>PULLUP</t>
    </r>
    <r>
      <rPr>
        <sz val="11"/>
        <color theme="1"/>
        <rFont val="Calibri"/>
        <family val="2"/>
        <scheme val="minor"/>
      </rPr>
      <t>)</t>
    </r>
  </si>
  <si>
    <t>This can be selected once the pull up resistor is known. This value will change with Rpullup</t>
  </si>
  <si>
    <t>Vpullup</t>
  </si>
  <si>
    <t>voltage connected to the pullup resistor. This can be the auxwinding or the VCC voltage.</t>
  </si>
  <si>
    <r>
      <t>Selected Pullup Resistor (R</t>
    </r>
    <r>
      <rPr>
        <vertAlign val="subscript"/>
        <sz val="11"/>
        <color theme="1"/>
        <rFont val="Calibri"/>
        <family val="2"/>
        <scheme val="minor"/>
      </rPr>
      <t>PULLUP</t>
    </r>
    <r>
      <rPr>
        <sz val="11"/>
        <color theme="1"/>
        <rFont val="Calibri"/>
        <family val="2"/>
        <scheme val="minor"/>
      </rPr>
      <t>)</t>
    </r>
  </si>
  <si>
    <t>Rpullup</t>
  </si>
  <si>
    <t>Minimum pullup resistor value that will not damage the VCOMP clamp of the LM5155'</t>
  </si>
  <si>
    <t>Selected pullup resistor</t>
  </si>
  <si>
    <t>Bandwidth selection</t>
  </si>
  <si>
    <t>Compensation placement</t>
  </si>
  <si>
    <t>Suggest crossover frequency for the isolated loop. Should be less the 1/5 WzRHP and lower than optocoupler zero</t>
  </si>
  <si>
    <t>CCM Plant Model</t>
  </si>
  <si>
    <t>Step 5: Loop Compensation (CCM operation)</t>
  </si>
  <si>
    <t>RLED</t>
  </si>
  <si>
    <t>DC gain at the minimum input voltage</t>
  </si>
  <si>
    <t>1/5 f RHP</t>
  </si>
  <si>
    <t>fopto</t>
  </si>
  <si>
    <t>optocoupler pole.</t>
  </si>
  <si>
    <t xml:space="preserve">The pole set by the pull up resistor and the opto-coupler capcaitance. </t>
  </si>
  <si>
    <t>fcross_iso</t>
  </si>
  <si>
    <t>fcross_iso_est</t>
  </si>
  <si>
    <t>Selected crossover frequency for the isolated feedback design</t>
  </si>
  <si>
    <t>RLED_max</t>
  </si>
  <si>
    <t>Maximum LED resistor value</t>
  </si>
  <si>
    <r>
      <t>Selected LED Resistor (R</t>
    </r>
    <r>
      <rPr>
        <vertAlign val="subscript"/>
        <sz val="11"/>
        <color theme="1"/>
        <rFont val="Calibri"/>
        <family val="2"/>
        <scheme val="minor"/>
      </rPr>
      <t>LED</t>
    </r>
    <r>
      <rPr>
        <sz val="11"/>
        <color theme="1"/>
        <rFont val="Calibri"/>
        <family val="2"/>
        <scheme val="minor"/>
      </rPr>
      <t>)</t>
    </r>
  </si>
  <si>
    <t>Selected LED resistor value</t>
  </si>
  <si>
    <t>RCOMP_iso_calc</t>
  </si>
  <si>
    <t>Rcomp_iso</t>
  </si>
  <si>
    <t>Selecte RCOMP value</t>
  </si>
  <si>
    <t>Ccomp_iso_calc</t>
  </si>
  <si>
    <t>Calcualted Compensation resistor value at the minimum input votlage. WzRHP is the lowest here</t>
  </si>
  <si>
    <t>Ccomp_iso</t>
  </si>
  <si>
    <t>wz_ea_1</t>
  </si>
  <si>
    <t>wz_ea_2</t>
  </si>
  <si>
    <t>wz2_ea</t>
  </si>
  <si>
    <t>wz1_ea</t>
  </si>
  <si>
    <t>Low frequency error complifier 0</t>
  </si>
  <si>
    <t>wpA_ea</t>
  </si>
  <si>
    <t>wpB_ea</t>
  </si>
  <si>
    <t>wpC_ea</t>
  </si>
  <si>
    <t>Pole Coefficients: A</t>
  </si>
  <si>
    <t>Pole Coefficients: C</t>
  </si>
  <si>
    <t>Pole Coefficients: B</t>
  </si>
  <si>
    <r>
      <t>Desired Output  ripple voltage (</t>
    </r>
    <r>
      <rPr>
        <sz val="11"/>
        <color theme="1"/>
        <rFont val="Calibri"/>
        <family val="2"/>
      </rPr>
      <t>ΔV</t>
    </r>
    <r>
      <rPr>
        <vertAlign val="subscript"/>
        <sz val="11"/>
        <color theme="1"/>
        <rFont val="Calibri"/>
        <family val="2"/>
      </rPr>
      <t>OUT</t>
    </r>
    <r>
      <rPr>
        <sz val="11"/>
        <color theme="1"/>
        <rFont val="Calibri"/>
        <family val="2"/>
      </rPr>
      <t>)</t>
    </r>
  </si>
  <si>
    <r>
      <t>Maximum LED resistor (R</t>
    </r>
    <r>
      <rPr>
        <vertAlign val="subscript"/>
        <sz val="11"/>
        <color theme="1"/>
        <rFont val="Calibri"/>
        <family val="2"/>
        <scheme val="minor"/>
      </rPr>
      <t>LED_max</t>
    </r>
    <r>
      <rPr>
        <sz val="11"/>
        <color theme="1"/>
        <rFont val="Calibri"/>
        <family val="2"/>
        <scheme val="minor"/>
      </rPr>
      <t>)</t>
    </r>
  </si>
  <si>
    <t xml:space="preserve">POUT3 </t>
  </si>
  <si>
    <t>POUT1_step</t>
  </si>
  <si>
    <t>POUT2_step</t>
  </si>
  <si>
    <t>POUT3_step</t>
  </si>
  <si>
    <t>Primary Winding losses</t>
  </si>
  <si>
    <t>Ptotal</t>
  </si>
  <si>
    <t>ILAVG</t>
  </si>
  <si>
    <t>Primary Winding calculations</t>
  </si>
  <si>
    <t>Doff</t>
  </si>
  <si>
    <t>Ddead</t>
  </si>
  <si>
    <t>Ls1</t>
  </si>
  <si>
    <t>Secondary DCR</t>
  </si>
  <si>
    <t>Rdcr1</t>
  </si>
  <si>
    <t>LOAD1 secondary winding resistance</t>
  </si>
  <si>
    <t>Rdcr2</t>
  </si>
  <si>
    <t>Rdcr3</t>
  </si>
  <si>
    <t>ILAVG2</t>
  </si>
  <si>
    <t>ILAVG1</t>
  </si>
  <si>
    <t>(1-D)sec</t>
  </si>
  <si>
    <t xml:space="preserve">Iripple </t>
  </si>
  <si>
    <t>Ipeak</t>
  </si>
  <si>
    <t>ILRMS1</t>
  </si>
  <si>
    <t>VLOAD1 Power Losses</t>
  </si>
  <si>
    <t>Transformer Losses</t>
  </si>
  <si>
    <t>Diode Losses</t>
  </si>
  <si>
    <r>
      <t>P</t>
    </r>
    <r>
      <rPr>
        <vertAlign val="subscript"/>
        <sz val="11"/>
        <color theme="1"/>
        <rFont val="Calibri"/>
        <family val="2"/>
        <scheme val="minor"/>
      </rPr>
      <t>Qrr</t>
    </r>
    <r>
      <rPr>
        <sz val="11"/>
        <color theme="1"/>
        <rFont val="Calibri"/>
        <family val="2"/>
        <scheme val="minor"/>
      </rPr>
      <t xml:space="preserve"> (W)</t>
    </r>
  </si>
  <si>
    <r>
      <t>P</t>
    </r>
    <r>
      <rPr>
        <vertAlign val="subscript"/>
        <sz val="11"/>
        <color theme="1"/>
        <rFont val="Calibri"/>
        <family val="2"/>
        <scheme val="minor"/>
      </rPr>
      <t>CON</t>
    </r>
    <r>
      <rPr>
        <sz val="11"/>
        <color theme="1"/>
        <rFont val="Calibri"/>
        <family val="2"/>
        <scheme val="minor"/>
      </rPr>
      <t xml:space="preserve"> (W)</t>
    </r>
  </si>
  <si>
    <r>
      <t>PD1</t>
    </r>
    <r>
      <rPr>
        <vertAlign val="subscript"/>
        <sz val="11"/>
        <color theme="1"/>
        <rFont val="Calibri"/>
        <family val="2"/>
        <scheme val="minor"/>
      </rPr>
      <t>_tot</t>
    </r>
    <r>
      <rPr>
        <sz val="11"/>
        <color theme="1"/>
        <rFont val="Calibri"/>
        <family val="2"/>
        <scheme val="minor"/>
      </rPr>
      <t xml:space="preserve"> (W)</t>
    </r>
  </si>
  <si>
    <t>Vd1</t>
  </si>
  <si>
    <t>Qrr1</t>
  </si>
  <si>
    <t>Vd3</t>
  </si>
  <si>
    <t>Qrr3</t>
  </si>
  <si>
    <t>Vd2</t>
  </si>
  <si>
    <t>Qrr2</t>
  </si>
  <si>
    <t>ILAVG3</t>
  </si>
  <si>
    <t>LOAD3</t>
  </si>
  <si>
    <t>MOSFET Losses</t>
  </si>
  <si>
    <t>Leakage and Snubber</t>
  </si>
  <si>
    <t>Psnub</t>
  </si>
  <si>
    <t>Pleak</t>
  </si>
  <si>
    <t>Total Losses</t>
  </si>
  <si>
    <t>Transformer</t>
  </si>
  <si>
    <t>Number of output</t>
  </si>
  <si>
    <t>Triple</t>
  </si>
  <si>
    <r>
      <t>Calculated Secondary Side turns (N</t>
    </r>
    <r>
      <rPr>
        <vertAlign val="subscript"/>
        <sz val="11"/>
        <color theme="1"/>
        <rFont val="Calibri"/>
        <family val="2"/>
        <scheme val="minor"/>
      </rPr>
      <t>S2_calc</t>
    </r>
    <r>
      <rPr>
        <sz val="11"/>
        <color theme="1"/>
        <rFont val="Calibri"/>
        <family val="2"/>
        <scheme val="minor"/>
      </rPr>
      <t>)</t>
    </r>
  </si>
  <si>
    <r>
      <t>Maximum Output Current , I</t>
    </r>
    <r>
      <rPr>
        <vertAlign val="subscript"/>
        <sz val="10"/>
        <color theme="1"/>
        <rFont val="Calibri"/>
        <family val="2"/>
        <scheme val="minor"/>
      </rPr>
      <t>LOAD2</t>
    </r>
    <r>
      <rPr>
        <sz val="10"/>
        <color theme="1"/>
        <rFont val="Calibri"/>
        <family val="2"/>
        <scheme val="minor"/>
      </rPr>
      <t xml:space="preserve"> </t>
    </r>
  </si>
  <si>
    <r>
      <t>Selected Secondary Side turns (N</t>
    </r>
    <r>
      <rPr>
        <vertAlign val="subscript"/>
        <sz val="11"/>
        <color theme="1"/>
        <rFont val="Calibri"/>
        <family val="2"/>
        <scheme val="minor"/>
      </rPr>
      <t>S2_</t>
    </r>
    <r>
      <rPr>
        <sz val="11"/>
        <color theme="1"/>
        <rFont val="Calibri"/>
        <family val="2"/>
        <scheme val="minor"/>
      </rPr>
      <t>)</t>
    </r>
  </si>
  <si>
    <t>Number of output rails</t>
  </si>
  <si>
    <t>Load 3 Specifications</t>
  </si>
  <si>
    <t>fcross_est</t>
  </si>
  <si>
    <t>Estimated cross over frequency based on the primary winding. 1/5 the cross over frequency. Follows app note</t>
  </si>
  <si>
    <t>Iout1_step</t>
  </si>
  <si>
    <t>50% load step to calculate the output voltage transient.</t>
  </si>
  <si>
    <t>Variable input voltage to model the loop and efficiency calculations</t>
  </si>
  <si>
    <t xml:space="preserve">Will add this later. </t>
  </si>
  <si>
    <t>Updated</t>
  </si>
  <si>
    <t xml:space="preserve">Mode of operation: </t>
  </si>
  <si>
    <t>CCM</t>
  </si>
  <si>
    <t>Base Calculations of :</t>
  </si>
  <si>
    <t>Can base this value on the capacitve ripple of the output</t>
  </si>
  <si>
    <t xml:space="preserve">Can base this value on the capacitve output </t>
  </si>
  <si>
    <t>50% load step</t>
  </si>
  <si>
    <t>Not Correct. Can just leave this one out for now.</t>
  </si>
  <si>
    <t>Assuming that the voltage drop of the diode is ideal</t>
  </si>
  <si>
    <t>External Compensation? (0-no, 1-yes) If DCM operation always no</t>
  </si>
  <si>
    <t>"Need to update this for isolated. A secondary soft-start should be used</t>
  </si>
  <si>
    <t>"Need to update this for being pulled up on the AUX winding</t>
  </si>
  <si>
    <t>Conduction losses are just the average current</t>
  </si>
  <si>
    <r>
      <t>50 S to simplify equations Transconductance, g</t>
    </r>
    <r>
      <rPr>
        <vertAlign val="subscript"/>
        <sz val="10"/>
        <rFont val="Arial"/>
        <family val="2"/>
      </rPr>
      <t>FS,</t>
    </r>
  </si>
  <si>
    <r>
      <t>Peak Primary Winding current, IL</t>
    </r>
    <r>
      <rPr>
        <vertAlign val="subscript"/>
        <sz val="10"/>
        <color theme="1"/>
        <rFont val="Calibri"/>
        <family val="2"/>
        <scheme val="minor"/>
      </rPr>
      <t>PK</t>
    </r>
  </si>
  <si>
    <t>Load 3 Diode Specifications</t>
  </si>
  <si>
    <r>
      <t>Secondary (N</t>
    </r>
    <r>
      <rPr>
        <vertAlign val="subscript"/>
        <sz val="11"/>
        <color theme="1"/>
        <rFont val="Calibri"/>
        <family val="2"/>
        <scheme val="minor"/>
      </rPr>
      <t>S1</t>
    </r>
    <r>
      <rPr>
        <sz val="11"/>
        <color theme="1"/>
        <rFont val="Calibri"/>
        <family val="2"/>
        <scheme val="minor"/>
      </rPr>
      <t>) DCR</t>
    </r>
  </si>
  <si>
    <r>
      <t>Selected Secondary Side turns (N</t>
    </r>
    <r>
      <rPr>
        <vertAlign val="subscript"/>
        <sz val="11"/>
        <color theme="1"/>
        <rFont val="Calibri"/>
        <family val="2"/>
        <scheme val="minor"/>
      </rPr>
      <t>S1</t>
    </r>
    <r>
      <rPr>
        <sz val="11"/>
        <color theme="1"/>
        <rFont val="Calibri"/>
        <family val="2"/>
        <scheme val="minor"/>
      </rPr>
      <t>)</t>
    </r>
  </si>
  <si>
    <r>
      <t>Calculated Secondary Side turns (N</t>
    </r>
    <r>
      <rPr>
        <vertAlign val="subscript"/>
        <sz val="11"/>
        <color theme="1"/>
        <rFont val="Calibri"/>
        <family val="2"/>
        <scheme val="minor"/>
      </rPr>
      <t>S1_calc</t>
    </r>
    <r>
      <rPr>
        <sz val="11"/>
        <color theme="1"/>
        <rFont val="Calibri"/>
        <family val="2"/>
        <scheme val="minor"/>
      </rPr>
      <t>)</t>
    </r>
  </si>
  <si>
    <t>Load 3 Capacitance</t>
  </si>
  <si>
    <t xml:space="preserve">Minimum Load 1 output capacitance </t>
  </si>
  <si>
    <t xml:space="preserve">Minimum Load 2 output capacitance </t>
  </si>
  <si>
    <t xml:space="preserve">Minimum Load 3 output capacitance </t>
  </si>
  <si>
    <t>DCM_VIN_min</t>
  </si>
  <si>
    <t>Discontinous conduction mode at minimum input voltage</t>
  </si>
  <si>
    <t>DCM_VIN_nom</t>
  </si>
  <si>
    <t>DCM_VIN_max</t>
  </si>
  <si>
    <t>Discontinous conduction mode at nominal input voltage</t>
  </si>
  <si>
    <t>Discontinous conduction mode at maximum input voltage</t>
  </si>
  <si>
    <r>
      <t>Phototransistor output capacitance Capacitance (C</t>
    </r>
    <r>
      <rPr>
        <vertAlign val="subscript"/>
        <sz val="11"/>
        <color theme="1"/>
        <rFont val="Calibri"/>
        <family val="2"/>
        <scheme val="minor"/>
      </rPr>
      <t>OPTO</t>
    </r>
    <r>
      <rPr>
        <sz val="11"/>
        <color theme="1"/>
        <rFont val="Calibri"/>
        <family val="2"/>
        <scheme val="minor"/>
      </rPr>
      <t>)</t>
    </r>
  </si>
  <si>
    <r>
      <t>Phototransistor collector to emitter saturation votltage (V</t>
    </r>
    <r>
      <rPr>
        <vertAlign val="subscript"/>
        <sz val="11"/>
        <color theme="1"/>
        <rFont val="Calibri"/>
        <family val="2"/>
        <scheme val="minor"/>
      </rPr>
      <t>CE_sat</t>
    </r>
    <r>
      <rPr>
        <sz val="11"/>
        <color theme="1"/>
        <rFont val="Calibri"/>
        <family val="2"/>
        <scheme val="minor"/>
      </rPr>
      <t>)</t>
    </r>
  </si>
  <si>
    <r>
      <t>Reverse Recovery Charge (Q</t>
    </r>
    <r>
      <rPr>
        <vertAlign val="subscript"/>
        <sz val="11"/>
        <color theme="1"/>
        <rFont val="Calibri"/>
        <family val="2"/>
        <scheme val="minor"/>
      </rPr>
      <t>RR_3</t>
    </r>
    <r>
      <rPr>
        <sz val="11"/>
        <color theme="1"/>
        <rFont val="Calibri"/>
        <family val="2"/>
        <scheme val="minor"/>
      </rPr>
      <t>)</t>
    </r>
  </si>
  <si>
    <r>
      <t>Reverse Recovery Charge (Q</t>
    </r>
    <r>
      <rPr>
        <vertAlign val="subscript"/>
        <sz val="11"/>
        <color theme="1"/>
        <rFont val="Calibri"/>
        <family val="2"/>
        <scheme val="minor"/>
      </rPr>
      <t>RR_1</t>
    </r>
    <r>
      <rPr>
        <sz val="11"/>
        <color theme="1"/>
        <rFont val="Calibri"/>
        <family val="2"/>
        <scheme val="minor"/>
      </rPr>
      <t>)</t>
    </r>
  </si>
  <si>
    <r>
      <t>Reverse Recovery Charge (Q</t>
    </r>
    <r>
      <rPr>
        <vertAlign val="subscript"/>
        <sz val="11"/>
        <color theme="1"/>
        <rFont val="Calibri"/>
        <family val="2"/>
        <scheme val="minor"/>
      </rPr>
      <t>RR_2</t>
    </r>
    <r>
      <rPr>
        <sz val="11"/>
        <color theme="1"/>
        <rFont val="Calibri"/>
        <family val="2"/>
        <scheme val="minor"/>
      </rPr>
      <t>)</t>
    </r>
  </si>
  <si>
    <r>
      <t>Diode Forward Voltage drop (V</t>
    </r>
    <r>
      <rPr>
        <vertAlign val="subscript"/>
        <sz val="11"/>
        <color theme="1"/>
        <rFont val="Calibri"/>
        <family val="2"/>
        <scheme val="minor"/>
      </rPr>
      <t>D1</t>
    </r>
    <r>
      <rPr>
        <sz val="11"/>
        <color theme="1"/>
        <rFont val="Calibri"/>
        <family val="2"/>
        <scheme val="minor"/>
      </rPr>
      <t>)</t>
    </r>
  </si>
  <si>
    <r>
      <t>Diode Forward Voltage drop (V</t>
    </r>
    <r>
      <rPr>
        <vertAlign val="subscript"/>
        <sz val="11"/>
        <color theme="1"/>
        <rFont val="Calibri"/>
        <family val="2"/>
        <scheme val="minor"/>
      </rPr>
      <t>D2</t>
    </r>
    <r>
      <rPr>
        <sz val="11"/>
        <color theme="1"/>
        <rFont val="Calibri"/>
        <family val="2"/>
        <scheme val="minor"/>
      </rPr>
      <t>)</t>
    </r>
  </si>
  <si>
    <r>
      <t>Diode Forward Voltage drop (V</t>
    </r>
    <r>
      <rPr>
        <vertAlign val="subscript"/>
        <sz val="11"/>
        <color theme="1"/>
        <rFont val="Calibri"/>
        <family val="2"/>
        <scheme val="minor"/>
      </rPr>
      <t>D3</t>
    </r>
    <r>
      <rPr>
        <sz val="11"/>
        <color theme="1"/>
        <rFont val="Calibri"/>
        <family val="2"/>
        <scheme val="minor"/>
      </rPr>
      <t>)</t>
    </r>
  </si>
  <si>
    <r>
      <t>Primary Winding Resistance (R</t>
    </r>
    <r>
      <rPr>
        <vertAlign val="subscript"/>
        <sz val="10"/>
        <color theme="1"/>
        <rFont val="Calibri"/>
        <family val="2"/>
        <scheme val="minor"/>
      </rPr>
      <t>DCR</t>
    </r>
    <r>
      <rPr>
        <sz val="10"/>
        <color theme="1"/>
        <rFont val="Calibri"/>
        <family val="2"/>
        <scheme val="minor"/>
      </rPr>
      <t>)</t>
    </r>
  </si>
  <si>
    <t>LM5157x/58x  CCM Flyback Controller Design Tool</t>
  </si>
  <si>
    <t>Step 3: Device Selection</t>
  </si>
  <si>
    <t>Device Recommenation</t>
  </si>
  <si>
    <t>Device Selected</t>
  </si>
  <si>
    <t>Slope Compensation Check</t>
  </si>
  <si>
    <t>LM51571</t>
  </si>
  <si>
    <r>
      <t>Pullup Resistor (R</t>
    </r>
    <r>
      <rPr>
        <b/>
        <vertAlign val="subscript"/>
        <sz val="11"/>
        <color theme="3" tint="0.39997558519241921"/>
        <rFont val="Calibri"/>
        <family val="2"/>
        <scheme val="minor"/>
      </rPr>
      <t>PULLUP</t>
    </r>
    <r>
      <rPr>
        <b/>
        <sz val="11"/>
        <color theme="3" tint="0.39997558519241921"/>
        <rFont val="Calibri"/>
        <family val="2"/>
        <scheme val="minor"/>
      </rPr>
      <t>) and
LED Resistor (R</t>
    </r>
    <r>
      <rPr>
        <b/>
        <vertAlign val="subscript"/>
        <sz val="11"/>
        <color theme="3" tint="0.39997558519241921"/>
        <rFont val="Calibri"/>
        <family val="2"/>
        <scheme val="minor"/>
      </rPr>
      <t>LED</t>
    </r>
    <r>
      <rPr>
        <b/>
        <sz val="11"/>
        <color theme="3" tint="0.39997558519241921"/>
        <rFont val="Calibri"/>
        <family val="2"/>
        <scheme val="minor"/>
      </rPr>
      <t xml:space="preserve">) Selection </t>
    </r>
  </si>
  <si>
    <t>V/I</t>
  </si>
  <si>
    <t>Essential sensing resistor, switch current to comp transfer ratio: dV_COMP/dI_SW</t>
  </si>
  <si>
    <t>Sn_half</t>
  </si>
  <si>
    <t>I_lim_r</t>
  </si>
  <si>
    <t>I_lim_s</t>
  </si>
  <si>
    <t>Inductor current falling slope referenced to COMP</t>
  </si>
  <si>
    <t>Half of Inductor current falling slope referenced to COMP</t>
  </si>
  <si>
    <t>Slope Comp Ramp</t>
  </si>
  <si>
    <t>Recommended Device Current Limit</t>
  </si>
  <si>
    <t>Selected Device Current Limit</t>
  </si>
  <si>
    <t>Lookup Table for Current Limit</t>
  </si>
  <si>
    <t>LM5157</t>
  </si>
  <si>
    <t>LM5158</t>
  </si>
  <si>
    <t>LM51581</t>
  </si>
  <si>
    <t>Vin_op_max_s</t>
  </si>
  <si>
    <t>Vo_op_max_s</t>
  </si>
  <si>
    <t>Selected Device Input Voltage Limit</t>
  </si>
  <si>
    <t>Selected Device Output Voltage Limit</t>
  </si>
  <si>
    <t>Vin_op_max_57</t>
  </si>
  <si>
    <t>Vout_op_max_57</t>
  </si>
  <si>
    <t>Vin_op_max_58</t>
  </si>
  <si>
    <t>Vout_op_max_58</t>
  </si>
  <si>
    <t>Isw_lim_57</t>
  </si>
  <si>
    <t>Isw_lim_571</t>
  </si>
  <si>
    <t>Isw_lim_58</t>
  </si>
  <si>
    <t>Isw_lim_581</t>
  </si>
  <si>
    <t>Ipk_lim_margin</t>
  </si>
  <si>
    <t>Maximum BIAS pin operating voltage of LM5157</t>
  </si>
  <si>
    <t>Maximum Boost Converter Output  of LM5157</t>
  </si>
  <si>
    <t>Maximum BIAS pin operating voltage  of LM5158</t>
  </si>
  <si>
    <t>Maximum Boost Converter Output  of LM5158</t>
  </si>
  <si>
    <t>Internal MOSFET Current Limit for LM5157</t>
  </si>
  <si>
    <t>Internal MOSFET Current Limit for LM51571</t>
  </si>
  <si>
    <t>Internal MOSFET Current Limit for LM5158</t>
  </si>
  <si>
    <t>Internal MOSFET Current Limit for LM51581</t>
  </si>
  <si>
    <t>Minimum peak current limit margin percentage</t>
  </si>
  <si>
    <t>RDS_on_5V</t>
  </si>
  <si>
    <t>On-State Resistance at 5V VCC (BIAS &gt;= 5V)</t>
  </si>
  <si>
    <t>tr_sw_fix</t>
  </si>
  <si>
    <t>tf_sw_fix</t>
  </si>
  <si>
    <t>Temperature</t>
  </si>
  <si>
    <t>Tk</t>
  </si>
  <si>
    <t>Ta</t>
  </si>
  <si>
    <t>degC/W</t>
  </si>
  <si>
    <t>Temperature coefficient</t>
  </si>
  <si>
    <t>degC</t>
  </si>
  <si>
    <t>Ambient temperature (add to input)</t>
  </si>
  <si>
    <t>Thermal Estimation</t>
  </si>
  <si>
    <t>Ambient Temperature (Ta)</t>
  </si>
  <si>
    <t>  °C</t>
  </si>
  <si>
    <t>vout</t>
  </si>
  <si>
    <t>vin</t>
  </si>
  <si>
    <t>il pk</t>
  </si>
  <si>
    <t>x</t>
  </si>
  <si>
    <t>vin_max &lt; vin_max_58 &amp;&amp; vout &lt; vout_58</t>
  </si>
  <si>
    <t>y</t>
  </si>
  <si>
    <t>vin_max &lt; ving_57 &amp;&amp; vout &lt; vout_57</t>
  </si>
  <si>
    <t>lm51581</t>
  </si>
  <si>
    <t>if il pk &lt; isw_581 &amp; x</t>
  </si>
  <si>
    <t>lm5158</t>
  </si>
  <si>
    <t>if il pk &gt; isw_581 &amp;&amp;  &lt; isw_58  &amp;&amp; x</t>
  </si>
  <si>
    <t>lm51571</t>
  </si>
  <si>
    <t>if il pk &gt; isw_58 &amp;&amp; &lt;isw_571  &amp;&amp; y</t>
  </si>
  <si>
    <t>lm5157</t>
  </si>
  <si>
    <t>if il pk &gt; isw_571 &amp;&amp; v&lt;isw_57 &amp;&amp; y</t>
  </si>
  <si>
    <t>if vout &gt; vout_58 &amp;&amp; il pk &gt; isw_57  &amp;&amp; vin &gt; vin_58 = no device</t>
  </si>
  <si>
    <t>Operation Range</t>
  </si>
  <si>
    <t>The type of feedback selected. 1 isolated feedback, 2 non-isolated feedback, 3 PSR</t>
  </si>
  <si>
    <t>EN_OUT_4</t>
  </si>
  <si>
    <t>VOUT4</t>
  </si>
  <si>
    <t>IOUT4</t>
  </si>
  <si>
    <t>ROUT4</t>
  </si>
  <si>
    <t>POUT4</t>
  </si>
  <si>
    <t>Vd4</t>
  </si>
  <si>
    <t>Qrr4</t>
  </si>
  <si>
    <t>Enable the forth output voltage</t>
  </si>
  <si>
    <t>Number of output+Aux</t>
  </si>
  <si>
    <t>Ns4_calc</t>
  </si>
  <si>
    <t>NS4_</t>
  </si>
  <si>
    <t>VOUT4_act</t>
  </si>
  <si>
    <t>Rdcr4</t>
  </si>
  <si>
    <t>Load 4</t>
  </si>
  <si>
    <t>Vout4_rip_sel</t>
  </si>
  <si>
    <t>Cout4_min</t>
  </si>
  <si>
    <t>Resr4</t>
  </si>
  <si>
    <t>ILAVG4</t>
  </si>
  <si>
    <t>LOAD4</t>
  </si>
  <si>
    <t>POUT4_step</t>
  </si>
  <si>
    <r>
      <t>P</t>
    </r>
    <r>
      <rPr>
        <vertAlign val="subscript"/>
        <sz val="11"/>
        <color theme="0"/>
        <rFont val="Calibri"/>
        <family val="2"/>
        <scheme val="minor"/>
      </rPr>
      <t>Lac</t>
    </r>
    <r>
      <rPr>
        <sz val="11"/>
        <color theme="0"/>
        <rFont val="Calibri"/>
        <family val="2"/>
        <scheme val="minor"/>
      </rPr>
      <t xml:space="preserve"> (W)</t>
    </r>
  </si>
  <si>
    <r>
      <t>P</t>
    </r>
    <r>
      <rPr>
        <vertAlign val="subscript"/>
        <sz val="11"/>
        <color theme="0"/>
        <rFont val="Calibri"/>
        <family val="2"/>
        <scheme val="minor"/>
      </rPr>
      <t>L_DCR</t>
    </r>
    <r>
      <rPr>
        <sz val="11"/>
        <color theme="0"/>
        <rFont val="Calibri"/>
        <family val="2"/>
        <scheme val="minor"/>
      </rPr>
      <t xml:space="preserve"> (W)</t>
    </r>
  </si>
  <si>
    <r>
      <t>P</t>
    </r>
    <r>
      <rPr>
        <vertAlign val="subscript"/>
        <sz val="11"/>
        <color theme="0"/>
        <rFont val="Calibri"/>
        <family val="2"/>
        <scheme val="minor"/>
      </rPr>
      <t>L_tot</t>
    </r>
    <r>
      <rPr>
        <sz val="11"/>
        <color theme="0"/>
        <rFont val="Calibri"/>
        <family val="2"/>
        <scheme val="minor"/>
      </rPr>
      <t xml:space="preserve"> (W)</t>
    </r>
  </si>
  <si>
    <r>
      <t>P</t>
    </r>
    <r>
      <rPr>
        <vertAlign val="subscript"/>
        <sz val="11"/>
        <color theme="0"/>
        <rFont val="Calibri"/>
        <family val="2"/>
        <scheme val="minor"/>
      </rPr>
      <t>Qrr</t>
    </r>
    <r>
      <rPr>
        <sz val="11"/>
        <color theme="0"/>
        <rFont val="Calibri"/>
        <family val="2"/>
        <scheme val="minor"/>
      </rPr>
      <t xml:space="preserve"> (W)</t>
    </r>
  </si>
  <si>
    <r>
      <t>P</t>
    </r>
    <r>
      <rPr>
        <vertAlign val="subscript"/>
        <sz val="11"/>
        <color theme="0"/>
        <rFont val="Calibri"/>
        <family val="2"/>
        <scheme val="minor"/>
      </rPr>
      <t>CON</t>
    </r>
    <r>
      <rPr>
        <sz val="11"/>
        <color theme="0"/>
        <rFont val="Calibri"/>
        <family val="2"/>
        <scheme val="minor"/>
      </rPr>
      <t xml:space="preserve"> (W)</t>
    </r>
  </si>
  <si>
    <r>
      <t>PD1</t>
    </r>
    <r>
      <rPr>
        <vertAlign val="subscript"/>
        <sz val="11"/>
        <color theme="0"/>
        <rFont val="Calibri"/>
        <family val="2"/>
        <scheme val="minor"/>
      </rPr>
      <t>_tot</t>
    </r>
    <r>
      <rPr>
        <sz val="11"/>
        <color theme="0"/>
        <rFont val="Calibri"/>
        <family val="2"/>
        <scheme val="minor"/>
      </rPr>
      <t xml:space="preserve"> (W)</t>
    </r>
  </si>
  <si>
    <t>D1</t>
  </si>
  <si>
    <t>Iout3_step</t>
  </si>
  <si>
    <t>Cout3_min_cap_ripple</t>
  </si>
  <si>
    <t>Cout3_min_voltage_ripple</t>
  </si>
  <si>
    <t>Calculate minimum capacitance based on the capacitive ripple</t>
  </si>
  <si>
    <t>Calculate minimum capacitance based on the ripple voltage spec</t>
  </si>
  <si>
    <t>Iout2_step</t>
  </si>
  <si>
    <t>Cout2_min_cap_ripple</t>
  </si>
  <si>
    <t>Cout2_min_voltage_ripple</t>
  </si>
  <si>
    <t>Cout1_min_cap_ripple</t>
  </si>
  <si>
    <t>Cout1_min_voltage_ripple</t>
  </si>
  <si>
    <t>Iout4_step</t>
  </si>
  <si>
    <t>Cout4_min_cap_ripple</t>
  </si>
  <si>
    <t>Cout4_min_voltage_ripple</t>
  </si>
  <si>
    <t>Select Max of the two values above</t>
  </si>
  <si>
    <t>Version Number</t>
  </si>
  <si>
    <t>1.0.0</t>
  </si>
  <si>
    <t>Version History</t>
  </si>
  <si>
    <t>Version</t>
  </si>
  <si>
    <t>Change List Description</t>
  </si>
  <si>
    <t>Initial Release</t>
  </si>
  <si>
    <r>
      <t>Desired soft-start time at minimum input voltage (T</t>
    </r>
    <r>
      <rPr>
        <vertAlign val="subscript"/>
        <sz val="11"/>
        <color theme="1"/>
        <rFont val="Calibri"/>
        <family val="2"/>
        <scheme val="minor"/>
      </rPr>
      <t>SS</t>
    </r>
    <r>
      <rPr>
        <sz val="11"/>
        <color theme="1"/>
        <rFont val="Calibri"/>
        <family val="2"/>
        <scheme val="minor"/>
      </rPr>
      <t>)</t>
    </r>
  </si>
  <si>
    <t>Rev 1.0.0</t>
  </si>
  <si>
    <t>June-2021</t>
  </si>
  <si>
    <t>XOVER SEARCH</t>
  </si>
  <si>
    <t>xover</t>
  </si>
  <si>
    <t>phase margin</t>
  </si>
  <si>
    <t>Gain Cross</t>
  </si>
  <si>
    <t>Phase Cross</t>
  </si>
  <si>
    <r>
      <t>Target Output Voltage, V</t>
    </r>
    <r>
      <rPr>
        <vertAlign val="subscript"/>
        <sz val="10"/>
        <color theme="1"/>
        <rFont val="Calibri"/>
        <family val="2"/>
        <scheme val="minor"/>
      </rPr>
      <t>LOAD</t>
    </r>
    <r>
      <rPr>
        <sz val="10"/>
        <color theme="1"/>
        <rFont val="Calibri"/>
        <family val="2"/>
        <scheme val="minor"/>
      </rPr>
      <t xml:space="preserve"> </t>
    </r>
  </si>
  <si>
    <r>
      <t>Target Output Voltage, V</t>
    </r>
    <r>
      <rPr>
        <vertAlign val="subscript"/>
        <sz val="10"/>
        <color theme="1"/>
        <rFont val="Calibri"/>
        <family val="2"/>
        <scheme val="minor"/>
      </rPr>
      <t>LOAD2</t>
    </r>
    <r>
      <rPr>
        <sz val="10"/>
        <color theme="1"/>
        <rFont val="Calibri"/>
        <family val="2"/>
        <scheme val="minor"/>
      </rPr>
      <t xml:space="preserve"> </t>
    </r>
  </si>
  <si>
    <r>
      <rPr>
        <sz val="11"/>
        <color theme="1"/>
        <rFont val="Calibri"/>
        <family val="2"/>
      </rPr>
      <t>μ</t>
    </r>
    <r>
      <rPr>
        <sz val="11"/>
        <color theme="1"/>
        <rFont val="Calibri"/>
        <family val="2"/>
        <scheme val="minor"/>
      </rPr>
      <t>H</t>
    </r>
  </si>
  <si>
    <r>
      <rPr>
        <sz val="11"/>
        <color theme="1"/>
        <rFont val="Calibri"/>
        <family val="2"/>
      </rPr>
      <t>μ</t>
    </r>
    <r>
      <rPr>
        <sz val="11"/>
        <color theme="1"/>
        <rFont val="Calibri"/>
        <family val="2"/>
        <scheme val="minor"/>
      </rPr>
      <t>F</t>
    </r>
  </si>
  <si>
    <r>
      <t>Selected bandwidth (F</t>
    </r>
    <r>
      <rPr>
        <vertAlign val="subscript"/>
        <sz val="11"/>
        <color theme="1"/>
        <rFont val="Calibri"/>
        <family val="2"/>
        <scheme val="minor"/>
      </rPr>
      <t>CO</t>
    </r>
    <r>
      <rPr>
        <sz val="11"/>
        <color theme="1"/>
        <rFont val="Calibri"/>
        <family val="2"/>
        <scheme val="minor"/>
      </rPr>
      <t>)</t>
    </r>
  </si>
  <si>
    <t>updated with value for LM5158</t>
  </si>
  <si>
    <t>Suggested maximum bandwidth</t>
  </si>
  <si>
    <t>Primary-side reg.</t>
  </si>
  <si>
    <t>Single</t>
  </si>
  <si>
    <t>Double</t>
  </si>
  <si>
    <t>Optocoupler selection Resistor Selection</t>
  </si>
  <si>
    <t>Resr3_Trans</t>
  </si>
  <si>
    <t>Resr4_Trans</t>
  </si>
  <si>
    <t>Step 5: Soft-Start Capacitor 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</si>
</sst>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E+00"/>
    <numFmt numFmtId="166" formatCode="0.0000"/>
    <numFmt numFmtId="167" formatCode="0.0000E+00"/>
    <numFmt numFmtId="168" formatCode="0.0"/>
    <numFmt numFmtId="169" formatCode="0.0000000E+00"/>
  </numFmts>
  <fonts count="60"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b/>
      <sz val="10"/>
      <name val="Arial"/>
      <family val="2"/>
    </font>
    <font>
      <b/>
      <sz val="22"/>
      <color indexed="44"/>
      <name val="Arial"/>
      <family val="2"/>
    </font>
    <font>
      <b/>
      <sz val="9"/>
      <color indexed="81"/>
      <name val="Tahoma"/>
      <family val="2"/>
    </font>
    <font>
      <sz val="9"/>
      <color indexed="81"/>
      <name val="Tahoma"/>
      <family val="2"/>
    </font>
    <font>
      <b/>
      <sz val="12"/>
      <color rgb="FF0000FF"/>
      <name val="Arial"/>
      <family val="2"/>
    </font>
    <font>
      <sz val="28"/>
      <color theme="0"/>
      <name val="Calibri"/>
      <family val="2"/>
      <scheme val="minor"/>
    </font>
    <font>
      <b/>
      <sz val="11"/>
      <color indexed="10"/>
      <name val="Tahoma"/>
      <family val="2"/>
    </font>
    <font>
      <sz val="10"/>
      <color theme="1"/>
      <name val="Calibri"/>
      <family val="2"/>
      <scheme val="minor"/>
    </font>
    <font>
      <vertAlign val="subscript"/>
      <sz val="10"/>
      <color theme="1"/>
      <name val="Calibri"/>
      <family val="2"/>
      <scheme val="minor"/>
    </font>
    <font>
      <sz val="11"/>
      <name val="Calibri"/>
      <family val="2"/>
      <scheme val="minor"/>
    </font>
    <font>
      <b/>
      <sz val="11"/>
      <color rgb="FF0070C0"/>
      <name val="Calibri"/>
      <family val="2"/>
      <scheme val="minor"/>
    </font>
    <font>
      <sz val="11"/>
      <color theme="1"/>
      <name val="Calibri"/>
      <family val="2"/>
    </font>
    <font>
      <u/>
      <sz val="11"/>
      <color theme="1"/>
      <name val="Calibri"/>
      <family val="2"/>
      <scheme val="minor"/>
    </font>
    <font>
      <vertAlign val="subscript"/>
      <sz val="11"/>
      <color theme="1"/>
      <name val="Calibri"/>
      <family val="2"/>
      <scheme val="minor"/>
    </font>
    <font>
      <b/>
      <sz val="12"/>
      <color theme="1"/>
      <name val="Calibri"/>
      <family val="2"/>
      <scheme val="minor"/>
    </font>
    <font>
      <vertAlign val="subscript"/>
      <sz val="11"/>
      <color theme="1"/>
      <name val="Calibri"/>
      <family val="2"/>
    </font>
    <font>
      <b/>
      <sz val="11"/>
      <color theme="3" tint="0.39997558519241921"/>
      <name val="Calibri"/>
      <family val="2"/>
      <scheme val="minor"/>
    </font>
    <font>
      <b/>
      <sz val="11"/>
      <color theme="1"/>
      <name val="Calibri"/>
      <family val="2"/>
      <scheme val="minor"/>
    </font>
    <font>
      <sz val="10"/>
      <name val="Calibri"/>
      <family val="2"/>
      <scheme val="minor"/>
    </font>
    <font>
      <b/>
      <sz val="12"/>
      <color rgb="FF00B0F0"/>
      <name val="Calibri"/>
      <family val="2"/>
      <scheme val="minor"/>
    </font>
    <font>
      <b/>
      <sz val="11"/>
      <color rgb="FF00B0F0"/>
      <name val="Calibri"/>
      <family val="2"/>
      <scheme val="minor"/>
    </font>
    <font>
      <b/>
      <sz val="10"/>
      <color rgb="FF00B0F0"/>
      <name val="Arial"/>
      <family val="2"/>
    </font>
    <font>
      <sz val="18"/>
      <color theme="0"/>
      <name val="Calibri"/>
      <family val="2"/>
      <scheme val="minor"/>
    </font>
    <font>
      <vertAlign val="subscript"/>
      <sz val="10"/>
      <name val="Arial"/>
      <family val="2"/>
    </font>
    <font>
      <vertAlign val="subscript"/>
      <sz val="11"/>
      <name val="Calibri"/>
      <family val="2"/>
      <scheme val="minor"/>
    </font>
    <font>
      <sz val="11"/>
      <color rgb="FFFF0000"/>
      <name val="Calibri"/>
      <family val="2"/>
      <scheme val="minor"/>
    </font>
    <font>
      <b/>
      <sz val="11"/>
      <name val="Calibri"/>
      <family val="2"/>
      <scheme val="minor"/>
    </font>
    <font>
      <u/>
      <sz val="10"/>
      <name val="Calibri"/>
      <family val="2"/>
      <scheme val="minor"/>
    </font>
    <font>
      <b/>
      <sz val="12"/>
      <color rgb="FF0070C0"/>
      <name val="Calibri"/>
      <family val="2"/>
      <scheme val="minor"/>
    </font>
    <font>
      <sz val="11"/>
      <color rgb="FF0070C0"/>
      <name val="Calibri"/>
      <family val="2"/>
      <scheme val="minor"/>
    </font>
    <font>
      <b/>
      <sz val="14"/>
      <color rgb="FF0070C0"/>
      <name val="Calibri"/>
      <family val="2"/>
      <scheme val="minor"/>
    </font>
    <font>
      <b/>
      <sz val="14"/>
      <color theme="4"/>
      <name val="Calibri"/>
      <family val="2"/>
      <scheme val="minor"/>
    </font>
    <font>
      <b/>
      <u/>
      <sz val="9"/>
      <color indexed="81"/>
      <name val="Tahoma"/>
      <family val="2"/>
    </font>
    <font>
      <sz val="9"/>
      <color indexed="10"/>
      <name val="Tahoma"/>
      <family val="2"/>
    </font>
    <font>
      <b/>
      <u/>
      <sz val="11"/>
      <color indexed="81"/>
      <name val="Tahoma"/>
      <family val="2"/>
    </font>
    <font>
      <sz val="10"/>
      <color indexed="81"/>
      <name val="Tahoma"/>
      <family val="2"/>
    </font>
    <font>
      <b/>
      <sz val="11"/>
      <color indexed="81"/>
      <name val="Tahoma"/>
      <family val="2"/>
    </font>
    <font>
      <sz val="10"/>
      <color indexed="10"/>
      <name val="Tahoma"/>
      <family val="2"/>
    </font>
    <font>
      <b/>
      <sz val="10"/>
      <color indexed="10"/>
      <name val="Tahoma"/>
      <family val="2"/>
    </font>
    <font>
      <b/>
      <sz val="9"/>
      <color indexed="10"/>
      <name val="Tahoma"/>
      <family val="2"/>
    </font>
    <font>
      <b/>
      <u/>
      <vertAlign val="subscript"/>
      <sz val="9"/>
      <color indexed="81"/>
      <name val="Tahoma"/>
      <family val="2"/>
    </font>
    <font>
      <vertAlign val="subscript"/>
      <sz val="9"/>
      <color indexed="81"/>
      <name val="Tahoma"/>
      <family val="2"/>
    </font>
    <font>
      <b/>
      <u/>
      <sz val="10"/>
      <color indexed="81"/>
      <name val="Tahoma"/>
      <family val="2"/>
    </font>
    <font>
      <sz val="9"/>
      <color indexed="81"/>
      <name val="Calibri"/>
      <family val="2"/>
    </font>
    <font>
      <b/>
      <vertAlign val="subscript"/>
      <sz val="11"/>
      <color theme="3" tint="0.39997558519241921"/>
      <name val="Calibri"/>
      <family val="2"/>
      <scheme val="minor"/>
    </font>
    <font>
      <sz val="11"/>
      <color theme="0"/>
      <name val="Calibri"/>
      <family val="2"/>
      <scheme val="minor"/>
    </font>
    <font>
      <vertAlign val="subscript"/>
      <sz val="11"/>
      <color theme="0"/>
      <name val="Calibri"/>
      <family val="2"/>
      <scheme val="minor"/>
    </font>
    <font>
      <sz val="11"/>
      <color theme="1"/>
      <name val="Arial"/>
      <family val="2"/>
    </font>
    <font>
      <b/>
      <sz val="10"/>
      <color theme="1"/>
      <name val="Arial"/>
      <family val="2"/>
    </font>
    <font>
      <sz val="10"/>
      <color theme="1"/>
      <name val="Arial"/>
      <family val="2"/>
    </font>
    <font>
      <u/>
      <sz val="11"/>
      <color theme="10"/>
      <name val="Calibri"/>
      <family val="2"/>
      <scheme val="minor"/>
    </font>
    <font>
      <b/>
      <u/>
      <sz val="10"/>
      <color theme="10"/>
      <name val="Arial"/>
      <family val="2"/>
    </font>
    <font>
      <b/>
      <sz val="10"/>
      <color theme="0"/>
      <name val="Arial"/>
      <family val="2"/>
    </font>
    <font>
      <b/>
      <u/>
      <sz val="11"/>
      <color theme="10"/>
      <name val="Arial"/>
      <family val="2"/>
    </font>
    <font>
      <b/>
      <sz val="8"/>
      <color indexed="81"/>
      <name val="Tahoma"/>
      <family val="2"/>
    </font>
  </fonts>
  <fills count="24">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52"/>
        <bgColor indexed="64"/>
      </patternFill>
    </fill>
    <fill>
      <patternFill patternType="solid">
        <fgColor indexed="50"/>
        <bgColor indexed="64"/>
      </patternFill>
    </fill>
    <fill>
      <patternFill patternType="solid">
        <fgColor rgb="FFFF000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2" tint="-0.89999084444715716"/>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rgb="FFDE0000"/>
        <bgColor indexed="64"/>
      </patternFill>
    </fill>
    <fill>
      <patternFill patternType="solid">
        <fgColor theme="1"/>
        <bgColor indexed="64"/>
      </patternFill>
    </fill>
    <fill>
      <patternFill patternType="solid">
        <fgColor indexed="44"/>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style="thin">
        <color indexed="64"/>
      </left>
      <right/>
      <top/>
      <bottom/>
      <diagonal/>
    </border>
  </borders>
  <cellStyleXfs count="9">
    <xf numFmtId="0" fontId="0" fillId="0" borderId="0"/>
    <xf numFmtId="0" fontId="3" fillId="0" borderId="0"/>
    <xf numFmtId="43"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0" fontId="4" fillId="0" borderId="0"/>
    <xf numFmtId="0" fontId="4" fillId="0" borderId="0"/>
    <xf numFmtId="0" fontId="55" fillId="0" borderId="0" applyNumberFormat="0" applyFill="0" applyBorder="0" applyAlignment="0" applyProtection="0"/>
  </cellStyleXfs>
  <cellXfs count="364">
    <xf numFmtId="0" fontId="0" fillId="0" borderId="0" xfId="0"/>
    <xf numFmtId="0" fontId="0" fillId="9" borderId="0" xfId="0" applyFill="1"/>
    <xf numFmtId="0" fontId="16" fillId="0" borderId="0" xfId="0" applyFont="1"/>
    <xf numFmtId="0" fontId="0" fillId="10" borderId="0" xfId="0" applyFill="1"/>
    <xf numFmtId="0" fontId="0" fillId="0" borderId="0" xfId="0"/>
    <xf numFmtId="0" fontId="4" fillId="0" borderId="0" xfId="3"/>
    <xf numFmtId="0" fontId="5" fillId="0" borderId="0" xfId="3" applyFont="1" applyFill="1" applyAlignment="1">
      <alignment horizontal="center"/>
    </xf>
    <xf numFmtId="0" fontId="5" fillId="3" borderId="0" xfId="3" applyFont="1" applyFill="1" applyAlignment="1">
      <alignment horizontal="center"/>
    </xf>
    <xf numFmtId="0" fontId="5" fillId="5" borderId="0" xfId="3" applyFont="1" applyFill="1" applyAlignment="1">
      <alignment horizontal="center"/>
    </xf>
    <xf numFmtId="0" fontId="4" fillId="0" borderId="0" xfId="3"/>
    <xf numFmtId="0" fontId="5" fillId="0" borderId="0" xfId="3" applyFont="1"/>
    <xf numFmtId="0" fontId="5" fillId="0" borderId="0" xfId="3" applyFont="1" applyFill="1" applyAlignment="1">
      <alignment horizontal="center"/>
    </xf>
    <xf numFmtId="0" fontId="5" fillId="3" borderId="0" xfId="3" applyFont="1" applyFill="1" applyAlignment="1">
      <alignment horizontal="center"/>
    </xf>
    <xf numFmtId="0" fontId="5" fillId="4" borderId="0" xfId="3" applyFont="1" applyFill="1" applyAlignment="1">
      <alignment horizontal="center"/>
    </xf>
    <xf numFmtId="0" fontId="5" fillId="5" borderId="0" xfId="3" applyFont="1" applyFill="1" applyAlignment="1">
      <alignment horizontal="center"/>
    </xf>
    <xf numFmtId="0" fontId="5" fillId="0" borderId="0" xfId="3" applyFont="1" applyBorder="1"/>
    <xf numFmtId="0" fontId="5" fillId="0" borderId="0" xfId="3" applyFont="1" applyBorder="1" applyAlignment="1">
      <alignment horizontal="center"/>
    </xf>
    <xf numFmtId="0" fontId="4" fillId="0" borderId="0" xfId="3"/>
    <xf numFmtId="0" fontId="9" fillId="0" borderId="0" xfId="3" applyFont="1" applyBorder="1"/>
    <xf numFmtId="0" fontId="5" fillId="0" borderId="0" xfId="3" applyFont="1" applyAlignment="1">
      <alignment horizontal="center"/>
    </xf>
    <xf numFmtId="2" fontId="0" fillId="10" borderId="0" xfId="0" applyNumberFormat="1" applyFill="1"/>
    <xf numFmtId="0" fontId="0" fillId="11" borderId="0" xfId="0" applyFill="1"/>
    <xf numFmtId="165" fontId="0" fillId="9" borderId="0" xfId="0" applyNumberFormat="1" applyFill="1"/>
    <xf numFmtId="0" fontId="5" fillId="0" borderId="0" xfId="3" applyFont="1" applyFill="1" applyAlignment="1">
      <alignment horizontal="right"/>
    </xf>
    <xf numFmtId="0" fontId="4" fillId="0" borderId="0" xfId="3" applyFont="1" applyFill="1" applyAlignment="1">
      <alignment horizontal="center"/>
    </xf>
    <xf numFmtId="0" fontId="5" fillId="0" borderId="0" xfId="3" applyFont="1" applyFill="1"/>
    <xf numFmtId="0" fontId="0" fillId="0" borderId="0" xfId="0" applyFill="1"/>
    <xf numFmtId="164" fontId="0" fillId="9" borderId="0" xfId="0" applyNumberFormat="1" applyFill="1"/>
    <xf numFmtId="2" fontId="0" fillId="9" borderId="0" xfId="0" applyNumberFormat="1" applyFill="1"/>
    <xf numFmtId="1" fontId="0" fillId="9" borderId="0" xfId="0" applyNumberFormat="1" applyFill="1"/>
    <xf numFmtId="0" fontId="15" fillId="0" borderId="0" xfId="0" applyFont="1" applyFill="1" applyBorder="1"/>
    <xf numFmtId="0" fontId="0" fillId="0" borderId="0" xfId="0"/>
    <xf numFmtId="164" fontId="0" fillId="0" borderId="0" xfId="0" applyNumberFormat="1"/>
    <xf numFmtId="11" fontId="14" fillId="10" borderId="0" xfId="0" applyNumberFormat="1" applyFont="1" applyFill="1"/>
    <xf numFmtId="0" fontId="17" fillId="0" borderId="0" xfId="0" applyFont="1"/>
    <xf numFmtId="0" fontId="5" fillId="0" borderId="0" xfId="3" applyFont="1" applyAlignment="1">
      <alignment horizontal="center"/>
    </xf>
    <xf numFmtId="167" fontId="0" fillId="9" borderId="0" xfId="0" applyNumberFormat="1" applyFill="1"/>
    <xf numFmtId="11" fontId="0" fillId="9" borderId="0" xfId="0" applyNumberFormat="1" applyFill="1"/>
    <xf numFmtId="0" fontId="5" fillId="0" borderId="0" xfId="3" applyFont="1" applyFill="1" applyAlignment="1">
      <alignment horizontal="left"/>
    </xf>
    <xf numFmtId="166" fontId="0" fillId="9" borderId="0" xfId="0" applyNumberFormat="1" applyFill="1"/>
    <xf numFmtId="0" fontId="14" fillId="10" borderId="0" xfId="0" applyFont="1" applyFill="1"/>
    <xf numFmtId="0" fontId="19" fillId="0" borderId="0" xfId="0" applyFont="1"/>
    <xf numFmtId="0" fontId="21" fillId="0" borderId="0" xfId="0" applyFont="1"/>
    <xf numFmtId="0" fontId="0" fillId="12" borderId="0" xfId="0" applyFill="1"/>
    <xf numFmtId="1" fontId="0" fillId="0" borderId="0" xfId="0" applyNumberFormat="1"/>
    <xf numFmtId="0" fontId="5" fillId="0" borderId="0" xfId="3" applyFont="1" applyAlignment="1">
      <alignment horizontal="center"/>
    </xf>
    <xf numFmtId="0" fontId="22" fillId="0" borderId="0" xfId="0" applyFont="1"/>
    <xf numFmtId="0" fontId="23" fillId="0" borderId="0" xfId="0" applyFont="1"/>
    <xf numFmtId="164" fontId="4" fillId="0" borderId="0" xfId="3" applyNumberFormat="1"/>
    <xf numFmtId="0" fontId="0" fillId="0" borderId="0" xfId="0" applyBorder="1"/>
    <xf numFmtId="2" fontId="0" fillId="0" borderId="0" xfId="0" applyNumberFormat="1" applyBorder="1"/>
    <xf numFmtId="0" fontId="24" fillId="0" borderId="0" xfId="0" applyFont="1"/>
    <xf numFmtId="2" fontId="0" fillId="0" borderId="5" xfId="0" applyNumberFormat="1" applyBorder="1"/>
    <xf numFmtId="2" fontId="0" fillId="0" borderId="7" xfId="0" applyNumberFormat="1" applyBorder="1"/>
    <xf numFmtId="0" fontId="4" fillId="0" borderId="8" xfId="3" applyBorder="1"/>
    <xf numFmtId="0" fontId="0" fillId="0" borderId="8" xfId="0" applyBorder="1"/>
    <xf numFmtId="0" fontId="4" fillId="0" borderId="8" xfId="3" applyFill="1" applyBorder="1"/>
    <xf numFmtId="0" fontId="4" fillId="0" borderId="9" xfId="3" applyFill="1" applyBorder="1"/>
    <xf numFmtId="0" fontId="0" fillId="0" borderId="5" xfId="0" applyBorder="1"/>
    <xf numFmtId="0" fontId="4" fillId="0" borderId="7" xfId="3" applyBorder="1"/>
    <xf numFmtId="0" fontId="4" fillId="0" borderId="7" xfId="3" applyFill="1" applyBorder="1"/>
    <xf numFmtId="0" fontId="0" fillId="0" borderId="6" xfId="0" applyBorder="1"/>
    <xf numFmtId="0" fontId="0" fillId="0" borderId="7" xfId="0" applyBorder="1"/>
    <xf numFmtId="0" fontId="0" fillId="0" borderId="9" xfId="0" applyBorder="1"/>
    <xf numFmtId="164" fontId="0" fillId="0" borderId="0" xfId="0" applyNumberFormat="1" applyBorder="1"/>
    <xf numFmtId="164" fontId="0" fillId="0" borderId="8" xfId="0" applyNumberFormat="1" applyBorder="1"/>
    <xf numFmtId="0" fontId="4" fillId="0" borderId="5" xfId="3" applyBorder="1"/>
    <xf numFmtId="2" fontId="0" fillId="0" borderId="10" xfId="0" applyNumberFormat="1" applyBorder="1"/>
    <xf numFmtId="0" fontId="25" fillId="0" borderId="0" xfId="0" applyFont="1"/>
    <xf numFmtId="0" fontId="26" fillId="0" borderId="0" xfId="3" applyFont="1"/>
    <xf numFmtId="168" fontId="0" fillId="0" borderId="0" xfId="0" applyNumberFormat="1"/>
    <xf numFmtId="0" fontId="0" fillId="0" borderId="2" xfId="0" applyBorder="1"/>
    <xf numFmtId="164" fontId="4" fillId="0" borderId="3" xfId="3" applyNumberFormat="1" applyBorder="1"/>
    <xf numFmtId="0" fontId="4" fillId="0" borderId="3" xfId="3" applyBorder="1"/>
    <xf numFmtId="0" fontId="0" fillId="0" borderId="3" xfId="0" applyBorder="1"/>
    <xf numFmtId="0" fontId="4" fillId="0" borderId="2" xfId="3" applyBorder="1"/>
    <xf numFmtId="164" fontId="0" fillId="0" borderId="3" xfId="0" applyNumberFormat="1" applyBorder="1"/>
    <xf numFmtId="0" fontId="0" fillId="0" borderId="4" xfId="0" applyBorder="1"/>
    <xf numFmtId="164" fontId="4" fillId="0" borderId="0" xfId="3" applyNumberFormat="1" applyBorder="1"/>
    <xf numFmtId="0" fontId="4" fillId="0" borderId="0" xfId="3" applyBorder="1"/>
    <xf numFmtId="164" fontId="4" fillId="0" borderId="8" xfId="3" applyNumberFormat="1" applyBorder="1"/>
    <xf numFmtId="0" fontId="4" fillId="0" borderId="0" xfId="3" applyFill="1" applyBorder="1"/>
    <xf numFmtId="0" fontId="4" fillId="0" borderId="5" xfId="3" applyFill="1" applyBorder="1"/>
    <xf numFmtId="0" fontId="4" fillId="0" borderId="6" xfId="3" applyFill="1" applyBorder="1"/>
    <xf numFmtId="0" fontId="0" fillId="0" borderId="10" xfId="0" applyBorder="1"/>
    <xf numFmtId="0" fontId="0" fillId="0" borderId="11" xfId="0" applyBorder="1"/>
    <xf numFmtId="164" fontId="4" fillId="0" borderId="11" xfId="3" applyNumberFormat="1" applyBorder="1"/>
    <xf numFmtId="0" fontId="4" fillId="0" borderId="11" xfId="3" applyBorder="1"/>
    <xf numFmtId="0" fontId="4" fillId="0" borderId="10" xfId="3" applyBorder="1"/>
    <xf numFmtId="164" fontId="0" fillId="0" borderId="11" xfId="0" applyNumberFormat="1" applyBorder="1"/>
    <xf numFmtId="0" fontId="0" fillId="0" borderId="12" xfId="0" applyBorder="1"/>
    <xf numFmtId="1" fontId="0" fillId="0" borderId="4" xfId="0" applyNumberFormat="1" applyBorder="1"/>
    <xf numFmtId="1" fontId="0" fillId="0" borderId="6" xfId="0" applyNumberFormat="1" applyBorder="1"/>
    <xf numFmtId="1" fontId="0" fillId="0" borderId="9" xfId="0" applyNumberFormat="1" applyBorder="1"/>
    <xf numFmtId="0" fontId="0" fillId="14" borderId="0" xfId="0" applyFill="1"/>
    <xf numFmtId="0" fontId="4" fillId="0" borderId="0" xfId="3" applyFont="1" applyFill="1" applyBorder="1" applyAlignment="1" applyProtection="1">
      <alignment horizontal="left"/>
    </xf>
    <xf numFmtId="0" fontId="4" fillId="0" borderId="8" xfId="3" applyFont="1" applyFill="1" applyBorder="1" applyAlignment="1" applyProtection="1">
      <alignment horizontal="left"/>
    </xf>
    <xf numFmtId="0" fontId="5" fillId="0" borderId="0" xfId="3" applyFont="1" applyAlignment="1">
      <alignment horizontal="center"/>
    </xf>
    <xf numFmtId="0" fontId="0" fillId="6" borderId="0" xfId="0" applyFill="1" applyProtection="1">
      <protection hidden="1"/>
    </xf>
    <xf numFmtId="0" fontId="10" fillId="6" borderId="0" xfId="0" applyFont="1" applyFill="1" applyAlignment="1" applyProtection="1">
      <alignment horizontal="left" vertical="center"/>
      <protection hidden="1"/>
    </xf>
    <xf numFmtId="0" fontId="0" fillId="6" borderId="0" xfId="0" applyFill="1" applyAlignment="1" applyProtection="1">
      <alignment horizontal="right"/>
      <protection hidden="1"/>
    </xf>
    <xf numFmtId="0" fontId="0" fillId="6" borderId="0" xfId="0" applyFill="1" applyBorder="1" applyProtection="1">
      <protection hidden="1"/>
    </xf>
    <xf numFmtId="0" fontId="14" fillId="8" borderId="0" xfId="0" applyFont="1" applyFill="1" applyProtection="1">
      <protection hidden="1"/>
    </xf>
    <xf numFmtId="0" fontId="0" fillId="15" borderId="0" xfId="0" applyFill="1" applyProtection="1">
      <protection hidden="1"/>
    </xf>
    <xf numFmtId="0" fontId="0" fillId="8" borderId="0" xfId="0" applyFill="1" applyBorder="1" applyProtection="1">
      <protection hidden="1"/>
    </xf>
    <xf numFmtId="0" fontId="0" fillId="8" borderId="0" xfId="0" applyFill="1" applyBorder="1" applyAlignment="1" applyProtection="1">
      <alignment horizontal="right"/>
      <protection hidden="1"/>
    </xf>
    <xf numFmtId="0" fontId="14" fillId="8" borderId="0" xfId="0" applyFont="1" applyFill="1" applyBorder="1" applyProtection="1">
      <protection hidden="1"/>
    </xf>
    <xf numFmtId="0" fontId="0" fillId="15" borderId="0" xfId="0" applyFill="1" applyBorder="1" applyProtection="1">
      <protection hidden="1"/>
    </xf>
    <xf numFmtId="0" fontId="2" fillId="8" borderId="0" xfId="0" applyFont="1" applyFill="1" applyBorder="1" applyProtection="1">
      <protection hidden="1"/>
    </xf>
    <xf numFmtId="0" fontId="0" fillId="7" borderId="0" xfId="0" applyFill="1" applyBorder="1" applyProtection="1">
      <protection hidden="1"/>
    </xf>
    <xf numFmtId="0" fontId="2" fillId="8" borderId="0" xfId="0" quotePrefix="1" applyFont="1" applyFill="1" applyBorder="1" applyProtection="1">
      <protection hidden="1"/>
    </xf>
    <xf numFmtId="0" fontId="0" fillId="8" borderId="1" xfId="0" applyFill="1" applyBorder="1" applyProtection="1">
      <protection hidden="1"/>
    </xf>
    <xf numFmtId="0" fontId="0" fillId="8" borderId="1" xfId="0" applyFill="1" applyBorder="1" applyAlignment="1" applyProtection="1">
      <alignment horizontal="right"/>
      <protection hidden="1"/>
    </xf>
    <xf numFmtId="0" fontId="14" fillId="8" borderId="1" xfId="0" applyFont="1" applyFill="1" applyBorder="1" applyProtection="1">
      <protection hidden="1"/>
    </xf>
    <xf numFmtId="0" fontId="0" fillId="15" borderId="1" xfId="0" applyFill="1" applyBorder="1" applyProtection="1">
      <protection hidden="1"/>
    </xf>
    <xf numFmtId="0" fontId="0" fillId="16" borderId="0" xfId="0" applyFill="1" applyProtection="1">
      <protection hidden="1"/>
    </xf>
    <xf numFmtId="0" fontId="0" fillId="16" borderId="0" xfId="0" applyFill="1" applyAlignment="1" applyProtection="1">
      <alignment horizontal="right"/>
      <protection hidden="1"/>
    </xf>
    <xf numFmtId="49" fontId="0" fillId="16" borderId="0" xfId="0" applyNumberFormat="1" applyFill="1" applyProtection="1">
      <protection hidden="1"/>
    </xf>
    <xf numFmtId="0" fontId="0" fillId="16" borderId="0" xfId="0" applyFill="1" applyBorder="1" applyProtection="1">
      <protection hidden="1"/>
    </xf>
    <xf numFmtId="0" fontId="0" fillId="16" borderId="2" xfId="0" applyFill="1" applyBorder="1" applyProtection="1">
      <protection hidden="1"/>
    </xf>
    <xf numFmtId="0" fontId="0" fillId="16" borderId="3" xfId="0" applyFill="1" applyBorder="1" applyProtection="1">
      <protection hidden="1"/>
    </xf>
    <xf numFmtId="0" fontId="12" fillId="16" borderId="3" xfId="3" applyFont="1" applyFill="1" applyBorder="1" applyAlignment="1" applyProtection="1">
      <alignment horizontal="right"/>
      <protection hidden="1"/>
    </xf>
    <xf numFmtId="0" fontId="0" fillId="16" borderId="4" xfId="0" applyFill="1" applyBorder="1" applyProtection="1">
      <protection hidden="1"/>
    </xf>
    <xf numFmtId="0" fontId="0" fillId="16" borderId="5" xfId="0" applyFill="1" applyBorder="1" applyProtection="1">
      <protection hidden="1"/>
    </xf>
    <xf numFmtId="0" fontId="12" fillId="16" borderId="0" xfId="3" applyFont="1" applyFill="1" applyBorder="1" applyAlignment="1" applyProtection="1">
      <alignment horizontal="right"/>
      <protection hidden="1"/>
    </xf>
    <xf numFmtId="0" fontId="0" fillId="16" borderId="6" xfId="0" applyFill="1" applyBorder="1" applyProtection="1">
      <protection hidden="1"/>
    </xf>
    <xf numFmtId="0" fontId="12" fillId="16" borderId="0" xfId="0" applyFont="1" applyFill="1" applyBorder="1" applyProtection="1">
      <protection hidden="1"/>
    </xf>
    <xf numFmtId="0" fontId="0" fillId="16" borderId="8" xfId="0" applyFill="1" applyBorder="1" applyProtection="1">
      <protection hidden="1"/>
    </xf>
    <xf numFmtId="0" fontId="0" fillId="16" borderId="9" xfId="0" applyFill="1" applyBorder="1" applyProtection="1">
      <protection hidden="1"/>
    </xf>
    <xf numFmtId="0" fontId="12" fillId="16" borderId="0" xfId="0" applyFont="1" applyFill="1" applyProtection="1">
      <protection hidden="1"/>
    </xf>
    <xf numFmtId="0" fontId="0" fillId="16" borderId="7" xfId="0" applyFill="1" applyBorder="1" applyProtection="1">
      <protection hidden="1"/>
    </xf>
    <xf numFmtId="0" fontId="12" fillId="16" borderId="8" xfId="3" applyFont="1" applyFill="1" applyBorder="1" applyAlignment="1" applyProtection="1">
      <alignment horizontal="right"/>
      <protection hidden="1"/>
    </xf>
    <xf numFmtId="0" fontId="0" fillId="16" borderId="0" xfId="0" applyFill="1" applyBorder="1" applyAlignment="1" applyProtection="1">
      <alignment horizontal="right"/>
      <protection hidden="1"/>
    </xf>
    <xf numFmtId="0" fontId="16" fillId="16" borderId="6" xfId="0" applyFont="1" applyFill="1" applyBorder="1" applyProtection="1">
      <protection hidden="1"/>
    </xf>
    <xf numFmtId="0" fontId="0" fillId="16" borderId="8" xfId="0" applyFill="1" applyBorder="1" applyAlignment="1" applyProtection="1">
      <alignment horizontal="right"/>
      <protection hidden="1"/>
    </xf>
    <xf numFmtId="0" fontId="16" fillId="16" borderId="9" xfId="0" applyFont="1" applyFill="1" applyBorder="1" applyProtection="1">
      <protection hidden="1"/>
    </xf>
    <xf numFmtId="0" fontId="0" fillId="16" borderId="3" xfId="0" applyFill="1" applyBorder="1" applyAlignment="1" applyProtection="1">
      <alignment horizontal="right"/>
      <protection hidden="1"/>
    </xf>
    <xf numFmtId="0" fontId="15" fillId="16" borderId="2" xfId="0" applyFont="1" applyFill="1" applyBorder="1" applyProtection="1">
      <protection hidden="1"/>
    </xf>
    <xf numFmtId="0" fontId="14" fillId="16" borderId="3" xfId="0" applyFont="1" applyFill="1" applyBorder="1" applyAlignment="1" applyProtection="1">
      <alignment horizontal="right"/>
      <protection hidden="1"/>
    </xf>
    <xf numFmtId="0" fontId="15" fillId="16" borderId="5" xfId="0" applyFont="1" applyFill="1" applyBorder="1" applyProtection="1">
      <protection hidden="1"/>
    </xf>
    <xf numFmtId="0" fontId="0" fillId="16" borderId="0" xfId="0" applyFill="1" applyBorder="1" applyAlignment="1" applyProtection="1">
      <alignment horizontal="center"/>
      <protection hidden="1"/>
    </xf>
    <xf numFmtId="1" fontId="0" fillId="16" borderId="0" xfId="0" applyNumberFormat="1" applyFill="1" applyProtection="1">
      <protection hidden="1"/>
    </xf>
    <xf numFmtId="0" fontId="0" fillId="0" borderId="0" xfId="0" applyFill="1" applyProtection="1">
      <protection hidden="1"/>
    </xf>
    <xf numFmtId="0" fontId="27" fillId="13" borderId="0" xfId="0" applyFont="1" applyFill="1" applyProtection="1">
      <protection hidden="1"/>
    </xf>
    <xf numFmtId="0" fontId="0" fillId="13" borderId="0" xfId="0" applyFill="1" applyProtection="1">
      <protection hidden="1"/>
    </xf>
    <xf numFmtId="0" fontId="0" fillId="13" borderId="0" xfId="0" applyFill="1" applyAlignment="1" applyProtection="1">
      <alignment horizontal="right"/>
      <protection hidden="1"/>
    </xf>
    <xf numFmtId="0" fontId="0" fillId="8" borderId="0" xfId="0" applyFill="1" applyProtection="1">
      <protection hidden="1"/>
    </xf>
    <xf numFmtId="0" fontId="0" fillId="8" borderId="0" xfId="0" applyFill="1" applyAlignment="1" applyProtection="1">
      <alignment horizontal="right"/>
      <protection hidden="1"/>
    </xf>
    <xf numFmtId="0" fontId="0" fillId="15" borderId="0" xfId="0" applyFill="1" applyAlignment="1" applyProtection="1">
      <alignment horizontal="right"/>
      <protection hidden="1"/>
    </xf>
    <xf numFmtId="0" fontId="14" fillId="15" borderId="0" xfId="0" applyFont="1" applyFill="1" applyProtection="1">
      <protection hidden="1"/>
    </xf>
    <xf numFmtId="0" fontId="0" fillId="7" borderId="14" xfId="0" applyFill="1" applyBorder="1" applyProtection="1">
      <protection locked="0" hidden="1"/>
    </xf>
    <xf numFmtId="0" fontId="0" fillId="7" borderId="15" xfId="0" applyFill="1" applyBorder="1" applyProtection="1">
      <protection locked="0" hidden="1"/>
    </xf>
    <xf numFmtId="2" fontId="0" fillId="16" borderId="15" xfId="0" applyNumberFormat="1" applyFill="1" applyBorder="1" applyProtection="1">
      <protection hidden="1"/>
    </xf>
    <xf numFmtId="0" fontId="0" fillId="16" borderId="15" xfId="0" applyFill="1" applyBorder="1" applyProtection="1">
      <protection hidden="1"/>
    </xf>
    <xf numFmtId="1" fontId="0" fillId="16" borderId="15" xfId="0" applyNumberFormat="1" applyFill="1" applyBorder="1" applyProtection="1">
      <protection hidden="1"/>
    </xf>
    <xf numFmtId="2" fontId="0" fillId="16" borderId="16" xfId="0" applyNumberFormat="1" applyFill="1" applyBorder="1" applyProtection="1">
      <protection hidden="1"/>
    </xf>
    <xf numFmtId="0" fontId="0" fillId="7" borderId="16" xfId="0" applyFill="1" applyBorder="1" applyProtection="1">
      <protection locked="0" hidden="1"/>
    </xf>
    <xf numFmtId="2" fontId="0" fillId="0" borderId="15" xfId="0" applyNumberFormat="1" applyBorder="1" applyProtection="1">
      <protection hidden="1"/>
    </xf>
    <xf numFmtId="164" fontId="0" fillId="0" borderId="16" xfId="0" applyNumberFormat="1" applyBorder="1" applyProtection="1">
      <protection hidden="1"/>
    </xf>
    <xf numFmtId="2" fontId="0" fillId="0" borderId="14" xfId="0" applyNumberFormat="1" applyBorder="1" applyProtection="1">
      <protection hidden="1"/>
    </xf>
    <xf numFmtId="1" fontId="0" fillId="0" borderId="16" xfId="0" applyNumberFormat="1" applyBorder="1" applyProtection="1">
      <protection hidden="1"/>
    </xf>
    <xf numFmtId="0" fontId="0" fillId="16" borderId="15" xfId="0" applyFill="1" applyBorder="1" applyAlignment="1" applyProtection="1">
      <alignment horizontal="center"/>
      <protection hidden="1"/>
    </xf>
    <xf numFmtId="1" fontId="0" fillId="16" borderId="7" xfId="0" applyNumberFormat="1" applyFill="1" applyBorder="1" applyProtection="1">
      <protection hidden="1"/>
    </xf>
    <xf numFmtId="0" fontId="0" fillId="7" borderId="13" xfId="0" applyFill="1" applyBorder="1" applyProtection="1">
      <protection locked="0" hidden="1"/>
    </xf>
    <xf numFmtId="2" fontId="0" fillId="16" borderId="10" xfId="0" applyNumberFormat="1" applyFill="1" applyBorder="1" applyProtection="1">
      <protection hidden="1"/>
    </xf>
    <xf numFmtId="2" fontId="0" fillId="0" borderId="0" xfId="0" applyNumberFormat="1" applyFill="1"/>
    <xf numFmtId="0" fontId="5" fillId="0" borderId="0" xfId="3" applyFont="1" applyAlignment="1">
      <alignment horizontal="center"/>
    </xf>
    <xf numFmtId="0" fontId="0" fillId="0" borderId="0" xfId="0" applyNumberFormat="1" applyFill="1"/>
    <xf numFmtId="0" fontId="0" fillId="16" borderId="16" xfId="0" applyFill="1" applyBorder="1" applyProtection="1">
      <protection hidden="1"/>
    </xf>
    <xf numFmtId="2" fontId="0" fillId="11" borderId="0" xfId="0" applyNumberFormat="1" applyFill="1"/>
    <xf numFmtId="0" fontId="3" fillId="0" borderId="0" xfId="3" applyFont="1"/>
    <xf numFmtId="0" fontId="3" fillId="11" borderId="0" xfId="3" applyFont="1" applyFill="1"/>
    <xf numFmtId="0" fontId="5" fillId="9" borderId="0" xfId="3" applyFont="1" applyFill="1" applyAlignment="1">
      <alignment horizontal="center"/>
    </xf>
    <xf numFmtId="2" fontId="0" fillId="16" borderId="0" xfId="0" applyNumberFormat="1" applyFill="1" applyBorder="1" applyProtection="1">
      <protection hidden="1"/>
    </xf>
    <xf numFmtId="0" fontId="0" fillId="16" borderId="14" xfId="0" applyFill="1" applyBorder="1" applyProtection="1">
      <protection hidden="1"/>
    </xf>
    <xf numFmtId="2" fontId="30" fillId="0" borderId="0" xfId="0" applyNumberFormat="1" applyFont="1" applyFill="1"/>
    <xf numFmtId="169" fontId="0" fillId="9" borderId="0" xfId="0" applyNumberFormat="1" applyFill="1"/>
    <xf numFmtId="0" fontId="0" fillId="6" borderId="0" xfId="0" applyFill="1"/>
    <xf numFmtId="0" fontId="30" fillId="0" borderId="0" xfId="0" applyFont="1" applyFill="1"/>
    <xf numFmtId="0" fontId="0" fillId="16" borderId="15" xfId="0" applyFont="1" applyFill="1" applyBorder="1" applyAlignment="1" applyProtection="1">
      <alignment vertical="top"/>
      <protection hidden="1"/>
    </xf>
    <xf numFmtId="0" fontId="0" fillId="0" borderId="15" xfId="0" applyFill="1" applyBorder="1" applyProtection="1">
      <protection hidden="1"/>
    </xf>
    <xf numFmtId="0" fontId="16" fillId="16" borderId="10" xfId="0" applyFont="1" applyFill="1" applyBorder="1" applyAlignment="1" applyProtection="1">
      <alignment horizontal="left"/>
      <protection hidden="1"/>
    </xf>
    <xf numFmtId="0" fontId="0" fillId="16" borderId="7" xfId="0" applyFill="1" applyBorder="1" applyAlignment="1" applyProtection="1">
      <alignment horizontal="left"/>
      <protection hidden="1"/>
    </xf>
    <xf numFmtId="0" fontId="31" fillId="0" borderId="0" xfId="0" applyFont="1"/>
    <xf numFmtId="0" fontId="0" fillId="0" borderId="0" xfId="0" applyFont="1"/>
    <xf numFmtId="0" fontId="32" fillId="0" borderId="0" xfId="0" applyFont="1"/>
    <xf numFmtId="0" fontId="0" fillId="0" borderId="0" xfId="0" applyFill="1" applyAlignment="1" applyProtection="1">
      <alignment horizontal="right"/>
      <protection hidden="1"/>
    </xf>
    <xf numFmtId="0" fontId="16" fillId="16" borderId="15" xfId="0" applyFont="1" applyFill="1" applyBorder="1" applyProtection="1">
      <protection hidden="1"/>
    </xf>
    <xf numFmtId="0" fontId="14" fillId="16" borderId="0" xfId="0" applyFont="1" applyFill="1" applyBorder="1" applyAlignment="1" applyProtection="1">
      <alignment horizontal="right"/>
      <protection hidden="1"/>
    </xf>
    <xf numFmtId="0" fontId="0" fillId="7" borderId="14" xfId="0" applyFont="1" applyFill="1" applyBorder="1" applyAlignment="1" applyProtection="1">
      <alignment horizontal="right" vertical="top"/>
      <protection hidden="1"/>
    </xf>
    <xf numFmtId="0" fontId="0" fillId="0" borderId="0" xfId="0" applyAlignment="1">
      <alignment horizontal="right"/>
    </xf>
    <xf numFmtId="0" fontId="12" fillId="16" borderId="3" xfId="0" applyFont="1" applyFill="1" applyBorder="1" applyProtection="1">
      <protection hidden="1"/>
    </xf>
    <xf numFmtId="168" fontId="0" fillId="0" borderId="15" xfId="0" applyNumberFormat="1" applyFill="1" applyBorder="1" applyProtection="1">
      <protection hidden="1"/>
    </xf>
    <xf numFmtId="168" fontId="0" fillId="0" borderId="15" xfId="0" applyNumberFormat="1" applyBorder="1" applyProtection="1">
      <protection hidden="1"/>
    </xf>
    <xf numFmtId="2" fontId="0" fillId="0" borderId="16" xfId="0" applyNumberFormat="1" applyBorder="1" applyProtection="1">
      <protection hidden="1"/>
    </xf>
    <xf numFmtId="0" fontId="0" fillId="16" borderId="0" xfId="0" applyFill="1" applyBorder="1"/>
    <xf numFmtId="0" fontId="0" fillId="0" borderId="0" xfId="0" applyBorder="1" applyAlignment="1">
      <alignment horizontal="center"/>
    </xf>
    <xf numFmtId="0" fontId="0" fillId="0" borderId="3" xfId="0" applyBorder="1" applyAlignment="1">
      <alignment horizontal="center"/>
    </xf>
    <xf numFmtId="0" fontId="0" fillId="0" borderId="0" xfId="0" applyBorder="1" applyAlignment="1"/>
    <xf numFmtId="0" fontId="0" fillId="0" borderId="6" xfId="0" applyBorder="1" applyAlignment="1"/>
    <xf numFmtId="0" fontId="0" fillId="0" borderId="0" xfId="0" applyBorder="1" applyAlignment="1">
      <alignment horizontal="center" wrapText="1"/>
    </xf>
    <xf numFmtId="0" fontId="0" fillId="0" borderId="0" xfId="0" applyFill="1" applyBorder="1"/>
    <xf numFmtId="0" fontId="0" fillId="14" borderId="0" xfId="0" applyFill="1" applyBorder="1"/>
    <xf numFmtId="0" fontId="0" fillId="7" borderId="0" xfId="0" applyFill="1" applyBorder="1"/>
    <xf numFmtId="0" fontId="0" fillId="14" borderId="6"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0" fillId="14" borderId="5" xfId="0" applyFill="1" applyBorder="1"/>
    <xf numFmtId="0" fontId="0" fillId="7" borderId="6" xfId="0" applyFill="1" applyBorder="1"/>
    <xf numFmtId="0" fontId="0" fillId="0" borderId="5" xfId="0" applyBorder="1" applyAlignment="1"/>
    <xf numFmtId="0" fontId="16" fillId="16" borderId="0" xfId="0" applyFont="1" applyFill="1" applyBorder="1" applyProtection="1">
      <protection hidden="1"/>
    </xf>
    <xf numFmtId="0" fontId="0" fillId="0" borderId="0" xfId="0" applyFill="1" applyBorder="1" applyProtection="1">
      <protection hidden="1"/>
    </xf>
    <xf numFmtId="0" fontId="4" fillId="16" borderId="0" xfId="3" applyFont="1" applyFill="1" applyBorder="1" applyProtection="1">
      <protection hidden="1"/>
    </xf>
    <xf numFmtId="0" fontId="12" fillId="16" borderId="0" xfId="0" applyFont="1" applyFill="1" applyBorder="1" applyAlignment="1" applyProtection="1">
      <alignment horizontal="right"/>
      <protection hidden="1"/>
    </xf>
    <xf numFmtId="0" fontId="34" fillId="16" borderId="0" xfId="0" applyFont="1" applyFill="1" applyBorder="1" applyProtection="1">
      <protection hidden="1"/>
    </xf>
    <xf numFmtId="0" fontId="34" fillId="16" borderId="0" xfId="0" applyFont="1" applyFill="1" applyBorder="1" applyAlignment="1" applyProtection="1">
      <alignment horizontal="center"/>
      <protection hidden="1"/>
    </xf>
    <xf numFmtId="0" fontId="34" fillId="16" borderId="0" xfId="0" applyFont="1" applyFill="1" applyProtection="1">
      <protection hidden="1"/>
    </xf>
    <xf numFmtId="0" fontId="12" fillId="16" borderId="2" xfId="0" applyFont="1" applyFill="1" applyBorder="1" applyProtection="1">
      <protection hidden="1"/>
    </xf>
    <xf numFmtId="0" fontId="33" fillId="16" borderId="0" xfId="0" applyFont="1" applyFill="1" applyBorder="1" applyAlignment="1" applyProtection="1">
      <alignment horizontal="right"/>
      <protection hidden="1"/>
    </xf>
    <xf numFmtId="0" fontId="0" fillId="0" borderId="17" xfId="0" applyBorder="1"/>
    <xf numFmtId="0" fontId="0" fillId="0" borderId="17" xfId="0" applyFill="1" applyBorder="1"/>
    <xf numFmtId="0" fontId="0" fillId="16" borderId="18" xfId="0" applyFill="1" applyBorder="1" applyProtection="1">
      <protection hidden="1"/>
    </xf>
    <xf numFmtId="0" fontId="15" fillId="16" borderId="0" xfId="0" applyFont="1" applyFill="1" applyBorder="1" applyAlignment="1" applyProtection="1">
      <alignment horizontal="right"/>
      <protection hidden="1"/>
    </xf>
    <xf numFmtId="0" fontId="0" fillId="0" borderId="19" xfId="0" applyBorder="1"/>
    <xf numFmtId="0" fontId="0" fillId="0" borderId="20" xfId="0" applyBorder="1"/>
    <xf numFmtId="0" fontId="0" fillId="0" borderId="20" xfId="0" applyFill="1" applyBorder="1"/>
    <xf numFmtId="0" fontId="0" fillId="0" borderId="21" xfId="0" applyBorder="1"/>
    <xf numFmtId="0" fontId="0" fillId="0" borderId="21" xfId="0" applyFill="1" applyBorder="1"/>
    <xf numFmtId="0" fontId="34" fillId="16" borderId="2" xfId="0" applyFont="1" applyFill="1" applyBorder="1" applyProtection="1">
      <protection hidden="1"/>
    </xf>
    <xf numFmtId="0" fontId="3" fillId="0" borderId="0" xfId="3" applyFont="1" applyFill="1" applyBorder="1" applyAlignment="1" applyProtection="1">
      <alignment horizontal="left"/>
    </xf>
    <xf numFmtId="49" fontId="0" fillId="16" borderId="0" xfId="0" applyNumberFormat="1" applyFill="1" applyAlignment="1" applyProtection="1">
      <alignment horizontal="right"/>
      <protection hidden="1"/>
    </xf>
    <xf numFmtId="0" fontId="35" fillId="16" borderId="0" xfId="0" applyFont="1" applyFill="1" applyBorder="1" applyProtection="1">
      <protection hidden="1"/>
    </xf>
    <xf numFmtId="0" fontId="35" fillId="16" borderId="0" xfId="0" applyFont="1" applyFill="1" applyProtection="1">
      <protection hidden="1"/>
    </xf>
    <xf numFmtId="0" fontId="0" fillId="0" borderId="0" xfId="0" applyBorder="1" applyProtection="1">
      <protection hidden="1"/>
    </xf>
    <xf numFmtId="0" fontId="36" fillId="16" borderId="0" xfId="0" applyFont="1" applyFill="1" applyBorder="1" applyAlignment="1" applyProtection="1">
      <alignment horizontal="left"/>
      <protection hidden="1"/>
    </xf>
    <xf numFmtId="0" fontId="16" fillId="16" borderId="16" xfId="0" applyFont="1" applyFill="1" applyBorder="1" applyProtection="1">
      <protection hidden="1"/>
    </xf>
    <xf numFmtId="0" fontId="0" fillId="0" borderId="14" xfId="0" applyFill="1" applyBorder="1" applyProtection="1">
      <protection hidden="1"/>
    </xf>
    <xf numFmtId="2" fontId="0" fillId="16" borderId="14" xfId="0" applyNumberFormat="1" applyFill="1" applyBorder="1" applyProtection="1">
      <protection hidden="1"/>
    </xf>
    <xf numFmtId="0" fontId="16" fillId="16" borderId="14" xfId="0" applyFont="1" applyFill="1" applyBorder="1" applyProtection="1">
      <protection hidden="1"/>
    </xf>
    <xf numFmtId="0" fontId="21" fillId="16" borderId="0" xfId="0" applyFont="1" applyFill="1" applyBorder="1" applyAlignment="1" applyProtection="1">
      <alignment horizontal="right"/>
      <protection hidden="1"/>
    </xf>
    <xf numFmtId="164" fontId="0" fillId="11" borderId="0" xfId="0" applyNumberFormat="1" applyFill="1"/>
    <xf numFmtId="11" fontId="0" fillId="11" borderId="0" xfId="0" applyNumberFormat="1" applyFill="1"/>
    <xf numFmtId="11" fontId="0" fillId="0" borderId="0" xfId="0" applyNumberFormat="1"/>
    <xf numFmtId="0" fontId="36" fillId="16" borderId="0" xfId="0" applyFont="1" applyFill="1" applyAlignment="1" applyProtection="1">
      <alignment horizontal="left"/>
      <protection hidden="1"/>
    </xf>
    <xf numFmtId="0" fontId="3" fillId="16" borderId="4" xfId="3" applyFont="1" applyFill="1" applyBorder="1" applyProtection="1">
      <protection hidden="1"/>
    </xf>
    <xf numFmtId="0" fontId="3" fillId="16" borderId="8" xfId="3" applyFont="1" applyFill="1" applyBorder="1" applyAlignment="1" applyProtection="1">
      <alignment horizontal="right"/>
      <protection hidden="1"/>
    </xf>
    <xf numFmtId="0" fontId="3" fillId="16" borderId="9" xfId="3" applyFont="1" applyFill="1" applyBorder="1" applyProtection="1">
      <protection hidden="1"/>
    </xf>
    <xf numFmtId="0" fontId="14" fillId="13" borderId="0" xfId="0" applyFont="1" applyFill="1" applyProtection="1">
      <protection hidden="1"/>
    </xf>
    <xf numFmtId="0" fontId="16" fillId="13" borderId="0" xfId="0" applyFont="1" applyFill="1" applyBorder="1" applyProtection="1">
      <protection hidden="1"/>
    </xf>
    <xf numFmtId="0" fontId="0" fillId="13" borderId="0" xfId="0" applyFill="1" applyBorder="1" applyProtection="1">
      <protection hidden="1"/>
    </xf>
    <xf numFmtId="0" fontId="0" fillId="0" borderId="17" xfId="0" applyFill="1" applyBorder="1" applyAlignment="1">
      <alignment horizontal="center"/>
    </xf>
    <xf numFmtId="0" fontId="50" fillId="8" borderId="1" xfId="0" applyFont="1" applyFill="1" applyBorder="1" applyProtection="1">
      <protection hidden="1"/>
    </xf>
    <xf numFmtId="49" fontId="50" fillId="8" borderId="1" xfId="0" applyNumberFormat="1" applyFont="1" applyFill="1" applyBorder="1" applyAlignment="1" applyProtection="1">
      <alignment horizontal="right"/>
      <protection hidden="1"/>
    </xf>
    <xf numFmtId="14" fontId="4" fillId="0" borderId="0" xfId="3" applyNumberFormat="1"/>
    <xf numFmtId="0" fontId="0" fillId="17" borderId="0" xfId="0" applyFill="1" applyBorder="1"/>
    <xf numFmtId="0" fontId="0" fillId="17" borderId="5" xfId="0" applyFill="1" applyBorder="1"/>
    <xf numFmtId="0" fontId="0" fillId="17" borderId="6" xfId="0" applyFill="1" applyBorder="1"/>
    <xf numFmtId="0" fontId="0" fillId="17" borderId="7" xfId="0" applyFill="1" applyBorder="1"/>
    <xf numFmtId="0" fontId="0" fillId="17" borderId="8" xfId="0" applyFill="1" applyBorder="1"/>
    <xf numFmtId="0" fontId="50" fillId="18" borderId="0" xfId="0" applyFont="1" applyFill="1" applyBorder="1"/>
    <xf numFmtId="0" fontId="50" fillId="18" borderId="5" xfId="0" applyFont="1" applyFill="1" applyBorder="1"/>
    <xf numFmtId="0" fontId="50" fillId="18" borderId="6" xfId="0" applyFont="1" applyFill="1" applyBorder="1"/>
    <xf numFmtId="0" fontId="50" fillId="18" borderId="7" xfId="0" applyFont="1" applyFill="1" applyBorder="1"/>
    <xf numFmtId="0" fontId="50" fillId="18" borderId="8" xfId="0" applyFont="1" applyFill="1" applyBorder="1"/>
    <xf numFmtId="0" fontId="50" fillId="18" borderId="9" xfId="0" applyFont="1" applyFill="1" applyBorder="1"/>
    <xf numFmtId="0" fontId="0" fillId="19" borderId="0" xfId="0" applyFill="1" applyBorder="1"/>
    <xf numFmtId="0" fontId="0" fillId="19" borderId="5" xfId="0" applyFill="1" applyBorder="1"/>
    <xf numFmtId="0" fontId="0" fillId="19" borderId="6" xfId="0" applyFill="1" applyBorder="1"/>
    <xf numFmtId="0" fontId="0" fillId="19" borderId="7" xfId="0" applyFill="1" applyBorder="1"/>
    <xf numFmtId="0" fontId="0" fillId="19" borderId="8" xfId="0" applyFill="1" applyBorder="1"/>
    <xf numFmtId="0" fontId="0" fillId="19" borderId="9" xfId="0" applyFill="1" applyBorder="1"/>
    <xf numFmtId="0" fontId="0" fillId="20" borderId="0" xfId="0" applyFill="1" applyBorder="1"/>
    <xf numFmtId="0" fontId="0" fillId="20" borderId="5" xfId="0" applyFill="1" applyBorder="1"/>
    <xf numFmtId="0" fontId="0" fillId="20" borderId="6" xfId="0" applyFill="1" applyBorder="1"/>
    <xf numFmtId="48" fontId="0" fillId="10" borderId="0" xfId="0" applyNumberFormat="1" applyFill="1"/>
    <xf numFmtId="0" fontId="0" fillId="0" borderId="22" xfId="0" applyFill="1" applyBorder="1"/>
    <xf numFmtId="168" fontId="0" fillId="0" borderId="0" xfId="0" applyNumberFormat="1" applyBorder="1"/>
    <xf numFmtId="0" fontId="1" fillId="16" borderId="6" xfId="3" applyFont="1" applyFill="1" applyBorder="1" applyAlignment="1" applyProtection="1">
      <alignment horizontal="right"/>
      <protection hidden="1"/>
    </xf>
    <xf numFmtId="0" fontId="0" fillId="16" borderId="14" xfId="0" applyFill="1" applyBorder="1" applyAlignment="1" applyProtection="1">
      <alignment horizontal="right"/>
      <protection hidden="1"/>
    </xf>
    <xf numFmtId="48" fontId="0" fillId="9" borderId="0" xfId="0" applyNumberFormat="1" applyFill="1"/>
    <xf numFmtId="0" fontId="52" fillId="0" borderId="0" xfId="0" applyFont="1"/>
    <xf numFmtId="0" fontId="53" fillId="0" borderId="0" xfId="0" applyFont="1" applyAlignment="1">
      <alignment horizontal="center"/>
    </xf>
    <xf numFmtId="0" fontId="53" fillId="0" borderId="0" xfId="0" applyFont="1" applyAlignment="1">
      <alignment horizontal="left"/>
    </xf>
    <xf numFmtId="0" fontId="54" fillId="0" borderId="0" xfId="0" applyFont="1"/>
    <xf numFmtId="0" fontId="56" fillId="0" borderId="0" xfId="8" applyFont="1" applyFill="1" applyBorder="1" applyAlignment="1">
      <alignment vertical="center"/>
    </xf>
    <xf numFmtId="0" fontId="56" fillId="0" borderId="0" xfId="8" applyFont="1" applyFill="1" applyBorder="1" applyAlignment="1">
      <alignment horizontal="right" vertical="center"/>
    </xf>
    <xf numFmtId="0" fontId="52" fillId="0" borderId="0" xfId="0" applyFont="1" applyAlignment="1">
      <alignment horizontal="center"/>
    </xf>
    <xf numFmtId="0" fontId="52" fillId="0" borderId="0" xfId="0" applyFont="1" applyFill="1" applyAlignment="1">
      <alignment horizontal="left"/>
    </xf>
    <xf numFmtId="0" fontId="54" fillId="0" borderId="0" xfId="0" applyFont="1" applyAlignment="1">
      <alignment horizontal="center"/>
    </xf>
    <xf numFmtId="0" fontId="3" fillId="0" borderId="0" xfId="0" applyFont="1" applyFill="1" applyAlignment="1"/>
    <xf numFmtId="0" fontId="57" fillId="22" borderId="0" xfId="0" applyFont="1" applyFill="1" applyAlignment="1">
      <alignment horizontal="center"/>
    </xf>
    <xf numFmtId="0" fontId="52" fillId="0" borderId="0" xfId="0" applyFont="1" applyAlignment="1">
      <alignment horizontal="left"/>
    </xf>
    <xf numFmtId="0" fontId="58" fillId="0" borderId="0" xfId="8" applyFont="1" applyFill="1" applyBorder="1" applyAlignment="1">
      <alignment vertical="center"/>
    </xf>
    <xf numFmtId="0" fontId="52" fillId="0" borderId="0" xfId="0" applyFont="1" applyFill="1"/>
    <xf numFmtId="0" fontId="0" fillId="23" borderId="0" xfId="0" applyFill="1"/>
    <xf numFmtId="2" fontId="0" fillId="0" borderId="0" xfId="0" applyNumberFormat="1"/>
    <xf numFmtId="0" fontId="0" fillId="0" borderId="0" xfId="0" applyProtection="1">
      <protection hidden="1"/>
    </xf>
    <xf numFmtId="0" fontId="5" fillId="0" borderId="0" xfId="0" applyFont="1" applyBorder="1"/>
    <xf numFmtId="2" fontId="3" fillId="0" borderId="0" xfId="0" quotePrefix="1" applyNumberFormat="1" applyFont="1" applyBorder="1"/>
    <xf numFmtId="0" fontId="0" fillId="0" borderId="0" xfId="0" applyBorder="1" applyAlignment="1">
      <alignment horizontal="left"/>
    </xf>
    <xf numFmtId="0" fontId="5" fillId="0" borderId="0" xfId="0" applyFont="1" applyBorder="1" applyAlignment="1">
      <alignment horizontal="left"/>
    </xf>
    <xf numFmtId="0" fontId="0" fillId="16" borderId="6" xfId="0" applyFont="1" applyFill="1" applyBorder="1" applyProtection="1">
      <protection hidden="1"/>
    </xf>
    <xf numFmtId="0" fontId="0" fillId="16" borderId="15" xfId="0" applyFont="1" applyFill="1" applyBorder="1" applyProtection="1">
      <protection hidden="1"/>
    </xf>
    <xf numFmtId="0" fontId="0" fillId="7" borderId="15" xfId="0" applyFill="1" applyBorder="1" applyAlignment="1" applyProtection="1">
      <alignment horizontal="right"/>
      <protection locked="0" hidden="1"/>
    </xf>
    <xf numFmtId="0" fontId="0" fillId="0" borderId="16" xfId="0" applyFill="1" applyBorder="1" applyProtection="1">
      <protection hidden="1"/>
    </xf>
    <xf numFmtId="0" fontId="0" fillId="0" borderId="14" xfId="0" applyBorder="1"/>
    <xf numFmtId="0" fontId="4" fillId="0" borderId="15" xfId="3" applyFill="1" applyBorder="1"/>
    <xf numFmtId="2" fontId="4" fillId="0" borderId="15" xfId="3" applyNumberFormat="1" applyBorder="1" applyAlignment="1">
      <alignment horizontal="center"/>
    </xf>
    <xf numFmtId="2" fontId="4" fillId="0" borderId="16" xfId="3" applyNumberFormat="1" applyBorder="1" applyAlignment="1">
      <alignment horizontal="center"/>
    </xf>
    <xf numFmtId="2" fontId="4" fillId="0" borderId="14" xfId="3" applyNumberFormat="1" applyBorder="1" applyAlignment="1">
      <alignment horizontal="center"/>
    </xf>
    <xf numFmtId="0" fontId="0" fillId="0" borderId="15" xfId="0" applyBorder="1"/>
    <xf numFmtId="0" fontId="4" fillId="0" borderId="16" xfId="3" applyFill="1" applyBorder="1"/>
    <xf numFmtId="48" fontId="0" fillId="11" borderId="0" xfId="0" applyNumberFormat="1" applyFill="1"/>
    <xf numFmtId="48" fontId="0" fillId="0" borderId="0" xfId="0" applyNumberFormat="1"/>
    <xf numFmtId="0" fontId="5" fillId="0" borderId="0" xfId="3" applyFont="1" applyAlignment="1">
      <alignment horizontal="center"/>
    </xf>
    <xf numFmtId="0" fontId="0" fillId="0" borderId="0" xfId="0" applyBorder="1" applyAlignment="1">
      <alignment horizontal="center"/>
    </xf>
    <xf numFmtId="10" fontId="0" fillId="0" borderId="0" xfId="0" applyNumberFormat="1"/>
    <xf numFmtId="11" fontId="0" fillId="7" borderId="15" xfId="0" applyNumberFormat="1" applyFill="1" applyBorder="1" applyProtection="1">
      <protection locked="0" hidden="1"/>
    </xf>
    <xf numFmtId="0" fontId="21" fillId="16" borderId="0" xfId="0" applyFont="1" applyFill="1" applyBorder="1" applyAlignment="1" applyProtection="1">
      <alignment horizontal="right" wrapText="1"/>
      <protection hidden="1"/>
    </xf>
    <xf numFmtId="0" fontId="21" fillId="16" borderId="6" xfId="0" applyFont="1" applyFill="1" applyBorder="1" applyAlignment="1" applyProtection="1">
      <alignment horizontal="right" wrapText="1"/>
      <protection hidden="1"/>
    </xf>
    <xf numFmtId="0" fontId="55" fillId="8" borderId="0" xfId="8" applyFill="1" applyBorder="1" applyAlignment="1" applyProtection="1">
      <alignment horizontal="center"/>
      <protection hidden="1"/>
    </xf>
    <xf numFmtId="0" fontId="6" fillId="2" borderId="0" xfId="3" applyFont="1" applyFill="1" applyAlignment="1">
      <alignment horizontal="center"/>
    </xf>
    <xf numFmtId="0" fontId="5" fillId="0" borderId="0" xfId="3" applyFont="1" applyAlignment="1">
      <alignment horizontal="center"/>
    </xf>
    <xf numFmtId="0" fontId="0" fillId="0" borderId="5" xfId="0" applyBorder="1" applyAlignment="1">
      <alignment horizontal="center"/>
    </xf>
    <xf numFmtId="0" fontId="0" fillId="0" borderId="0" xfId="0"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0" borderId="10" xfId="0" applyFont="1" applyBorder="1" applyAlignment="1">
      <alignment horizontal="center"/>
    </xf>
    <xf numFmtId="0" fontId="4" fillId="0" borderId="0" xfId="3"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2" borderId="0" xfId="3" applyFont="1" applyFill="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9" borderId="10" xfId="0" applyFill="1" applyBorder="1" applyAlignment="1">
      <alignment horizontal="center"/>
    </xf>
    <xf numFmtId="0" fontId="0" fillId="19" borderId="11" xfId="0" applyFill="1" applyBorder="1" applyAlignment="1">
      <alignment horizontal="center"/>
    </xf>
    <xf numFmtId="0" fontId="0" fillId="19" borderId="12" xfId="0" applyFill="1" applyBorder="1" applyAlignment="1">
      <alignment horizontal="center"/>
    </xf>
    <xf numFmtId="0" fontId="0" fillId="19" borderId="2" xfId="0" applyFill="1" applyBorder="1" applyAlignment="1">
      <alignment horizontal="center"/>
    </xf>
    <xf numFmtId="0" fontId="0" fillId="19" borderId="3" xfId="0" applyFill="1" applyBorder="1" applyAlignment="1">
      <alignment horizontal="center"/>
    </xf>
    <xf numFmtId="0" fontId="0" fillId="19" borderId="4" xfId="0" applyFill="1" applyBorder="1" applyAlignment="1">
      <alignment horizontal="center"/>
    </xf>
    <xf numFmtId="0" fontId="0" fillId="17" borderId="2"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0" fillId="0" borderId="5" xfId="0" applyBorder="1" applyAlignment="1">
      <alignment horizontal="center" wrapText="1"/>
    </xf>
    <xf numFmtId="0" fontId="0" fillId="0" borderId="0" xfId="0" applyBorder="1" applyAlignment="1">
      <alignment horizontal="center" wrapText="1"/>
    </xf>
    <xf numFmtId="0" fontId="0" fillId="0" borderId="6" xfId="0" applyBorder="1" applyAlignment="1">
      <alignment horizontal="center" wrapText="1"/>
    </xf>
    <xf numFmtId="0" fontId="50" fillId="18" borderId="2" xfId="0" applyFont="1" applyFill="1" applyBorder="1" applyAlignment="1">
      <alignment horizontal="center"/>
    </xf>
    <xf numFmtId="0" fontId="50" fillId="18" borderId="3" xfId="0" applyFont="1" applyFill="1" applyBorder="1" applyAlignment="1">
      <alignment horizontal="center"/>
    </xf>
    <xf numFmtId="0" fontId="50" fillId="18" borderId="4" xfId="0" applyFont="1" applyFill="1" applyBorder="1" applyAlignment="1">
      <alignment horizontal="center"/>
    </xf>
    <xf numFmtId="0" fontId="0" fillId="20" borderId="2" xfId="0" applyFill="1" applyBorder="1" applyAlignment="1">
      <alignment horizontal="center"/>
    </xf>
    <xf numFmtId="0" fontId="0" fillId="20" borderId="3" xfId="0" applyFill="1" applyBorder="1" applyAlignment="1">
      <alignment horizontal="center"/>
    </xf>
    <xf numFmtId="0" fontId="0" fillId="20" borderId="4" xfId="0" applyFill="1" applyBorder="1" applyAlignment="1">
      <alignment horizontal="center"/>
    </xf>
    <xf numFmtId="0" fontId="52" fillId="0" borderId="0" xfId="0" applyFont="1" applyAlignment="1">
      <alignment wrapText="1"/>
    </xf>
    <xf numFmtId="0" fontId="52" fillId="0" borderId="0" xfId="0" applyFont="1" applyAlignment="1">
      <alignment horizontal="center"/>
    </xf>
    <xf numFmtId="0" fontId="52" fillId="21" borderId="0" xfId="0" applyFont="1" applyFill="1" applyAlignment="1">
      <alignment horizontal="center"/>
    </xf>
    <xf numFmtId="0" fontId="57" fillId="22" borderId="0" xfId="0" applyFont="1" applyFill="1" applyAlignment="1">
      <alignment horizontal="left"/>
    </xf>
    <xf numFmtId="0" fontId="54" fillId="0" borderId="0" xfId="0" applyFont="1" applyAlignment="1">
      <alignment horizontal="left"/>
    </xf>
    <xf numFmtId="0" fontId="54" fillId="0" borderId="0" xfId="0" applyFont="1" applyAlignment="1">
      <alignment wrapText="1"/>
    </xf>
  </cellXfs>
  <cellStyles count="9">
    <cellStyle name="Comma 2" xfId="5" xr:uid="{00000000-0005-0000-0000-000000000000}"/>
    <cellStyle name="Comma 3" xfId="2" xr:uid="{00000000-0005-0000-0000-000001000000}"/>
    <cellStyle name="Hyperlink" xfId="8" builtinId="8"/>
    <cellStyle name="Normal" xfId="0" builtinId="0"/>
    <cellStyle name="Normal 2" xfId="3" xr:uid="{00000000-0005-0000-0000-000003000000}"/>
    <cellStyle name="Normal 3" xfId="4" xr:uid="{00000000-0005-0000-0000-000004000000}"/>
    <cellStyle name="Normal 4" xfId="1" xr:uid="{00000000-0005-0000-0000-000005000000}"/>
    <cellStyle name="Normal 4 2" xfId="7" xr:uid="{00000000-0005-0000-0000-000006000000}"/>
    <cellStyle name="Normal 4 3" xfId="6" xr:uid="{00000000-0005-0000-0000-000007000000}"/>
  </cellStyles>
  <dxfs count="30">
    <dxf>
      <numFmt numFmtId="170" formatCode=";;;"/>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color theme="0"/>
      </font>
      <fill>
        <patternFill>
          <bgColor theme="0"/>
        </patternFill>
      </fill>
      <border>
        <left style="hair">
          <color theme="0"/>
        </left>
        <right style="hair">
          <color theme="0"/>
        </right>
        <top style="hair">
          <color theme="0"/>
        </top>
        <bottom style="hair">
          <color theme="0"/>
        </bottom>
        <vertical/>
        <horizontal/>
      </border>
    </dxf>
    <dxf>
      <font>
        <strike val="0"/>
        <color theme="0"/>
      </font>
      <fill>
        <patternFill>
          <bgColor theme="0"/>
        </patternFill>
      </fill>
      <border>
        <left/>
        <right/>
        <top/>
        <bottom/>
        <vertical/>
        <horizontal/>
      </border>
    </dxf>
    <dxf>
      <font>
        <strike/>
      </font>
      <fill>
        <patternFill>
          <bgColor theme="0" tint="-0.24994659260841701"/>
        </patternFill>
      </fill>
    </dxf>
    <dxf>
      <font>
        <color theme="0"/>
      </font>
      <fill>
        <patternFill>
          <bgColor theme="0"/>
        </patternFill>
      </fill>
      <border>
        <left style="hair">
          <color theme="0"/>
        </left>
        <right style="hair">
          <color theme="0"/>
        </right>
        <top style="hair">
          <color theme="0"/>
        </top>
        <bottom style="hair">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color theme="1"/>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Variable_Management!$B$215</c:f>
          <c:strCache>
            <c:ptCount val="1"/>
            <c:pt idx="0">
              <c:v>Isolated Feedback Loop Response</c:v>
            </c:pt>
          </c:strCache>
        </c:strRef>
      </c:tx>
      <c:layout>
        <c:manualLayout>
          <c:xMode val="edge"/>
          <c:yMode val="edge"/>
          <c:x val="2.0064147930763734E-2"/>
          <c:y val="3.9915449424919348E-3"/>
        </c:manualLayout>
      </c:layout>
      <c:overlay val="0"/>
      <c:txPr>
        <a:bodyPr/>
        <a:lstStyle/>
        <a:p>
          <a:pPr>
            <a:defRPr sz="1800"/>
          </a:pPr>
          <a:endParaRPr lang="en-US"/>
        </a:p>
      </c:txPr>
    </c:title>
    <c:autoTitleDeleted val="0"/>
    <c:plotArea>
      <c:layout>
        <c:manualLayout>
          <c:layoutTarget val="inner"/>
          <c:xMode val="edge"/>
          <c:yMode val="edge"/>
          <c:x val="8.7413438847232044E-2"/>
          <c:y val="8.915804101931861E-2"/>
          <c:w val="0.80965876742891785"/>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[0]!Loop_gain</c:f>
              <c:numCache>
                <c:formatCode>0.000</c:formatCode>
                <c:ptCount val="542"/>
                <c:pt idx="0">
                  <c:v>67.84943461685684</c:v>
                </c:pt>
                <c:pt idx="1">
                  <c:v>67.650832730312288</c:v>
                </c:pt>
                <c:pt idx="2">
                  <c:v>67.452296211756945</c:v>
                </c:pt>
                <c:pt idx="3">
                  <c:v>67.253828091829263</c:v>
                </c:pt>
                <c:pt idx="4">
                  <c:v>67.055431539227058</c:v>
                </c:pt>
                <c:pt idx="5">
                  <c:v>66.857109866762528</c:v>
                </c:pt>
                <c:pt idx="6">
                  <c:v>66.658866537660529</c:v>
                </c:pt>
                <c:pt idx="7">
                  <c:v>66.460705172106742</c:v>
                </c:pt>
                <c:pt idx="8">
                  <c:v>66.262629554055295</c:v>
                </c:pt>
                <c:pt idx="9">
                  <c:v>66.064643638301078</c:v>
                </c:pt>
                <c:pt idx="10">
                  <c:v>65.866751557825523</c:v>
                </c:pt>
                <c:pt idx="11">
                  <c:v>65.668957631423481</c:v>
                </c:pt>
                <c:pt idx="12">
                  <c:v>65.471266371617347</c:v>
                </c:pt>
                <c:pt idx="13">
                  <c:v>65.273682492866484</c:v>
                </c:pt>
                <c:pt idx="14">
                  <c:v>65.076210920078466</c:v>
                </c:pt>
                <c:pt idx="15">
                  <c:v>64.878856797428568</c:v>
                </c:pt>
                <c:pt idx="16">
                  <c:v>64.681625497493854</c:v>
                </c:pt>
                <c:pt idx="17">
                  <c:v>64.484522630707602</c:v>
                </c:pt>
                <c:pt idx="18">
                  <c:v>64.287554055139026</c:v>
                </c:pt>
                <c:pt idx="19">
                  <c:v>64.090725886603934</c:v>
                </c:pt>
                <c:pt idx="20">
                  <c:v>63.894044509108916</c:v>
                </c:pt>
                <c:pt idx="21">
                  <c:v>63.697516585633203</c:v>
                </c:pt>
                <c:pt idx="22">
                  <c:v>63.501149069251007</c:v>
                </c:pt>
                <c:pt idx="23">
                  <c:v>63.304949214593549</c:v>
                </c:pt>
                <c:pt idx="24">
                  <c:v>63.108924589654407</c:v>
                </c:pt>
                <c:pt idx="25">
                  <c:v>62.913083087932584</c:v>
                </c:pt>
                <c:pt idx="26">
                  <c:v>62.717432940915401</c:v>
                </c:pt>
                <c:pt idx="27">
                  <c:v>62.521982730893683</c:v>
                </c:pt>
                <c:pt idx="28">
                  <c:v>62.326741404104631</c:v>
                </c:pt>
                <c:pt idx="29">
                  <c:v>62.131718284194797</c:v>
                </c:pt>
                <c:pt idx="30">
                  <c:v>61.936923085992213</c:v>
                </c:pt>
                <c:pt idx="31">
                  <c:v>61.742365929575847</c:v>
                </c:pt>
                <c:pt idx="32">
                  <c:v>61.548057354627531</c:v>
                </c:pt>
                <c:pt idx="33">
                  <c:v>61.354008335047283</c:v>
                </c:pt>
                <c:pt idx="34">
                  <c:v>61.160230293813029</c:v>
                </c:pt>
                <c:pt idx="35">
                  <c:v>60.966735118058295</c:v>
                </c:pt>
                <c:pt idx="36">
                  <c:v>60.773535174340942</c:v>
                </c:pt>
                <c:pt idx="37">
                  <c:v>60.580643324070749</c:v>
                </c:pt>
                <c:pt idx="38">
                  <c:v>60.38807293905986</c:v>
                </c:pt>
                <c:pt idx="39">
                  <c:v>60.195837917154201</c:v>
                </c:pt>
                <c:pt idx="40">
                  <c:v>60.003952697901433</c:v>
                </c:pt>
                <c:pt idx="41">
                  <c:v>59.812432278204291</c:v>
                </c:pt>
                <c:pt idx="42">
                  <c:v>59.621292227900888</c:v>
                </c:pt>
                <c:pt idx="43">
                  <c:v>59.430548705212743</c:v>
                </c:pt>
                <c:pt idx="44">
                  <c:v>59.240218471988769</c:v>
                </c:pt>
                <c:pt idx="45">
                  <c:v>59.050318908671201</c:v>
                </c:pt>
                <c:pt idx="46">
                  <c:v>58.860868028902075</c:v>
                </c:pt>
                <c:pt idx="47">
                  <c:v>58.671884493678299</c:v>
                </c:pt>
                <c:pt idx="48">
                  <c:v>58.483387624961061</c:v>
                </c:pt>
                <c:pt idx="49">
                  <c:v>58.295397418632511</c:v>
                </c:pt>
                <c:pt idx="50">
                  <c:v>58.107934556688079</c:v>
                </c:pt>
                <c:pt idx="51">
                  <c:v>57.921020418542469</c:v>
                </c:pt>
                <c:pt idx="52">
                  <c:v>57.734677091320819</c:v>
                </c:pt>
                <c:pt idx="53">
                  <c:v>57.548927378995188</c:v>
                </c:pt>
                <c:pt idx="54">
                  <c:v>57.363794810222132</c:v>
                </c:pt>
                <c:pt idx="55">
                  <c:v>57.179303644723667</c:v>
                </c:pt>
                <c:pt idx="56">
                  <c:v>56.995478878051046</c:v>
                </c:pt>
                <c:pt idx="57">
                  <c:v>56.812346244556771</c:v>
                </c:pt>
                <c:pt idx="58">
                  <c:v>56.629932218398913</c:v>
                </c:pt>
                <c:pt idx="59">
                  <c:v>56.448264012388208</c:v>
                </c:pt>
                <c:pt idx="60">
                  <c:v>56.267369574487418</c:v>
                </c:pt>
                <c:pt idx="61">
                  <c:v>56.087277581762336</c:v>
                </c:pt>
                <c:pt idx="62">
                  <c:v>55.908017431581676</c:v>
                </c:pt>
                <c:pt idx="63">
                  <c:v>55.729619229857477</c:v>
                </c:pt>
                <c:pt idx="64">
                  <c:v>55.552113776117523</c:v>
                </c:pt>
                <c:pt idx="65">
                  <c:v>55.37553254519689</c:v>
                </c:pt>
                <c:pt idx="66">
                  <c:v>55.199907665340604</c:v>
                </c:pt>
                <c:pt idx="67">
                  <c:v>55.02527189250884</c:v>
                </c:pt>
                <c:pt idx="68">
                  <c:v>54.851658580682738</c:v>
                </c:pt>
                <c:pt idx="69">
                  <c:v>54.679101647975855</c:v>
                </c:pt>
                <c:pt idx="70">
                  <c:v>54.507635538366166</c:v>
                </c:pt>
                <c:pt idx="71">
                  <c:v>54.33729517887528</c:v>
                </c:pt>
                <c:pt idx="72">
                  <c:v>54.168115932039484</c:v>
                </c:pt>
                <c:pt idx="73">
                  <c:v>54.000133543532868</c:v>
                </c:pt>
                <c:pt idx="74">
                  <c:v>53.833384084828218</c:v>
                </c:pt>
                <c:pt idx="75">
                  <c:v>53.667903890803224</c:v>
                </c:pt>
                <c:pt idx="76">
                  <c:v>53.503729492232949</c:v>
                </c:pt>
                <c:pt idx="77">
                  <c:v>53.34089754313613</c:v>
                </c:pt>
                <c:pt idx="78">
                  <c:v>53.179444742985773</c:v>
                </c:pt>
                <c:pt idx="79">
                  <c:v>53.019407753826926</c:v>
                </c:pt>
                <c:pt idx="80">
                  <c:v>52.860823112392204</c:v>
                </c:pt>
                <c:pt idx="81">
                  <c:v>52.703727137348544</c:v>
                </c:pt>
                <c:pt idx="82">
                  <c:v>52.548155831857031</c:v>
                </c:pt>
                <c:pt idx="83">
                  <c:v>52.394144781679529</c:v>
                </c:pt>
                <c:pt idx="84">
                  <c:v>52.241729049117168</c:v>
                </c:pt>
                <c:pt idx="85">
                  <c:v>52.09094306311853</c:v>
                </c:pt>
                <c:pt idx="86">
                  <c:v>51.941820505952819</c:v>
                </c:pt>
                <c:pt idx="87">
                  <c:v>51.794394196894686</c:v>
                </c:pt>
                <c:pt idx="88">
                  <c:v>51.648695973422072</c:v>
                </c:pt>
                <c:pt idx="89">
                  <c:v>51.504756570482286</c:v>
                </c:pt>
                <c:pt idx="90">
                  <c:v>51.362605498426952</c:v>
                </c:pt>
                <c:pt idx="91">
                  <c:v>51.222270920269246</c:v>
                </c:pt>
                <c:pt idx="92">
                  <c:v>51.083779528952078</c:v>
                </c:pt>
                <c:pt idx="93">
                  <c:v>50.947156425359026</c:v>
                </c:pt>
                <c:pt idx="94">
                  <c:v>50.812424997826341</c:v>
                </c:pt>
                <c:pt idx="95">
                  <c:v>50.679606803942576</c:v>
                </c:pt>
                <c:pt idx="96">
                  <c:v>50.548721455435469</c:v>
                </c:pt>
                <c:pt idx="97">
                  <c:v>50.419786506958424</c:v>
                </c:pt>
                <c:pt idx="98">
                  <c:v>50.292817349585107</c:v>
                </c:pt>
                <c:pt idx="99">
                  <c:v>50.167827109814837</c:v>
                </c:pt>
                <c:pt idx="100">
                  <c:v>50.044826554870667</c:v>
                </c:pt>
                <c:pt idx="101">
                  <c:v>49.923824005045951</c:v>
                </c:pt>
                <c:pt idx="102">
                  <c:v>49.80482525381673</c:v>
                </c:pt>
                <c:pt idx="103">
                  <c:v>49.687833496392997</c:v>
                </c:pt>
                <c:pt idx="104">
                  <c:v>49.572849267325545</c:v>
                </c:pt>
                <c:pt idx="105">
                  <c:v>49.459870387723214</c:v>
                </c:pt>
                <c:pt idx="106">
                  <c:v>49.348891922567503</c:v>
                </c:pt>
                <c:pt idx="107">
                  <c:v>49.239906148533052</c:v>
                </c:pt>
                <c:pt idx="108">
                  <c:v>49.13290253264536</c:v>
                </c:pt>
                <c:pt idx="109">
                  <c:v>49.027867722019622</c:v>
                </c:pt>
                <c:pt idx="110">
                  <c:v>48.924785544841676</c:v>
                </c:pt>
                <c:pt idx="111">
                  <c:v>48.823637022661217</c:v>
                </c:pt>
                <c:pt idx="112">
                  <c:v>48.724400393981462</c:v>
                </c:pt>
                <c:pt idx="113">
                  <c:v>48.627051149044711</c:v>
                </c:pt>
                <c:pt idx="114">
                  <c:v>48.531562075628088</c:v>
                </c:pt>
                <c:pt idx="115">
                  <c:v>48.437903315588606</c:v>
                </c:pt>
                <c:pt idx="116">
                  <c:v>48.346042431819207</c:v>
                </c:pt>
                <c:pt idx="117">
                  <c:v>48.255944485213689</c:v>
                </c:pt>
                <c:pt idx="118">
                  <c:v>48.167572121176548</c:v>
                </c:pt>
                <c:pt idx="119">
                  <c:v>48.080885665160828</c:v>
                </c:pt>
                <c:pt idx="120">
                  <c:v>47.995843226674133</c:v>
                </c:pt>
                <c:pt idx="121">
                  <c:v>47.91240081115351</c:v>
                </c:pt>
                <c:pt idx="122">
                  <c:v>47.830512439085226</c:v>
                </c:pt>
                <c:pt idx="123">
                  <c:v>47.750130271721829</c:v>
                </c:pt>
                <c:pt idx="124">
                  <c:v>47.671204742737771</c:v>
                </c:pt>
                <c:pt idx="125">
                  <c:v>47.593684695161549</c:v>
                </c:pt>
                <c:pt idx="126">
                  <c:v>47.517517522917849</c:v>
                </c:pt>
                <c:pt idx="127">
                  <c:v>47.442649316326978</c:v>
                </c:pt>
                <c:pt idx="128">
                  <c:v>47.369025010914456</c:v>
                </c:pt>
                <c:pt idx="129">
                  <c:v>47.296588538902711</c:v>
                </c:pt>
                <c:pt idx="130">
                  <c:v>47.225282982774246</c:v>
                </c:pt>
                <c:pt idx="131">
                  <c:v>47.155050730315182</c:v>
                </c:pt>
                <c:pt idx="132">
                  <c:v>47.085833630569141</c:v>
                </c:pt>
                <c:pt idx="133">
                  <c:v>47.017573150154803</c:v>
                </c:pt>
                <c:pt idx="134">
                  <c:v>46.950210529415209</c:v>
                </c:pt>
                <c:pt idx="135">
                  <c:v>46.883686937890175</c:v>
                </c:pt>
                <c:pt idx="136">
                  <c:v>46.817943628615879</c:v>
                </c:pt>
                <c:pt idx="137">
                  <c:v>46.752922090767768</c:v>
                </c:pt>
                <c:pt idx="138">
                  <c:v>46.6885642001725</c:v>
                </c:pt>
                <c:pt idx="139">
                  <c:v>46.624812367220457</c:v>
                </c:pt>
                <c:pt idx="140">
                  <c:v>46.561609681707978</c:v>
                </c:pt>
                <c:pt idx="141">
                  <c:v>46.498900054139327</c:v>
                </c:pt>
                <c:pt idx="142">
                  <c:v>46.43662835300853</c:v>
                </c:pt>
                <c:pt idx="143">
                  <c:v>46.374740537574006</c:v>
                </c:pt>
                <c:pt idx="144">
                  <c:v>46.313183785621881</c:v>
                </c:pt>
                <c:pt idx="145">
                  <c:v>46.251906615703497</c:v>
                </c:pt>
                <c:pt idx="146">
                  <c:v>46.190859003313378</c:v>
                </c:pt>
                <c:pt idx="147">
                  <c:v>46.129992490457937</c:v>
                </c:pt>
                <c:pt idx="148">
                  <c:v>46.069260288050344</c:v>
                </c:pt>
                <c:pt idx="149">
                  <c:v>46.008617370551654</c:v>
                </c:pt>
                <c:pt idx="150">
                  <c:v>45.948020562269285</c:v>
                </c:pt>
                <c:pt idx="151">
                  <c:v>45.887428614716008</c:v>
                </c:pt>
                <c:pt idx="152">
                  <c:v>45.826802274431998</c:v>
                </c:pt>
                <c:pt idx="153">
                  <c:v>45.766104340681267</c:v>
                </c:pt>
                <c:pt idx="154">
                  <c:v>45.705299712442255</c:v>
                </c:pt>
                <c:pt idx="155">
                  <c:v>45.644355424140983</c:v>
                </c:pt>
                <c:pt idx="156">
                  <c:v>45.58324066960337</c:v>
                </c:pt>
                <c:pt idx="157">
                  <c:v>45.521926813750106</c:v>
                </c:pt>
                <c:pt idx="158">
                  <c:v>45.460387391607114</c:v>
                </c:pt>
                <c:pt idx="159">
                  <c:v>45.398598094274732</c:v>
                </c:pt>
                <c:pt idx="160">
                  <c:v>45.336536741571521</c:v>
                </c:pt>
                <c:pt idx="161">
                  <c:v>45.274183241158362</c:v>
                </c:pt>
                <c:pt idx="162">
                  <c:v>45.211519534045266</c:v>
                </c:pt>
                <c:pt idx="163">
                  <c:v>45.148529526491579</c:v>
                </c:pt>
                <c:pt idx="164">
                  <c:v>45.085199008426983</c:v>
                </c:pt>
                <c:pt idx="165">
                  <c:v>45.021515558641639</c:v>
                </c:pt>
                <c:pt idx="166">
                  <c:v>44.957468437126565</c:v>
                </c:pt>
                <c:pt idx="167">
                  <c:v>44.893048465073228</c:v>
                </c:pt>
                <c:pt idx="168">
                  <c:v>44.828247893180148</c:v>
                </c:pt>
                <c:pt idx="169">
                  <c:v>44.763060259044721</c:v>
                </c:pt>
                <c:pt idx="170">
                  <c:v>44.697480234550582</c:v>
                </c:pt>
                <c:pt idx="171">
                  <c:v>44.631503464287043</c:v>
                </c:pt>
                <c:pt idx="172">
                  <c:v>44.565126396155257</c:v>
                </c:pt>
                <c:pt idx="173">
                  <c:v>44.498346105425036</c:v>
                </c:pt>
                <c:pt idx="174">
                  <c:v>44.431160113601635</c:v>
                </c:pt>
                <c:pt idx="175">
                  <c:v>44.3635662035501</c:v>
                </c:pt>
                <c:pt idx="176">
                  <c:v>44.295562232386189</c:v>
                </c:pt>
                <c:pt idx="177">
                  <c:v>44.227145943700833</c:v>
                </c:pt>
                <c:pt idx="178">
                  <c:v>44.158314780714448</c:v>
                </c:pt>
                <c:pt idx="179">
                  <c:v>44.089065701974597</c:v>
                </c:pt>
                <c:pt idx="180">
                  <c:v>44.019395001203996</c:v>
                </c:pt>
                <c:pt idx="181">
                  <c:v>43.949298132885218</c:v>
                </c:pt>
                <c:pt idx="182">
                  <c:v>43.87876954512268</c:v>
                </c:pt>
                <c:pt idx="183">
                  <c:v>43.807802521265089</c:v>
                </c:pt>
                <c:pt idx="184">
                  <c:v>43.736389031689242</c:v>
                </c:pt>
                <c:pt idx="185">
                  <c:v>43.664519597056056</c:v>
                </c:pt>
                <c:pt idx="186">
                  <c:v>43.592183164235905</c:v>
                </c:pt>
                <c:pt idx="187">
                  <c:v>43.519366995984242</c:v>
                </c:pt>
                <c:pt idx="188">
                  <c:v>43.446056575307573</c:v>
                </c:pt>
                <c:pt idx="189">
                  <c:v>43.372235525327199</c:v>
                </c:pt>
                <c:pt idx="190">
                  <c:v>43.2978855452901</c:v>
                </c:pt>
                <c:pt idx="191">
                  <c:v>43.222986363230966</c:v>
                </c:pt>
                <c:pt idx="192">
                  <c:v>43.147515705625345</c:v>
                </c:pt>
                <c:pt idx="193">
                  <c:v>43.071449284224776</c:v>
                </c:pt>
                <c:pt idx="194">
                  <c:v>42.994760800101361</c:v>
                </c:pt>
                <c:pt idx="195">
                  <c:v>42.917421964783841</c:v>
                </c:pt>
                <c:pt idx="196">
                  <c:v>42.839402538212937</c:v>
                </c:pt>
                <c:pt idx="197">
                  <c:v>42.760670383106643</c:v>
                </c:pt>
                <c:pt idx="198">
                  <c:v>42.681191535189726</c:v>
                </c:pt>
                <c:pt idx="199">
                  <c:v>42.600930288614109</c:v>
                </c:pt>
                <c:pt idx="200">
                  <c:v>42.51984929578267</c:v>
                </c:pt>
                <c:pt idx="201">
                  <c:v>42.43790968067966</c:v>
                </c:pt>
                <c:pt idx="202">
                  <c:v>42.355071164715234</c:v>
                </c:pt>
                <c:pt idx="203">
                  <c:v>42.271292204003188</c:v>
                </c:pt>
                <c:pt idx="204">
                  <c:v>42.186530136920048</c:v>
                </c:pt>
                <c:pt idx="205">
                  <c:v>42.100741340723182</c:v>
                </c:pt>
                <c:pt idx="206">
                  <c:v>42.013881395957846</c:v>
                </c:pt>
                <c:pt idx="207">
                  <c:v>41.92590525733511</c:v>
                </c:pt>
                <c:pt idx="208">
                  <c:v>41.836767429736085</c:v>
                </c:pt>
                <c:pt idx="209">
                  <c:v>41.746422147970172</c:v>
                </c:pt>
                <c:pt idx="210">
                  <c:v>41.654823558910621</c:v>
                </c:pt>
                <c:pt idx="211">
                  <c:v>41.56192590462566</c:v>
                </c:pt>
                <c:pt idx="212">
                  <c:v>41.467683705133581</c:v>
                </c:pt>
                <c:pt idx="213">
                  <c:v>41.372051939432225</c:v>
                </c:pt>
                <c:pt idx="214">
                  <c:v>41.274986223479182</c:v>
                </c:pt>
                <c:pt idx="215">
                  <c:v>41.176442983839948</c:v>
                </c:pt>
                <c:pt idx="216">
                  <c:v>41.076379625768872</c:v>
                </c:pt>
                <c:pt idx="217">
                  <c:v>40.974754694545616</c:v>
                </c:pt>
                <c:pt idx="218">
                  <c:v>40.871528028952667</c:v>
                </c:pt>
                <c:pt idx="219">
                  <c:v>40.766660905859773</c:v>
                </c:pt>
                <c:pt idx="220">
                  <c:v>40.660116174956528</c:v>
                </c:pt>
                <c:pt idx="221">
                  <c:v>40.551858382768515</c:v>
                </c:pt>
                <c:pt idx="222">
                  <c:v>40.441853885186333</c:v>
                </c:pt>
                <c:pt idx="223">
                  <c:v>40.330070947838593</c:v>
                </c:pt>
                <c:pt idx="224">
                  <c:v>40.216479833747705</c:v>
                </c:pt>
                <c:pt idx="225">
                  <c:v>40.101052877815803</c:v>
                </c:pt>
                <c:pt idx="226">
                  <c:v>39.983764547803993</c:v>
                </c:pt>
                <c:pt idx="227">
                  <c:v>39.864591491580754</c:v>
                </c:pt>
                <c:pt idx="228">
                  <c:v>39.743512570531692</c:v>
                </c:pt>
                <c:pt idx="229">
                  <c:v>39.620508879136722</c:v>
                </c:pt>
                <c:pt idx="230">
                  <c:v>39.495563750834293</c:v>
                </c:pt>
                <c:pt idx="231">
                  <c:v>39.368662750398123</c:v>
                </c:pt>
                <c:pt idx="232">
                  <c:v>39.239793653159097</c:v>
                </c:pt>
                <c:pt idx="233">
                  <c:v>39.108946411501378</c:v>
                </c:pt>
                <c:pt idx="234">
                  <c:v>38.976113109151861</c:v>
                </c:pt>
                <c:pt idx="235">
                  <c:v>38.841287903868817</c:v>
                </c:pt>
                <c:pt idx="236">
                  <c:v>38.704466959205789</c:v>
                </c:pt>
                <c:pt idx="237">
                  <c:v>38.56564836609585</c:v>
                </c:pt>
                <c:pt idx="238">
                  <c:v>38.424832055051866</c:v>
                </c:pt>
                <c:pt idx="239">
                  <c:v>38.28201969982927</c:v>
                </c:pt>
                <c:pt idx="240">
                  <c:v>38.137214613425996</c:v>
                </c:pt>
                <c:pt idx="241">
                  <c:v>37.990421637323443</c:v>
                </c:pt>
                <c:pt idx="242">
                  <c:v>37.841647024883514</c:v>
                </c:pt>
                <c:pt idx="243">
                  <c:v>37.690898319821983</c:v>
                </c:pt>
                <c:pt idx="244">
                  <c:v>37.538184230673608</c:v>
                </c:pt>
                <c:pt idx="245">
                  <c:v>37.383514502150341</c:v>
                </c:pt>
                <c:pt idx="246">
                  <c:v>37.226899784272838</c:v>
                </c:pt>
                <c:pt idx="247">
                  <c:v>37.068351500126781</c:v>
                </c:pt>
                <c:pt idx="248">
                  <c:v>36.907881713061606</c:v>
                </c:pt>
                <c:pt idx="249">
                  <c:v>36.745502994108023</c:v>
                </c:pt>
                <c:pt idx="250">
                  <c:v>36.581228290349031</c:v>
                </c:pt>
                <c:pt idx="251">
                  <c:v>36.415070794929591</c:v>
                </c:pt>
                <c:pt idx="252">
                  <c:v>36.247043819341862</c:v>
                </c:pt>
                <c:pt idx="253">
                  <c:v>36.077160668573228</c:v>
                </c:pt>
                <c:pt idx="254">
                  <c:v>35.905434519649859</c:v>
                </c:pt>
                <c:pt idx="255">
                  <c:v>35.731878304061283</c:v>
                </c:pt>
                <c:pt idx="256">
                  <c:v>35.556504594498072</c:v>
                </c:pt>
                <c:pt idx="257">
                  <c:v>35.379325496288502</c:v>
                </c:pt>
                <c:pt idx="258">
                  <c:v>35.200352543873159</c:v>
                </c:pt>
                <c:pt idx="259">
                  <c:v>35.019596602611394</c:v>
                </c:pt>
                <c:pt idx="260">
                  <c:v>34.837067776175417</c:v>
                </c:pt>
                <c:pt idx="261">
                  <c:v>34.652775319748102</c:v>
                </c:pt>
                <c:pt idx="262">
                  <c:v>34.466727559206916</c:v>
                </c:pt>
                <c:pt idx="263">
                  <c:v>34.27893181644734</c:v>
                </c:pt>
                <c:pt idx="264">
                  <c:v>34.089394340969491</c:v>
                </c:pt>
                <c:pt idx="265">
                  <c:v>33.898120247830533</c:v>
                </c:pt>
                <c:pt idx="266">
                  <c:v>33.705113462043244</c:v>
                </c:pt>
                <c:pt idx="267">
                  <c:v>33.510376669486234</c:v>
                </c:pt>
                <c:pt idx="268">
                  <c:v>33.313911274373545</c:v>
                </c:pt>
                <c:pt idx="269">
                  <c:v>33.115717363324826</c:v>
                </c:pt>
                <c:pt idx="270">
                  <c:v>32.915793676062314</c:v>
                </c:pt>
                <c:pt idx="271">
                  <c:v>32.714137582758788</c:v>
                </c:pt>
                <c:pt idx="272">
                  <c:v>32.510745068050419</c:v>
                </c:pt>
                <c:pt idx="273">
                  <c:v>32.305610721727419</c:v>
                </c:pt>
                <c:pt idx="274">
                  <c:v>32.098727736108536</c:v>
                </c:pt>
                <c:pt idx="275">
                  <c:v>31.890087910104139</c:v>
                </c:pt>
                <c:pt idx="276">
                  <c:v>31.679681659966832</c:v>
                </c:pt>
                <c:pt idx="277">
                  <c:v>31.467498036725022</c:v>
                </c:pt>
                <c:pt idx="278">
                  <c:v>31.253524750290911</c:v>
                </c:pt>
                <c:pt idx="279">
                  <c:v>31.037748200224339</c:v>
                </c:pt>
                <c:pt idx="280">
                  <c:v>30.820153513128187</c:v>
                </c:pt>
                <c:pt idx="281">
                  <c:v>30.600724586639391</c:v>
                </c:pt>
                <c:pt idx="282">
                  <c:v>30.379444139965912</c:v>
                </c:pt>
                <c:pt idx="283">
                  <c:v>30.156293770905819</c:v>
                </c:pt>
                <c:pt idx="284">
                  <c:v>29.931254019263104</c:v>
                </c:pt>
                <c:pt idx="285">
                  <c:v>29.704304436555951</c:v>
                </c:pt>
                <c:pt idx="286">
                  <c:v>29.475423661886229</c:v>
                </c:pt>
                <c:pt idx="287">
                  <c:v>29.244589503810499</c:v>
                </c:pt>
                <c:pt idx="288">
                  <c:v>29.011779028022367</c:v>
                </c:pt>
                <c:pt idx="289">
                  <c:v>28.776968650620219</c:v>
                </c:pt>
                <c:pt idx="290">
                  <c:v>28.540134236696755</c:v>
                </c:pt>
                <c:pt idx="291">
                  <c:v>28.301251203947849</c:v>
                </c:pt>
                <c:pt idx="292">
                  <c:v>28.060294630952221</c:v>
                </c:pt>
                <c:pt idx="293">
                  <c:v>27.817239369734438</c:v>
                </c:pt>
                <c:pt idx="294">
                  <c:v>27.572060162171507</c:v>
                </c:pt>
                <c:pt idx="295">
                  <c:v>27.324731759764077</c:v>
                </c:pt>
                <c:pt idx="296">
                  <c:v>27.075229046239468</c:v>
                </c:pt>
                <c:pt idx="297">
                  <c:v>26.823527162416628</c:v>
                </c:pt>
                <c:pt idx="298">
                  <c:v>26.569601632711802</c:v>
                </c:pt>
                <c:pt idx="299">
                  <c:v>26.313428492627647</c:v>
                </c:pt>
                <c:pt idx="300">
                  <c:v>26.054984416529532</c:v>
                </c:pt>
                <c:pt idx="301">
                  <c:v>25.79424684497792</c:v>
                </c:pt>
                <c:pt idx="302">
                  <c:v>25.531194110862</c:v>
                </c:pt>
                <c:pt idx="303">
                  <c:v>25.26580556355006</c:v>
                </c:pt>
                <c:pt idx="304">
                  <c:v>24.998061690269353</c:v>
                </c:pt>
                <c:pt idx="305">
                  <c:v>24.727944233907163</c:v>
                </c:pt>
                <c:pt idx="306">
                  <c:v>24.455436306437175</c:v>
                </c:pt>
                <c:pt idx="307">
                  <c:v>24.180522497179489</c:v>
                </c:pt>
                <c:pt idx="308">
                  <c:v>23.903188975122465</c:v>
                </c:pt>
                <c:pt idx="309">
                  <c:v>23.623423584564335</c:v>
                </c:pt>
                <c:pt idx="310">
                  <c:v>23.341215933370233</c:v>
                </c:pt>
                <c:pt idx="311">
                  <c:v>23.056557473184846</c:v>
                </c:pt>
                <c:pt idx="312">
                  <c:v>22.769441571000101</c:v>
                </c:pt>
                <c:pt idx="313">
                  <c:v>22.479863571539926</c:v>
                </c:pt>
                <c:pt idx="314">
                  <c:v>22.187820849994985</c:v>
                </c:pt>
                <c:pt idx="315">
                  <c:v>21.893312854720431</c:v>
                </c:pt>
                <c:pt idx="316">
                  <c:v>21.59634113959228</c:v>
                </c:pt>
                <c:pt idx="317">
                  <c:v>21.296909385808348</c:v>
                </c:pt>
                <c:pt idx="318">
                  <c:v>20.995023413007768</c:v>
                </c:pt>
                <c:pt idx="319">
                  <c:v>20.690691179682826</c:v>
                </c:pt>
                <c:pt idx="320">
                  <c:v>20.383922772942395</c:v>
                </c:pt>
                <c:pt idx="321">
                  <c:v>20.074730387787486</c:v>
                </c:pt>
                <c:pt idx="322">
                  <c:v>19.763128296144284</c:v>
                </c:pt>
                <c:pt idx="323">
                  <c:v>19.449132805988263</c:v>
                </c:pt>
                <c:pt idx="324">
                  <c:v>19.132762210975905</c:v>
                </c:pt>
                <c:pt idx="325">
                  <c:v>18.814036731074857</c:v>
                </c:pt>
                <c:pt idx="326">
                  <c:v>18.492978444751767</c:v>
                </c:pt>
                <c:pt idx="327">
                  <c:v>18.169611213338523</c:v>
                </c:pt>
                <c:pt idx="328">
                  <c:v>17.843960598248042</c:v>
                </c:pt>
                <c:pt idx="329">
                  <c:v>17.516053771752802</c:v>
                </c:pt>
                <c:pt idx="330">
                  <c:v>17.185919422077628</c:v>
                </c:pt>
                <c:pt idx="331">
                  <c:v>16.853587653572617</c:v>
                </c:pt>
                <c:pt idx="332">
                  <c:v>16.51908988275536</c:v>
                </c:pt>
                <c:pt idx="333">
                  <c:v>16.182458731010062</c:v>
                </c:pt>
                <c:pt idx="334">
                  <c:v>15.843727914731263</c:v>
                </c:pt>
                <c:pt idx="335">
                  <c:v>15.502932133683892</c:v>
                </c:pt>
                <c:pt idx="336">
                  <c:v>15.160106958336064</c:v>
                </c:pt>
                <c:pt idx="337">
                  <c:v>14.815288716887922</c:v>
                </c:pt>
                <c:pt idx="338">
                  <c:v>14.468514382692184</c:v>
                </c:pt>
                <c:pt idx="339">
                  <c:v>14.119821462722621</c:v>
                </c:pt>
                <c:pt idx="340">
                  <c:v>13.76924788770088</c:v>
                </c:pt>
                <c:pt idx="341">
                  <c:v>13.416831904450838</c:v>
                </c:pt>
                <c:pt idx="342">
                  <c:v>13.062611970997988</c:v>
                </c:pt>
                <c:pt idx="343">
                  <c:v>12.706626654882847</c:v>
                </c:pt>
                <c:pt idx="344">
                  <c:v>12.348914535107088</c:v>
                </c:pt>
                <c:pt idx="345">
                  <c:v>11.989514108077117</c:v>
                </c:pt>
                <c:pt idx="346">
                  <c:v>11.628463697865694</c:v>
                </c:pt>
                <c:pt idx="347">
                  <c:v>11.26580137105684</c:v>
                </c:pt>
                <c:pt idx="348">
                  <c:v>10.901564856397975</c:v>
                </c:pt>
                <c:pt idx="349">
                  <c:v>10.535791469435088</c:v>
                </c:pt>
                <c:pt idx="350">
                  <c:v>10.168518042267326</c:v>
                </c:pt>
                <c:pt idx="351">
                  <c:v>9.7997808585181811</c:v>
                </c:pt>
                <c:pt idx="352">
                  <c:v>9.4296155935842023</c:v>
                </c:pt>
                <c:pt idx="353">
                  <c:v>9.0580572601932712</c:v>
                </c:pt>
                <c:pt idx="354">
                  <c:v>8.6851401592704374</c:v>
                </c:pt>
                <c:pt idx="355">
                  <c:v>8.3108978360941954</c:v>
                </c:pt>
                <c:pt idx="356">
                  <c:v>7.9353630416934786</c:v>
                </c:pt>
                <c:pt idx="357">
                  <c:v>7.558567699427301</c:v>
                </c:pt>
                <c:pt idx="358">
                  <c:v>7.180542876670339</c:v>
                </c:pt>
                <c:pt idx="359">
                  <c:v>6.8013187615174386</c:v>
                </c:pt>
                <c:pt idx="360">
                  <c:v>6.4209246444101122</c:v>
                </c:pt>
                <c:pt idx="361">
                  <c:v>6.0393889045878186</c:v>
                </c:pt>
                <c:pt idx="362">
                  <c:v>5.6567390012565744</c:v>
                </c:pt>
                <c:pt idx="363">
                  <c:v>5.2730014693731295</c:v>
                </c:pt>
                <c:pt idx="364">
                  <c:v>4.8882019199392612</c:v>
                </c:pt>
                <c:pt idx="365">
                  <c:v>4.5023650447086965</c:v>
                </c:pt>
                <c:pt idx="366">
                  <c:v>4.1155146252066102</c:v>
                </c:pt>
                <c:pt idx="367">
                  <c:v>3.7276735459744481</c:v>
                </c:pt>
                <c:pt idx="368">
                  <c:v>3.3388638119524221</c:v>
                </c:pt>
                <c:pt idx="369">
                  <c:v>2.9491065699236572</c:v>
                </c:pt>
                <c:pt idx="370">
                  <c:v>2.5584221339458306</c:v>
                </c:pt>
                <c:pt idx="371">
                  <c:v>2.1668300147082977</c:v>
                </c:pt>
                <c:pt idx="372">
                  <c:v>1.7743489527515774</c:v>
                </c:pt>
                <c:pt idx="373">
                  <c:v>1.3809969555008288</c:v>
                </c:pt>
                <c:pt idx="374">
                  <c:v>0.98679133805946051</c:v>
                </c:pt>
                <c:pt idx="375">
                  <c:v>0.59174876772027141</c:v>
                </c:pt>
                <c:pt idx="376">
                  <c:v>0.19588531214848245</c:v>
                </c:pt>
                <c:pt idx="377">
                  <c:v>-0.20078350880630202</c:v>
                </c:pt>
                <c:pt idx="378">
                  <c:v>-0.59824266771692824</c:v>
                </c:pt>
                <c:pt idx="379">
                  <c:v>-0.99647757065344433</c:v>
                </c:pt>
                <c:pt idx="380">
                  <c:v>-1.3954739947833692</c:v>
                </c:pt>
                <c:pt idx="381">
                  <c:v>-1.7952180225634642</c:v>
                </c:pt>
                <c:pt idx="382">
                  <c:v>-2.1956959726030152</c:v>
                </c:pt>
                <c:pt idx="383">
                  <c:v>-2.5968943272886955</c:v>
                </c:pt>
                <c:pt idx="384">
                  <c:v>-2.9987996572858071</c:v>
                </c:pt>
                <c:pt idx="385">
                  <c:v>-3.4013985430451403</c:v>
                </c:pt>
                <c:pt idx="386">
                  <c:v>-3.8046774934714778</c:v>
                </c:pt>
                <c:pt idx="387">
                  <c:v>-4.2086228619375756</c:v>
                </c:pt>
                <c:pt idx="388">
                  <c:v>-4.613220759853732</c:v>
                </c:pt>
                <c:pt idx="389">
                  <c:v>-5.0184569680374205</c:v>
                </c:pt>
                <c:pt idx="390">
                  <c:v>-5.4243168461609494</c:v>
                </c:pt>
                <c:pt idx="391">
                  <c:v>-5.8307852405928955</c:v>
                </c:pt>
                <c:pt idx="392">
                  <c:v>-6.2378463909844397</c:v>
                </c:pt>
                <c:pt idx="393">
                  <c:v>-6.6454838359940194</c:v>
                </c:pt>
                <c:pt idx="394">
                  <c:v>-7.0536803185808639</c:v>
                </c:pt>
                <c:pt idx="395">
                  <c:v>-7.4624176913393692</c:v>
                </c:pt>
                <c:pt idx="396">
                  <c:v>-7.8716768223845444</c:v>
                </c:pt>
                <c:pt idx="397">
                  <c:v>-8.2814375023357467</c:v>
                </c:pt>
                <c:pt idx="398">
                  <c:v>-8.6916783529817607</c:v>
                </c:pt>
                <c:pt idx="399">
                  <c:v>-9.1023767382410199</c:v>
                </c:pt>
                <c:pt idx="400">
                  <c:v>-9.5135086780589084</c:v>
                </c:pt>
                <c:pt idx="401">
                  <c:v>-9.9250487659065847</c:v>
                </c:pt>
                <c:pt idx="402">
                  <c:v>-10.336970090560744</c:v>
                </c:pt>
                <c:pt idx="403">
                  <c:v>-10.749244162856478</c:v>
                </c:pt>
                <c:pt idx="404">
                  <c:v>-11.161840848103504</c:v>
                </c:pt>
                <c:pt idx="405">
                  <c:v>-11.574728304851536</c:v>
                </c:pt>
                <c:pt idx="406">
                  <c:v>-11.987872930675596</c:v>
                </c:pt>
                <c:pt idx="407">
                  <c:v>-12.401239315623888</c:v>
                </c:pt>
                <c:pt idx="408">
                  <c:v>-12.814790203940232</c:v>
                </c:pt>
                <c:pt idx="409">
                  <c:v>-13.228486464623675</c:v>
                </c:pt>
                <c:pt idx="410">
                  <c:v>-13.642287071336055</c:v>
                </c:pt>
                <c:pt idx="411">
                  <c:v>-14.056149092101041</c:v>
                </c:pt>
                <c:pt idx="412">
                  <c:v>-14.470027689168303</c:v>
                </c:pt>
                <c:pt idx="413">
                  <c:v>-14.883876129329041</c:v>
                </c:pt>
                <c:pt idx="414">
                  <c:v>-15.297645804884926</c:v>
                </c:pt>
                <c:pt idx="415">
                  <c:v>-15.711286265373721</c:v>
                </c:pt>
                <c:pt idx="416">
                  <c:v>-16.124745260055565</c:v>
                </c:pt>
                <c:pt idx="417">
                  <c:v>-16.537968791059608</c:v>
                </c:pt>
                <c:pt idx="418">
                  <c:v>-16.950901176989952</c:v>
                </c:pt>
                <c:pt idx="419">
                  <c:v>-17.363485126679102</c:v>
                </c:pt>
                <c:pt idx="420">
                  <c:v>-17.775661822682849</c:v>
                </c:pt>
                <c:pt idx="421">
                  <c:v>-18.187371014007915</c:v>
                </c:pt>
                <c:pt idx="422">
                  <c:v>-18.598551117475775</c:v>
                </c:pt>
                <c:pt idx="423">
                  <c:v>-19.009139327045613</c:v>
                </c:pt>
                <c:pt idx="424">
                  <c:v>-19.419071730340022</c:v>
                </c:pt>
                <c:pt idx="425">
                  <c:v>-19.828283431566248</c:v>
                </c:pt>
                <c:pt idx="426">
                  <c:v>-20.236708679969226</c:v>
                </c:pt>
                <c:pt idx="427">
                  <c:v>-20.644281002920156</c:v>
                </c:pt>
                <c:pt idx="428">
                  <c:v>-21.050933342726296</c:v>
                </c:pt>
                <c:pt idx="429">
                  <c:v>-21.456598196243878</c:v>
                </c:pt>
                <c:pt idx="430">
                  <c:v>-21.861207756373361</c:v>
                </c:pt>
                <c:pt idx="431">
                  <c:v>-22.264694054557008</c:v>
                </c:pt>
                <c:pt idx="432">
                  <c:v>-22.666989103418494</c:v>
                </c:pt>
                <c:pt idx="433">
                  <c:v>-23.06802503874524</c:v>
                </c:pt>
                <c:pt idx="434">
                  <c:v>-23.467734260066226</c:v>
                </c:pt>
                <c:pt idx="435">
                  <c:v>-23.866049569149986</c:v>
                </c:pt>
                <c:pt idx="436">
                  <c:v>-24.262904305825167</c:v>
                </c:pt>
                <c:pt idx="437">
                  <c:v>-24.658232480604475</c:v>
                </c:pt>
                <c:pt idx="438">
                  <c:v>-25.051968903680908</c:v>
                </c:pt>
                <c:pt idx="439">
                  <c:v>-25.444049309949737</c:v>
                </c:pt>
                <c:pt idx="440">
                  <c:v>-25.834410479795903</c:v>
                </c:pt>
                <c:pt idx="441">
                  <c:v>-26.222990355468593</c:v>
                </c:pt>
                <c:pt idx="442">
                  <c:v>-26.609728152940558</c:v>
                </c:pt>
                <c:pt idx="443">
                  <c:v>-26.994564469221878</c:v>
                </c:pt>
                <c:pt idx="444">
                  <c:v>-27.377441385160083</c:v>
                </c:pt>
                <c:pt idx="445">
                  <c:v>-27.758302563809035</c:v>
                </c:pt>
                <c:pt idx="446">
                  <c:v>-28.137093344493401</c:v>
                </c:pt>
                <c:pt idx="447">
                  <c:v>-28.513760832725463</c:v>
                </c:pt>
                <c:pt idx="448">
                  <c:v>-28.888253986151248</c:v>
                </c:pt>
                <c:pt idx="449">
                  <c:v>-29.260523696707885</c:v>
                </c:pt>
                <c:pt idx="450">
                  <c:v>-29.630522869178883</c:v>
                </c:pt>
                <c:pt idx="451">
                  <c:v>-29.998206496308192</c:v>
                </c:pt>
                <c:pt idx="452">
                  <c:v>-30.363531730623883</c:v>
                </c:pt>
                <c:pt idx="453">
                  <c:v>-30.726457953079795</c:v>
                </c:pt>
                <c:pt idx="454">
                  <c:v>-31.086946838591992</c:v>
                </c:pt>
                <c:pt idx="455">
                  <c:v>-31.44496241849658</c:v>
                </c:pt>
                <c:pt idx="456">
                  <c:v>-31.800471139912325</c:v>
                </c:pt>
                <c:pt idx="457">
                  <c:v>-32.153441921936441</c:v>
                </c:pt>
                <c:pt idx="458">
                  <c:v>-32.503846208552758</c:v>
                </c:pt>
                <c:pt idx="459">
                  <c:v>-32.851658018081693</c:v>
                </c:pt>
                <c:pt idx="460">
                  <c:v>-33.196853988953407</c:v>
                </c:pt>
                <c:pt idx="461">
                  <c:v>-33.53941342154269</c:v>
                </c:pt>
                <c:pt idx="462">
                  <c:v>-33.879318315770021</c:v>
                </c:pt>
                <c:pt idx="463">
                  <c:v>-34.216553404140875</c:v>
                </c:pt>
                <c:pt idx="464">
                  <c:v>-34.551106179876562</c:v>
                </c:pt>
                <c:pt idx="465">
                  <c:v>-34.88296691977559</c:v>
                </c:pt>
                <c:pt idx="466">
                  <c:v>-35.212128701446375</c:v>
                </c:pt>
                <c:pt idx="467">
                  <c:v>-35.538587414554158</c:v>
                </c:pt>
                <c:pt idx="468">
                  <c:v>-35.862341765748255</c:v>
                </c:pt>
                <c:pt idx="469">
                  <c:v>-36.183393276958554</c:v>
                </c:pt>
                <c:pt idx="470">
                  <c:v>-36.501746276791145</c:v>
                </c:pt>
                <c:pt idx="471">
                  <c:v>-36.817407884795507</c:v>
                </c:pt>
                <c:pt idx="472">
                  <c:v>-37.130387988427628</c:v>
                </c:pt>
                <c:pt idx="473">
                  <c:v>-37.440699212599284</c:v>
                </c:pt>
                <c:pt idx="474">
                  <c:v>-37.748356881760515</c:v>
                </c:pt>
                <c:pt idx="475">
                  <c:v>-38.053378974536948</c:v>
                </c:pt>
                <c:pt idx="476">
                  <c:v>-38.355786071012389</c:v>
                </c:pt>
                <c:pt idx="477">
                  <c:v>-38.655601292821999</c:v>
                </c:pt>
                <c:pt idx="478">
                  <c:v>-38.95285023628864</c:v>
                </c:pt>
                <c:pt idx="479">
                  <c:v>-39.247560898911729</c:v>
                </c:pt>
                <c:pt idx="480">
                  <c:v>-39.539763599578407</c:v>
                </c:pt>
                <c:pt idx="481">
                  <c:v>-39.8294908929333</c:v>
                </c:pt>
                <c:pt idx="482">
                  <c:v>-40.116777478399044</c:v>
                </c:pt>
                <c:pt idx="483">
                  <c:v>-40.401660104387943</c:v>
                </c:pt>
                <c:pt idx="484">
                  <c:v>-40.684177468292582</c:v>
                </c:pt>
                <c:pt idx="485">
                  <c:v>-40.964370112872494</c:v>
                </c:pt>
                <c:pt idx="486">
                  <c:v>-41.242280319686337</c:v>
                </c:pt>
                <c:pt idx="487">
                  <c:v>-41.517952000233905</c:v>
                </c:pt>
                <c:pt idx="488">
                  <c:v>-41.79143058548167</c:v>
                </c:pt>
                <c:pt idx="489">
                  <c:v>-42.062762914451497</c:v>
                </c:pt>
                <c:pt idx="490">
                  <c:v>-42.33199712253959</c:v>
                </c:pt>
                <c:pt idx="491">
                  <c:v>-42.599182530222215</c:v>
                </c:pt>
                <c:pt idx="492">
                  <c:v>-42.864369532783726</c:v>
                </c:pt>
                <c:pt idx="493">
                  <c:v>-43.127609491672189</c:v>
                </c:pt>
                <c:pt idx="494">
                  <c:v>-43.388954628057739</c:v>
                </c:pt>
                <c:pt idx="495">
                  <c:v>-43.648457919127502</c:v>
                </c:pt>
                <c:pt idx="496">
                  <c:v>-43.906172997614206</c:v>
                </c:pt>
                <c:pt idx="497">
                  <c:v>-44.162154055002524</c:v>
                </c:pt>
                <c:pt idx="498">
                  <c:v>-44.41645574881889</c:v>
                </c:pt>
                <c:pt idx="499">
                  <c:v>-44.669133114353691</c:v>
                </c:pt>
                <c:pt idx="500">
                  <c:v>-44.920241481119888</c:v>
                </c:pt>
                <c:pt idx="501">
                  <c:v>-45.16983639430034</c:v>
                </c:pt>
                <c:pt idx="502">
                  <c:v>-45.417973541387404</c:v>
                </c:pt>
                <c:pt idx="503">
                  <c:v>-45.664708684168794</c:v>
                </c:pt>
                <c:pt idx="504">
                  <c:v>-45.910097596171049</c:v>
                </c:pt>
                <c:pt idx="505">
                  <c:v>-46.154196005622119</c:v>
                </c:pt>
                <c:pt idx="506">
                  <c:v>-46.397059543956146</c:v>
                </c:pt>
                <c:pt idx="507">
                  <c:v>-46.63874369984417</c:v>
                </c:pt>
                <c:pt idx="508">
                  <c:v>-46.879303778695053</c:v>
                </c:pt>
                <c:pt idx="509">
                  <c:v>-47.118794867539428</c:v>
                </c:pt>
                <c:pt idx="510">
                  <c:v>-47.357271805178598</c:v>
                </c:pt>
                <c:pt idx="511">
                  <c:v>-47.594789157451338</c:v>
                </c:pt>
                <c:pt idx="512">
                  <c:v>-47.831401197447676</c:v>
                </c:pt>
                <c:pt idx="513">
                  <c:v>-48.067161890477379</c:v>
                </c:pt>
                <c:pt idx="514">
                  <c:v>-48.302124883578927</c:v>
                </c:pt>
                <c:pt idx="515">
                  <c:v>-48.536343499342649</c:v>
                </c:pt>
                <c:pt idx="516">
                  <c:v>-48.769870733802605</c:v>
                </c:pt>
                <c:pt idx="517">
                  <c:v>-49.002759258142788</c:v>
                </c:pt>
                <c:pt idx="518">
                  <c:v>-49.235061423953809</c:v>
                </c:pt>
                <c:pt idx="519">
                  <c:v>-49.466829271763743</c:v>
                </c:pt>
                <c:pt idx="520">
                  <c:v>-49.698114542566501</c:v>
                </c:pt>
                <c:pt idx="521">
                  <c:v>-49.928968692059847</c:v>
                </c:pt>
                <c:pt idx="522">
                  <c:v>-50.159442907305156</c:v>
                </c:pt>
                <c:pt idx="523">
                  <c:v>-50.389588125516084</c:v>
                </c:pt>
                <c:pt idx="524">
                  <c:v>-50.619455054682533</c:v>
                </c:pt>
                <c:pt idx="525">
                  <c:v>-50.84909419573323</c:v>
                </c:pt>
                <c:pt idx="526">
                  <c:v>-51.078555865938981</c:v>
                </c:pt>
                <c:pt idx="527">
                  <c:v>-51.307890223262092</c:v>
                </c:pt>
                <c:pt idx="528">
                  <c:v>-51.537147291350351</c:v>
                </c:pt>
                <c:pt idx="529">
                  <c:v>-51.766376984882719</c:v>
                </c:pt>
                <c:pt idx="530">
                  <c:v>-51.995629134963409</c:v>
                </c:pt>
                <c:pt idx="531">
                  <c:v>-52.224953514272904</c:v>
                </c:pt>
                <c:pt idx="532">
                  <c:v>-52.454399861675199</c:v>
                </c:pt>
                <c:pt idx="533">
                  <c:v>-52.684017905988156</c:v>
                </c:pt>
                <c:pt idx="534">
                  <c:v>-52.913857388620293</c:v>
                </c:pt>
                <c:pt idx="535">
                  <c:v>-53.14396808478147</c:v>
                </c:pt>
                <c:pt idx="536">
                  <c:v>-53.374399822973388</c:v>
                </c:pt>
                <c:pt idx="537">
                  <c:v>-53.605202502472508</c:v>
                </c:pt>
                <c:pt idx="538">
                  <c:v>-53.836426108514758</c:v>
                </c:pt>
                <c:pt idx="539">
                  <c:v>-54.068120724899195</c:v>
                </c:pt>
                <c:pt idx="540">
                  <c:v>-54.300336543730367</c:v>
                </c:pt>
                <c:pt idx="541">
                  <c:v>-54.533123872024021</c:v>
                </c:pt>
              </c:numCache>
            </c:numRef>
          </c:yVal>
          <c:smooth val="1"/>
          <c:extLst>
            <c:ext xmlns:c16="http://schemas.microsoft.com/office/drawing/2014/chart" uri="{C3380CC4-5D6E-409C-BE32-E72D297353CC}">
              <c16:uniqueId val="{00000000-6EEA-4C24-9D63-321FEB960B8F}"/>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6EEA-4C24-9D63-321FEB960B8F}"/>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EEA-4C24-9D63-321FEB960B8F}"/>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CCM_Loop_Modeling!$O$11</c:f>
              <c:numCache>
                <c:formatCode>0</c:formatCode>
                <c:ptCount val="1"/>
                <c:pt idx="0">
                  <c:v>1858.3680119847779</c:v>
                </c:pt>
              </c:numCache>
            </c:numRef>
          </c:xVal>
          <c:yVal>
            <c:numRef>
              <c:f>[0]!Loop_f_LP_gain</c:f>
              <c:numCache>
                <c:formatCode>0.000</c:formatCode>
                <c:ptCount val="1"/>
                <c:pt idx="0">
                  <c:v>39.994022841506066</c:v>
                </c:pt>
              </c:numCache>
            </c:numRef>
          </c:yVal>
          <c:smooth val="0"/>
          <c:extLst>
            <c:ext xmlns:c16="http://schemas.microsoft.com/office/drawing/2014/chart" uri="{C3380CC4-5D6E-409C-BE32-E72D297353CC}">
              <c16:uniqueId val="{00000002-6EEA-4C24-9D63-321FEB960B8F}"/>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6EEA-4C24-9D63-321FEB960B8F}"/>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CCM_Loop_Modeling!$O$9</c:f>
              <c:numCache>
                <c:formatCode>0</c:formatCode>
                <c:ptCount val="1"/>
                <c:pt idx="0">
                  <c:v>215034.71171423368</c:v>
                </c:pt>
              </c:numCache>
            </c:numRef>
          </c:xVal>
          <c:yVal>
            <c:numRef>
              <c:f>[0]!Loop_fz_rhp_gain</c:f>
              <c:numCache>
                <c:formatCode>0.000</c:formatCode>
                <c:ptCount val="1"/>
                <c:pt idx="0">
                  <c:v>-22.767712781576304</c:v>
                </c:pt>
              </c:numCache>
            </c:numRef>
          </c:yVal>
          <c:smooth val="1"/>
          <c:extLst>
            <c:ext xmlns:c16="http://schemas.microsoft.com/office/drawing/2014/chart" uri="{C3380CC4-5D6E-409C-BE32-E72D297353CC}">
              <c16:uniqueId val="{00000004-6EEA-4C24-9D63-321FEB960B8F}"/>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6EEA-4C24-9D63-321FEB960B8F}"/>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6EEA-4C24-9D63-321FEB960B8F}"/>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CCM_Loop_Modeling!$O$10</c:f>
              <c:numCache>
                <c:formatCode>0</c:formatCode>
                <c:ptCount val="1"/>
                <c:pt idx="0">
                  <c:v>530516.4769729845</c:v>
                </c:pt>
              </c:numCache>
            </c:numRef>
          </c:xVal>
          <c:yVal>
            <c:numRef>
              <c:f>[0]!Loop_f_esr_gain</c:f>
              <c:numCache>
                <c:formatCode>0.000</c:formatCode>
                <c:ptCount val="1"/>
                <c:pt idx="0">
                  <c:v>-36.964806648808157</c:v>
                </c:pt>
              </c:numCache>
            </c:numRef>
          </c:yVal>
          <c:smooth val="1"/>
          <c:extLst>
            <c:ext xmlns:c16="http://schemas.microsoft.com/office/drawing/2014/chart" uri="{C3380CC4-5D6E-409C-BE32-E72D297353CC}">
              <c16:uniqueId val="{00000006-6EEA-4C24-9D63-321FEB960B8F}"/>
            </c:ext>
          </c:extLst>
        </c:ser>
        <c:ser>
          <c:idx val="5"/>
          <c:order val="5"/>
          <c:tx>
            <c:v>fz_ea</c:v>
          </c:tx>
          <c:marker>
            <c:symbol val="circle"/>
            <c:size val="8"/>
            <c:spPr>
              <a:noFill/>
              <a:ln w="25400">
                <a:solidFill>
                  <a:srgbClr val="00B0F0"/>
                </a:solidFill>
              </a:ln>
            </c:spPr>
          </c:marker>
          <c:dLbls>
            <c:dLbl>
              <c:idx val="0"/>
              <c:spPr/>
              <c:txPr>
                <a:bodyPr/>
                <a:lstStyle/>
                <a:p>
                  <a:pPr>
                    <a:defRPr/>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6EEA-4C24-9D63-321FEB960B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CCM_Loop_Modeling!$O$12</c:f>
              <c:numCache>
                <c:formatCode>General</c:formatCode>
                <c:ptCount val="1"/>
                <c:pt idx="0">
                  <c:v>723.43155950861512</c:v>
                </c:pt>
              </c:numCache>
            </c:numRef>
          </c:xVal>
          <c:yVal>
            <c:numRef>
              <c:f>[0]!Loop_fz_ea_gain</c:f>
              <c:numCache>
                <c:formatCode>0.000</c:formatCode>
                <c:ptCount val="1"/>
                <c:pt idx="0">
                  <c:v>43.668863187099689</c:v>
                </c:pt>
              </c:numCache>
            </c:numRef>
          </c:yVal>
          <c:smooth val="1"/>
          <c:extLst>
            <c:ext xmlns:c16="http://schemas.microsoft.com/office/drawing/2014/chart" uri="{C3380CC4-5D6E-409C-BE32-E72D297353CC}">
              <c16:uniqueId val="{00000008-6EEA-4C24-9D63-321FEB960B8F}"/>
            </c:ext>
          </c:extLst>
        </c:ser>
        <c:ser>
          <c:idx val="7"/>
          <c:order val="6"/>
          <c:tx>
            <c:v>fp1_ea</c:v>
          </c:tx>
          <c:spPr>
            <a:ln>
              <a:solidFill>
                <a:srgbClr val="00B0F0"/>
              </a:solidFill>
            </a:ln>
          </c:spPr>
          <c:marker>
            <c:symbol val="circle"/>
            <c:size val="8"/>
            <c:spPr>
              <a:noFill/>
              <a:ln w="25400">
                <a:solidFill>
                  <a:srgbClr val="00B0F0"/>
                </a:solidFill>
              </a:ln>
            </c:spPr>
          </c:marker>
          <c:dLbls>
            <c:dLbl>
              <c:idx val="0"/>
              <c:spPr>
                <a:noFill/>
                <a:ln>
                  <a:noFill/>
                </a:ln>
                <a:effectLst/>
              </c:spPr>
              <c:txPr>
                <a:bodyPr wrap="square" lIns="38100" tIns="19050" rIns="38100" bIns="19050" anchor="ctr">
                  <a:spAutoFit/>
                </a:bodyPr>
                <a:lstStyle/>
                <a:p>
                  <a:pPr>
                    <a:defRPr b="0"/>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95B6-4316-B3AF-9E6BC037B89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CCM_Loop_Modeling!$O$13</c:f>
              <c:numCache>
                <c:formatCode>General</c:formatCode>
                <c:ptCount val="1"/>
                <c:pt idx="0">
                  <c:v>5.5106921580739487E-5</c:v>
                </c:pt>
              </c:numCache>
            </c:numRef>
          </c:xVal>
          <c:yVal>
            <c:numRef>
              <c:f>CCM_Loop_Modeling!$AW$13</c:f>
              <c:numCache>
                <c:formatCode>0.000</c:formatCode>
                <c:ptCount val="1"/>
                <c:pt idx="0">
                  <c:v>173.1955299997588</c:v>
                </c:pt>
              </c:numCache>
            </c:numRef>
          </c:yVal>
          <c:smooth val="1"/>
          <c:extLst>
            <c:ext xmlns:c16="http://schemas.microsoft.com/office/drawing/2014/chart" uri="{C3380CC4-5D6E-409C-BE32-E72D297353CC}">
              <c16:uniqueId val="{00000003-95B6-4316-B3AF-9E6BC037B89F}"/>
            </c:ext>
          </c:extLst>
        </c:ser>
        <c:dLbls>
          <c:showLegendKey val="0"/>
          <c:showVal val="0"/>
          <c:showCatName val="0"/>
          <c:showSerName val="0"/>
          <c:showPercent val="0"/>
          <c:showBubbleSize val="0"/>
        </c:dLbls>
        <c:axId val="315959936"/>
        <c:axId val="315966208"/>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[0]!Loop_phase</c:f>
              <c:numCache>
                <c:formatCode>General</c:formatCode>
                <c:ptCount val="542"/>
                <c:pt idx="0">
                  <c:v>94.057153307384496</c:v>
                </c:pt>
                <c:pt idx="1">
                  <c:v>94.151107993474213</c:v>
                </c:pt>
                <c:pt idx="2">
                  <c:v>94.247212178356946</c:v>
                </c:pt>
                <c:pt idx="3">
                  <c:v>94.345513171687841</c:v>
                </c:pt>
                <c:pt idx="4">
                  <c:v>94.446059191402114</c:v>
                </c:pt>
                <c:pt idx="5">
                  <c:v>94.548899371449963</c:v>
                </c:pt>
                <c:pt idx="6">
                  <c:v>94.654083768803503</c:v>
                </c:pt>
                <c:pt idx="7">
                  <c:v>94.761663369659303</c:v>
                </c:pt>
                <c:pt idx="8">
                  <c:v>94.871690094756232</c:v>
                </c:pt>
                <c:pt idx="9">
                  <c:v>94.984216803721807</c:v>
                </c:pt>
                <c:pt idx="10">
                  <c:v>95.099297298353918</c:v>
                </c:pt>
                <c:pt idx="11">
                  <c:v>95.216986324740475</c:v>
                </c:pt>
                <c:pt idx="12">
                  <c:v>95.337339574110757</c:v>
                </c:pt>
                <c:pt idx="13">
                  <c:v>95.460413682307248</c:v>
                </c:pt>
                <c:pt idx="14">
                  <c:v>95.586266227758486</c:v>
                </c:pt>
                <c:pt idx="15">
                  <c:v>95.714955727826464</c:v>
                </c:pt>
                <c:pt idx="16">
                  <c:v>95.846541633394779</c:v>
                </c:pt>
                <c:pt idx="17">
                  <c:v>95.981084321554349</c:v>
                </c:pt>
                <c:pt idx="18">
                  <c:v>96.118645086235659</c:v>
                </c:pt>
                <c:pt idx="19">
                  <c:v>96.259286126628297</c:v>
                </c:pt>
                <c:pt idx="20">
                  <c:v>96.403070533218326</c:v>
                </c:pt>
                <c:pt idx="21">
                  <c:v>96.550062271265219</c:v>
                </c:pt>
                <c:pt idx="22">
                  <c:v>96.700326161529091</c:v>
                </c:pt>
                <c:pt idx="23">
                  <c:v>96.853927858051534</c:v>
                </c:pt>
                <c:pt idx="24">
                  <c:v>97.010933822779165</c:v>
                </c:pt>
                <c:pt idx="25">
                  <c:v>97.171411296812437</c:v>
                </c:pt>
                <c:pt idx="26">
                  <c:v>97.335428268047067</c:v>
                </c:pt>
                <c:pt idx="27">
                  <c:v>97.503053434969459</c:v>
                </c:pt>
                <c:pt idx="28">
                  <c:v>97.674356166350947</c:v>
                </c:pt>
                <c:pt idx="29">
                  <c:v>97.849406456579075</c:v>
                </c:pt>
                <c:pt idx="30">
                  <c:v>98.028274876350125</c:v>
                </c:pt>
                <c:pt idx="31">
                  <c:v>98.211032518437747</c:v>
                </c:pt>
                <c:pt idx="32">
                  <c:v>98.397750938238545</c:v>
                </c:pt>
                <c:pt idx="33">
                  <c:v>98.588502088790875</c:v>
                </c:pt>
                <c:pt idx="34">
                  <c:v>98.783358249943817</c:v>
                </c:pt>
                <c:pt idx="35">
                  <c:v>98.982391951353293</c:v>
                </c:pt>
                <c:pt idx="36">
                  <c:v>99.18567588896525</c:v>
                </c:pt>
                <c:pt idx="37">
                  <c:v>99.393282834642562</c:v>
                </c:pt>
                <c:pt idx="38">
                  <c:v>99.605285538580787</c:v>
                </c:pt>
                <c:pt idx="39">
                  <c:v>99.821756624157118</c:v>
                </c:pt>
                <c:pt idx="40">
                  <c:v>100.04276847484662</c:v>
                </c:pt>
                <c:pt idx="41">
                  <c:v>100.26839311283889</c:v>
                </c:pt>
                <c:pt idx="42">
                  <c:v>100.4987020689906</c:v>
                </c:pt>
                <c:pt idx="43">
                  <c:v>100.73376624374232</c:v>
                </c:pt>
                <c:pt idx="44">
                  <c:v>100.97365575864075</c:v>
                </c:pt>
                <c:pt idx="45">
                  <c:v>101.21843979810681</c:v>
                </c:pt>
                <c:pt idx="46">
                  <c:v>101.46818644110104</c:v>
                </c:pt>
                <c:pt idx="47">
                  <c:v>101.72296248235578</c:v>
                </c:pt>
                <c:pt idx="48">
                  <c:v>101.98283324285053</c:v>
                </c:pt>
                <c:pt idx="49">
                  <c:v>102.24786236923887</c:v>
                </c:pt>
                <c:pt idx="50">
                  <c:v>102.51811162195325</c:v>
                </c:pt>
                <c:pt idx="51">
                  <c:v>102.79364065174801</c:v>
                </c:pt>
                <c:pt idx="52">
                  <c:v>103.07450676447844</c:v>
                </c:pt>
                <c:pt idx="53">
                  <c:v>103.36076467395513</c:v>
                </c:pt>
                <c:pt idx="54">
                  <c:v>103.65246624276065</c:v>
                </c:pt>
                <c:pt idx="55">
                  <c:v>103.94966021097544</c:v>
                </c:pt>
                <c:pt idx="56">
                  <c:v>104.25239191281779</c:v>
                </c:pt>
                <c:pt idx="57">
                  <c:v>104.56070298128002</c:v>
                </c:pt>
                <c:pt idx="58">
                  <c:v>104.87463104091563</c:v>
                </c:pt>
                <c:pt idx="59">
                  <c:v>105.19420938902472</c:v>
                </c:pt>
                <c:pt idx="60">
                  <c:v>105.51946666557626</c:v>
                </c:pt>
                <c:pt idx="61">
                  <c:v>105.85042651231619</c:v>
                </c:pt>
                <c:pt idx="62">
                  <c:v>106.18710722161725</c:v>
                </c:pt>
                <c:pt idx="63">
                  <c:v>106.52952137575298</c:v>
                </c:pt>
                <c:pt idx="64">
                  <c:v>106.877675477408</c:v>
                </c:pt>
                <c:pt idx="65">
                  <c:v>107.23156957237423</c:v>
                </c:pt>
                <c:pt idx="66">
                  <c:v>107.5911968655315</c:v>
                </c:pt>
                <c:pt idx="67">
                  <c:v>107.95654333136473</c:v>
                </c:pt>
                <c:pt idx="68">
                  <c:v>108.32758732042626</c:v>
                </c:pt>
                <c:pt idx="69">
                  <c:v>108.70429916332353</c:v>
                </c:pt>
                <c:pt idx="70">
                  <c:v>109.08664077397754</c:v>
                </c:pt>
                <c:pt idx="71">
                  <c:v>109.47456525406855</c:v>
                </c:pt>
                <c:pt idx="72">
                  <c:v>109.86801650076271</c:v>
                </c:pt>
                <c:pt idx="73">
                  <c:v>110.2669288199812</c:v>
                </c:pt>
                <c:pt idx="74">
                  <c:v>110.67122654763608</c:v>
                </c:pt>
                <c:pt idx="75">
                  <c:v>111.08082368143489</c:v>
                </c:pt>
                <c:pt idx="76">
                  <c:v>111.49562352598666</c:v>
                </c:pt>
                <c:pt idx="77">
                  <c:v>111.9155183541032</c:v>
                </c:pt>
                <c:pt idx="78">
                  <c:v>112.3403890873026</c:v>
                </c:pt>
                <c:pt idx="79">
                  <c:v>112.77010499863781</c:v>
                </c:pt>
                <c:pt idx="80">
                  <c:v>113.20452344105502</c:v>
                </c:pt>
                <c:pt idx="81">
                  <c:v>113.64348960455449</c:v>
                </c:pt>
                <c:pt idx="82">
                  <c:v>114.08683630545546</c:v>
                </c:pt>
                <c:pt idx="83">
                  <c:v>114.53438381107375</c:v>
                </c:pt>
                <c:pt idx="84">
                  <c:v>114.98593970308774</c:v>
                </c:pt>
                <c:pt idx="85">
                  <c:v>115.44129878280167</c:v>
                </c:pt>
                <c:pt idx="86">
                  <c:v>115.90024302140566</c:v>
                </c:pt>
                <c:pt idx="87">
                  <c:v>116.36254155818662</c:v>
                </c:pt>
                <c:pt idx="88">
                  <c:v>116.82795074944751</c:v>
                </c:pt>
                <c:pt idx="89">
                  <c:v>117.29621427066218</c:v>
                </c:pt>
                <c:pt idx="90">
                  <c:v>117.7670632741107</c:v>
                </c:pt>
                <c:pt idx="91">
                  <c:v>118.24021660392182</c:v>
                </c:pt>
                <c:pt idx="92">
                  <c:v>118.71538107007993</c:v>
                </c:pt>
                <c:pt idx="93">
                  <c:v>119.19225178256031</c:v>
                </c:pt>
                <c:pt idx="94">
                  <c:v>119.6705125463095</c:v>
                </c:pt>
                <c:pt idx="95">
                  <c:v>120.14983631732879</c:v>
                </c:pt>
                <c:pt idx="96">
                  <c:v>120.6298857196094</c:v>
                </c:pt>
                <c:pt idx="97">
                  <c:v>121.11031362216977</c:v>
                </c:pt>
                <c:pt idx="98">
                  <c:v>121.59076377489733</c:v>
                </c:pt>
                <c:pt idx="99">
                  <c:v>122.07087150137495</c:v>
                </c:pt>
                <c:pt idx="100">
                  <c:v>122.55026444632718</c:v>
                </c:pt>
                <c:pt idx="101">
                  <c:v>123.02856337480148</c:v>
                </c:pt>
                <c:pt idx="102">
                  <c:v>123.50538301968643</c:v>
                </c:pt>
                <c:pt idx="103">
                  <c:v>123.98033297368838</c:v>
                </c:pt>
                <c:pt idx="104">
                  <c:v>124.45301862143333</c:v>
                </c:pt>
                <c:pt idx="105">
                  <c:v>124.92304210695735</c:v>
                </c:pt>
                <c:pt idx="106">
                  <c:v>125.39000333148232</c:v>
                </c:pt>
                <c:pt idx="107">
                  <c:v>125.85350097606232</c:v>
                </c:pt>
                <c:pt idx="108">
                  <c:v>126.3131335434493</c:v>
                </c:pt>
                <c:pt idx="109">
                  <c:v>126.76850041332119</c:v>
                </c:pt>
                <c:pt idx="110">
                  <c:v>127.21920290490429</c:v>
                </c:pt>
                <c:pt idx="111">
                  <c:v>127.66484534097052</c:v>
                </c:pt>
                <c:pt idx="112">
                  <c:v>128.10503610718399</c:v>
                </c:pt>
                <c:pt idx="113">
                  <c:v>128.53938870086404</c:v>
                </c:pt>
                <c:pt idx="114">
                  <c:v>128.96752276335607</c:v>
                </c:pt>
                <c:pt idx="115">
                  <c:v>129.38906509041277</c:v>
                </c:pt>
                <c:pt idx="116">
                  <c:v>129.80365061521599</c:v>
                </c:pt>
                <c:pt idx="117">
                  <c:v>130.21092335899334</c:v>
                </c:pt>
                <c:pt idx="118">
                  <c:v>130.61053734448703</c:v>
                </c:pt>
                <c:pt idx="119">
                  <c:v>131.0021574679366</c:v>
                </c:pt>
                <c:pt idx="120">
                  <c:v>131.38546032560515</c:v>
                </c:pt>
                <c:pt idx="121">
                  <c:v>131.76013499129684</c:v>
                </c:pt>
                <c:pt idx="122">
                  <c:v>132.12588374174015</c:v>
                </c:pt>
                <c:pt idx="123">
                  <c:v>132.48242272711951</c:v>
                </c:pt>
                <c:pt idx="124">
                  <c:v>132.82948258445768</c:v>
                </c:pt>
                <c:pt idx="125">
                  <c:v>133.16680899194779</c:v>
                </c:pt>
                <c:pt idx="126">
                  <c:v>133.49416316271686</c:v>
                </c:pt>
                <c:pt idx="127">
                  <c:v>133.81132227685012</c:v>
                </c:pt>
                <c:pt idx="128">
                  <c:v>134.11807985083638</c:v>
                </c:pt>
                <c:pt idx="129">
                  <c:v>134.41424604388729</c:v>
                </c:pt>
                <c:pt idx="130">
                  <c:v>134.69964790084327</c:v>
                </c:pt>
                <c:pt idx="131">
                  <c:v>134.97412953159673</c:v>
                </c:pt>
                <c:pt idx="132">
                  <c:v>135.23755222715556</c:v>
                </c:pt>
                <c:pt idx="133">
                  <c:v>135.48979451264199</c:v>
                </c:pt>
                <c:pt idx="134">
                  <c:v>135.7307521376124</c:v>
                </c:pt>
                <c:pt idx="135">
                  <c:v>135.96033800422262</c:v>
                </c:pt>
                <c:pt idx="136">
                  <c:v>136.17848203380794</c:v>
                </c:pt>
                <c:pt idx="137">
                  <c:v>136.38513097252573</c:v>
                </c:pt>
                <c:pt idx="138">
                  <c:v>136.5802481367331</c:v>
                </c:pt>
                <c:pt idx="139">
                  <c:v>136.76381309884172</c:v>
                </c:pt>
                <c:pt idx="140">
                  <c:v>136.93582131438677</c:v>
                </c:pt>
                <c:pt idx="141">
                  <c:v>137.09628369114594</c:v>
                </c:pt>
                <c:pt idx="142">
                  <c:v>137.24522610114593</c:v>
                </c:pt>
                <c:pt idx="143">
                  <c:v>137.38268883651958</c:v>
                </c:pt>
                <c:pt idx="144">
                  <c:v>137.50872601023829</c:v>
                </c:pt>
                <c:pt idx="145">
                  <c:v>137.62340490290308</c:v>
                </c:pt>
                <c:pt idx="146">
                  <c:v>137.72680525691686</c:v>
                </c:pt>
                <c:pt idx="147">
                  <c:v>137.81901851958102</c:v>
                </c:pt>
                <c:pt idx="148">
                  <c:v>137.90014703688129</c:v>
                </c:pt>
                <c:pt idx="149">
                  <c:v>137.97030320002222</c:v>
                </c:pt>
                <c:pt idx="150">
                  <c:v>138.02960854707609</c:v>
                </c:pt>
                <c:pt idx="151">
                  <c:v>138.07819282248664</c:v>
                </c:pt>
                <c:pt idx="152">
                  <c:v>138.11619299754838</c:v>
                </c:pt>
                <c:pt idx="153">
                  <c:v>138.14375225542565</c:v>
                </c:pt>
                <c:pt idx="154">
                  <c:v>138.16101894471782</c:v>
                </c:pt>
                <c:pt idx="155">
                  <c:v>138.16814550606344</c:v>
                </c:pt>
                <c:pt idx="156">
                  <c:v>138.1652873767525</c:v>
                </c:pt>
                <c:pt idx="157">
                  <c:v>138.15260187882339</c:v>
                </c:pt>
                <c:pt idx="158">
                  <c:v>138.13024709657947</c:v>
                </c:pt>
                <c:pt idx="159">
                  <c:v>138.09838074994946</c:v>
                </c:pt>
                <c:pt idx="160">
                  <c:v>138.05715907053792</c:v>
                </c:pt>
                <c:pt idx="161">
                  <c:v>138.00673568760374</c:v>
                </c:pt>
                <c:pt idx="162">
                  <c:v>137.94726053155938</c:v>
                </c:pt>
                <c:pt idx="163">
                  <c:v>137.87887876284373</c:v>
                </c:pt>
                <c:pt idx="164">
                  <c:v>137.80172973423493</c:v>
                </c:pt>
                <c:pt idx="165">
                  <c:v>137.71594599478343</c:v>
                </c:pt>
                <c:pt idx="166">
                  <c:v>137.62165234356206</c:v>
                </c:pt>
                <c:pt idx="167">
                  <c:v>137.51896494136992</c:v>
                </c:pt>
                <c:pt idx="168">
                  <c:v>137.40799048832105</c:v>
                </c:pt>
                <c:pt idx="169">
                  <c:v>137.28882547497997</c:v>
                </c:pt>
                <c:pt idx="170">
                  <c:v>137.16155551429139</c:v>
                </c:pt>
                <c:pt idx="171">
                  <c:v>137.02625476103998</c:v>
                </c:pt>
                <c:pt idx="172">
                  <c:v>136.8829854249696</c:v>
                </c:pt>
                <c:pt idx="173">
                  <c:v>136.73179738296159</c:v>
                </c:pt>
                <c:pt idx="174">
                  <c:v>136.57272789487374</c:v>
                </c:pt>
                <c:pt idx="175">
                  <c:v>136.40580142674312</c:v>
                </c:pt>
                <c:pt idx="176">
                  <c:v>136.23102958409393</c:v>
                </c:pt>
                <c:pt idx="177">
                  <c:v>136.04841115707288</c:v>
                </c:pt>
                <c:pt idx="178">
                  <c:v>135.8579322780748</c:v>
                </c:pt>
                <c:pt idx="179">
                  <c:v>135.65956669142179</c:v>
                </c:pt>
                <c:pt idx="180">
                  <c:v>135.4532761335679</c:v>
                </c:pt>
                <c:pt idx="181">
                  <c:v>135.23901082119841</c:v>
                </c:pt>
                <c:pt idx="182">
                  <c:v>135.01671004352744</c:v>
                </c:pt>
                <c:pt idx="183">
                  <c:v>134.7863028540437</c:v>
                </c:pt>
                <c:pt idx="184">
                  <c:v>134.54770885599856</c:v>
                </c:pt>
                <c:pt idx="185">
                  <c:v>134.30083907497578</c:v>
                </c:pt>
                <c:pt idx="186">
                  <c:v>134.04559691108091</c:v>
                </c:pt>
                <c:pt idx="187">
                  <c:v>133.78187916250619</c:v>
                </c:pt>
                <c:pt idx="188">
                  <c:v>133.50957711159086</c:v>
                </c:pt>
                <c:pt idx="189">
                  <c:v>133.22857766394321</c:v>
                </c:pt>
                <c:pt idx="190">
                  <c:v>132.93876453075237</c:v>
                </c:pt>
                <c:pt idx="191">
                  <c:v>132.64001944407912</c:v>
                </c:pt>
                <c:pt idx="192">
                  <c:v>132.33222339471763</c:v>
                </c:pt>
                <c:pt idx="193">
                  <c:v>132.01525788209622</c:v>
                </c:pt>
                <c:pt idx="194">
                  <c:v>131.68900616569624</c:v>
                </c:pt>
                <c:pt idx="195">
                  <c:v>131.35335450757907</c:v>
                </c:pt>
                <c:pt idx="196">
                  <c:v>131.00819339580551</c:v>
                </c:pt>
                <c:pt idx="197">
                  <c:v>130.65341873884097</c:v>
                </c:pt>
                <c:pt idx="198">
                  <c:v>130.28893302141091</c:v>
                </c:pt>
                <c:pt idx="199">
                  <c:v>129.91464641273757</c:v>
                </c:pt>
                <c:pt idx="200">
                  <c:v>129.53047781860943</c:v>
                </c:pt>
                <c:pt idx="201">
                  <c:v>129.13635586932429</c:v>
                </c:pt>
                <c:pt idx="202">
                  <c:v>128.73221983618998</c:v>
                </c:pt>
                <c:pt idx="203">
                  <c:v>128.3180204699373</c:v>
                </c:pt>
                <c:pt idx="204">
                  <c:v>127.89372075513867</c:v>
                </c:pt>
                <c:pt idx="205">
                  <c:v>127.45929657545244</c:v>
                </c:pt>
                <c:pt idx="206">
                  <c:v>127.01473728531244</c:v>
                </c:pt>
                <c:pt idx="207">
                  <c:v>126.56004618443789</c:v>
                </c:pt>
                <c:pt idx="208">
                  <c:v>126.09524089237675</c:v>
                </c:pt>
                <c:pt idx="209">
                  <c:v>125.62035362106718</c:v>
                </c:pt>
                <c:pt idx="210">
                  <c:v>125.13543134423294</c:v>
                </c:pt>
                <c:pt idx="211">
                  <c:v>124.64053586321647</c:v>
                </c:pt>
                <c:pt idx="212">
                  <c:v>124.13574376965759</c:v>
                </c:pt>
                <c:pt idx="213">
                  <c:v>123.62114630619806</c:v>
                </c:pt>
                <c:pt idx="214">
                  <c:v>123.09684912716722</c:v>
                </c:pt>
                <c:pt idx="215">
                  <c:v>122.56297196192813</c:v>
                </c:pt>
                <c:pt idx="216">
                  <c:v>122.01964818429846</c:v>
                </c:pt>
                <c:pt idx="217">
                  <c:v>121.46702429212581</c:v>
                </c:pt>
                <c:pt idx="218">
                  <c:v>120.90525930175028</c:v>
                </c:pt>
                <c:pt idx="219">
                  <c:v>120.3345240626911</c:v>
                </c:pt>
                <c:pt idx="220">
                  <c:v>119.75500049844656</c:v>
                </c:pt>
                <c:pt idx="221">
                  <c:v>119.16688077980322</c:v>
                </c:pt>
                <c:pt idx="222">
                  <c:v>118.57036643749584</c:v>
                </c:pt>
                <c:pt idx="223">
                  <c:v>117.96566742144272</c:v>
                </c:pt>
                <c:pt idx="224">
                  <c:v>117.35300111410544</c:v>
                </c:pt>
                <c:pt idx="225">
                  <c:v>116.7325913057619</c:v>
                </c:pt>
                <c:pt idx="226">
                  <c:v>116.10466713966323</c:v>
                </c:pt>
                <c:pt idx="227">
                  <c:v>115.46946203514936</c:v>
                </c:pt>
                <c:pt idx="228">
                  <c:v>114.82721259681628</c:v>
                </c:pt>
                <c:pt idx="229">
                  <c:v>114.17815751777502</c:v>
                </c:pt>
                <c:pt idx="230">
                  <c:v>113.52253648493483</c:v>
                </c:pt>
                <c:pt idx="231">
                  <c:v>112.86058909401459</c:v>
                </c:pt>
                <c:pt idx="232">
                  <c:v>112.19255378174492</c:v>
                </c:pt>
                <c:pt idx="233">
                  <c:v>111.51866678237199</c:v>
                </c:pt>
                <c:pt idx="234">
                  <c:v>110.83916111518354</c:v>
                </c:pt>
                <c:pt idx="235">
                  <c:v>110.15426560933365</c:v>
                </c:pt>
                <c:pt idx="236">
                  <c:v>109.46420397173958</c:v>
                </c:pt>
                <c:pt idx="237">
                  <c:v>108.76919390329648</c:v>
                </c:pt>
                <c:pt idx="238">
                  <c:v>108.06944626808013</c:v>
                </c:pt>
                <c:pt idx="239">
                  <c:v>107.36516431963474</c:v>
                </c:pt>
                <c:pt idx="240">
                  <c:v>106.65654298782228</c:v>
                </c:pt>
                <c:pt idx="241">
                  <c:v>105.94376822911535</c:v>
                </c:pt>
                <c:pt idx="242">
                  <c:v>105.22701644260376</c:v>
                </c:pt>
                <c:pt idx="243">
                  <c:v>104.5064539533916</c:v>
                </c:pt>
                <c:pt idx="244">
                  <c:v>103.78223656448391</c:v>
                </c:pt>
                <c:pt idx="245">
                  <c:v>103.05450917770746</c:v>
                </c:pt>
                <c:pt idx="246">
                  <c:v>102.32340548368975</c:v>
                </c:pt>
                <c:pt idx="247">
                  <c:v>101.58904772043014</c:v>
                </c:pt>
                <c:pt idx="248">
                  <c:v>100.85154649954313</c:v>
                </c:pt>
                <c:pt idx="249">
                  <c:v>100.11100069885612</c:v>
                </c:pt>
                <c:pt idx="250">
                  <c:v>99.367497419666975</c:v>
                </c:pt>
                <c:pt idx="251">
                  <c:v>98.621112006658322</c:v>
                </c:pt>
                <c:pt idx="252">
                  <c:v>97.871908128185538</c:v>
                </c:pt>
                <c:pt idx="253">
                  <c:v>97.119937914425762</c:v>
                </c:pt>
                <c:pt idx="254">
                  <c:v>96.365242150693817</c:v>
                </c:pt>
                <c:pt idx="255">
                  <c:v>95.607850523082888</c:v>
                </c:pt>
                <c:pt idx="256">
                  <c:v>94.847781913485576</c:v>
                </c:pt>
                <c:pt idx="257">
                  <c:v>94.085044740974183</c:v>
                </c:pt>
                <c:pt idx="258">
                  <c:v>93.319637346495483</c:v>
                </c:pt>
                <c:pt idx="259">
                  <c:v>92.551548417814146</c:v>
                </c:pt>
                <c:pt idx="260">
                  <c:v>91.780757451663789</c:v>
                </c:pt>
                <c:pt idx="261">
                  <c:v>91.007235250103406</c:v>
                </c:pt>
                <c:pt idx="262">
                  <c:v>90.230944448129691</c:v>
                </c:pt>
                <c:pt idx="263">
                  <c:v>89.451840069665607</c:v>
                </c:pt>
                <c:pt idx="264">
                  <c:v>88.669870109127345</c:v>
                </c:pt>
                <c:pt idx="265">
                  <c:v>87.884976135853591</c:v>
                </c:pt>
                <c:pt idx="266">
                  <c:v>87.097093918766987</c:v>
                </c:pt>
                <c:pt idx="267">
                  <c:v>86.306154068728844</c:v>
                </c:pt>
                <c:pt idx="268">
                  <c:v>85.512082696123983</c:v>
                </c:pt>
                <c:pt idx="269">
                  <c:v>84.714802081295602</c:v>
                </c:pt>
                <c:pt idx="270">
                  <c:v>83.914231355513081</c:v>
                </c:pt>
                <c:pt idx="271">
                  <c:v>83.110287190212802</c:v>
                </c:pt>
                <c:pt idx="272">
                  <c:v>82.302884492306049</c:v>
                </c:pt>
                <c:pt idx="273">
                  <c:v>81.491937103364833</c:v>
                </c:pt>
                <c:pt idx="274">
                  <c:v>80.677358500532662</c:v>
                </c:pt>
                <c:pt idx="275">
                  <c:v>79.859062496996629</c:v>
                </c:pt>
                <c:pt idx="276">
                  <c:v>79.036963939859234</c:v>
                </c:pt>
                <c:pt idx="277">
                  <c:v>78.210979403216982</c:v>
                </c:pt>
                <c:pt idx="278">
                  <c:v>77.381027874217565</c:v>
                </c:pt>
                <c:pt idx="279">
                  <c:v>76.54703142982504</c:v>
                </c:pt>
                <c:pt idx="280">
                  <c:v>75.708915901951642</c:v>
                </c:pt>
                <c:pt idx="281">
                  <c:v>74.866611528561975</c:v>
                </c:pt>
                <c:pt idx="282">
                  <c:v>74.020053588267373</c:v>
                </c:pt>
                <c:pt idx="283">
                  <c:v>73.169183015863865</c:v>
                </c:pt>
                <c:pt idx="284">
                  <c:v>72.313946996176512</c:v>
                </c:pt>
                <c:pt idx="285">
                  <c:v>71.454299533509257</c:v>
                </c:pt>
                <c:pt idx="286">
                  <c:v>70.590201993918583</c:v>
                </c:pt>
                <c:pt idx="287">
                  <c:v>69.721623617472588</c:v>
                </c:pt>
                <c:pt idx="288">
                  <c:v>68.848541997611477</c:v>
                </c:pt>
                <c:pt idx="289">
                  <c:v>67.970943524686234</c:v>
                </c:pt>
                <c:pt idx="290">
                  <c:v>67.088823790746133</c:v>
                </c:pt>
                <c:pt idx="291">
                  <c:v>66.202187952658491</c:v>
                </c:pt>
                <c:pt idx="292">
                  <c:v>65.311051050677506</c:v>
                </c:pt>
                <c:pt idx="293">
                  <c:v>64.415438279661245</c:v>
                </c:pt>
                <c:pt idx="294">
                  <c:v>63.515385210225887</c:v>
                </c:pt>
                <c:pt idx="295">
                  <c:v>62.610937957284669</c:v>
                </c:pt>
                <c:pt idx="296">
                  <c:v>61.702153293582811</c:v>
                </c:pt>
                <c:pt idx="297">
                  <c:v>60.789098706072686</c:v>
                </c:pt>
                <c:pt idx="298">
                  <c:v>59.871852393225367</c:v>
                </c:pt>
                <c:pt idx="299">
                  <c:v>58.950503201685898</c:v>
                </c:pt>
                <c:pt idx="300">
                  <c:v>58.025150501010195</c:v>
                </c:pt>
                <c:pt idx="301">
                  <c:v>57.095903995615778</c:v>
                </c:pt>
                <c:pt idx="302">
                  <c:v>56.162883473483852</c:v>
                </c:pt>
                <c:pt idx="303">
                  <c:v>55.226218491604868</c:v>
                </c:pt>
                <c:pt idx="304">
                  <c:v>54.286047998637095</c:v>
                </c:pt>
                <c:pt idx="305">
                  <c:v>53.342519895744182</c:v>
                </c:pt>
                <c:pt idx="306">
                  <c:v>52.395790537096197</c:v>
                </c:pt>
                <c:pt idx="307">
                  <c:v>51.446024172042357</c:v>
                </c:pt>
                <c:pt idx="308">
                  <c:v>50.493392331490298</c:v>
                </c:pt>
                <c:pt idx="309">
                  <c:v>49.538073161556824</c:v>
                </c:pt>
                <c:pt idx="310">
                  <c:v>48.580250708047423</c:v>
                </c:pt>
                <c:pt idx="311">
                  <c:v>47.6201141558236</c:v>
                </c:pt>
                <c:pt idx="312">
                  <c:v>46.657857027557803</c:v>
                </c:pt>
                <c:pt idx="313">
                  <c:v>45.693676346805319</c:v>
                </c:pt>
                <c:pt idx="314">
                  <c:v>44.727771770681173</c:v>
                </c:pt>
                <c:pt idx="315">
                  <c:v>43.760344697754064</c:v>
                </c:pt>
                <c:pt idx="316">
                  <c:v>42.791597357027165</c:v>
                </c:pt>
                <c:pt idx="317">
                  <c:v>41.82173188406896</c:v>
                </c:pt>
                <c:pt idx="318">
                  <c:v>40.850949390488054</c:v>
                </c:pt>
                <c:pt idx="319">
                  <c:v>39.879449033002651</c:v>
                </c:pt>
                <c:pt idx="320">
                  <c:v>38.907427088339425</c:v>
                </c:pt>
                <c:pt idx="321">
                  <c:v>37.935076040120194</c:v>
                </c:pt>
                <c:pt idx="322">
                  <c:v>36.962583683738558</c:v>
                </c:pt>
                <c:pt idx="323">
                  <c:v>35.990132255007474</c:v>
                </c:pt>
                <c:pt idx="324">
                  <c:v>35.017897588080707</c:v>
                </c:pt>
                <c:pt idx="325">
                  <c:v>34.046048307820854</c:v>
                </c:pt>
                <c:pt idx="326">
                  <c:v>33.074745061388207</c:v>
                </c:pt>
                <c:pt idx="327">
                  <c:v>32.104139793397835</c:v>
                </c:pt>
                <c:pt idx="328">
                  <c:v>31.1343750685378</c:v>
                </c:pt>
                <c:pt idx="329">
                  <c:v>30.165583445020829</c:v>
                </c:pt>
                <c:pt idx="330">
                  <c:v>29.197886901772716</c:v>
                </c:pt>
                <c:pt idx="331">
                  <c:v>28.231396321685313</c:v>
                </c:pt>
                <c:pt idx="332">
                  <c:v>27.26621103278935</c:v>
                </c:pt>
                <c:pt idx="333">
                  <c:v>26.302418408638381</c:v>
                </c:pt>
                <c:pt idx="334">
                  <c:v>25.340093528725241</c:v>
                </c:pt>
                <c:pt idx="335">
                  <c:v>24.379298899238254</c:v>
                </c:pt>
                <c:pt idx="336">
                  <c:v>23.420084234027723</c:v>
                </c:pt>
                <c:pt idx="337">
                  <c:v>22.462486295197731</c:v>
                </c:pt>
                <c:pt idx="338">
                  <c:v>21.506528792374539</c:v>
                </c:pt>
                <c:pt idx="339">
                  <c:v>20.552222339325091</c:v>
                </c:pt>
                <c:pt idx="340">
                  <c:v>19.599564466295494</c:v>
                </c:pt>
                <c:pt idx="341">
                  <c:v>18.648539686165954</c:v>
                </c:pt>
                <c:pt idx="342">
                  <c:v>17.699119612297807</c:v>
                </c:pt>
                <c:pt idx="343">
                  <c:v>16.751263125759859</c:v>
                </c:pt>
                <c:pt idx="344">
                  <c:v>15.804916589479257</c:v>
                </c:pt>
                <c:pt idx="345">
                  <c:v>14.860014106776172</c:v>
                </c:pt>
                <c:pt idx="346">
                  <c:v>13.916477821664394</c:v>
                </c:pt>
                <c:pt idx="347">
                  <c:v>12.974218258299921</c:v>
                </c:pt>
                <c:pt idx="348">
                  <c:v>12.0331346969439</c:v>
                </c:pt>
                <c:pt idx="349">
                  <c:v>11.09311558388395</c:v>
                </c:pt>
                <c:pt idx="350">
                  <c:v>10.154038972792392</c:v>
                </c:pt>
                <c:pt idx="351">
                  <c:v>9.2157729951245688</c:v>
                </c:pt>
                <c:pt idx="352">
                  <c:v>8.2781763572534288</c:v>
                </c:pt>
                <c:pt idx="353">
                  <c:v>7.3410988621824922</c:v>
                </c:pt>
                <c:pt idx="354">
                  <c:v>6.4043819538117912</c:v>
                </c:pt>
                <c:pt idx="355">
                  <c:v>5.4678592818994138</c:v>
                </c:pt>
                <c:pt idx="356">
                  <c:v>4.5313572860062754</c:v>
                </c:pt>
                <c:pt idx="357">
                  <c:v>3.5946957968883244</c:v>
                </c:pt>
                <c:pt idx="358">
                  <c:v>2.6576886539562699</c:v>
                </c:pt>
                <c:pt idx="359">
                  <c:v>1.7201443375914314</c:v>
                </c:pt>
                <c:pt idx="360">
                  <c:v>0.7818666152517505</c:v>
                </c:pt>
                <c:pt idx="361">
                  <c:v>-0.15734479953345673</c:v>
                </c:pt>
                <c:pt idx="362">
                  <c:v>-1.0976935760564597</c:v>
                </c:pt>
                <c:pt idx="363">
                  <c:v>-2.0393860838514462</c:v>
                </c:pt>
                <c:pt idx="364">
                  <c:v>-2.9826306991703775</c:v>
                </c:pt>
                <c:pt idx="365">
                  <c:v>-3.9276371009361415</c:v>
                </c:pt>
                <c:pt idx="366">
                  <c:v>-4.8746155565243541</c:v>
                </c:pt>
                <c:pt idx="367">
                  <c:v>-5.8237761976357616</c:v>
                </c:pt>
                <c:pt idx="368">
                  <c:v>-6.7753282864966193</c:v>
                </c:pt>
                <c:pt idx="369">
                  <c:v>-7.729479472572006</c:v>
                </c:pt>
                <c:pt idx="370">
                  <c:v>-8.6864350399808483</c:v>
                </c:pt>
                <c:pt idx="371">
                  <c:v>-9.6463971458054214</c:v>
                </c:pt>
                <c:pt idx="372">
                  <c:v>-10.609564049518848</c:v>
                </c:pt>
                <c:pt idx="373">
                  <c:v>-11.576129333802605</c:v>
                </c:pt>
                <c:pt idx="374">
                  <c:v>-12.546281117104101</c:v>
                </c:pt>
                <c:pt idx="375">
                  <c:v>-13.520201258372346</c:v>
                </c:pt>
                <c:pt idx="376">
                  <c:v>-14.498064554523356</c:v>
                </c:pt>
                <c:pt idx="377">
                  <c:v>-15.480037931325</c:v>
                </c:pt>
                <c:pt idx="378">
                  <c:v>-16.466279628542267</c:v>
                </c:pt>
                <c:pt idx="379">
                  <c:v>-17.456938380356732</c:v>
                </c:pt>
                <c:pt idx="380">
                  <c:v>-18.452152592267591</c:v>
                </c:pt>
                <c:pt idx="381">
                  <c:v>-19.452049515889744</c:v>
                </c:pt>
                <c:pt idx="382">
                  <c:v>-20.456744423282132</c:v>
                </c:pt>
                <c:pt idx="383">
                  <c:v>-21.466339782691215</c:v>
                </c:pt>
                <c:pt idx="384">
                  <c:v>-22.480924437827994</c:v>
                </c:pt>
                <c:pt idx="385">
                  <c:v>-23.500572793063991</c:v>
                </c:pt>
                <c:pt idx="386">
                  <c:v>-24.525344007200683</c:v>
                </c:pt>
                <c:pt idx="387">
                  <c:v>-25.555281198727144</c:v>
                </c:pt>
                <c:pt idx="388">
                  <c:v>-26.590410665762185</c:v>
                </c:pt>
                <c:pt idx="389">
                  <c:v>-27.63074112413403</c:v>
                </c:pt>
                <c:pt idx="390">
                  <c:v>-28.67626296732098</c:v>
                </c:pt>
                <c:pt idx="391">
                  <c:v>-29.726947552225152</c:v>
                </c:pt>
                <c:pt idx="392">
                  <c:v>-30.782746514982438</c:v>
                </c:pt>
                <c:pt idx="393">
                  <c:v>-31.843591121235512</c:v>
                </c:pt>
                <c:pt idx="394">
                  <c:v>-32.909391655486736</c:v>
                </c:pt>
                <c:pt idx="395">
                  <c:v>-33.980036854312551</c:v>
                </c:pt>
                <c:pt idx="396">
                  <c:v>-35.055393388353025</c:v>
                </c:pt>
                <c:pt idx="397">
                  <c:v>-36.135305398085258</c:v>
                </c:pt>
                <c:pt idx="398">
                  <c:v>-37.219594088440687</c:v>
                </c:pt>
                <c:pt idx="399">
                  <c:v>-38.308057387335765</c:v>
                </c:pt>
                <c:pt idx="400">
                  <c:v>-39.400469673135305</c:v>
                </c:pt>
                <c:pt idx="401">
                  <c:v>-40.496581575983761</c:v>
                </c:pt>
                <c:pt idx="402">
                  <c:v>-41.596119857777126</c:v>
                </c:pt>
                <c:pt idx="403">
                  <c:v>-42.698787375341631</c:v>
                </c:pt>
                <c:pt idx="404">
                  <c:v>-43.80426313112465</c:v>
                </c:pt>
                <c:pt idx="405">
                  <c:v>-44.912202415363517</c:v>
                </c:pt>
                <c:pt idx="406">
                  <c:v>-46.022237043320871</c:v>
                </c:pt>
                <c:pt idx="407">
                  <c:v>-47.133975690723766</c:v>
                </c:pt>
                <c:pt idx="408">
                  <c:v>-48.24700433004697</c:v>
                </c:pt>
                <c:pt idx="409">
                  <c:v>-49.360886769724573</c:v>
                </c:pt>
                <c:pt idx="410">
                  <c:v>-50.47516529777603</c:v>
                </c:pt>
                <c:pt idx="411">
                  <c:v>-51.589361430675325</c:v>
                </c:pt>
                <c:pt idx="412">
                  <c:v>-52.702976767627348</c:v>
                </c:pt>
                <c:pt idx="413">
                  <c:v>-53.815493949681404</c:v>
                </c:pt>
                <c:pt idx="414">
                  <c:v>-54.926377722382192</c:v>
                </c:pt>
                <c:pt idx="415">
                  <c:v>-56.035076099901602</c:v>
                </c:pt>
                <c:pt idx="416">
                  <c:v>-57.141021627832494</c:v>
                </c:pt>
                <c:pt idx="417">
                  <c:v>-58.243632741057461</c:v>
                </c:pt>
                <c:pt idx="418">
                  <c:v>-59.342315212359154</c:v>
                </c:pt>
                <c:pt idx="419">
                  <c:v>-60.436463686695909</c:v>
                </c:pt>
                <c:pt idx="420">
                  <c:v>-61.525463295368397</c:v>
                </c:pt>
                <c:pt idx="421">
                  <c:v>-62.608691343616286</c:v>
                </c:pt>
                <c:pt idx="422">
                  <c:v>-63.685519064563046</c:v>
                </c:pt>
                <c:pt idx="423">
                  <c:v>-64.755313431847171</c:v>
                </c:pt>
                <c:pt idx="424">
                  <c:v>-65.817439022745333</c:v>
                </c:pt>
                <c:pt idx="425">
                  <c:v>-66.871259923146425</c:v>
                </c:pt>
                <c:pt idx="426">
                  <c:v>-67.916141665331978</c:v>
                </c:pt>
                <c:pt idx="427">
                  <c:v>-68.95145318919991</c:v>
                </c:pt>
                <c:pt idx="428">
                  <c:v>-69.976568817330744</c:v>
                </c:pt>
                <c:pt idx="429">
                  <c:v>-70.99087023412045</c:v>
                </c:pt>
                <c:pt idx="430">
                  <c:v>-71.993748459109028</c:v>
                </c:pt>
                <c:pt idx="431">
                  <c:v>-72.984605804633148</c:v>
                </c:pt>
                <c:pt idx="432">
                  <c:v>-73.962857807985756</c:v>
                </c:pt>
                <c:pt idx="433">
                  <c:v>-74.927935128411576</c:v>
                </c:pt>
                <c:pt idx="434">
                  <c:v>-75.879285399470206</c:v>
                </c:pt>
                <c:pt idx="435">
                  <c:v>-76.816375027587611</c:v>
                </c:pt>
                <c:pt idx="436">
                  <c:v>-77.738690927953343</c:v>
                </c:pt>
                <c:pt idx="437">
                  <c:v>-78.645742189322675</c:v>
                </c:pt>
                <c:pt idx="438">
                  <c:v>-79.537061659745461</c:v>
                </c:pt>
                <c:pt idx="439">
                  <c:v>-80.412207445732633</c:v>
                </c:pt>
                <c:pt idx="440">
                  <c:v>-81.270764317927274</c:v>
                </c:pt>
                <c:pt idx="441">
                  <c:v>-82.112345016927335</c:v>
                </c:pt>
                <c:pt idx="442">
                  <c:v>-82.936591453495765</c:v>
                </c:pt>
                <c:pt idx="443">
                  <c:v>-83.74317579805043</c:v>
                </c:pt>
                <c:pt idx="444">
                  <c:v>-84.531801454958014</c:v>
                </c:pt>
                <c:pt idx="445">
                  <c:v>-85.302203917816257</c:v>
                </c:pt>
                <c:pt idx="446">
                  <c:v>-86.054151502589548</c:v>
                </c:pt>
                <c:pt idx="447">
                  <c:v>-86.787445956112833</c:v>
                </c:pt>
                <c:pt idx="448">
                  <c:v>-87.501922938163204</c:v>
                </c:pt>
                <c:pt idx="449">
                  <c:v>-88.197452375961404</c:v>
                </c:pt>
                <c:pt idx="450">
                  <c:v>-88.873938690607645</c:v>
                </c:pt>
                <c:pt idx="451">
                  <c:v>-89.531320895626976</c:v>
                </c:pt>
                <c:pt idx="452">
                  <c:v>-90.169572568413258</c:v>
                </c:pt>
                <c:pt idx="453">
                  <c:v>-90.788701696001496</c:v>
                </c:pt>
                <c:pt idx="454">
                  <c:v>-91.388750397196617</c:v>
                </c:pt>
                <c:pt idx="455">
                  <c:v>-91.969794523687199</c:v>
                </c:pt>
                <c:pt idx="456">
                  <c:v>-92.531943143345828</c:v>
                </c:pt>
                <c:pt idx="457">
                  <c:v>-93.075337909483792</c:v>
                </c:pt>
                <c:pt idx="458">
                  <c:v>-93.600152320367854</c:v>
                </c:pt>
                <c:pt idx="459">
                  <c:v>-94.106590873826008</c:v>
                </c:pt>
                <c:pt idx="460">
                  <c:v>-94.594888122272181</c:v>
                </c:pt>
                <c:pt idx="461">
                  <c:v>-95.065307633956039</c:v>
                </c:pt>
                <c:pt idx="462">
                  <c:v>-95.518140866689208</c:v>
                </c:pt>
                <c:pt idx="463">
                  <c:v>-95.953705960717926</c:v>
                </c:pt>
                <c:pt idx="464">
                  <c:v>-96.372346457801143</c:v>
                </c:pt>
                <c:pt idx="465">
                  <c:v>-96.774429953889893</c:v>
                </c:pt>
                <c:pt idx="466">
                  <c:v>-97.160346693121568</c:v>
                </c:pt>
                <c:pt idx="467">
                  <c:v>-97.530508111088679</c:v>
                </c:pt>
                <c:pt idx="468">
                  <c:v>-97.885345335563812</c:v>
                </c:pt>
                <c:pt idx="469">
                  <c:v>-98.225307653006496</c:v>
                </c:pt>
                <c:pt idx="470">
                  <c:v>-98.550860949287014</c:v>
                </c:pt>
                <c:pt idx="471">
                  <c:v>-98.862486133089647</c:v>
                </c:pt>
                <c:pt idx="472">
                  <c:v>-99.16067755044044</c:v>
                </c:pt>
                <c:pt idx="473">
                  <c:v>-99.445941398710303</c:v>
                </c:pt>
                <c:pt idx="474">
                  <c:v>-99.718794148292588</c:v>
                </c:pt>
                <c:pt idx="475">
                  <c:v>-99.979760979926269</c:v>
                </c:pt>
                <c:pt idx="476">
                  <c:v>-100.22937424536251</c:v>
                </c:pt>
                <c:pt idx="477">
                  <c:v>-100.46817195871462</c:v>
                </c:pt>
                <c:pt idx="478">
                  <c:v>-100.69669632543317</c:v>
                </c:pt>
                <c:pt idx="479">
                  <c:v>-100.91549231538581</c:v>
                </c:pt>
                <c:pt idx="480">
                  <c:v>-101.12510628601824</c:v>
                </c:pt>
                <c:pt idx="481">
                  <c:v>-101.32608466101276</c:v>
                </c:pt>
                <c:pt idx="482">
                  <c:v>-101.51897266928718</c:v>
                </c:pt>
                <c:pt idx="483">
                  <c:v>-101.70431314855198</c:v>
                </c:pt>
                <c:pt idx="484">
                  <c:v>-101.88264541701662</c:v>
                </c:pt>
                <c:pt idx="485">
                  <c:v>-102.05450421618337</c:v>
                </c:pt>
                <c:pt idx="486">
                  <c:v>-102.22041872702002</c:v>
                </c:pt>
                <c:pt idx="487">
                  <c:v>-102.3809116611545</c:v>
                </c:pt>
                <c:pt idx="488">
                  <c:v>-102.53649842809396</c:v>
                </c:pt>
                <c:pt idx="489">
                  <c:v>-102.68768637886424</c:v>
                </c:pt>
                <c:pt idx="490">
                  <c:v>-102.83497412586215</c:v>
                </c:pt>
                <c:pt idx="491">
                  <c:v>-102.9788509381566</c:v>
                </c:pt>
                <c:pt idx="492">
                  <c:v>-103.11979621095433</c:v>
                </c:pt>
                <c:pt idx="493">
                  <c:v>-103.25827900745502</c:v>
                </c:pt>
                <c:pt idx="494">
                  <c:v>-103.39475767088382</c:v>
                </c:pt>
                <c:pt idx="495">
                  <c:v>-103.52967950409585</c:v>
                </c:pt>
                <c:pt idx="496">
                  <c:v>-103.66348051379893</c:v>
                </c:pt>
                <c:pt idx="497">
                  <c:v>-103.79658521614896</c:v>
                </c:pt>
                <c:pt idx="498">
                  <c:v>-103.92940650021622</c:v>
                </c:pt>
                <c:pt idx="499">
                  <c:v>-104.06234554562799</c:v>
                </c:pt>
                <c:pt idx="500">
                  <c:v>-104.19579179053432</c:v>
                </c:pt>
                <c:pt idx="501">
                  <c:v>-104.33012294593298</c:v>
                </c:pt>
                <c:pt idx="502">
                  <c:v>-104.46570505232751</c:v>
                </c:pt>
                <c:pt idx="503">
                  <c:v>-104.60289257465767</c:v>
                </c:pt>
                <c:pt idx="504">
                  <c:v>-104.74202853144662</c:v>
                </c:pt>
                <c:pt idx="505">
                  <c:v>-104.88344465416154</c:v>
                </c:pt>
                <c:pt idx="506">
                  <c:v>-105.02746157282908</c:v>
                </c:pt>
                <c:pt idx="507">
                  <c:v>-105.17438902406651</c:v>
                </c:pt>
                <c:pt idx="508">
                  <c:v>-105.32452607778352</c:v>
                </c:pt>
                <c:pt idx="509">
                  <c:v>-105.4781613789531</c:v>
                </c:pt>
                <c:pt idx="510">
                  <c:v>-105.63557340099642</c:v>
                </c:pt>
                <c:pt idx="511">
                  <c:v>-105.797030707486</c:v>
                </c:pt>
                <c:pt idx="512">
                  <c:v>-105.96279221903777</c:v>
                </c:pt>
                <c:pt idx="513">
                  <c:v>-106.13310748244376</c:v>
                </c:pt>
                <c:pt idx="514">
                  <c:v>-106.30821693927065</c:v>
                </c:pt>
                <c:pt idx="515">
                  <c:v>-106.48835219133468</c:v>
                </c:pt>
                <c:pt idx="516">
                  <c:v>-106.67373626063862</c:v>
                </c:pt>
                <c:pt idx="517">
                  <c:v>-106.86458384154356</c:v>
                </c:pt>
                <c:pt idx="518">
                  <c:v>-107.06110154312053</c:v>
                </c:pt>
                <c:pt idx="519">
                  <c:v>-107.26348811979489</c:v>
                </c:pt>
                <c:pt idx="520">
                  <c:v>-107.47193468857719</c:v>
                </c:pt>
                <c:pt idx="521">
                  <c:v>-107.6866249313256</c:v>
                </c:pt>
                <c:pt idx="522">
                  <c:v>-107.9077352806447</c:v>
                </c:pt>
                <c:pt idx="523">
                  <c:v>-108.13543508818576</c:v>
                </c:pt>
                <c:pt idx="524">
                  <c:v>-108.36988677424927</c:v>
                </c:pt>
                <c:pt idx="525">
                  <c:v>-108.61124595773877</c:v>
                </c:pt>
                <c:pt idx="526">
                  <c:v>-108.85966156565175</c:v>
                </c:pt>
                <c:pt idx="527">
                  <c:v>-109.11527592142299</c:v>
                </c:pt>
                <c:pt idx="528">
                  <c:v>-109.37822481156434</c:v>
                </c:pt>
                <c:pt idx="529">
                  <c:v>-109.64863753018103</c:v>
                </c:pt>
                <c:pt idx="530">
                  <c:v>-109.92663690104666</c:v>
                </c:pt>
                <c:pt idx="531">
                  <c:v>-110.21233927706919</c:v>
                </c:pt>
                <c:pt idx="532">
                  <c:v>-110.50585451707857</c:v>
                </c:pt>
                <c:pt idx="533">
                  <c:v>-110.80728594000033</c:v>
                </c:pt>
                <c:pt idx="534">
                  <c:v>-111.11673025660248</c:v>
                </c:pt>
                <c:pt idx="535">
                  <c:v>-111.43427747912027</c:v>
                </c:pt>
                <c:pt idx="536">
                  <c:v>-111.76001080920129</c:v>
                </c:pt>
                <c:pt idx="537">
                  <c:v>-112.09400650473385</c:v>
                </c:pt>
                <c:pt idx="538">
                  <c:v>-112.43633372626287</c:v>
                </c:pt>
                <c:pt idx="539">
                  <c:v>-112.78705436382853</c:v>
                </c:pt>
                <c:pt idx="540">
                  <c:v>-113.14622284521424</c:v>
                </c:pt>
                <c:pt idx="541">
                  <c:v>-113.51388592672903</c:v>
                </c:pt>
              </c:numCache>
            </c:numRef>
          </c:yVal>
          <c:smooth val="1"/>
          <c:extLst>
            <c:ext xmlns:c16="http://schemas.microsoft.com/office/drawing/2014/chart" uri="{C3380CC4-5D6E-409C-BE32-E72D297353CC}">
              <c16:uniqueId val="{00000009-6EEA-4C24-9D63-321FEB960B8F}"/>
            </c:ext>
          </c:extLst>
        </c:ser>
        <c:dLbls>
          <c:showLegendKey val="0"/>
          <c:showVal val="0"/>
          <c:showCatName val="0"/>
          <c:showSerName val="0"/>
          <c:showPercent val="0"/>
          <c:showBubbleSize val="0"/>
        </c:dLbls>
        <c:axId val="315970304"/>
        <c:axId val="315968128"/>
      </c:scatterChart>
      <c:valAx>
        <c:axId val="315959936"/>
        <c:scaling>
          <c:logBase val="10"/>
          <c:orientation val="minMax"/>
          <c:max val="2000000"/>
          <c:min val="100"/>
        </c:scaling>
        <c:delete val="0"/>
        <c:axPos val="b"/>
        <c:minorGridlines/>
        <c:title>
          <c:tx>
            <c:rich>
              <a:bodyPr/>
              <a:lstStyle/>
              <a:p>
                <a:pPr>
                  <a:defRPr sz="1600"/>
                </a:pPr>
                <a:r>
                  <a:rPr lang="en-US" sz="1600"/>
                  <a:t>Frequency (Hz)</a:t>
                </a:r>
              </a:p>
            </c:rich>
          </c:tx>
          <c:overlay val="0"/>
        </c:title>
        <c:numFmt formatCode="0" sourceLinked="0"/>
        <c:majorTickMark val="out"/>
        <c:minorTickMark val="none"/>
        <c:tickLblPos val="low"/>
        <c:crossAx val="315966208"/>
        <c:crosses val="autoZero"/>
        <c:crossBetween val="midCat"/>
      </c:valAx>
      <c:valAx>
        <c:axId val="315966208"/>
        <c:scaling>
          <c:orientation val="minMax"/>
          <c:max val="60"/>
          <c:min val="-60"/>
        </c:scaling>
        <c:delete val="0"/>
        <c:axPos val="l"/>
        <c:majorGridlines/>
        <c:minorGridlines/>
        <c:title>
          <c:tx>
            <c:rich>
              <a:bodyPr rot="-5400000" vert="horz"/>
              <a:lstStyle/>
              <a:p>
                <a:pPr>
                  <a:defRPr sz="1600"/>
                </a:pPr>
                <a:r>
                  <a:rPr lang="en-US" sz="1600"/>
                  <a:t>Gain (dB)</a:t>
                </a:r>
              </a:p>
            </c:rich>
          </c:tx>
          <c:overlay val="0"/>
        </c:title>
        <c:numFmt formatCode="General" sourceLinked="0"/>
        <c:majorTickMark val="out"/>
        <c:minorTickMark val="none"/>
        <c:tickLblPos val="nextTo"/>
        <c:crossAx val="315959936"/>
        <c:crosses val="autoZero"/>
        <c:crossBetween val="midCat"/>
        <c:majorUnit val="20"/>
        <c:minorUnit val="10"/>
      </c:valAx>
      <c:valAx>
        <c:axId val="315968128"/>
        <c:scaling>
          <c:orientation val="minMax"/>
          <c:max val="180"/>
          <c:min val="-180"/>
        </c:scaling>
        <c:delete val="0"/>
        <c:axPos val="r"/>
        <c:title>
          <c:tx>
            <c:rich>
              <a:bodyPr rot="-5400000" vert="horz"/>
              <a:lstStyle/>
              <a:p>
                <a:pPr>
                  <a:defRPr sz="1600"/>
                </a:pPr>
                <a:r>
                  <a:rPr lang="en-US" sz="1600"/>
                  <a:t>Phase Margin (deg)</a:t>
                </a:r>
              </a:p>
            </c:rich>
          </c:tx>
          <c:overlay val="0"/>
        </c:title>
        <c:numFmt formatCode="General" sourceLinked="1"/>
        <c:majorTickMark val="out"/>
        <c:minorTickMark val="none"/>
        <c:tickLblPos val="nextTo"/>
        <c:crossAx val="315970304"/>
        <c:crosses val="max"/>
        <c:crossBetween val="midCat"/>
        <c:majorUnit val="90"/>
        <c:minorUnit val="45"/>
      </c:valAx>
      <c:valAx>
        <c:axId val="315970304"/>
        <c:scaling>
          <c:logBase val="10"/>
          <c:orientation val="minMax"/>
        </c:scaling>
        <c:delete val="1"/>
        <c:axPos val="b"/>
        <c:numFmt formatCode="0.00" sourceLinked="1"/>
        <c:majorTickMark val="out"/>
        <c:minorTickMark val="none"/>
        <c:tickLblPos val="nextTo"/>
        <c:crossAx val="315968128"/>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69368171173606874"/>
          <c:y val="4.1955166542664735E-2"/>
          <c:w val="0.20280627094651138"/>
          <c:h val="4.463000353905739E-2"/>
        </c:manualLayout>
      </c:layout>
      <c:overlay val="1"/>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03F8-4FBE-A136-D30871636934}"/>
            </c:ext>
          </c:extLst>
        </c:ser>
        <c:dLbls>
          <c:showLegendKey val="0"/>
          <c:showVal val="0"/>
          <c:showCatName val="0"/>
          <c:showSerName val="0"/>
          <c:showPercent val="0"/>
          <c:showBubbleSize val="0"/>
        </c:dLbls>
        <c:axId val="319851136"/>
        <c:axId val="31987340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03F8-4FBE-A136-D30871636934}"/>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03F8-4FBE-A136-D30871636934}"/>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03F8-4FBE-A136-D30871636934}"/>
            </c:ext>
          </c:extLst>
        </c:ser>
        <c:ser>
          <c:idx val="4"/>
          <c:order val="4"/>
          <c:tx>
            <c:v>D2</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03F8-4FBE-A136-D30871636934}"/>
            </c:ext>
          </c:extLst>
        </c:ser>
        <c:ser>
          <c:idx val="5"/>
          <c:order val="5"/>
          <c:tx>
            <c:v>D3</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03F8-4FBE-A136-D30871636934}"/>
            </c:ext>
          </c:extLst>
        </c:ser>
        <c:dLbls>
          <c:showLegendKey val="0"/>
          <c:showVal val="0"/>
          <c:showCatName val="0"/>
          <c:showSerName val="0"/>
          <c:showPercent val="0"/>
          <c:showBubbleSize val="0"/>
        </c:dLbls>
        <c:axId val="320278912"/>
        <c:axId val="319875328"/>
      </c:scatterChart>
      <c:valAx>
        <c:axId val="319851136"/>
        <c:scaling>
          <c:orientation val="minMax"/>
        </c:scaling>
        <c:delete val="0"/>
        <c:axPos val="b"/>
        <c:majorGridlines/>
        <c:numFmt formatCode="General" sourceLinked="1"/>
        <c:majorTickMark val="out"/>
        <c:minorTickMark val="none"/>
        <c:tickLblPos val="nextTo"/>
        <c:crossAx val="319873408"/>
        <c:crosses val="autoZero"/>
        <c:crossBetween val="midCat"/>
      </c:valAx>
      <c:valAx>
        <c:axId val="31987340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19851136"/>
        <c:crosses val="autoZero"/>
        <c:crossBetween val="midCat"/>
      </c:valAx>
      <c:valAx>
        <c:axId val="31987532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20278912"/>
        <c:crosses val="max"/>
        <c:crossBetween val="midCat"/>
      </c:valAx>
      <c:valAx>
        <c:axId val="320278912"/>
        <c:scaling>
          <c:orientation val="minMax"/>
        </c:scaling>
        <c:delete val="1"/>
        <c:axPos val="b"/>
        <c:title>
          <c:tx>
            <c:rich>
              <a:bodyPr/>
              <a:lstStyle/>
              <a:p>
                <a:pPr>
                  <a:defRPr sz="1400"/>
                </a:pPr>
                <a:r>
                  <a:rPr lang="en-US" sz="1400" b="1" i="0" baseline="0">
                    <a:effectLst/>
                  </a:rPr>
                  <a:t>P</a:t>
                </a:r>
                <a:r>
                  <a:rPr lang="en-US" sz="1400" b="1" i="0" baseline="-25000">
                    <a:effectLst/>
                  </a:rPr>
                  <a:t>OUT</a:t>
                </a:r>
                <a:r>
                  <a:rPr lang="en-US" sz="1400" b="1" i="0" baseline="0">
                    <a:effectLst/>
                  </a:rPr>
                  <a:t> (W)</a:t>
                </a:r>
                <a:endParaRPr lang="en-US" sz="1400">
                  <a:effectLst/>
                </a:endParaRPr>
              </a:p>
            </c:rich>
          </c:tx>
          <c:overlay val="0"/>
        </c:title>
        <c:numFmt formatCode="General" sourceLinked="1"/>
        <c:majorTickMark val="out"/>
        <c:minorTickMark val="none"/>
        <c:tickLblPos val="nextTo"/>
        <c:crossAx val="319875328"/>
        <c:crosses val="autoZero"/>
        <c:crossBetween val="midCat"/>
      </c:valAx>
    </c:plotArea>
    <c:legend>
      <c:legendPos val="r"/>
      <c:layout>
        <c:manualLayout>
          <c:xMode val="edge"/>
          <c:yMode val="edge"/>
          <c:x val="0.49723111871774606"/>
          <c:y val="6.4861313959085187E-3"/>
          <c:w val="0.41972466868865133"/>
          <c:h val="0.12461147870492213"/>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318B-4AFC-8F5F-ECBB35334006}"/>
            </c:ext>
          </c:extLst>
        </c:ser>
        <c:dLbls>
          <c:showLegendKey val="0"/>
          <c:showVal val="0"/>
          <c:showCatName val="0"/>
          <c:showSerName val="0"/>
          <c:showPercent val="0"/>
          <c:showBubbleSize val="0"/>
        </c:dLbls>
        <c:axId val="337026432"/>
        <c:axId val="33849612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318B-4AFC-8F5F-ECBB35334006}"/>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318B-4AFC-8F5F-ECBB35334006}"/>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318B-4AFC-8F5F-ECBB35334006}"/>
            </c:ext>
          </c:extLst>
        </c:ser>
        <c:ser>
          <c:idx val="4"/>
          <c:order val="4"/>
          <c:tx>
            <c:v>D2</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318B-4AFC-8F5F-ECBB35334006}"/>
            </c:ext>
          </c:extLst>
        </c:ser>
        <c:ser>
          <c:idx val="5"/>
          <c:order val="5"/>
          <c:tx>
            <c:v>D3</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318B-4AFC-8F5F-ECBB35334006}"/>
            </c:ext>
          </c:extLst>
        </c:ser>
        <c:ser>
          <c:idx val="6"/>
          <c:order val="6"/>
          <c:tx>
            <c:v>D4</c:v>
          </c:tx>
          <c:spPr>
            <a:ln>
              <a:prstDash val="dash"/>
            </a:ln>
          </c:spPr>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Eff_vs_IOUT!$CD$8:$CD$157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6-318B-4AFC-8F5F-ECBB35334006}"/>
            </c:ext>
          </c:extLst>
        </c:ser>
        <c:dLbls>
          <c:showLegendKey val="0"/>
          <c:showVal val="0"/>
          <c:showCatName val="0"/>
          <c:showSerName val="0"/>
          <c:showPercent val="0"/>
          <c:showBubbleSize val="0"/>
        </c:dLbls>
        <c:axId val="360408192"/>
        <c:axId val="358501376"/>
      </c:scatterChart>
      <c:valAx>
        <c:axId val="337026432"/>
        <c:scaling>
          <c:orientation val="minMax"/>
        </c:scaling>
        <c:delete val="0"/>
        <c:axPos val="b"/>
        <c:majorGridlines/>
        <c:numFmt formatCode="General" sourceLinked="1"/>
        <c:majorTickMark val="out"/>
        <c:minorTickMark val="none"/>
        <c:tickLblPos val="nextTo"/>
        <c:crossAx val="338496128"/>
        <c:crosses val="autoZero"/>
        <c:crossBetween val="midCat"/>
      </c:valAx>
      <c:valAx>
        <c:axId val="33849612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37026432"/>
        <c:crosses val="autoZero"/>
        <c:crossBetween val="midCat"/>
      </c:valAx>
      <c:valAx>
        <c:axId val="358501376"/>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60408192"/>
        <c:crosses val="max"/>
        <c:crossBetween val="midCat"/>
      </c:valAx>
      <c:valAx>
        <c:axId val="360408192"/>
        <c:scaling>
          <c:orientation val="minMax"/>
        </c:scaling>
        <c:delete val="1"/>
        <c:axPos val="b"/>
        <c:title>
          <c:tx>
            <c:rich>
              <a:bodyPr/>
              <a:lstStyle/>
              <a:p>
                <a:pPr>
                  <a:defRPr sz="1400"/>
                </a:pPr>
                <a:r>
                  <a:rPr lang="en-US" sz="1400" b="1" i="0" baseline="0">
                    <a:effectLst/>
                  </a:rPr>
                  <a:t>P</a:t>
                </a:r>
                <a:r>
                  <a:rPr lang="en-US" sz="1400" b="1" i="0" baseline="-25000">
                    <a:effectLst/>
                  </a:rPr>
                  <a:t>OUT</a:t>
                </a:r>
                <a:r>
                  <a:rPr lang="en-US" sz="1400" b="1" i="0" baseline="0">
                    <a:effectLst/>
                  </a:rPr>
                  <a:t> (W)</a:t>
                </a:r>
                <a:endParaRPr lang="en-US" sz="1400">
                  <a:effectLst/>
                </a:endParaRPr>
              </a:p>
            </c:rich>
          </c:tx>
          <c:overlay val="0"/>
        </c:title>
        <c:numFmt formatCode="General" sourceLinked="1"/>
        <c:majorTickMark val="out"/>
        <c:minorTickMark val="none"/>
        <c:tickLblPos val="nextTo"/>
        <c:crossAx val="358501376"/>
        <c:crosses val="autoZero"/>
        <c:crossBetween val="midCat"/>
      </c:valAx>
    </c:plotArea>
    <c:legend>
      <c:legendPos val="r"/>
      <c:layout>
        <c:manualLayout>
          <c:xMode val="edge"/>
          <c:yMode val="edge"/>
          <c:x val="0.45921209919007028"/>
          <c:y val="6.4861313959085187E-3"/>
          <c:w val="0.50030411075990533"/>
          <c:h val="0.10580629483385973"/>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4E8B-49CF-9939-4576818A6FB8}"/>
            </c:ext>
          </c:extLst>
        </c:ser>
        <c:dLbls>
          <c:showLegendKey val="0"/>
          <c:showVal val="0"/>
          <c:showCatName val="0"/>
          <c:showSerName val="0"/>
          <c:showPercent val="0"/>
          <c:showBubbleSize val="0"/>
        </c:dLbls>
        <c:axId val="315799040"/>
        <c:axId val="315800576"/>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4E8B-49CF-9939-4576818A6FB8}"/>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4E8B-49CF-9939-4576818A6FB8}"/>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4E8B-49CF-9939-4576818A6FB8}"/>
            </c:ext>
          </c:extLst>
        </c:ser>
        <c:dLbls>
          <c:showLegendKey val="0"/>
          <c:showVal val="0"/>
          <c:showCatName val="0"/>
          <c:showSerName val="0"/>
          <c:showPercent val="0"/>
          <c:showBubbleSize val="0"/>
        </c:dLbls>
        <c:axId val="320416768"/>
        <c:axId val="320414848"/>
      </c:scatterChart>
      <c:valAx>
        <c:axId val="315799040"/>
        <c:scaling>
          <c:orientation val="minMax"/>
        </c:scaling>
        <c:delete val="0"/>
        <c:axPos val="b"/>
        <c:majorGridlines/>
        <c:numFmt formatCode="General" sourceLinked="1"/>
        <c:majorTickMark val="out"/>
        <c:minorTickMark val="none"/>
        <c:tickLblPos val="nextTo"/>
        <c:crossAx val="315800576"/>
        <c:crosses val="autoZero"/>
        <c:crossBetween val="midCat"/>
      </c:valAx>
      <c:valAx>
        <c:axId val="315800576"/>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15799040"/>
        <c:crosses val="autoZero"/>
        <c:crossBetween val="midCat"/>
      </c:valAx>
      <c:valAx>
        <c:axId val="32041484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20416768"/>
        <c:crosses val="max"/>
        <c:crossBetween val="midCat"/>
      </c:valAx>
      <c:valAx>
        <c:axId val="320416768"/>
        <c:scaling>
          <c:orientation val="minMax"/>
        </c:scaling>
        <c:delete val="1"/>
        <c:axPos val="b"/>
        <c:title>
          <c:tx>
            <c:rich>
              <a:bodyPr/>
              <a:lstStyle/>
              <a:p>
                <a:pPr>
                  <a:defRPr sz="1100"/>
                </a:pPr>
                <a:r>
                  <a:rPr lang="en-US" sz="1100"/>
                  <a:t>P</a:t>
                </a:r>
                <a:r>
                  <a:rPr lang="en-US" sz="1100" baseline="-25000"/>
                  <a:t>OUT</a:t>
                </a:r>
                <a:r>
                  <a:rPr lang="en-US" sz="1100"/>
                  <a:t> </a:t>
                </a:r>
                <a:r>
                  <a:rPr lang="en-US" sz="1100" baseline="0"/>
                  <a:t>(W)</a:t>
                </a:r>
                <a:endParaRPr lang="en-US" sz="1100"/>
              </a:p>
            </c:rich>
          </c:tx>
          <c:overlay val="0"/>
        </c:title>
        <c:numFmt formatCode="General" sourceLinked="1"/>
        <c:majorTickMark val="out"/>
        <c:minorTickMark val="none"/>
        <c:tickLblPos val="nextTo"/>
        <c:crossAx val="320414848"/>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5957-4645-A44E-CF66E57609F1}"/>
            </c:ext>
          </c:extLst>
        </c:ser>
        <c:dLbls>
          <c:showLegendKey val="0"/>
          <c:showVal val="0"/>
          <c:showCatName val="0"/>
          <c:showSerName val="0"/>
          <c:showPercent val="0"/>
          <c:showBubbleSize val="0"/>
        </c:dLbls>
        <c:axId val="320455040"/>
        <c:axId val="320456576"/>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5957-4645-A44E-CF66E57609F1}"/>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5957-4645-A44E-CF66E57609F1}"/>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5957-4645-A44E-CF66E57609F1}"/>
            </c:ext>
          </c:extLst>
        </c:ser>
        <c:ser>
          <c:idx val="4"/>
          <c:order val="4"/>
          <c:tx>
            <c:v>D2</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5957-4645-A44E-CF66E57609F1}"/>
            </c:ext>
          </c:extLst>
        </c:ser>
        <c:dLbls>
          <c:showLegendKey val="0"/>
          <c:showVal val="0"/>
          <c:showCatName val="0"/>
          <c:showSerName val="0"/>
          <c:showPercent val="0"/>
          <c:showBubbleSize val="0"/>
        </c:dLbls>
        <c:axId val="320460672"/>
        <c:axId val="320458752"/>
      </c:scatterChart>
      <c:valAx>
        <c:axId val="320455040"/>
        <c:scaling>
          <c:orientation val="minMax"/>
        </c:scaling>
        <c:delete val="0"/>
        <c:axPos val="b"/>
        <c:majorGridlines/>
        <c:numFmt formatCode="General" sourceLinked="1"/>
        <c:majorTickMark val="out"/>
        <c:minorTickMark val="none"/>
        <c:tickLblPos val="nextTo"/>
        <c:crossAx val="320456576"/>
        <c:crosses val="autoZero"/>
        <c:crossBetween val="midCat"/>
      </c:valAx>
      <c:valAx>
        <c:axId val="320456576"/>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20455040"/>
        <c:crosses val="autoZero"/>
        <c:crossBetween val="midCat"/>
      </c:valAx>
      <c:valAx>
        <c:axId val="320458752"/>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20460672"/>
        <c:crosses val="max"/>
        <c:crossBetween val="midCat"/>
      </c:valAx>
      <c:valAx>
        <c:axId val="320460672"/>
        <c:scaling>
          <c:orientation val="minMax"/>
        </c:scaling>
        <c:delete val="1"/>
        <c:axPos val="b"/>
        <c:title>
          <c:tx>
            <c:rich>
              <a:bodyPr/>
              <a:lstStyle/>
              <a:p>
                <a:pPr>
                  <a:defRPr sz="1200"/>
                </a:pPr>
                <a:r>
                  <a:rPr lang="en-US" sz="1200" b="1" i="0" baseline="0">
                    <a:effectLst/>
                  </a:rPr>
                  <a:t>P</a:t>
                </a:r>
                <a:r>
                  <a:rPr lang="en-US" sz="1200" b="1" i="0" baseline="-25000">
                    <a:effectLst/>
                  </a:rPr>
                  <a:t>OUT</a:t>
                </a:r>
                <a:r>
                  <a:rPr lang="en-US" sz="1200" b="1" i="0" baseline="0">
                    <a:effectLst/>
                  </a:rPr>
                  <a:t> (W)</a:t>
                </a:r>
                <a:endParaRPr lang="en-US" sz="1200">
                  <a:effectLst/>
                </a:endParaRPr>
              </a:p>
            </c:rich>
          </c:tx>
          <c:overlay val="0"/>
        </c:title>
        <c:numFmt formatCode="General" sourceLinked="1"/>
        <c:majorTickMark val="out"/>
        <c:minorTickMark val="none"/>
        <c:tickLblPos val="nextTo"/>
        <c:crossAx val="320458752"/>
        <c:crosses val="autoZero"/>
        <c:crossBetween val="midCat"/>
      </c:valAx>
    </c:plotArea>
    <c:legend>
      <c:legendPos val="r"/>
      <c:layout>
        <c:manualLayout>
          <c:xMode val="edge"/>
          <c:yMode val="edge"/>
          <c:x val="0.49339941826540429"/>
          <c:y val="6.4862204724409449E-3"/>
          <c:w val="0.42227913565687919"/>
          <c:h val="0.1165233360670469"/>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51CA-45DB-8135-312148233E56}"/>
            </c:ext>
          </c:extLst>
        </c:ser>
        <c:dLbls>
          <c:showLegendKey val="0"/>
          <c:showVal val="0"/>
          <c:showCatName val="0"/>
          <c:showSerName val="0"/>
          <c:showPercent val="0"/>
          <c:showBubbleSize val="0"/>
        </c:dLbls>
        <c:axId val="320572800"/>
        <c:axId val="320582784"/>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51CA-45DB-8135-312148233E56}"/>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51CA-45DB-8135-312148233E56}"/>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51CA-45DB-8135-312148233E56}"/>
            </c:ext>
          </c:extLst>
        </c:ser>
        <c:ser>
          <c:idx val="4"/>
          <c:order val="4"/>
          <c:tx>
            <c:v>D2</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51CA-45DB-8135-312148233E56}"/>
            </c:ext>
          </c:extLst>
        </c:ser>
        <c:ser>
          <c:idx val="5"/>
          <c:order val="5"/>
          <c:tx>
            <c:v>D3</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51CA-45DB-8135-312148233E56}"/>
            </c:ext>
          </c:extLst>
        </c:ser>
        <c:dLbls>
          <c:showLegendKey val="0"/>
          <c:showVal val="0"/>
          <c:showCatName val="0"/>
          <c:showSerName val="0"/>
          <c:showPercent val="0"/>
          <c:showBubbleSize val="0"/>
        </c:dLbls>
        <c:axId val="320590976"/>
        <c:axId val="320584704"/>
      </c:scatterChart>
      <c:valAx>
        <c:axId val="320572800"/>
        <c:scaling>
          <c:orientation val="minMax"/>
        </c:scaling>
        <c:delete val="0"/>
        <c:axPos val="b"/>
        <c:majorGridlines/>
        <c:numFmt formatCode="General" sourceLinked="1"/>
        <c:majorTickMark val="out"/>
        <c:minorTickMark val="none"/>
        <c:tickLblPos val="nextTo"/>
        <c:crossAx val="320582784"/>
        <c:crosses val="autoZero"/>
        <c:crossBetween val="midCat"/>
      </c:valAx>
      <c:valAx>
        <c:axId val="320582784"/>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20572800"/>
        <c:crosses val="autoZero"/>
        <c:crossBetween val="midCat"/>
      </c:valAx>
      <c:valAx>
        <c:axId val="320584704"/>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20590976"/>
        <c:crosses val="max"/>
        <c:crossBetween val="midCat"/>
      </c:valAx>
      <c:valAx>
        <c:axId val="320590976"/>
        <c:scaling>
          <c:orientation val="minMax"/>
        </c:scaling>
        <c:delete val="1"/>
        <c:axPos val="b"/>
        <c:title>
          <c:tx>
            <c:rich>
              <a:bodyPr/>
              <a:lstStyle/>
              <a:p>
                <a:pPr>
                  <a:defRPr sz="700"/>
                </a:pPr>
                <a:r>
                  <a:rPr lang="en-US" sz="1200" b="1" i="0" baseline="0">
                    <a:effectLst/>
                  </a:rPr>
                  <a:t>P</a:t>
                </a:r>
                <a:r>
                  <a:rPr lang="en-US" sz="1200" b="1" i="0" baseline="-25000">
                    <a:effectLst/>
                  </a:rPr>
                  <a:t>OUT</a:t>
                </a:r>
                <a:r>
                  <a:rPr lang="en-US" sz="1200" b="1" i="0" baseline="0">
                    <a:effectLst/>
                  </a:rPr>
                  <a:t> (W)</a:t>
                </a:r>
                <a:endParaRPr lang="en-US" sz="700">
                  <a:effectLst/>
                </a:endParaRPr>
              </a:p>
            </c:rich>
          </c:tx>
          <c:overlay val="0"/>
        </c:title>
        <c:numFmt formatCode="General" sourceLinked="1"/>
        <c:majorTickMark val="out"/>
        <c:minorTickMark val="none"/>
        <c:tickLblPos val="nextTo"/>
        <c:crossAx val="320584704"/>
        <c:crosses val="autoZero"/>
        <c:crossBetween val="midCat"/>
      </c:valAx>
    </c:plotArea>
    <c:legend>
      <c:legendPos val="r"/>
      <c:layout>
        <c:manualLayout>
          <c:xMode val="edge"/>
          <c:yMode val="edge"/>
          <c:x val="0.49723111871774606"/>
          <c:y val="6.4861313959085187E-3"/>
          <c:w val="0.41972466868865133"/>
          <c:h val="0.12461147870492213"/>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D22B-4930-B4C5-6B3E9D9DEA2E}"/>
            </c:ext>
          </c:extLst>
        </c:ser>
        <c:dLbls>
          <c:showLegendKey val="0"/>
          <c:showVal val="0"/>
          <c:showCatName val="0"/>
          <c:showSerName val="0"/>
          <c:showPercent val="0"/>
          <c:showBubbleSize val="0"/>
        </c:dLbls>
        <c:axId val="308893184"/>
        <c:axId val="308894720"/>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D22B-4930-B4C5-6B3E9D9DEA2E}"/>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D22B-4930-B4C5-6B3E9D9DEA2E}"/>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D22B-4930-B4C5-6B3E9D9DEA2E}"/>
            </c:ext>
          </c:extLst>
        </c:ser>
        <c:ser>
          <c:idx val="4"/>
          <c:order val="4"/>
          <c:tx>
            <c:v>D2</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D22B-4930-B4C5-6B3E9D9DEA2E}"/>
            </c:ext>
          </c:extLst>
        </c:ser>
        <c:ser>
          <c:idx val="5"/>
          <c:order val="5"/>
          <c:tx>
            <c:v>D3</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D22B-4930-B4C5-6B3E9D9DEA2E}"/>
            </c:ext>
          </c:extLst>
        </c:ser>
        <c:ser>
          <c:idx val="6"/>
          <c:order val="6"/>
          <c:tx>
            <c:v>D4</c:v>
          </c:tx>
          <c:spPr>
            <a:ln>
              <a:prstDash val="dash"/>
            </a:ln>
          </c:spPr>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Eff_vs_IOUT!$CD$8:$CD$157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6-D22B-4930-B4C5-6B3E9D9DEA2E}"/>
            </c:ext>
          </c:extLst>
        </c:ser>
        <c:dLbls>
          <c:showLegendKey val="0"/>
          <c:showVal val="0"/>
          <c:showCatName val="0"/>
          <c:showSerName val="0"/>
          <c:showPercent val="0"/>
          <c:showBubbleSize val="0"/>
        </c:dLbls>
        <c:axId val="308957952"/>
        <c:axId val="308926720"/>
      </c:scatterChart>
      <c:valAx>
        <c:axId val="308893184"/>
        <c:scaling>
          <c:orientation val="minMax"/>
        </c:scaling>
        <c:delete val="0"/>
        <c:axPos val="b"/>
        <c:majorGridlines/>
        <c:numFmt formatCode="General" sourceLinked="1"/>
        <c:majorTickMark val="out"/>
        <c:minorTickMark val="none"/>
        <c:tickLblPos val="nextTo"/>
        <c:crossAx val="308894720"/>
        <c:crosses val="autoZero"/>
        <c:crossBetween val="midCat"/>
      </c:valAx>
      <c:valAx>
        <c:axId val="308894720"/>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08893184"/>
        <c:crosses val="autoZero"/>
        <c:crossBetween val="midCat"/>
      </c:valAx>
      <c:valAx>
        <c:axId val="308926720"/>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08957952"/>
        <c:crosses val="max"/>
        <c:crossBetween val="midCat"/>
      </c:valAx>
      <c:valAx>
        <c:axId val="308957952"/>
        <c:scaling>
          <c:orientation val="minMax"/>
        </c:scaling>
        <c:delete val="1"/>
        <c:axPos val="b"/>
        <c:title>
          <c:tx>
            <c:rich>
              <a:bodyPr/>
              <a:lstStyle/>
              <a:p>
                <a:pPr algn="ctr" rtl="0">
                  <a:defRPr lang="en-US" sz="1200" b="1" i="0" u="none" strike="noStrike" kern="1200" baseline="0">
                    <a:solidFill>
                      <a:sysClr val="windowText" lastClr="000000"/>
                    </a:solidFill>
                    <a:effectLst/>
                    <a:latin typeface="+mn-lt"/>
                    <a:ea typeface="+mn-ea"/>
                    <a:cs typeface="+mn-cs"/>
                  </a:defRPr>
                </a:pPr>
                <a:r>
                  <a:rPr lang="en-US" sz="1200" b="1" i="0" u="none" strike="noStrike" kern="1200" baseline="0">
                    <a:solidFill>
                      <a:sysClr val="windowText" lastClr="000000"/>
                    </a:solidFill>
                    <a:effectLst/>
                    <a:latin typeface="+mn-lt"/>
                    <a:ea typeface="+mn-ea"/>
                    <a:cs typeface="+mn-cs"/>
                  </a:rPr>
                  <a:t>P</a:t>
                </a:r>
                <a:r>
                  <a:rPr lang="en-US" sz="1200" b="1" i="0" u="none" strike="noStrike" kern="1200" baseline="-25000">
                    <a:solidFill>
                      <a:sysClr val="windowText" lastClr="000000"/>
                    </a:solidFill>
                    <a:effectLst/>
                    <a:latin typeface="+mn-lt"/>
                    <a:ea typeface="+mn-ea"/>
                    <a:cs typeface="+mn-cs"/>
                  </a:rPr>
                  <a:t>OUT</a:t>
                </a:r>
                <a:r>
                  <a:rPr lang="en-US" sz="1200" b="1" i="0" u="none" strike="noStrike" kern="1200" baseline="0">
                    <a:solidFill>
                      <a:sysClr val="windowText" lastClr="000000"/>
                    </a:solidFill>
                    <a:effectLst/>
                    <a:latin typeface="+mn-lt"/>
                    <a:ea typeface="+mn-ea"/>
                    <a:cs typeface="+mn-cs"/>
                  </a:rPr>
                  <a:t> (W)</a:t>
                </a:r>
              </a:p>
            </c:rich>
          </c:tx>
          <c:overlay val="0"/>
        </c:title>
        <c:numFmt formatCode="General" sourceLinked="1"/>
        <c:majorTickMark val="out"/>
        <c:minorTickMark val="none"/>
        <c:tickLblPos val="nextTo"/>
        <c:crossAx val="308926720"/>
        <c:crosses val="autoZero"/>
        <c:crossBetween val="midCat"/>
      </c:valAx>
    </c:plotArea>
    <c:legend>
      <c:legendPos val="r"/>
      <c:layout>
        <c:manualLayout>
          <c:xMode val="edge"/>
          <c:yMode val="edge"/>
          <c:x val="0.45921209919007028"/>
          <c:y val="6.4861313959085187E-3"/>
          <c:w val="0.50030411075990533"/>
          <c:h val="0.10580629483385973"/>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Plant Transfer</a:t>
            </a:r>
            <a:r>
              <a:rPr lang="en-US" baseline="0"/>
              <a:t> Function</a:t>
            </a:r>
            <a:endParaRPr lang="en-US"/>
          </a:p>
        </c:rich>
      </c:tx>
      <c:overlay val="0"/>
    </c:title>
    <c:autoTitleDeleted val="0"/>
    <c:plotArea>
      <c:layout/>
      <c:scatterChart>
        <c:scatterStyle val="smoothMarker"/>
        <c:varyColors val="0"/>
        <c:ser>
          <c:idx val="0"/>
          <c:order val="0"/>
          <c:tx>
            <c:v>Gain(dB)</c:v>
          </c:tx>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CCM_Loop_Modeling!$AD$19:$AD$560</c:f>
              <c:numCache>
                <c:formatCode>0.000</c:formatCode>
                <c:ptCount val="542"/>
                <c:pt idx="0">
                  <c:v>24.810972401957656</c:v>
                </c:pt>
                <c:pt idx="1">
                  <c:v>24.810966195919946</c:v>
                </c:pt>
                <c:pt idx="2">
                  <c:v>24.810959697410212</c:v>
                </c:pt>
                <c:pt idx="3">
                  <c:v>24.810952892645581</c:v>
                </c:pt>
                <c:pt idx="4">
                  <c:v>24.810945767193708</c:v>
                </c:pt>
                <c:pt idx="5">
                  <c:v>24.810938305942102</c:v>
                </c:pt>
                <c:pt idx="6">
                  <c:v>24.810930493066358</c:v>
                </c:pt>
                <c:pt idx="7">
                  <c:v>24.810922311996173</c:v>
                </c:pt>
                <c:pt idx="8">
                  <c:v>24.810913745380475</c:v>
                </c:pt>
                <c:pt idx="9">
                  <c:v>24.810904775050822</c:v>
                </c:pt>
                <c:pt idx="10">
                  <c:v>24.810895381982313</c:v>
                </c:pt>
                <c:pt idx="11">
                  <c:v>24.810885546253957</c:v>
                </c:pt>
                <c:pt idx="12">
                  <c:v>24.810875247005892</c:v>
                </c:pt>
                <c:pt idx="13">
                  <c:v>24.810864462395365</c:v>
                </c:pt>
                <c:pt idx="14">
                  <c:v>24.810853169550512</c:v>
                </c:pt>
                <c:pt idx="15">
                  <c:v>24.810841344521766</c:v>
                </c:pt>
                <c:pt idx="16">
                  <c:v>24.810828962231035</c:v>
                </c:pt>
                <c:pt idx="17">
                  <c:v>24.810815996418807</c:v>
                </c:pt>
                <c:pt idx="18">
                  <c:v>24.810802419588128</c:v>
                </c:pt>
                <c:pt idx="19">
                  <c:v>24.810788202946618</c:v>
                </c:pt>
                <c:pt idx="20">
                  <c:v>24.810773316345369</c:v>
                </c:pt>
                <c:pt idx="21">
                  <c:v>24.810757728214831</c:v>
                </c:pt>
                <c:pt idx="22">
                  <c:v>24.810741405498312</c:v>
                </c:pt>
                <c:pt idx="23">
                  <c:v>24.810724313581581</c:v>
                </c:pt>
                <c:pt idx="24">
                  <c:v>24.810706416219798</c:v>
                </c:pt>
                <c:pt idx="25">
                  <c:v>24.810687675460343</c:v>
                </c:pt>
                <c:pt idx="26">
                  <c:v>24.810668051562761</c:v>
                </c:pt>
                <c:pt idx="27">
                  <c:v>24.810647502914374</c:v>
                </c:pt>
                <c:pt idx="28">
                  <c:v>24.810625985942288</c:v>
                </c:pt>
                <c:pt idx="29">
                  <c:v>24.810603455020768</c:v>
                </c:pt>
                <c:pt idx="30">
                  <c:v>24.810579862374937</c:v>
                </c:pt>
                <c:pt idx="31">
                  <c:v>24.810555157979259</c:v>
                </c:pt>
                <c:pt idx="32">
                  <c:v>24.810529289451928</c:v>
                </c:pt>
                <c:pt idx="33">
                  <c:v>24.810502201943585</c:v>
                </c:pt>
                <c:pt idx="34">
                  <c:v>24.810473838021352</c:v>
                </c:pt>
                <c:pt idx="35">
                  <c:v>24.81044413754713</c:v>
                </c:pt>
                <c:pt idx="36">
                  <c:v>24.810413037550365</c:v>
                </c:pt>
                <c:pt idx="37">
                  <c:v>24.8103804720946</c:v>
                </c:pt>
                <c:pt idx="38">
                  <c:v>24.810346372137907</c:v>
                </c:pt>
                <c:pt idx="39">
                  <c:v>24.810310665386744</c:v>
                </c:pt>
                <c:pt idx="40">
                  <c:v>24.810273276142741</c:v>
                </c:pt>
                <c:pt idx="41">
                  <c:v>24.810234125143037</c:v>
                </c:pt>
                <c:pt idx="42">
                  <c:v>24.810193129391731</c:v>
                </c:pt>
                <c:pt idx="43">
                  <c:v>24.810150201984914</c:v>
                </c:pt>
                <c:pt idx="44">
                  <c:v>24.810105251926519</c:v>
                </c:pt>
                <c:pt idx="45">
                  <c:v>24.810058183935656</c:v>
                </c:pt>
                <c:pt idx="46">
                  <c:v>24.810008898245478</c:v>
                </c:pt>
                <c:pt idx="47">
                  <c:v>24.809957290391655</c:v>
                </c:pt>
                <c:pt idx="48">
                  <c:v>24.80990325099182</c:v>
                </c:pt>
                <c:pt idx="49">
                  <c:v>24.809846665514137</c:v>
                </c:pt>
                <c:pt idx="50">
                  <c:v>24.809787414035199</c:v>
                </c:pt>
                <c:pt idx="51">
                  <c:v>24.809725370986353</c:v>
                </c:pt>
                <c:pt idx="52">
                  <c:v>24.809660404888607</c:v>
                </c:pt>
                <c:pt idx="53">
                  <c:v>24.80959237807447</c:v>
                </c:pt>
                <c:pt idx="54">
                  <c:v>24.809521146397294</c:v>
                </c:pt>
                <c:pt idx="55">
                  <c:v>24.80944655892662</c:v>
                </c:pt>
                <c:pt idx="56">
                  <c:v>24.809368457629617</c:v>
                </c:pt>
                <c:pt idx="57">
                  <c:v>24.80928667703704</c:v>
                </c:pt>
                <c:pt idx="58">
                  <c:v>24.809201043894241</c:v>
                </c:pt>
                <c:pt idx="59">
                  <c:v>24.809111376795279</c:v>
                </c:pt>
                <c:pt idx="60">
                  <c:v>24.809017485800105</c:v>
                </c:pt>
                <c:pt idx="61">
                  <c:v>24.808919172034003</c:v>
                </c:pt>
                <c:pt idx="62">
                  <c:v>24.808816227267911</c:v>
                </c:pt>
                <c:pt idx="63">
                  <c:v>24.808708433479481</c:v>
                </c:pt>
                <c:pt idx="64">
                  <c:v>24.808595562393609</c:v>
                </c:pt>
                <c:pt idx="65">
                  <c:v>24.808477375001011</c:v>
                </c:pt>
                <c:pt idx="66">
                  <c:v>24.808353621054984</c:v>
                </c:pt>
                <c:pt idx="67">
                  <c:v>24.808224038544303</c:v>
                </c:pt>
                <c:pt idx="68">
                  <c:v>24.808088353141503</c:v>
                </c:pt>
                <c:pt idx="69">
                  <c:v>24.807946277625554</c:v>
                </c:pt>
                <c:pt idx="70">
                  <c:v>24.807797511277798</c:v>
                </c:pt>
                <c:pt idx="71">
                  <c:v>24.807641739249124</c:v>
                </c:pt>
                <c:pt idx="72">
                  <c:v>24.807478631898491</c:v>
                </c:pt>
                <c:pt idx="73">
                  <c:v>24.807307844099928</c:v>
                </c:pt>
                <c:pt idx="74">
                  <c:v>24.807129014517926</c:v>
                </c:pt>
                <c:pt idx="75">
                  <c:v>24.806941764848524</c:v>
                </c:pt>
                <c:pt idx="76">
                  <c:v>24.806745699025953</c:v>
                </c:pt>
                <c:pt idx="77">
                  <c:v>24.806540402391523</c:v>
                </c:pt>
                <c:pt idx="78">
                  <c:v>24.806325440824626</c:v>
                </c:pt>
                <c:pt idx="79">
                  <c:v>24.806100359833305</c:v>
                </c:pt>
                <c:pt idx="80">
                  <c:v>24.805864683602493</c:v>
                </c:pt>
                <c:pt idx="81">
                  <c:v>24.805617913998542</c:v>
                </c:pt>
                <c:pt idx="82">
                  <c:v>24.80535952952745</c:v>
                </c:pt>
                <c:pt idx="83">
                  <c:v>24.805088984244996</c:v>
                </c:pt>
                <c:pt idx="84">
                  <c:v>24.804805706617099</c:v>
                </c:pt>
                <c:pt idx="85">
                  <c:v>24.804509098326516</c:v>
                </c:pt>
                <c:pt idx="86">
                  <c:v>24.804198533025975</c:v>
                </c:pt>
                <c:pt idx="87">
                  <c:v>24.803873355032717</c:v>
                </c:pt>
                <c:pt idx="88">
                  <c:v>24.80353287796386</c:v>
                </c:pt>
                <c:pt idx="89">
                  <c:v>24.803176383309125</c:v>
                </c:pt>
                <c:pt idx="90">
                  <c:v>24.802803118937305</c:v>
                </c:pt>
                <c:pt idx="91">
                  <c:v>24.80241229753554</c:v>
                </c:pt>
                <c:pt idx="92">
                  <c:v>24.802003094976381</c:v>
                </c:pt>
                <c:pt idx="93">
                  <c:v>24.801574648610831</c:v>
                </c:pt>
                <c:pt idx="94">
                  <c:v>24.801126055483373</c:v>
                </c:pt>
                <c:pt idx="95">
                  <c:v>24.800656370465987</c:v>
                </c:pt>
                <c:pt idx="96">
                  <c:v>24.800164604307163</c:v>
                </c:pt>
                <c:pt idx="97">
                  <c:v>24.799649721592605</c:v>
                </c:pt>
                <c:pt idx="98">
                  <c:v>24.799110638613946</c:v>
                </c:pt>
                <c:pt idx="99">
                  <c:v>24.798546221140711</c:v>
                </c:pt>
                <c:pt idx="100">
                  <c:v>24.797955282092307</c:v>
                </c:pt>
                <c:pt idx="101">
                  <c:v>24.797336579105377</c:v>
                </c:pt>
                <c:pt idx="102">
                  <c:v>24.796688811991334</c:v>
                </c:pt>
                <c:pt idx="103">
                  <c:v>24.796010620081223</c:v>
                </c:pt>
                <c:pt idx="104">
                  <c:v>24.795300579451283</c:v>
                </c:pt>
                <c:pt idx="105">
                  <c:v>24.794557200025217</c:v>
                </c:pt>
                <c:pt idx="106">
                  <c:v>24.793778922547986</c:v>
                </c:pt>
                <c:pt idx="107">
                  <c:v>24.792964115425498</c:v>
                </c:pt>
                <c:pt idx="108">
                  <c:v>24.792111071425115</c:v>
                </c:pt>
                <c:pt idx="109">
                  <c:v>24.791218004230586</c:v>
                </c:pt>
                <c:pt idx="110">
                  <c:v>24.790283044846714</c:v>
                </c:pt>
                <c:pt idx="111">
                  <c:v>24.7893042378467</c:v>
                </c:pt>
                <c:pt idx="112">
                  <c:v>24.788279537456098</c:v>
                </c:pt>
                <c:pt idx="113">
                  <c:v>24.78720680346747</c:v>
                </c:pt>
                <c:pt idx="114">
                  <c:v>24.786083796978705</c:v>
                </c:pt>
                <c:pt idx="115">
                  <c:v>24.784908175948619</c:v>
                </c:pt>
                <c:pt idx="116">
                  <c:v>24.783677490562091</c:v>
                </c:pt>
                <c:pt idx="117">
                  <c:v>24.782389178398802</c:v>
                </c:pt>
                <c:pt idx="118">
                  <c:v>24.781040559397333</c:v>
                </c:pt>
                <c:pt idx="119">
                  <c:v>24.779628830607415</c:v>
                </c:pt>
                <c:pt idx="120">
                  <c:v>24.778151060723008</c:v>
                </c:pt>
                <c:pt idx="121">
                  <c:v>24.776604184388088</c:v>
                </c:pt>
                <c:pt idx="122">
                  <c:v>24.77498499626774</c:v>
                </c:pt>
                <c:pt idx="123">
                  <c:v>24.773290144876267</c:v>
                </c:pt>
                <c:pt idx="124">
                  <c:v>24.771516126153546</c:v>
                </c:pt>
                <c:pt idx="125">
                  <c:v>24.769659276783436</c:v>
                </c:pt>
                <c:pt idx="126">
                  <c:v>24.767715767243828</c:v>
                </c:pt>
                <c:pt idx="127">
                  <c:v>24.765681594581391</c:v>
                </c:pt>
                <c:pt idx="128">
                  <c:v>24.76355257490254</c:v>
                </c:pt>
                <c:pt idx="129">
                  <c:v>24.761324335572262</c:v>
                </c:pt>
                <c:pt idx="130">
                  <c:v>24.758992307112738</c:v>
                </c:pt>
                <c:pt idx="131">
                  <c:v>24.756551714793655</c:v>
                </c:pt>
                <c:pt idx="132">
                  <c:v>24.753997569906851</c:v>
                </c:pt>
                <c:pt idx="133">
                  <c:v>24.751324660716989</c:v>
                </c:pt>
                <c:pt idx="134">
                  <c:v>24.748527543081167</c:v>
                </c:pt>
                <c:pt idx="135">
                  <c:v>24.745600530730485</c:v>
                </c:pt>
                <c:pt idx="136">
                  <c:v>24.742537685207104</c:v>
                </c:pt>
                <c:pt idx="137">
                  <c:v>24.739332805450264</c:v>
                </c:pt>
                <c:pt idx="138">
                  <c:v>24.73597941702582</c:v>
                </c:pt>
                <c:pt idx="139">
                  <c:v>24.732470760994669</c:v>
                </c:pt>
                <c:pt idx="140">
                  <c:v>24.728799782415642</c:v>
                </c:pt>
                <c:pt idx="141">
                  <c:v>24.724959118479383</c:v>
                </c:pt>
                <c:pt idx="142">
                  <c:v>24.720941086271651</c:v>
                </c:pt>
                <c:pt idx="143">
                  <c:v>24.716737670164036</c:v>
                </c:pt>
                <c:pt idx="144">
                  <c:v>24.712340508832803</c:v>
                </c:pt>
                <c:pt idx="145">
                  <c:v>24.707740881907352</c:v>
                </c:pt>
                <c:pt idx="146">
                  <c:v>24.702929696250937</c:v>
                </c:pt>
                <c:pt idx="147">
                  <c:v>24.697897471879337</c:v>
                </c:pt>
                <c:pt idx="148">
                  <c:v>24.692634327523415</c:v>
                </c:pt>
                <c:pt idx="149">
                  <c:v>24.6871299658456</c:v>
                </c:pt>
                <c:pt idx="150">
                  <c:v>24.681373658320709</c:v>
                </c:pt>
                <c:pt idx="151">
                  <c:v>24.675354229795904</c:v>
                </c:pt>
                <c:pt idx="152">
                  <c:v>24.669060042745727</c:v>
                </c:pt>
                <c:pt idx="153">
                  <c:v>24.662478981243652</c:v>
                </c:pt>
                <c:pt idx="154">
                  <c:v>24.655598434671514</c:v>
                </c:pt>
                <c:pt idx="155">
                  <c:v>24.648405281195835</c:v>
                </c:pt>
                <c:pt idx="156">
                  <c:v>24.640885871040211</c:v>
                </c:pt>
                <c:pt idx="157">
                  <c:v>24.633026009590722</c:v>
                </c:pt>
                <c:pt idx="158">
                  <c:v>24.624810940372651</c:v>
                </c:pt>
                <c:pt idx="159">
                  <c:v>24.616225327944157</c:v>
                </c:pt>
                <c:pt idx="160">
                  <c:v>24.607253240756762</c:v>
                </c:pt>
                <c:pt idx="161">
                  <c:v>24.597878134038197</c:v>
                </c:pt>
                <c:pt idx="162">
                  <c:v>24.588082832758623</c:v>
                </c:pt>
                <c:pt idx="163">
                  <c:v>24.577849514749055</c:v>
                </c:pt>
                <c:pt idx="164">
                  <c:v>24.567159694045237</c:v>
                </c:pt>
                <c:pt idx="165">
                  <c:v>24.555994204539182</c:v>
                </c:pt>
                <c:pt idx="166">
                  <c:v>24.544333184026428</c:v>
                </c:pt>
                <c:pt idx="167">
                  <c:v>24.532156058745048</c:v>
                </c:pt>
                <c:pt idx="168">
                  <c:v>24.519441528510391</c:v>
                </c:pt>
                <c:pt idx="169">
                  <c:v>24.506167552558207</c:v>
                </c:pt>
                <c:pt idx="170">
                  <c:v>24.49231133621462</c:v>
                </c:pt>
                <c:pt idx="171">
                  <c:v>24.477849318522864</c:v>
                </c:pt>
                <c:pt idx="172">
                  <c:v>24.462757160963207</c:v>
                </c:pt>
                <c:pt idx="173">
                  <c:v>24.447009737411307</c:v>
                </c:pt>
                <c:pt idx="174">
                  <c:v>24.430581125488441</c:v>
                </c:pt>
                <c:pt idx="175">
                  <c:v>24.413444599466558</c:v>
                </c:pt>
                <c:pt idx="176">
                  <c:v>24.395572624896417</c:v>
                </c:pt>
                <c:pt idx="177">
                  <c:v>24.376936855137906</c:v>
                </c:pt>
                <c:pt idx="178">
                  <c:v>24.357508129975361</c:v>
                </c:pt>
                <c:pt idx="179">
                  <c:v>24.337256476510284</c:v>
                </c:pt>
                <c:pt idx="180">
                  <c:v>24.316151112526271</c:v>
                </c:pt>
                <c:pt idx="181">
                  <c:v>24.29416045252789</c:v>
                </c:pt>
                <c:pt idx="182">
                  <c:v>24.271252116658349</c:v>
                </c:pt>
                <c:pt idx="183">
                  <c:v>24.247392942700934</c:v>
                </c:pt>
                <c:pt idx="184">
                  <c:v>24.222549001372368</c:v>
                </c:pt>
                <c:pt idx="185">
                  <c:v>24.196685615112873</c:v>
                </c:pt>
                <c:pt idx="186">
                  <c:v>24.16976738057549</c:v>
                </c:pt>
                <c:pt idx="187">
                  <c:v>24.14175819501224</c:v>
                </c:pt>
                <c:pt idx="188">
                  <c:v>24.112621286744403</c:v>
                </c:pt>
                <c:pt idx="189">
                  <c:v>24.082319249897779</c:v>
                </c:pt>
                <c:pt idx="190">
                  <c:v>24.050814083566031</c:v>
                </c:pt>
                <c:pt idx="191">
                  <c:v>24.018067235552728</c:v>
                </c:pt>
                <c:pt idx="192">
                  <c:v>23.984039650821025</c:v>
                </c:pt>
                <c:pt idx="193">
                  <c:v>23.948691824758068</c:v>
                </c:pt>
                <c:pt idx="194">
                  <c:v>23.91198386133474</c:v>
                </c:pt>
                <c:pt idx="195">
                  <c:v>23.873875536213415</c:v>
                </c:pt>
                <c:pt idx="196">
                  <c:v>23.834326364820324</c:v>
                </c:pt>
                <c:pt idx="197">
                  <c:v>23.793295675366743</c:v>
                </c:pt>
                <c:pt idx="198">
                  <c:v>23.750742686760638</c:v>
                </c:pt>
                <c:pt idx="199">
                  <c:v>23.706626591309515</c:v>
                </c:pt>
                <c:pt idx="200">
                  <c:v>23.6609066420686</c:v>
                </c:pt>
                <c:pt idx="201">
                  <c:v>23.613542244641899</c:v>
                </c:pt>
                <c:pt idx="202">
                  <c:v>23.564493053192198</c:v>
                </c:pt>
                <c:pt idx="203">
                  <c:v>23.513719070365187</c:v>
                </c:pt>
                <c:pt idx="204">
                  <c:v>23.461180750780656</c:v>
                </c:pt>
                <c:pt idx="205">
                  <c:v>23.406839107688945</c:v>
                </c:pt>
                <c:pt idx="206">
                  <c:v>23.350655822340652</c:v>
                </c:pt>
                <c:pt idx="207">
                  <c:v>23.292593355563032</c:v>
                </c:pt>
                <c:pt idx="208">
                  <c:v>23.232615060989822</c:v>
                </c:pt>
                <c:pt idx="209">
                  <c:v>23.170685299341844</c:v>
                </c:pt>
                <c:pt idx="210">
                  <c:v>23.106769553114269</c:v>
                </c:pt>
                <c:pt idx="211">
                  <c:v>23.040834540987451</c:v>
                </c:pt>
                <c:pt idx="212">
                  <c:v>22.972848331244855</c:v>
                </c:pt>
                <c:pt idx="213">
                  <c:v>22.902780453455986</c:v>
                </c:pt>
                <c:pt idx="214">
                  <c:v>22.830602007662371</c:v>
                </c:pt>
                <c:pt idx="215">
                  <c:v>22.756285770292649</c:v>
                </c:pt>
                <c:pt idx="216">
                  <c:v>22.679806296031046</c:v>
                </c:pt>
                <c:pt idx="217">
                  <c:v>22.601140014869173</c:v>
                </c:pt>
                <c:pt idx="218">
                  <c:v>22.520265323586223</c:v>
                </c:pt>
                <c:pt idx="219">
                  <c:v>22.437162670928075</c:v>
                </c:pt>
                <c:pt idx="220">
                  <c:v>22.351814635790916</c:v>
                </c:pt>
                <c:pt idx="221">
                  <c:v>22.264205997757823</c:v>
                </c:pt>
                <c:pt idx="222">
                  <c:v>22.174323799391669</c:v>
                </c:pt>
                <c:pt idx="223">
                  <c:v>22.082157399747526</c:v>
                </c:pt>
                <c:pt idx="224">
                  <c:v>21.987698518639025</c:v>
                </c:pt>
                <c:pt idx="225">
                  <c:v>21.890941271267547</c:v>
                </c:pt>
                <c:pt idx="226">
                  <c:v>21.791882192907227</c:v>
                </c:pt>
                <c:pt idx="227">
                  <c:v>21.690520253424467</c:v>
                </c:pt>
                <c:pt idx="228">
                  <c:v>21.586856861501523</c:v>
                </c:pt>
                <c:pt idx="229">
                  <c:v>21.480895858524448</c:v>
                </c:pt>
                <c:pt idx="230">
                  <c:v>21.372643502191981</c:v>
                </c:pt>
                <c:pt idx="231">
                  <c:v>21.262108439989436</c:v>
                </c:pt>
                <c:pt idx="232">
                  <c:v>21.149301672765652</c:v>
                </c:pt>
                <c:pt idx="233">
                  <c:v>21.034236508734068</c:v>
                </c:pt>
                <c:pt idx="234">
                  <c:v>20.916928508301748</c:v>
                </c:pt>
                <c:pt idx="235">
                  <c:v>20.7973954202062</c:v>
                </c:pt>
                <c:pt idx="236">
                  <c:v>20.67565710950494</c:v>
                </c:pt>
                <c:pt idx="237">
                  <c:v>20.551735478028029</c:v>
                </c:pt>
                <c:pt idx="238">
                  <c:v>20.425654377948547</c:v>
                </c:pt>
                <c:pt idx="239">
                  <c:v>20.297439519176521</c:v>
                </c:pt>
                <c:pt idx="240">
                  <c:v>20.167118371307385</c:v>
                </c:pt>
                <c:pt idx="241">
                  <c:v>20.034720060884133</c:v>
                </c:pt>
                <c:pt idx="242">
                  <c:v>19.90027526474503</c:v>
                </c:pt>
                <c:pt idx="243">
                  <c:v>19.763816100232003</c:v>
                </c:pt>
                <c:pt idx="244">
                  <c:v>19.625376013032668</c:v>
                </c:pt>
                <c:pt idx="245">
                  <c:v>19.484989663413611</c:v>
                </c:pt>
                <c:pt idx="246">
                  <c:v>19.342692811584236</c:v>
                </c:pt>
                <c:pt idx="247">
                  <c:v>19.198522202901131</c:v>
                </c:pt>
                <c:pt idx="248">
                  <c:v>19.052515453589209</c:v>
                </c:pt>
                <c:pt idx="249">
                  <c:v>18.904710937617658</c:v>
                </c:pt>
                <c:pt idx="250">
                  <c:v>18.755147675323151</c:v>
                </c:pt>
                <c:pt idx="251">
                  <c:v>18.603865224327386</c:v>
                </c:pt>
                <c:pt idx="252">
                  <c:v>18.450903573243302</c:v>
                </c:pt>
                <c:pt idx="253">
                  <c:v>18.296303038615424</c:v>
                </c:pt>
                <c:pt idx="254">
                  <c:v>18.140104165484804</c:v>
                </c:pt>
                <c:pt idx="255">
                  <c:v>17.982347631916674</c:v>
                </c:pt>
                <c:pt idx="256">
                  <c:v>17.823074157776585</c:v>
                </c:pt>
                <c:pt idx="257">
                  <c:v>17.662324417988582</c:v>
                </c:pt>
                <c:pt idx="258">
                  <c:v>17.500138960460639</c:v>
                </c:pt>
                <c:pt idx="259">
                  <c:v>17.336558128813316</c:v>
                </c:pt>
                <c:pt idx="260">
                  <c:v>17.171621990003892</c:v>
                </c:pt>
                <c:pt idx="261">
                  <c:v>17.005370266895731</c:v>
                </c:pt>
                <c:pt idx="262">
                  <c:v>16.837842275783146</c:v>
                </c:pt>
                <c:pt idx="263">
                  <c:v>16.669076868847622</c:v>
                </c:pt>
                <c:pt idx="264">
                  <c:v>16.499112381486757</c:v>
                </c:pt>
                <c:pt idx="265">
                  <c:v>16.327986584431208</c:v>
                </c:pt>
                <c:pt idx="266">
                  <c:v>16.155736640536936</c:v>
                </c:pt>
                <c:pt idx="267">
                  <c:v>15.982399066119356</c:v>
                </c:pt>
                <c:pt idx="268">
                  <c:v>15.808009696676846</c:v>
                </c:pt>
                <c:pt idx="269">
                  <c:v>15.632603656834871</c:v>
                </c:pt>
                <c:pt idx="270">
                  <c:v>15.456215334330153</c:v>
                </c:pt>
                <c:pt idx="271">
                  <c:v>15.278878357842727</c:v>
                </c:pt>
                <c:pt idx="272">
                  <c:v>15.100625578478555</c:v>
                </c:pt>
                <c:pt idx="273">
                  <c:v>14.921489054697549</c:v>
                </c:pt>
                <c:pt idx="274">
                  <c:v>14.741500040481561</c:v>
                </c:pt>
                <c:pt idx="275">
                  <c:v>14.560688976534173</c:v>
                </c:pt>
                <c:pt idx="276">
                  <c:v>14.379085484305094</c:v>
                </c:pt>
                <c:pt idx="277">
                  <c:v>14.196718362635362</c:v>
                </c:pt>
                <c:pt idx="278">
                  <c:v>14.013615586821786</c:v>
                </c:pt>
                <c:pt idx="279">
                  <c:v>13.829804309904345</c:v>
                </c:pt>
                <c:pt idx="280">
                  <c:v>13.645310865985978</c:v>
                </c:pt>
                <c:pt idx="281">
                  <c:v>13.460160775401071</c:v>
                </c:pt>
                <c:pt idx="282">
                  <c:v>13.274378751554467</c:v>
                </c:pt>
                <c:pt idx="283">
                  <c:v>13.087988709263117</c:v>
                </c:pt>
                <c:pt idx="284">
                  <c:v>12.90101377443726</c:v>
                </c:pt>
                <c:pt idx="285">
                  <c:v>12.713476294948924</c:v>
                </c:pt>
                <c:pt idx="286">
                  <c:v>12.525397852542744</c:v>
                </c:pt>
                <c:pt idx="287">
                  <c:v>12.336799275651437</c:v>
                </c:pt>
                <c:pt idx="288">
                  <c:v>12.14770065298951</c:v>
                </c:pt>
                <c:pt idx="289">
                  <c:v>11.958121347804028</c:v>
                </c:pt>
                <c:pt idx="290">
                  <c:v>11.768080012671032</c:v>
                </c:pt>
                <c:pt idx="291">
                  <c:v>11.577594604734436</c:v>
                </c:pt>
                <c:pt idx="292">
                  <c:v>11.386682401290589</c:v>
                </c:pt>
                <c:pt idx="293">
                  <c:v>11.195360015630133</c:v>
                </c:pt>
                <c:pt idx="294">
                  <c:v>11.00364341305629</c:v>
                </c:pt>
                <c:pt idx="295">
                  <c:v>10.811547927004067</c:v>
                </c:pt>
                <c:pt idx="296">
                  <c:v>10.619088275192873</c:v>
                </c:pt>
                <c:pt idx="297">
                  <c:v>10.426278575750443</c:v>
                </c:pt>
                <c:pt idx="298">
                  <c:v>10.233132363252357</c:v>
                </c:pt>
                <c:pt idx="299">
                  <c:v>10.039662604625711</c:v>
                </c:pt>
                <c:pt idx="300">
                  <c:v>9.8458817148726236</c:v>
                </c:pt>
                <c:pt idx="301">
                  <c:v>9.651801572572122</c:v>
                </c:pt>
                <c:pt idx="302">
                  <c:v>9.4574335351250429</c:v>
                </c:pt>
                <c:pt idx="303">
                  <c:v>9.2627884537094083</c:v>
                </c:pt>
                <c:pt idx="304">
                  <c:v>9.0678766879190249</c:v>
                </c:pt>
                <c:pt idx="305">
                  <c:v>8.8727081200605582</c:v>
                </c:pt>
                <c:pt idx="306">
                  <c:v>8.6772921690876856</c:v>
                </c:pt>
                <c:pt idx="307">
                  <c:v>8.4816378041557314</c:v>
                </c:pt>
                <c:pt idx="308">
                  <c:v>8.2857535577800174</c:v>
                </c:pt>
                <c:pt idx="309">
                  <c:v>8.0896475385863713</c:v>
                </c:pt>
                <c:pt idx="310">
                  <c:v>7.8933274436438019</c:v>
                </c:pt>
                <c:pt idx="311">
                  <c:v>7.6968005703707334</c:v>
                </c:pt>
                <c:pt idx="312">
                  <c:v>7.5000738280089987</c:v>
                </c:pt>
                <c:pt idx="313">
                  <c:v>7.3031537486619218</c:v>
                </c:pt>
                <c:pt idx="314">
                  <c:v>7.1060464978931579</c:v>
                </c:pt>
                <c:pt idx="315">
                  <c:v>6.9087578848860529</c:v>
                </c:pt>
                <c:pt idx="316">
                  <c:v>6.7112933721629773</c:v>
                </c:pt>
                <c:pt idx="317">
                  <c:v>6.5136580848670897</c:v>
                </c:pt>
                <c:pt idx="318">
                  <c:v>6.3158568196088058</c:v>
                </c:pt>
                <c:pt idx="319">
                  <c:v>6.1178940528810504</c:v>
                </c:pt>
                <c:pt idx="320">
                  <c:v>5.9197739490470944</c:v>
                </c:pt>
                <c:pt idx="321">
                  <c:v>5.7215003679083809</c:v>
                </c:pt>
                <c:pt idx="322">
                  <c:v>5.5230768718572154</c:v>
                </c:pt>
                <c:pt idx="323">
                  <c:v>5.324506732622325</c:v>
                </c:pt>
                <c:pt idx="324">
                  <c:v>5.1257929376154179</c:v>
                </c:pt>
                <c:pt idx="325">
                  <c:v>4.9269381958871996</c:v>
                </c:pt>
                <c:pt idx="326">
                  <c:v>4.7279449437026999</c:v>
                </c:pt>
                <c:pt idx="327">
                  <c:v>4.5288153497458534</c:v>
                </c:pt>
                <c:pt idx="328">
                  <c:v>4.329551319964831</c:v>
                </c:pt>
                <c:pt idx="329">
                  <c:v>4.1301545020681445</c:v>
                </c:pt>
                <c:pt idx="330">
                  <c:v>3.930626289686975</c:v>
                </c:pt>
                <c:pt idx="331">
                  <c:v>3.730967826213897</c:v>
                </c:pt>
                <c:pt idx="332">
                  <c:v>3.5311800083341844</c:v>
                </c:pt>
                <c:pt idx="333">
                  <c:v>3.3312634892633879</c:v>
                </c:pt>
                <c:pt idx="334">
                  <c:v>3.1312186817082042</c:v>
                </c:pt>
                <c:pt idx="335">
                  <c:v>2.9310457605664637</c:v>
                </c:pt>
                <c:pt idx="336">
                  <c:v>2.7307446653860108</c:v>
                </c:pt>
                <c:pt idx="337">
                  <c:v>2.5303151026000608</c:v>
                </c:pt>
                <c:pt idx="338">
                  <c:v>2.3297565475602409</c:v>
                </c:pt>
                <c:pt idx="339">
                  <c:v>2.1290682463903403</c:v>
                </c:pt>
                <c:pt idx="340">
                  <c:v>1.9282492176830881</c:v>
                </c:pt>
                <c:pt idx="341">
                  <c:v>1.7272982540657846</c:v>
                </c:pt>
                <c:pt idx="342">
                  <c:v>1.5262139236618701</c:v>
                </c:pt>
                <c:pt idx="343">
                  <c:v>1.3249945714769695</c:v>
                </c:pt>
                <c:pt idx="344">
                  <c:v>1.123638320742256</c:v>
                </c:pt>
                <c:pt idx="345">
                  <c:v>0.92214307424547326</c:v>
                </c:pt>
                <c:pt idx="346">
                  <c:v>0.7205065156884245</c:v>
                </c:pt>
                <c:pt idx="347">
                  <c:v>0.51872611110779732</c:v>
                </c:pt>
                <c:pt idx="348">
                  <c:v>0.31679911040059006</c:v>
                </c:pt>
                <c:pt idx="349">
                  <c:v>0.11472254899850624</c:v>
                </c:pt>
                <c:pt idx="350">
                  <c:v>-8.7506750261411637E-2</c:v>
                </c:pt>
                <c:pt idx="351">
                  <c:v>-0.28989217501948805</c:v>
                </c:pt>
                <c:pt idx="352">
                  <c:v>-0.4924373209756383</c:v>
                </c:pt>
                <c:pt idx="353">
                  <c:v>-0.69514598911287773</c:v>
                </c:pt>
                <c:pt idx="354">
                  <c:v>-0.89802218250226162</c:v>
                </c:pt>
                <c:pt idx="355">
                  <c:v>-1.1010701026210656</c:v>
                </c:pt>
                <c:pt idx="356">
                  <c:v>-1.304294145118003</c:v>
                </c:pt>
                <c:pt idx="357">
                  <c:v>-1.5076988949495151</c:v>
                </c:pt>
                <c:pt idx="358">
                  <c:v>-1.7112891208106258</c:v>
                </c:pt>
                <c:pt idx="359">
                  <c:v>-1.9150697687767926</c:v>
                </c:pt>
                <c:pt idx="360">
                  <c:v>-2.1190459550723291</c:v>
                </c:pt>
                <c:pt idx="361">
                  <c:v>-2.3232229578719132</c:v>
                </c:pt>
                <c:pt idx="362">
                  <c:v>-2.5276062080424455</c:v>
                </c:pt>
                <c:pt idx="363">
                  <c:v>-2.7322012787241095</c:v>
                </c:pt>
                <c:pt idx="364">
                  <c:v>-2.9370138736495441</c:v>
                </c:pt>
                <c:pt idx="365">
                  <c:v>-3.1420498140914437</c:v>
                </c:pt>
                <c:pt idx="366">
                  <c:v>-3.3473150243319227</c:v>
                </c:pt>
                <c:pt idx="367">
                  <c:v>-3.5528155155376058</c:v>
                </c:pt>
                <c:pt idx="368">
                  <c:v>-3.7585573679268141</c:v>
                </c:pt>
                <c:pt idx="369">
                  <c:v>-3.9645467111116184</c:v>
                </c:pt>
                <c:pt idx="370">
                  <c:v>-4.1707897024962417</c:v>
                </c:pt>
                <c:pt idx="371">
                  <c:v>-4.3772925036143668</c:v>
                </c:pt>
                <c:pt idx="372">
                  <c:v>-4.5840612542888293</c:v>
                </c:pt>
                <c:pt idx="373">
                  <c:v>-4.7911020444980155</c:v>
                </c:pt>
                <c:pt idx="374">
                  <c:v>-4.9984208838389064</c:v>
                </c:pt>
                <c:pt idx="375">
                  <c:v>-5.2060236684799923</c:v>
                </c:pt>
                <c:pt idx="376">
                  <c:v>-5.4139161455048734</c:v>
                </c:pt>
                <c:pt idx="377">
                  <c:v>-5.6221038745559522</c:v>
                </c:pt>
                <c:pt idx="378">
                  <c:v>-5.8305921866972277</c:v>
                </c:pt>
                <c:pt idx="379">
                  <c:v>-6.0393861404290305</c:v>
                </c:pt>
                <c:pt idx="380">
                  <c:v>-6.2484904748013239</c:v>
                </c:pt>
                <c:pt idx="381">
                  <c:v>-6.457909559589428</c:v>
                </c:pt>
                <c:pt idx="382">
                  <c:v>-6.6676473425177907</c:v>
                </c:pt>
                <c:pt idx="383">
                  <c:v>-6.8777072935358046</c:v>
                </c:pt>
                <c:pt idx="384">
                  <c:v>-7.0880923461794314</c:v>
                </c:pt>
                <c:pt idx="385">
                  <c:v>-7.2988048360758864</c:v>
                </c:pt>
                <c:pt idx="386">
                  <c:v>-7.5098464366812037</c:v>
                </c:pt>
                <c:pt idx="387">
                  <c:v>-7.7212180923735172</c:v>
                </c:pt>
                <c:pt idx="388">
                  <c:v>-7.9329199490587641</c:v>
                </c:pt>
                <c:pt idx="389">
                  <c:v>-8.1449512824838628</c:v>
                </c:pt>
                <c:pt idx="390">
                  <c:v>-8.3573104244923773</c:v>
                </c:pt>
                <c:pt idx="391">
                  <c:v>-8.5699946874988182</c:v>
                </c:pt>
                <c:pt idx="392">
                  <c:v>-8.7830002874990907</c:v>
                </c:pt>
                <c:pt idx="393">
                  <c:v>-8.9963222659803161</c:v>
                </c:pt>
                <c:pt idx="394">
                  <c:v>-9.2099544111339675</c:v>
                </c:pt>
                <c:pt idx="395">
                  <c:v>-9.4238891788227583</c:v>
                </c:pt>
                <c:pt idx="396">
                  <c:v>-9.6381176137907101</c:v>
                </c:pt>
                <c:pt idx="397">
                  <c:v>-9.8526292716491408</c:v>
                </c:pt>
                <c:pt idx="398">
                  <c:v>-10.067412142206676</c:v>
                </c:pt>
                <c:pt idx="399">
                  <c:v>-10.28245257474731</c:v>
                </c:pt>
                <c:pt idx="400">
                  <c:v>-10.497735205889235</c:v>
                </c:pt>
                <c:pt idx="401">
                  <c:v>-10.713242890682801</c:v>
                </c:pt>
                <c:pt idx="402">
                  <c:v>-10.928956637623051</c:v>
                </c:pt>
                <c:pt idx="403">
                  <c:v>-11.144855548264356</c:v>
                </c:pt>
                <c:pt idx="404">
                  <c:v>-11.360916762128493</c:v>
                </c:pt>
                <c:pt idx="405">
                  <c:v>-11.577115407590806</c:v>
                </c:pt>
                <c:pt idx="406">
                  <c:v>-11.793424559416261</c:v>
                </c:pt>
                <c:pt idx="407">
                  <c:v>-12.009815203592174</c:v>
                </c:pt>
                <c:pt idx="408">
                  <c:v>-12.226256210070874</c:v>
                </c:pt>
                <c:pt idx="409">
                  <c:v>-12.442714313991011</c:v>
                </c:pt>
                <c:pt idx="410">
                  <c:v>-12.659154105892348</c:v>
                </c:pt>
                <c:pt idx="411">
                  <c:v>-12.875538031373976</c:v>
                </c:pt>
                <c:pt idx="412">
                  <c:v>-13.091826400574575</c:v>
                </c:pt>
                <c:pt idx="413">
                  <c:v>-13.307977407769263</c:v>
                </c:pt>
                <c:pt idx="414">
                  <c:v>-13.523947161291165</c:v>
                </c:pt>
                <c:pt idx="415">
                  <c:v>-13.739689723887947</c:v>
                </c:pt>
                <c:pt idx="416">
                  <c:v>-13.955157163526415</c:v>
                </c:pt>
                <c:pt idx="417">
                  <c:v>-14.170299614552007</c:v>
                </c:pt>
                <c:pt idx="418">
                  <c:v>-14.385065349008668</c:v>
                </c:pt>
                <c:pt idx="419">
                  <c:v>-14.599400857818846</c:v>
                </c:pt>
                <c:pt idx="420">
                  <c:v>-14.813250941421732</c:v>
                </c:pt>
                <c:pt idx="421">
                  <c:v>-15.026558809372332</c:v>
                </c:pt>
                <c:pt idx="422">
                  <c:v>-15.239266188312117</c:v>
                </c:pt>
                <c:pt idx="423">
                  <c:v>-15.451313437640726</c:v>
                </c:pt>
                <c:pt idx="424">
                  <c:v>-15.662639672143809</c:v>
                </c:pt>
                <c:pt idx="425">
                  <c:v>-15.873182890774419</c:v>
                </c:pt>
                <c:pt idx="426">
                  <c:v>-16.08288011073358</c:v>
                </c:pt>
                <c:pt idx="427">
                  <c:v>-16.291667505963094</c:v>
                </c:pt>
                <c:pt idx="428">
                  <c:v>-16.499480549141239</c:v>
                </c:pt>
                <c:pt idx="429">
                  <c:v>-16.706254156271637</c:v>
                </c:pt>
                <c:pt idx="430">
                  <c:v>-16.91192283295419</c:v>
                </c:pt>
                <c:pt idx="431">
                  <c:v>-17.116420821461354</c:v>
                </c:pt>
                <c:pt idx="432">
                  <c:v>-17.319682247770164</c:v>
                </c:pt>
                <c:pt idx="433">
                  <c:v>-17.52164126775493</c:v>
                </c:pt>
                <c:pt idx="434">
                  <c:v>-17.722232211801753</c:v>
                </c:pt>
                <c:pt idx="435">
                  <c:v>-17.921389727175676</c:v>
                </c:pt>
                <c:pt idx="436">
                  <c:v>-18.119048917548085</c:v>
                </c:pt>
                <c:pt idx="437">
                  <c:v>-18.315145479173619</c:v>
                </c:pt>
                <c:pt idx="438">
                  <c:v>-18.509615833288862</c:v>
                </c:pt>
                <c:pt idx="439">
                  <c:v>-18.702397254394487</c:v>
                </c:pt>
                <c:pt idx="440">
                  <c:v>-18.893427994164213</c:v>
                </c:pt>
                <c:pt idx="441">
                  <c:v>-19.082647400808622</c:v>
                </c:pt>
                <c:pt idx="442">
                  <c:v>-19.269996033797089</c:v>
                </c:pt>
                <c:pt idx="443">
                  <c:v>-19.455415773911763</c:v>
                </c:pt>
                <c:pt idx="444">
                  <c:v>-19.638849928670719</c:v>
                </c:pt>
                <c:pt idx="445">
                  <c:v>-19.820243333207543</c:v>
                </c:pt>
                <c:pt idx="446">
                  <c:v>-19.999542446738921</c:v>
                </c:pt>
                <c:pt idx="447">
                  <c:v>-20.176695444780698</c:v>
                </c:pt>
                <c:pt idx="448">
                  <c:v>-20.351652307294184</c:v>
                </c:pt>
                <c:pt idx="449">
                  <c:v>-20.524364902949284</c:v>
                </c:pt>
                <c:pt idx="450">
                  <c:v>-20.694787069692879</c:v>
                </c:pt>
                <c:pt idx="451">
                  <c:v>-20.862874691790356</c:v>
                </c:pt>
                <c:pt idx="452">
                  <c:v>-21.028585773491773</c:v>
                </c:pt>
                <c:pt idx="453">
                  <c:v>-21.19188050943654</c:v>
                </c:pt>
                <c:pt idx="454">
                  <c:v>-21.352721351875324</c:v>
                </c:pt>
                <c:pt idx="455">
                  <c:v>-21.51107307474069</c:v>
                </c:pt>
                <c:pt idx="456">
                  <c:v>-21.666902834551021</c:v>
                </c:pt>
                <c:pt idx="457">
                  <c:v>-21.820180228080886</c:v>
                </c:pt>
                <c:pt idx="458">
                  <c:v>-21.970877346679096</c:v>
                </c:pt>
                <c:pt idx="459">
                  <c:v>-22.118968827065892</c:v>
                </c:pt>
                <c:pt idx="460">
                  <c:v>-22.264431898395152</c:v>
                </c:pt>
                <c:pt idx="461">
                  <c:v>-22.407246425321162</c:v>
                </c:pt>
                <c:pt idx="462">
                  <c:v>-22.547394946777235</c:v>
                </c:pt>
                <c:pt idx="463">
                  <c:v>-22.684862710140852</c:v>
                </c:pt>
                <c:pt idx="464">
                  <c:v>-22.819637700440424</c:v>
                </c:pt>
                <c:pt idx="465">
                  <c:v>-22.951710664245574</c:v>
                </c:pt>
                <c:pt idx="466">
                  <c:v>-23.081075127882613</c:v>
                </c:pt>
                <c:pt idx="467">
                  <c:v>-23.20772740962143</c:v>
                </c:pt>
                <c:pt idx="468">
                  <c:v>-23.331666625500347</c:v>
                </c:pt>
                <c:pt idx="469">
                  <c:v>-23.452894688481454</c:v>
                </c:pt>
                <c:pt idx="470">
                  <c:v>-23.571416300665888</c:v>
                </c:pt>
                <c:pt idx="471">
                  <c:v>-23.687238938344784</c:v>
                </c:pt>
                <c:pt idx="472">
                  <c:v>-23.800372829712231</c:v>
                </c:pt>
                <c:pt idx="473">
                  <c:v>-23.910830925129464</c:v>
                </c:pt>
                <c:pt idx="474">
                  <c:v>-24.018628859891567</c:v>
                </c:pt>
                <c:pt idx="475">
                  <c:v>-24.123784909518029</c:v>
                </c:pt>
                <c:pt idx="476">
                  <c:v>-24.226319937660655</c:v>
                </c:pt>
                <c:pt idx="477">
                  <c:v>-24.326257336791951</c:v>
                </c:pt>
                <c:pt idx="478">
                  <c:v>-24.423622961912944</c:v>
                </c:pt>
                <c:pt idx="479">
                  <c:v>-24.518445057585815</c:v>
                </c:pt>
                <c:pt idx="480">
                  <c:v>-24.610754178665658</c:v>
                </c:pt>
                <c:pt idx="481">
                  <c:v>-24.700583105167595</c:v>
                </c:pt>
                <c:pt idx="482">
                  <c:v>-24.787966751761878</c:v>
                </c:pt>
                <c:pt idx="483">
                  <c:v>-24.872942072439873</c:v>
                </c:pt>
                <c:pt idx="484">
                  <c:v>-24.955547960937537</c:v>
                </c:pt>
                <c:pt idx="485">
                  <c:v>-25.035825147536862</c:v>
                </c:pt>
                <c:pt idx="486">
                  <c:v>-25.113816092893252</c:v>
                </c:pt>
                <c:pt idx="487">
                  <c:v>-25.189564879555533</c:v>
                </c:pt>
                <c:pt idx="488">
                  <c:v>-25.26311710185286</c:v>
                </c:pt>
                <c:pt idx="489">
                  <c:v>-25.334519754827909</c:v>
                </c:pt>
                <c:pt idx="490">
                  <c:v>-25.403821122885727</c:v>
                </c:pt>
                <c:pt idx="491">
                  <c:v>-25.471070668813933</c:v>
                </c:pt>
                <c:pt idx="492">
                  <c:v>-25.536318923811177</c:v>
                </c:pt>
                <c:pt idx="493">
                  <c:v>-25.599617379130493</c:v>
                </c:pt>
                <c:pt idx="494">
                  <c:v>-25.66101837991134</c:v>
                </c:pt>
                <c:pt idx="495">
                  <c:v>-25.720575021737318</c:v>
                </c:pt>
                <c:pt idx="496">
                  <c:v>-25.778341050414099</c:v>
                </c:pt>
                <c:pt idx="497">
                  <c:v>-25.834370765415873</c:v>
                </c:pt>
                <c:pt idx="498">
                  <c:v>-25.888718927402689</c:v>
                </c:pt>
                <c:pt idx="499">
                  <c:v>-25.941440670161263</c:v>
                </c:pt>
                <c:pt idx="500">
                  <c:v>-25.992591417271676</c:v>
                </c:pt>
                <c:pt idx="501">
                  <c:v>-26.042226803753913</c:v>
                </c:pt>
                <c:pt idx="502">
                  <c:v>-26.090402602897015</c:v>
                </c:pt>
                <c:pt idx="503">
                  <c:v>-26.137174658427618</c:v>
                </c:pt>
                <c:pt idx="504">
                  <c:v>-26.182598822125392</c:v>
                </c:pt>
                <c:pt idx="505">
                  <c:v>-26.226730896952112</c:v>
                </c:pt>
                <c:pt idx="506">
                  <c:v>-26.269626585714647</c:v>
                </c:pt>
                <c:pt idx="507">
                  <c:v>-26.311341445246374</c:v>
                </c:pt>
                <c:pt idx="508">
                  <c:v>-26.351930846052575</c:v>
                </c:pt>
                <c:pt idx="509">
                  <c:v>-26.391449937332233</c:v>
                </c:pt>
                <c:pt idx="510">
                  <c:v>-26.429953617258523</c:v>
                </c:pt>
                <c:pt idx="511">
                  <c:v>-26.467496508371301</c:v>
                </c:pt>
                <c:pt idx="512">
                  <c:v>-26.504132937911212</c:v>
                </c:pt>
                <c:pt idx="513">
                  <c:v>-26.539916922902375</c:v>
                </c:pt>
                <c:pt idx="514">
                  <c:v>-26.57490215977143</c:v>
                </c:pt>
                <c:pt idx="515">
                  <c:v>-26.609142018274863</c:v>
                </c:pt>
                <c:pt idx="516">
                  <c:v>-26.642689539490924</c:v>
                </c:pt>
                <c:pt idx="517">
                  <c:v>-26.675597437621615</c:v>
                </c:pt>
                <c:pt idx="518">
                  <c:v>-26.707918105339758</c:v>
                </c:pt>
                <c:pt idx="519">
                  <c:v>-26.739703622407681</c:v>
                </c:pt>
                <c:pt idx="520">
                  <c:v>-26.771005767288155</c:v>
                </c:pt>
                <c:pt idx="521">
                  <c:v>-26.801876031461926</c:v>
                </c:pt>
                <c:pt idx="522">
                  <c:v>-26.83236563616348</c:v>
                </c:pt>
                <c:pt idx="523">
                  <c:v>-26.862525551242221</c:v>
                </c:pt>
                <c:pt idx="524">
                  <c:v>-26.892406515854994</c:v>
                </c:pt>
                <c:pt idx="525">
                  <c:v>-26.922059060695325</c:v>
                </c:pt>
                <c:pt idx="526">
                  <c:v>-26.951533531459511</c:v>
                </c:pt>
                <c:pt idx="527">
                  <c:v>-26.980880113256269</c:v>
                </c:pt>
                <c:pt idx="528">
                  <c:v>-27.010148855658681</c:v>
                </c:pt>
                <c:pt idx="529">
                  <c:v>-27.039389698103694</c:v>
                </c:pt>
                <c:pt idx="530">
                  <c:v>-27.068652495340157</c:v>
                </c:pt>
                <c:pt idx="531">
                  <c:v>-27.097987042628834</c:v>
                </c:pt>
                <c:pt idx="532">
                  <c:v>-27.127443100398217</c:v>
                </c:pt>
                <c:pt idx="533">
                  <c:v>-27.157070418060091</c:v>
                </c:pt>
                <c:pt idx="534">
                  <c:v>-27.186918756690286</c:v>
                </c:pt>
                <c:pt idx="535">
                  <c:v>-27.217037910280695</c:v>
                </c:pt>
                <c:pt idx="536">
                  <c:v>-27.247477725270329</c:v>
                </c:pt>
                <c:pt idx="537">
                  <c:v>-27.278288118065515</c:v>
                </c:pt>
                <c:pt idx="538">
                  <c:v>-27.30951909026107</c:v>
                </c:pt>
                <c:pt idx="539">
                  <c:v>-27.34122074127896</c:v>
                </c:pt>
                <c:pt idx="540">
                  <c:v>-27.373443278143665</c:v>
                </c:pt>
                <c:pt idx="541">
                  <c:v>-27.406237022119239</c:v>
                </c:pt>
              </c:numCache>
            </c:numRef>
          </c:yVal>
          <c:smooth val="1"/>
          <c:extLst>
            <c:ext xmlns:c16="http://schemas.microsoft.com/office/drawing/2014/chart" uri="{C3380CC4-5D6E-409C-BE32-E72D297353CC}">
              <c16:uniqueId val="{00000000-036C-4A9D-B2BE-4927C2350775}"/>
            </c:ext>
          </c:extLst>
        </c:ser>
        <c:dLbls>
          <c:showLegendKey val="0"/>
          <c:showVal val="0"/>
          <c:showCatName val="0"/>
          <c:showSerName val="0"/>
          <c:showPercent val="0"/>
          <c:showBubbleSize val="0"/>
        </c:dLbls>
        <c:axId val="315885440"/>
        <c:axId val="315887616"/>
      </c:scatterChart>
      <c:scatterChart>
        <c:scatterStyle val="smoothMarker"/>
        <c:varyColors val="0"/>
        <c:ser>
          <c:idx val="1"/>
          <c:order val="1"/>
          <c:tx>
            <c:v>Phase (deg)</c:v>
          </c:tx>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CCM_Loop_Modeling!$AE$19:$AE$560</c:f>
              <c:numCache>
                <c:formatCode>General</c:formatCode>
                <c:ptCount val="542"/>
                <c:pt idx="0">
                  <c:v>-0.32092531690447401</c:v>
                </c:pt>
                <c:pt idx="1">
                  <c:v>-0.32840047406260253</c:v>
                </c:pt>
                <c:pt idx="2">
                  <c:v>-0.33604973900138918</c:v>
                </c:pt>
                <c:pt idx="3">
                  <c:v>-0.34387716642554145</c:v>
                </c:pt>
                <c:pt idx="4">
                  <c:v>-0.35188690542972567</c:v>
                </c:pt>
                <c:pt idx="5">
                  <c:v>-0.36008320169317098</c:v>
                </c:pt>
                <c:pt idx="6">
                  <c:v>-0.36847039972510026</c:v>
                </c:pt>
                <c:pt idx="7">
                  <c:v>-0.37705294516217053</c:v>
                </c:pt>
                <c:pt idx="8">
                  <c:v>-0.38583538711907323</c:v>
                </c:pt>
                <c:pt idx="9">
                  <c:v>-0.39482238059354863</c:v>
                </c:pt>
                <c:pt idx="10">
                  <c:v>-0.40401868892703402</c:v>
                </c:pt>
                <c:pt idx="11">
                  <c:v>-0.4134291863222414</c:v>
                </c:pt>
                <c:pt idx="12">
                  <c:v>-0.4230588604189035</c:v>
                </c:pt>
                <c:pt idx="13">
                  <c:v>-0.43291281492909844</c:v>
                </c:pt>
                <c:pt idx="14">
                  <c:v>-0.4429962723334015</c:v>
                </c:pt>
                <c:pt idx="15">
                  <c:v>-0.45331457663936747</c:v>
                </c:pt>
                <c:pt idx="16">
                  <c:v>-0.46387319620364664</c:v>
                </c:pt>
                <c:pt idx="17">
                  <c:v>-0.47467772661922303</c:v>
                </c:pt>
                <c:pt idx="18">
                  <c:v>-0.48573389366928205</c:v>
                </c:pt>
                <c:pt idx="19">
                  <c:v>-0.49704755634914349</c:v>
                </c:pt>
                <c:pt idx="20">
                  <c:v>-0.50862470995783204</c:v>
                </c:pt>
                <c:pt idx="21">
                  <c:v>-0.52047148926086728</c:v>
                </c:pt>
                <c:pt idx="22">
                  <c:v>-0.53259417172583423</c:v>
                </c:pt>
                <c:pt idx="23">
                  <c:v>-0.54499918083242027</c:v>
                </c:pt>
                <c:pt idx="24">
                  <c:v>-0.55769308945850515</c:v>
                </c:pt>
                <c:pt idx="25">
                  <c:v>-0.57068262334412567</c:v>
                </c:pt>
                <c:pt idx="26">
                  <c:v>-0.58397466463491221</c:v>
                </c:pt>
                <c:pt idx="27">
                  <c:v>-0.59757625550689097</c:v>
                </c:pt>
                <c:pt idx="28">
                  <c:v>-0.61149460187436999</c:v>
                </c:pt>
                <c:pt idx="29">
                  <c:v>-0.62573707718279625</c:v>
                </c:pt>
                <c:pt idx="30">
                  <c:v>-0.64031122628847825</c:v>
                </c:pt>
                <c:pt idx="31">
                  <c:v>-0.65522476942701591</c:v>
                </c:pt>
                <c:pt idx="32">
                  <c:v>-0.67048560627246145</c:v>
                </c:pt>
                <c:pt idx="33">
                  <c:v>-0.68610182008919973</c:v>
                </c:pt>
                <c:pt idx="34">
                  <c:v>-0.7020816819784953</c:v>
                </c:pt>
                <c:pt idx="35">
                  <c:v>-0.71843365522187985</c:v>
                </c:pt>
                <c:pt idx="36">
                  <c:v>-0.73516639972340647</c:v>
                </c:pt>
                <c:pt idx="37">
                  <c:v>-0.75228877655288695</c:v>
                </c:pt>
                <c:pt idx="38">
                  <c:v>-0.7698098525924767</c:v>
                </c:pt>
                <c:pt idx="39">
                  <c:v>-0.78773890528851609</c:v>
                </c:pt>
                <c:pt idx="40">
                  <c:v>-0.80608542751114587</c:v>
                </c:pt>
                <c:pt idx="41">
                  <c:v>-0.82485913252389642</c:v>
                </c:pt>
                <c:pt idx="42">
                  <c:v>-0.84406995906556981</c:v>
                </c:pt>
                <c:pt idx="43">
                  <c:v>-0.86372807654676731</c:v>
                </c:pt>
                <c:pt idx="44">
                  <c:v>-0.88384389036357403</c:v>
                </c:pt>
                <c:pt idx="45">
                  <c:v>-0.90442804733069782</c:v>
                </c:pt>
                <c:pt idx="46">
                  <c:v>-0.92549144123664739</c:v>
                </c:pt>
                <c:pt idx="47">
                  <c:v>-0.94704521852344958</c:v>
                </c:pt>
                <c:pt idx="48">
                  <c:v>-0.96910078409345035</c:v>
                </c:pt>
                <c:pt idx="49">
                  <c:v>-0.99166980724572507</c:v>
                </c:pt>
                <c:pt idx="50">
                  <c:v>-1.0147642277448699</c:v>
                </c:pt>
                <c:pt idx="51">
                  <c:v>-1.0383962620246969</c:v>
                </c:pt>
                <c:pt idx="52">
                  <c:v>-1.0625784095294752</c:v>
                </c:pt>
                <c:pt idx="53">
                  <c:v>-1.0873234591957428</c:v>
                </c:pt>
                <c:pt idx="54">
                  <c:v>-1.1126444960769106</c:v>
                </c:pt>
                <c:pt idx="55">
                  <c:v>-1.1385549081140012</c:v>
                </c:pt>
                <c:pt idx="56">
                  <c:v>-1.1650683930548646</c:v>
                </c:pt>
                <c:pt idx="57">
                  <c:v>-1.1921989655249661</c:v>
                </c:pt>
                <c:pt idx="58">
                  <c:v>-1.2199609642524551</c:v>
                </c:pt>
                <c:pt idx="59">
                  <c:v>-1.2483690594503478</c:v>
                </c:pt>
                <c:pt idx="60">
                  <c:v>-1.277438260358895</c:v>
                </c:pt>
                <c:pt idx="61">
                  <c:v>-1.3071839229506839</c:v>
                </c:pt>
                <c:pt idx="62">
                  <c:v>-1.3376217578016683</c:v>
                </c:pt>
                <c:pt idx="63">
                  <c:v>-1.3687678381308559</c:v>
                </c:pt>
                <c:pt idx="64">
                  <c:v>-1.4006386080115369</c:v>
                </c:pt>
                <c:pt idx="65">
                  <c:v>-1.4332508907570458</c:v>
                </c:pt>
                <c:pt idx="66">
                  <c:v>-1.4666218974837837</c:v>
                </c:pt>
                <c:pt idx="67">
                  <c:v>-1.5007692358544338</c:v>
                </c:pt>
                <c:pt idx="68">
                  <c:v>-1.5357109190042062</c:v>
                </c:pt>
                <c:pt idx="69">
                  <c:v>-1.5714653746528722</c:v>
                </c:pt>
                <c:pt idx="70">
                  <c:v>-1.6080514544053246</c:v>
                </c:pt>
                <c:pt idx="71">
                  <c:v>-1.6454884432434782</c:v>
                </c:pt>
                <c:pt idx="72">
                  <c:v>-1.6837960692119729</c:v>
                </c:pt>
                <c:pt idx="73">
                  <c:v>-1.7229945133005806</c:v>
                </c:pt>
                <c:pt idx="74">
                  <c:v>-1.7631044195253649</c:v>
                </c:pt>
                <c:pt idx="75">
                  <c:v>-1.8041469052115924</c:v>
                </c:pt>
                <c:pt idx="76">
                  <c:v>-1.8461435714801668</c:v>
                </c:pt>
                <c:pt idx="77">
                  <c:v>-1.8891165139402306</c:v>
                </c:pt>
                <c:pt idx="78">
                  <c:v>-1.9330883335897691</c:v>
                </c:pt>
                <c:pt idx="79">
                  <c:v>-1.9780821479262263</c:v>
                </c:pt>
                <c:pt idx="80">
                  <c:v>-2.0241216022690245</c:v>
                </c:pt>
                <c:pt idx="81">
                  <c:v>-2.0712308812954241</c:v>
                </c:pt>
                <c:pt idx="82">
                  <c:v>-2.1194347207912867</c:v>
                </c:pt>
                <c:pt idx="83">
                  <c:v>-2.1687584196178777</c:v>
                </c:pt>
                <c:pt idx="84">
                  <c:v>-2.219227851895635</c:v>
                </c:pt>
                <c:pt idx="85">
                  <c:v>-2.2708694794057367</c:v>
                </c:pt>
                <c:pt idx="86">
                  <c:v>-2.3237103642097092</c:v>
                </c:pt>
                <c:pt idx="87">
                  <c:v>-2.3777781814873427</c:v>
                </c:pt>
                <c:pt idx="88">
                  <c:v>-2.4331012325925117</c:v>
                </c:pt>
                <c:pt idx="89">
                  <c:v>-2.4897084583263491</c:v>
                </c:pt>
                <c:pt idx="90">
                  <c:v>-2.5476294524268672</c:v>
                </c:pt>
                <c:pt idx="91">
                  <c:v>-2.6068944752732435</c:v>
                </c:pt>
                <c:pt idx="92">
                  <c:v>-2.6675344678031609</c:v>
                </c:pt>
                <c:pt idx="93">
                  <c:v>-2.7295810656402963</c:v>
                </c:pt>
                <c:pt idx="94">
                  <c:v>-2.7930666134294557</c:v>
                </c:pt>
                <c:pt idx="95">
                  <c:v>-2.8580241793749801</c:v>
                </c:pt>
                <c:pt idx="96">
                  <c:v>-2.9244875699787052</c:v>
                </c:pt>
                <c:pt idx="97">
                  <c:v>-2.9924913449719255</c:v>
                </c:pt>
                <c:pt idx="98">
                  <c:v>-3.0620708324357779</c:v>
                </c:pt>
                <c:pt idx="99">
                  <c:v>-3.1332621441031745</c:v>
                </c:pt>
                <c:pt idx="100">
                  <c:v>-3.2061021908346956</c:v>
                </c:pt>
                <c:pt idx="101">
                  <c:v>-3.2806286982597972</c:v>
                </c:pt>
                <c:pt idx="102">
                  <c:v>-3.3568802225737775</c:v>
                </c:pt>
                <c:pt idx="103">
                  <c:v>-3.4348961664795747</c:v>
                </c:pt>
                <c:pt idx="104">
                  <c:v>-3.5147167952622267</c:v>
                </c:pt>
                <c:pt idx="105">
                  <c:v>-3.5963832529828288</c:v>
                </c:pt>
                <c:pt idx="106">
                  <c:v>-3.6799375787773472</c:v>
                </c:pt>
                <c:pt idx="107">
                  <c:v>-3.7654227232433941</c:v>
                </c:pt>
                <c:pt idx="108">
                  <c:v>-3.8528825648976541</c:v>
                </c:pt>
                <c:pt idx="109">
                  <c:v>-3.9423619266839944</c:v>
                </c:pt>
                <c:pt idx="110">
                  <c:v>-4.0339065925107764</c:v>
                </c:pt>
                <c:pt idx="111">
                  <c:v>-4.1275633237935399</c:v>
                </c:pt>
                <c:pt idx="112">
                  <c:v>-4.2233798759779155</c:v>
                </c:pt>
                <c:pt idx="113">
                  <c:v>-4.3214050150143848</c:v>
                </c:pt>
                <c:pt idx="114">
                  <c:v>-4.4216885337543372</c:v>
                </c:pt>
                <c:pt idx="115">
                  <c:v>-4.524281268234807</c:v>
                </c:pt>
                <c:pt idx="116">
                  <c:v>-4.6292351138158523</c:v>
                </c:pt>
                <c:pt idx="117">
                  <c:v>-4.7366030411315858</c:v>
                </c:pt>
                <c:pt idx="118">
                  <c:v>-4.8464391118133134</c:v>
                </c:pt>
                <c:pt idx="119">
                  <c:v>-4.9587984939394874</c:v>
                </c:pt>
                <c:pt idx="120">
                  <c:v>-5.0737374771627204</c:v>
                </c:pt>
                <c:pt idx="121">
                  <c:v>-5.1913134874628843</c:v>
                </c:pt>
                <c:pt idx="122">
                  <c:v>-5.3115851014675677</c:v>
                </c:pt>
                <c:pt idx="123">
                  <c:v>-5.4346120602806911</c:v>
                </c:pt>
                <c:pt idx="124">
                  <c:v>-5.5604552827528471</c:v>
                </c:pt>
                <c:pt idx="125">
                  <c:v>-5.6891768781229013</c:v>
                </c:pt>
                <c:pt idx="126">
                  <c:v>-5.8208401579566109</c:v>
                </c:pt>
                <c:pt idx="127">
                  <c:v>-5.9555096472999969</c:v>
                </c:pt>
                <c:pt idx="128">
                  <c:v>-6.0932510949617109</c:v>
                </c:pt>
                <c:pt idx="129">
                  <c:v>-6.2341314828336438</c:v>
                </c:pt>
                <c:pt idx="130">
                  <c:v>-6.378219034147623</c:v>
                </c:pt>
                <c:pt idx="131">
                  <c:v>-6.5255832205664843</c:v>
                </c:pt>
                <c:pt idx="132">
                  <c:v>-6.6762947679949045</c:v>
                </c:pt>
                <c:pt idx="133">
                  <c:v>-6.8304256609917893</c:v>
                </c:pt>
                <c:pt idx="134">
                  <c:v>-6.9880491456565634</c:v>
                </c:pt>
                <c:pt idx="135">
                  <c:v>-7.1492397308544504</c:v>
                </c:pt>
                <c:pt idx="136">
                  <c:v>-7.3140731876368008</c:v>
                </c:pt>
                <c:pt idx="137">
                  <c:v>-7.482626546705216</c:v>
                </c:pt>
                <c:pt idx="138">
                  <c:v>-7.6549780937570855</c:v>
                </c:pt>
                <c:pt idx="139">
                  <c:v>-7.831207362543096</c:v>
                </c:pt>
                <c:pt idx="140">
                  <c:v>-8.0113951254556905</c:v>
                </c:pt>
                <c:pt idx="141">
                  <c:v>-8.1956233814582582</c:v>
                </c:pt>
                <c:pt idx="142">
                  <c:v>-8.383975341154688</c:v>
                </c:pt>
                <c:pt idx="143">
                  <c:v>-8.5765354087871462</c:v>
                </c:pt>
                <c:pt idx="144">
                  <c:v>-8.7733891609407095</c:v>
                </c:pt>
                <c:pt idx="145">
                  <c:v>-8.974623321721479</c:v>
                </c:pt>
                <c:pt idx="146">
                  <c:v>-9.1803257341625404</c:v>
                </c:pt>
                <c:pt idx="147">
                  <c:v>-9.3905853276030218</c:v>
                </c:pt>
                <c:pt idx="148">
                  <c:v>-9.6054920807723203</c:v>
                </c:pt>
                <c:pt idx="149">
                  <c:v>-9.8251369802995132</c:v>
                </c:pt>
                <c:pt idx="150">
                  <c:v>-10.049611974359806</c:v>
                </c:pt>
                <c:pt idx="151">
                  <c:v>-10.27900992115358</c:v>
                </c:pt>
                <c:pt idx="152">
                  <c:v>-10.51342453190782</c:v>
                </c:pt>
                <c:pt idx="153">
                  <c:v>-10.75295030807559</c:v>
                </c:pt>
                <c:pt idx="154">
                  <c:v>-10.997682472400401</c:v>
                </c:pt>
                <c:pt idx="155">
                  <c:v>-11.247716893502504</c:v>
                </c:pt>
                <c:pt idx="156">
                  <c:v>-11.503150003636573</c:v>
                </c:pt>
                <c:pt idx="157">
                  <c:v>-11.764078709262037</c:v>
                </c:pt>
                <c:pt idx="158">
                  <c:v>-12.030600294059047</c:v>
                </c:pt>
                <c:pt idx="159">
                  <c:v>-12.302812314022368</c:v>
                </c:pt>
                <c:pt idx="160">
                  <c:v>-12.580812484258621</c:v>
                </c:pt>
                <c:pt idx="161">
                  <c:v>-12.864698557110716</c:v>
                </c:pt>
                <c:pt idx="162">
                  <c:v>-13.154568191238791</c:v>
                </c:pt>
                <c:pt idx="163">
                  <c:v>-13.450518811283446</c:v>
                </c:pt>
                <c:pt idx="164">
                  <c:v>-13.752647457749825</c:v>
                </c:pt>
                <c:pt idx="165">
                  <c:v>-14.061050626755321</c:v>
                </c:pt>
                <c:pt idx="166">
                  <c:v>-14.37582409930069</c:v>
                </c:pt>
                <c:pt idx="167">
                  <c:v>-14.697062759737955</c:v>
                </c:pt>
                <c:pt idx="168">
                  <c:v>-15.024860403132653</c:v>
                </c:pt>
                <c:pt idx="169">
                  <c:v>-15.359309531240509</c:v>
                </c:pt>
                <c:pt idx="170">
                  <c:v>-15.70050113685352</c:v>
                </c:pt>
                <c:pt idx="171">
                  <c:v>-16.048524476305587</c:v>
                </c:pt>
                <c:pt idx="172">
                  <c:v>-16.403466829968192</c:v>
                </c:pt>
                <c:pt idx="173">
                  <c:v>-16.765413250621286</c:v>
                </c:pt>
                <c:pt idx="174">
                  <c:v>-17.134446299636004</c:v>
                </c:pt>
                <c:pt idx="175">
                  <c:v>-17.510645770971003</c:v>
                </c:pt>
                <c:pt idx="176">
                  <c:v>-17.894088403057594</c:v>
                </c:pt>
                <c:pt idx="177">
                  <c:v>-18.284847578722744</c:v>
                </c:pt>
                <c:pt idx="178">
                  <c:v>-18.682993013393038</c:v>
                </c:pt>
                <c:pt idx="179">
                  <c:v>-19.0885904319125</c:v>
                </c:pt>
                <c:pt idx="180">
                  <c:v>-19.501701234416412</c:v>
                </c:pt>
                <c:pt idx="181">
                  <c:v>-19.922382151813999</c:v>
                </c:pt>
                <c:pt idx="182">
                  <c:v>-20.350684891553747</c:v>
                </c:pt>
                <c:pt idx="183">
                  <c:v>-20.786655774478835</c:v>
                </c:pt>
                <c:pt idx="184">
                  <c:v>-21.230335363713223</c:v>
                </c:pt>
                <c:pt idx="185">
                  <c:v>-21.681758086669305</c:v>
                </c:pt>
                <c:pt idx="186">
                  <c:v>-22.140951851416236</c:v>
                </c:pt>
                <c:pt idx="187">
                  <c:v>-22.607937658807632</c:v>
                </c:pt>
                <c:pt idx="188">
                  <c:v>-23.082729211932794</c:v>
                </c:pt>
                <c:pt idx="189">
                  <c:v>-23.565332524614799</c:v>
                </c:pt>
                <c:pt idx="190">
                  <c:v>-24.055745530855518</c:v>
                </c:pt>
                <c:pt idx="191">
                  <c:v>-24.553957697288606</c:v>
                </c:pt>
                <c:pt idx="192">
                  <c:v>-25.059949640869633</c:v>
                </c:pt>
                <c:pt idx="193">
                  <c:v>-25.573692754195491</c:v>
                </c:pt>
                <c:pt idx="194">
                  <c:v>-26.095148840997673</c:v>
                </c:pt>
                <c:pt idx="195">
                  <c:v>-26.624269764496336</c:v>
                </c:pt>
                <c:pt idx="196">
                  <c:v>-27.160997111443113</c:v>
                </c:pt>
                <c:pt idx="197">
                  <c:v>-27.705261874781478</c:v>
                </c:pt>
                <c:pt idx="198">
                  <c:v>-28.256984157968464</c:v>
                </c:pt>
                <c:pt idx="199">
                  <c:v>-28.816072904058576</c:v>
                </c:pt>
                <c:pt idx="200">
                  <c:v>-29.382425652714744</c:v>
                </c:pt>
                <c:pt idx="201">
                  <c:v>-29.955928328319768</c:v>
                </c:pt>
                <c:pt idx="202">
                  <c:v>-30.536455062355103</c:v>
                </c:pt>
                <c:pt idx="203">
                  <c:v>-31.123868053166515</c:v>
                </c:pt>
                <c:pt idx="204">
                  <c:v>-31.718017466147476</c:v>
                </c:pt>
                <c:pt idx="205">
                  <c:v>-32.318741377250774</c:v>
                </c:pt>
                <c:pt idx="206">
                  <c:v>-32.925865762565969</c:v>
                </c:pt>
                <c:pt idx="207">
                  <c:v>-33.539204536500002</c:v>
                </c:pt>
                <c:pt idx="208">
                  <c:v>-34.15855964083265</c:v>
                </c:pt>
                <c:pt idx="209">
                  <c:v>-34.78372118663529</c:v>
                </c:pt>
                <c:pt idx="210">
                  <c:v>-35.414467650692714</c:v>
                </c:pt>
                <c:pt idx="211">
                  <c:v>-36.050566127695653</c:v>
                </c:pt>
                <c:pt idx="212">
                  <c:v>-36.691772639051045</c:v>
                </c:pt>
                <c:pt idx="213">
                  <c:v>-37.337832498713084</c:v>
                </c:pt>
                <c:pt idx="214">
                  <c:v>-37.988480735948926</c:v>
                </c:pt>
                <c:pt idx="215">
                  <c:v>-38.643442574463073</c:v>
                </c:pt>
                <c:pt idx="216">
                  <c:v>-39.302433966774117</c:v>
                </c:pt>
                <c:pt idx="217">
                  <c:v>-39.965162182210477</c:v>
                </c:pt>
                <c:pt idx="218">
                  <c:v>-40.631326446358479</c:v>
                </c:pt>
                <c:pt idx="219">
                  <c:v>-41.300618629269124</c:v>
                </c:pt>
                <c:pt idx="220">
                  <c:v>-41.972723979209043</c:v>
                </c:pt>
                <c:pt idx="221">
                  <c:v>-42.64732189825758</c:v>
                </c:pt>
                <c:pt idx="222">
                  <c:v>-43.324086755577653</c:v>
                </c:pt>
                <c:pt idx="223">
                  <c:v>-44.002688733775187</c:v>
                </c:pt>
                <c:pt idx="224">
                  <c:v>-44.682794703372629</c:v>
                </c:pt>
                <c:pt idx="225">
                  <c:v>-45.364069120103714</c:v>
                </c:pt>
                <c:pt idx="226">
                  <c:v>-46.046174939467782</c:v>
                </c:pt>
                <c:pt idx="227">
                  <c:v>-46.728774542773628</c:v>
                </c:pt>
                <c:pt idx="228">
                  <c:v>-47.41153066877277</c:v>
                </c:pt>
                <c:pt idx="229">
                  <c:v>-48.094107344922406</c:v>
                </c:pt>
                <c:pt idx="230">
                  <c:v>-48.776170812303327</c:v>
                </c:pt>
                <c:pt idx="231">
                  <c:v>-49.457390438323777</c:v>
                </c:pt>
                <c:pt idx="232">
                  <c:v>-50.137439611466547</c:v>
                </c:pt>
                <c:pt idx="233">
                  <c:v>-50.815996612559559</c:v>
                </c:pt>
                <c:pt idx="234">
                  <c:v>-51.492745457331345</c:v>
                </c:pt>
                <c:pt idx="235">
                  <c:v>-52.167376705339279</c:v>
                </c:pt>
                <c:pt idx="236">
                  <c:v>-52.839588230755709</c:v>
                </c:pt>
                <c:pt idx="237">
                  <c:v>-53.509085950918724</c:v>
                </c:pt>
                <c:pt idx="238">
                  <c:v>-54.175584509037314</c:v>
                </c:pt>
                <c:pt idx="239">
                  <c:v>-54.838807907919026</c:v>
                </c:pt>
                <c:pt idx="240">
                  <c:v>-55.498490092125067</c:v>
                </c:pt>
                <c:pt idx="241">
                  <c:v>-56.154375476477107</c:v>
                </c:pt>
                <c:pt idx="242">
                  <c:v>-56.806219419374671</c:v>
                </c:pt>
                <c:pt idx="243">
                  <c:v>-57.453788639914862</c:v>
                </c:pt>
                <c:pt idx="244">
                  <c:v>-58.096861578321601</c:v>
                </c:pt>
                <c:pt idx="245">
                  <c:v>-58.735228699691731</c:v>
                </c:pt>
                <c:pt idx="246">
                  <c:v>-59.368692741538375</c:v>
                </c:pt>
                <c:pt idx="247">
                  <c:v>-59.9970689060574</c:v>
                </c:pt>
                <c:pt idx="248">
                  <c:v>-60.620184998454583</c:v>
                </c:pt>
                <c:pt idx="249">
                  <c:v>-61.237881513037998</c:v>
                </c:pt>
                <c:pt idx="250">
                  <c:v>-61.850011669118061</c:v>
                </c:pt>
                <c:pt idx="251">
                  <c:v>-62.456441399038681</c:v>
                </c:pt>
                <c:pt idx="252">
                  <c:v>-63.057049290917099</c:v>
                </c:pt>
                <c:pt idx="253">
                  <c:v>-63.651726488866359</c:v>
                </c:pt>
                <c:pt idx="254">
                  <c:v>-64.240376553634121</c:v>
                </c:pt>
                <c:pt idx="255">
                  <c:v>-64.82291528671324</c:v>
                </c:pt>
                <c:pt idx="256">
                  <c:v>-65.399270521053026</c:v>
                </c:pt>
                <c:pt idx="257">
                  <c:v>-65.969381881547278</c:v>
                </c:pt>
                <c:pt idx="258">
                  <c:v>-66.533200518474885</c:v>
                </c:pt>
                <c:pt idx="259">
                  <c:v>-67.090688817048289</c:v>
                </c:pt>
                <c:pt idx="260">
                  <c:v>-67.641820086172089</c:v>
                </c:pt>
                <c:pt idx="261">
                  <c:v>-68.186578229430779</c:v>
                </c:pt>
                <c:pt idx="262">
                  <c:v>-68.72495740122821</c:v>
                </c:pt>
                <c:pt idx="263">
                  <c:v>-69.256961650882005</c:v>
                </c:pt>
                <c:pt idx="264">
                  <c:v>-69.782604557339155</c:v>
                </c:pt>
                <c:pt idx="265">
                  <c:v>-70.301908857034533</c:v>
                </c:pt>
                <c:pt idx="266">
                  <c:v>-70.814906067259287</c:v>
                </c:pt>
                <c:pt idx="267">
                  <c:v>-71.321636107239328</c:v>
                </c:pt>
                <c:pt idx="268">
                  <c:v>-71.822146918964492</c:v>
                </c:pt>
                <c:pt idx="269">
                  <c:v>-72.31649408963294</c:v>
                </c:pt>
                <c:pt idx="270">
                  <c:v>-72.804740477414384</c:v>
                </c:pt>
                <c:pt idx="271">
                  <c:v>-73.28695584206713</c:v>
                </c:pt>
                <c:pt idx="272">
                  <c:v>-73.763216481779025</c:v>
                </c:pt>
                <c:pt idx="273">
                  <c:v>-74.23360487745073</c:v>
                </c:pt>
                <c:pt idx="274">
                  <c:v>-74.698209345484017</c:v>
                </c:pt>
                <c:pt idx="275">
                  <c:v>-75.157123699995054</c:v>
                </c:pt>
                <c:pt idx="276">
                  <c:v>-75.610446925235621</c:v>
                </c:pt>
                <c:pt idx="277">
                  <c:v>-76.058282858875387</c:v>
                </c:pt>
                <c:pt idx="278">
                  <c:v>-76.500739886680336</c:v>
                </c:pt>
                <c:pt idx="279">
                  <c:v>-76.937930649005949</c:v>
                </c:pt>
                <c:pt idx="280">
                  <c:v>-77.369971759425752</c:v>
                </c:pt>
                <c:pt idx="281">
                  <c:v>-77.796983535716066</c:v>
                </c:pt>
                <c:pt idx="282">
                  <c:v>-78.219089743335175</c:v>
                </c:pt>
                <c:pt idx="283">
                  <c:v>-78.636417351452863</c:v>
                </c:pt>
                <c:pt idx="284">
                  <c:v>-79.049096301520891</c:v>
                </c:pt>
                <c:pt idx="285">
                  <c:v>-79.457259288306602</c:v>
                </c:pt>
                <c:pt idx="286">
                  <c:v>-79.861041553260051</c:v>
                </c:pt>
                <c:pt idx="287">
                  <c:v>-80.260580690035496</c:v>
                </c:pt>
                <c:pt idx="288">
                  <c:v>-80.656016461942926</c:v>
                </c:pt>
                <c:pt idx="289">
                  <c:v>-81.047490631072336</c:v>
                </c:pt>
                <c:pt idx="290">
                  <c:v>-81.435146798799707</c:v>
                </c:pt>
                <c:pt idx="291">
                  <c:v>-81.8191302573575</c:v>
                </c:pt>
                <c:pt idx="292">
                  <c:v>-82.199587852133277</c:v>
                </c:pt>
                <c:pt idx="293">
                  <c:v>-82.576667854338467</c:v>
                </c:pt>
                <c:pt idx="294">
                  <c:v>-82.95051984368061</c:v>
                </c:pt>
                <c:pt idx="295">
                  <c:v>-83.321294600657211</c:v>
                </c:pt>
                <c:pt idx="296">
                  <c:v>-83.689144008086132</c:v>
                </c:pt>
                <c:pt idx="297">
                  <c:v>-84.054220961480524</c:v>
                </c:pt>
                <c:pt idx="298">
                  <c:v>-84.416679287874061</c:v>
                </c:pt>
                <c:pt idx="299">
                  <c:v>-84.776673672703708</c:v>
                </c:pt>
                <c:pt idx="300">
                  <c:v>-85.134359594356511</c:v>
                </c:pt>
                <c:pt idx="301">
                  <c:v>-85.489893265991412</c:v>
                </c:pt>
                <c:pt idx="302">
                  <c:v>-85.843431584250609</c:v>
                </c:pt>
                <c:pt idx="303">
                  <c:v>-86.195132084480122</c:v>
                </c:pt>
                <c:pt idx="304">
                  <c:v>-86.545152902085491</c:v>
                </c:pt>
                <c:pt idx="305">
                  <c:v>-86.893652739654613</c:v>
                </c:pt>
                <c:pt idx="306">
                  <c:v>-87.240790839486877</c:v>
                </c:pt>
                <c:pt idx="307">
                  <c:v>-87.586726961175472</c:v>
                </c:pt>
                <c:pt idx="308">
                  <c:v>-87.931621363895943</c:v>
                </c:pt>
                <c:pt idx="309">
                  <c:v>-88.27563479306248</c:v>
                </c:pt>
                <c:pt idx="310">
                  <c:v>-88.618928471020311</c:v>
                </c:pt>
                <c:pt idx="311">
                  <c:v>-88.961664091449194</c:v>
                </c:pt>
                <c:pt idx="312">
                  <c:v>-89.304003817160634</c:v>
                </c:pt>
                <c:pt idx="313">
                  <c:v>-89.646110280976416</c:v>
                </c:pt>
                <c:pt idx="314">
                  <c:v>-89.988146589383277</c:v>
                </c:pt>
                <c:pt idx="315">
                  <c:v>-90.330276328662649</c:v>
                </c:pt>
                <c:pt idx="316">
                  <c:v>-90.672663573200524</c:v>
                </c:pt>
                <c:pt idx="317">
                  <c:v>-91.015472895684695</c:v>
                </c:pt>
                <c:pt idx="318">
                  <c:v>-91.358869378901971</c:v>
                </c:pt>
                <c:pt idx="319">
                  <c:v>-91.703018628848994</c:v>
                </c:pt>
                <c:pt idx="320">
                  <c:v>-92.048086788874357</c:v>
                </c:pt>
                <c:pt idx="321">
                  <c:v>-92.394240554567205</c:v>
                </c:pt>
                <c:pt idx="322">
                  <c:v>-92.741647189112371</c:v>
                </c:pt>
                <c:pt idx="323">
                  <c:v>-93.090474538827749</c:v>
                </c:pt>
                <c:pt idx="324">
                  <c:v>-93.440891048601273</c:v>
                </c:pt>
                <c:pt idx="325">
                  <c:v>-93.7930657769394</c:v>
                </c:pt>
                <c:pt idx="326">
                  <c:v>-94.14716841033831</c:v>
                </c:pt>
                <c:pt idx="327">
                  <c:v>-94.503369276685618</c:v>
                </c:pt>
                <c:pt idx="328">
                  <c:v>-94.86183935739119</c:v>
                </c:pt>
                <c:pt idx="329">
                  <c:v>-95.222750297947186</c:v>
                </c:pt>
                <c:pt idx="330">
                  <c:v>-95.586274416600617</c:v>
                </c:pt>
                <c:pt idx="331">
                  <c:v>-95.95258471082532</c:v>
                </c:pt>
                <c:pt idx="332">
                  <c:v>-96.321854861262082</c:v>
                </c:pt>
                <c:pt idx="333">
                  <c:v>-96.69425923279249</c:v>
                </c:pt>
                <c:pt idx="334">
                  <c:v>-97.069972872398722</c:v>
                </c:pt>
                <c:pt idx="335">
                  <c:v>-97.449171503451737</c:v>
                </c:pt>
                <c:pt idx="336">
                  <c:v>-97.832031516055793</c:v>
                </c:pt>
                <c:pt idx="337">
                  <c:v>-98.218729953070564</c:v>
                </c:pt>
                <c:pt idx="338">
                  <c:v>-98.609444491409917</c:v>
                </c:pt>
                <c:pt idx="339">
                  <c:v>-99.004353418210584</c:v>
                </c:pt>
                <c:pt idx="340">
                  <c:v>-99.403635601441934</c:v>
                </c:pt>
                <c:pt idx="341">
                  <c:v>-99.807470454520555</c:v>
                </c:pt>
                <c:pt idx="342">
                  <c:v>-100.21603789446837</c:v>
                </c:pt>
                <c:pt idx="343">
                  <c:v>-100.62951829314498</c:v>
                </c:pt>
                <c:pt idx="344">
                  <c:v>-101.04809242106279</c:v>
                </c:pt>
                <c:pt idx="345">
                  <c:v>-101.47194138328004</c:v>
                </c:pt>
                <c:pt idx="346">
                  <c:v>-101.90124654684863</c:v>
                </c:pt>
                <c:pt idx="347">
                  <c:v>-102.33618945927647</c:v>
                </c:pt>
                <c:pt idx="348">
                  <c:v>-102.77695175745099</c:v>
                </c:pt>
                <c:pt idx="349">
                  <c:v>-103.2237150664498</c:v>
                </c:pt>
                <c:pt idx="350">
                  <c:v>-103.67666088765432</c:v>
                </c:pt>
                <c:pt idx="351">
                  <c:v>-104.13597047556532</c:v>
                </c:pt>
                <c:pt idx="352">
                  <c:v>-104.60182470270757</c:v>
                </c:pt>
                <c:pt idx="353">
                  <c:v>-105.07440391199906</c:v>
                </c:pt>
                <c:pt idx="354">
                  <c:v>-105.55388775595381</c:v>
                </c:pt>
                <c:pt idx="355">
                  <c:v>-106.04045502207397</c:v>
                </c:pt>
                <c:pt idx="356">
                  <c:v>-106.53428344379266</c:v>
                </c:pt>
                <c:pt idx="357">
                  <c:v>-107.03554949631663</c:v>
                </c:pt>
                <c:pt idx="358">
                  <c:v>-107.54442817672953</c:v>
                </c:pt>
                <c:pt idx="359">
                  <c:v>-108.06109276771825</c:v>
                </c:pt>
                <c:pt idx="360">
                  <c:v>-108.58571458429701</c:v>
                </c:pt>
                <c:pt idx="361">
                  <c:v>-109.11846270292095</c:v>
                </c:pt>
                <c:pt idx="362">
                  <c:v>-109.65950367240166</c:v>
                </c:pt>
                <c:pt idx="363">
                  <c:v>-110.20900120606755</c:v>
                </c:pt>
                <c:pt idx="364">
                  <c:v>-110.76711585464538</c:v>
                </c:pt>
                <c:pt idx="365">
                  <c:v>-111.33400465938296</c:v>
                </c:pt>
                <c:pt idx="366">
                  <c:v>-111.90982078498641</c:v>
                </c:pt>
                <c:pt idx="367">
                  <c:v>-112.49471313200229</c:v>
                </c:pt>
                <c:pt idx="368">
                  <c:v>-113.08882592834938</c:v>
                </c:pt>
                <c:pt idx="369">
                  <c:v>-113.69229829978111</c:v>
                </c:pt>
                <c:pt idx="370">
                  <c:v>-114.30526381915475</c:v>
                </c:pt>
                <c:pt idx="371">
                  <c:v>-114.92785003448584</c:v>
                </c:pt>
                <c:pt idx="372">
                  <c:v>-115.56017797587992</c:v>
                </c:pt>
                <c:pt idx="373">
                  <c:v>-116.20236164156498</c:v>
                </c:pt>
                <c:pt idx="374">
                  <c:v>-116.854507463386</c:v>
                </c:pt>
                <c:pt idx="375">
                  <c:v>-117.51671375227998</c:v>
                </c:pt>
                <c:pt idx="376">
                  <c:v>-118.18907012441777</c:v>
                </c:pt>
                <c:pt idx="377">
                  <c:v>-118.87165690887883</c:v>
                </c:pt>
                <c:pt idx="378">
                  <c:v>-119.56454453792421</c:v>
                </c:pt>
                <c:pt idx="379">
                  <c:v>-120.26779292113655</c:v>
                </c:pt>
                <c:pt idx="380">
                  <c:v>-120.98145080492357</c:v>
                </c:pt>
                <c:pt idx="381">
                  <c:v>-121.70555511910783</c:v>
                </c:pt>
                <c:pt idx="382">
                  <c:v>-122.44013031257317</c:v>
                </c:pt>
                <c:pt idx="383">
                  <c:v>-123.18518768019457</c:v>
                </c:pt>
                <c:pt idx="384">
                  <c:v>-123.94072468353139</c:v>
                </c:pt>
                <c:pt idx="385">
                  <c:v>-124.70672426803998</c:v>
                </c:pt>
                <c:pt idx="386">
                  <c:v>-125.48315417982755</c:v>
                </c:pt>
                <c:pt idx="387">
                  <c:v>-126.26996628524428</c:v>
                </c:pt>
                <c:pt idx="388">
                  <c:v>-127.06709589688126</c:v>
                </c:pt>
                <c:pt idx="389">
                  <c:v>-127.87446110980511</c:v>
                </c:pt>
                <c:pt idx="390">
                  <c:v>-128.69196215212168</c:v>
                </c:pt>
                <c:pt idx="391">
                  <c:v>-129.51948075420657</c:v>
                </c:pt>
                <c:pt idx="392">
                  <c:v>-130.35687954116409</c:v>
                </c:pt>
                <c:pt idx="393">
                  <c:v>-131.20400145329236</c:v>
                </c:pt>
                <c:pt idx="394">
                  <c:v>-132.06066919951368</c:v>
                </c:pt>
                <c:pt idx="395">
                  <c:v>-132.92668474888191</c:v>
                </c:pt>
                <c:pt idx="396">
                  <c:v>-133.80182886540635</c:v>
                </c:pt>
                <c:pt idx="397">
                  <c:v>-134.68586069150814</c:v>
                </c:pt>
                <c:pt idx="398">
                  <c:v>-135.5785173854714</c:v>
                </c:pt>
                <c:pt idx="399">
                  <c:v>-136.47951381824774</c:v>
                </c:pt>
                <c:pt idx="400">
                  <c:v>-137.38854233491023</c:v>
                </c:pt>
                <c:pt idx="401">
                  <c:v>-138.30527258595768</c:v>
                </c:pt>
                <c:pt idx="402">
                  <c:v>-139.22935143349571</c:v>
                </c:pt>
                <c:pt idx="403">
                  <c:v>-140.16040293710779</c:v>
                </c:pt>
                <c:pt idx="404">
                  <c:v>-141.09802842394703</c:v>
                </c:pt>
                <c:pt idx="405">
                  <c:v>-142.04180664724043</c:v>
                </c:pt>
                <c:pt idx="406">
                  <c:v>-142.99129403700098</c:v>
                </c:pt>
                <c:pt idx="407">
                  <c:v>-143.94602504628577</c:v>
                </c:pt>
                <c:pt idx="408">
                  <c:v>-144.90551259582827</c:v>
                </c:pt>
                <c:pt idx="409">
                  <c:v>-145.86924861930893</c:v>
                </c:pt>
                <c:pt idx="410">
                  <c:v>-146.83670471091693</c:v>
                </c:pt>
                <c:pt idx="411">
                  <c:v>-147.80733287619691</c:v>
                </c:pt>
                <c:pt idx="412">
                  <c:v>-148.78056638648872</c:v>
                </c:pt>
                <c:pt idx="413">
                  <c:v>-149.75582073653888</c:v>
                </c:pt>
                <c:pt idx="414">
                  <c:v>-150.73249470411454</c:v>
                </c:pt>
                <c:pt idx="415">
                  <c:v>-151.70997150968896</c:v>
                </c:pt>
                <c:pt idx="416">
                  <c:v>-152.68762007350225</c:v>
                </c:pt>
                <c:pt idx="417">
                  <c:v>-153.66479636651619</c:v>
                </c:pt>
                <c:pt idx="418">
                  <c:v>-154.64084485103842</c:v>
                </c:pt>
                <c:pt idx="419">
                  <c:v>-155.61510000603619</c:v>
                </c:pt>
                <c:pt idx="420">
                  <c:v>-156.586887931457</c:v>
                </c:pt>
                <c:pt idx="421">
                  <c:v>-157.55552802517983</c:v>
                </c:pt>
                <c:pt idx="422">
                  <c:v>-158.5203347255981</c:v>
                </c:pt>
                <c:pt idx="423">
                  <c:v>-159.48061931224393</c:v>
                </c:pt>
                <c:pt idx="424">
                  <c:v>-160.43569175633286</c:v>
                </c:pt>
                <c:pt idx="425">
                  <c:v>-161.38486261264879</c:v>
                </c:pt>
                <c:pt idx="426">
                  <c:v>-162.32744494378935</c:v>
                </c:pt>
                <c:pt idx="427">
                  <c:v>-163.2627562674619</c:v>
                </c:pt>
                <c:pt idx="428">
                  <c:v>-164.19012051728453</c:v>
                </c:pt>
                <c:pt idx="429">
                  <c:v>-165.10887000736065</c:v>
                </c:pt>
                <c:pt idx="430">
                  <c:v>-166.01834739080687</c:v>
                </c:pt>
                <c:pt idx="431">
                  <c:v>-166.91790760239974</c:v>
                </c:pt>
                <c:pt idx="432">
                  <c:v>-167.80691977556475</c:v>
                </c:pt>
                <c:pt idx="433">
                  <c:v>-168.68476912407218</c:v>
                </c:pt>
                <c:pt idx="434">
                  <c:v>-169.5508587790047</c:v>
                </c:pt>
                <c:pt idx="435">
                  <c:v>-170.40461157184734</c:v>
                </c:pt>
                <c:pt idx="436">
                  <c:v>-171.24547175488459</c:v>
                </c:pt>
                <c:pt idx="437">
                  <c:v>-172.07290665049166</c:v>
                </c:pt>
                <c:pt idx="438">
                  <c:v>-172.88640822136267</c:v>
                </c:pt>
                <c:pt idx="439">
                  <c:v>-173.68549455421052</c:v>
                </c:pt>
                <c:pt idx="440">
                  <c:v>-174.46971125002338</c:v>
                </c:pt>
                <c:pt idx="441">
                  <c:v>-175.23863271454405</c:v>
                </c:pt>
                <c:pt idx="442">
                  <c:v>-175.99186334322383</c:v>
                </c:pt>
                <c:pt idx="443">
                  <c:v>-176.72903859555876</c:v>
                </c:pt>
                <c:pt idx="444">
                  <c:v>-177.44982595434467</c:v>
                </c:pt>
                <c:pt idx="445">
                  <c:v>-178.15392576604944</c:v>
                </c:pt>
                <c:pt idx="446">
                  <c:v>-178.84107195917639</c:v>
                </c:pt>
                <c:pt idx="447">
                  <c:v>-179.51103263814585</c:v>
                </c:pt>
                <c:pt idx="448">
                  <c:v>179.83638944909922</c:v>
                </c:pt>
                <c:pt idx="449">
                  <c:v>179.20135657089159</c:v>
                </c:pt>
                <c:pt idx="450">
                  <c:v>178.58399579953212</c:v>
                </c:pt>
                <c:pt idx="451">
                  <c:v>177.98439892669376</c:v>
                </c:pt>
                <c:pt idx="452">
                  <c:v>177.40262250574384</c:v>
                </c:pt>
                <c:pt idx="453">
                  <c:v>176.83868801954961</c:v>
                </c:pt>
                <c:pt idx="454">
                  <c:v>176.29258217173532</c:v>
                </c:pt>
                <c:pt idx="455">
                  <c:v>175.76425729875891</c:v>
                </c:pt>
                <c:pt idx="456">
                  <c:v>175.25363189960424</c:v>
                </c:pt>
                <c:pt idx="457">
                  <c:v>174.76059127931842</c:v>
                </c:pt>
                <c:pt idx="458">
                  <c:v>174.28498830208537</c:v>
                </c:pt>
                <c:pt idx="459">
                  <c:v>173.82664424900707</c:v>
                </c:pt>
                <c:pt idx="460">
                  <c:v>173.38534977526186</c:v>
                </c:pt>
                <c:pt idx="461">
                  <c:v>172.96086596083271</c:v>
                </c:pt>
                <c:pt idx="462">
                  <c:v>172.55292544855513</c:v>
                </c:pt>
                <c:pt idx="463">
                  <c:v>172.16123366281323</c:v>
                </c:pt>
                <c:pt idx="464">
                  <c:v>171.78547010182731</c:v>
                </c:pt>
                <c:pt idx="465">
                  <c:v>171.42528969613593</c:v>
                </c:pt>
                <c:pt idx="466">
                  <c:v>171.0803242255613</c:v>
                </c:pt>
                <c:pt idx="467">
                  <c:v>170.75018378669895</c:v>
                </c:pt>
                <c:pt idx="468">
                  <c:v>170.43445830275144</c:v>
                </c:pt>
                <c:pt idx="469">
                  <c:v>170.13271906738206</c:v>
                </c:pt>
                <c:pt idx="470">
                  <c:v>169.84452031415461</c:v>
                </c:pt>
                <c:pt idx="471">
                  <c:v>169.56940080310028</c:v>
                </c:pt>
                <c:pt idx="472">
                  <c:v>169.30688541596598</c:v>
                </c:pt>
                <c:pt idx="473">
                  <c:v>169.05648675179805</c:v>
                </c:pt>
                <c:pt idx="474">
                  <c:v>168.81770671466273</c:v>
                </c:pt>
                <c:pt idx="475">
                  <c:v>168.59003808553484</c:v>
                </c:pt>
                <c:pt idx="476">
                  <c:v>168.37296607065991</c:v>
                </c:pt>
                <c:pt idx="477">
                  <c:v>168.16596981905167</c:v>
                </c:pt>
                <c:pt idx="478">
                  <c:v>167.96852390218544</c:v>
                </c:pt>
                <c:pt idx="479">
                  <c:v>167.78009974941114</c:v>
                </c:pt>
                <c:pt idx="480">
                  <c:v>167.60016703311175</c:v>
                </c:pt>
                <c:pt idx="481">
                  <c:v>167.42819499819271</c:v>
                </c:pt>
                <c:pt idx="482">
                  <c:v>167.26365373106336</c:v>
                </c:pt>
                <c:pt idx="483">
                  <c:v>167.10601536389456</c:v>
                </c:pt>
                <c:pt idx="484">
                  <c:v>166.95475521056397</c:v>
                </c:pt>
                <c:pt idx="485">
                  <c:v>166.80935283135429</c:v>
                </c:pt>
                <c:pt idx="486">
                  <c:v>166.66929302411475</c:v>
                </c:pt>
                <c:pt idx="487">
                  <c:v>166.53406674024612</c:v>
                </c:pt>
                <c:pt idx="488">
                  <c:v>166.40317192450942</c:v>
                </c:pt>
                <c:pt idx="489">
                  <c:v>166.27611427826494</c:v>
                </c:pt>
                <c:pt idx="490">
                  <c:v>166.15240794635142</c:v>
                </c:pt>
                <c:pt idx="491">
                  <c:v>166.03157612837325</c:v>
                </c:pt>
                <c:pt idx="492">
                  <c:v>165.91315161568127</c:v>
                </c:pt>
                <c:pt idx="493">
                  <c:v>165.79667725582547</c:v>
                </c:pt>
                <c:pt idx="494">
                  <c:v>165.6817063466946</c:v>
                </c:pt>
                <c:pt idx="495">
                  <c:v>165.56780296295034</c:v>
                </c:pt>
                <c:pt idx="496">
                  <c:v>165.45454221771212</c:v>
                </c:pt>
                <c:pt idx="497">
                  <c:v>165.34151046274124</c:v>
                </c:pt>
                <c:pt idx="498">
                  <c:v>165.22830543062824</c:v>
                </c:pt>
                <c:pt idx="499">
                  <c:v>165.11453632268044</c:v>
                </c:pt>
                <c:pt idx="500">
                  <c:v>164.9998238463657</c:v>
                </c:pt>
                <c:pt idx="501">
                  <c:v>164.88380020627835</c:v>
                </c:pt>
                <c:pt idx="502">
                  <c:v>164.76610905265596</c:v>
                </c:pt>
                <c:pt idx="503">
                  <c:v>164.64640539151034</c:v>
                </c:pt>
                <c:pt idx="504">
                  <c:v>164.52435546042977</c:v>
                </c:pt>
                <c:pt idx="505">
                  <c:v>164.39963657405943</c:v>
                </c:pt>
                <c:pt idx="506">
                  <c:v>164.2719369432192</c:v>
                </c:pt>
                <c:pt idx="507">
                  <c:v>164.14095547150202</c:v>
                </c:pt>
                <c:pt idx="508">
                  <c:v>164.00640153309877</c:v>
                </c:pt>
                <c:pt idx="509">
                  <c:v>163.86799473545338</c:v>
                </c:pt>
                <c:pt idx="510">
                  <c:v>163.72546467020607</c:v>
                </c:pt>
                <c:pt idx="511">
                  <c:v>163.57855065572235</c:v>
                </c:pt>
                <c:pt idx="512">
                  <c:v>163.42700147433843</c:v>
                </c:pt>
                <c:pt idx="513">
                  <c:v>163.27057510727397</c:v>
                </c:pt>
                <c:pt idx="514">
                  <c:v>163.10903846998912</c:v>
                </c:pt>
                <c:pt idx="515">
                  <c:v>162.94216715057723</c:v>
                </c:pt>
                <c:pt idx="516">
                  <c:v>162.76974515360797</c:v>
                </c:pt>
                <c:pt idx="517">
                  <c:v>162.59156465165182</c:v>
                </c:pt>
                <c:pt idx="518">
                  <c:v>162.40742574654297</c:v>
                </c:pt>
                <c:pt idx="519">
                  <c:v>162.21713624226646</c:v>
                </c:pt>
                <c:pt idx="520">
                  <c:v>162.02051143118155</c:v>
                </c:pt>
                <c:pt idx="521">
                  <c:v>161.81737389513532</c:v>
                </c:pt>
                <c:pt idx="522">
                  <c:v>161.60755332286411</c:v>
                </c:pt>
                <c:pt idx="523">
                  <c:v>161.39088634491938</c:v>
                </c:pt>
                <c:pt idx="524">
                  <c:v>161.16721638721947</c:v>
                </c:pt>
                <c:pt idx="525">
                  <c:v>160.93639354417786</c:v>
                </c:pt>
                <c:pt idx="526">
                  <c:v>160.69827447222656</c:v>
                </c:pt>
                <c:pt idx="527">
                  <c:v>160.45272230441819</c:v>
                </c:pt>
                <c:pt idx="528">
                  <c:v>160.19960658666525</c:v>
                </c:pt>
                <c:pt idx="529">
                  <c:v>159.93880323603915</c:v>
                </c:pt>
                <c:pt idx="530">
                  <c:v>159.67019452144547</c:v>
                </c:pt>
                <c:pt idx="531">
                  <c:v>159.39366906684751</c:v>
                </c:pt>
                <c:pt idx="532">
                  <c:v>159.10912187710707</c:v>
                </c:pt>
                <c:pt idx="533">
                  <c:v>158.81645438637958</c:v>
                </c:pt>
                <c:pt idx="534">
                  <c:v>158.51557452887886</c:v>
                </c:pt>
                <c:pt idx="535">
                  <c:v>158.20639683170629</c:v>
                </c:pt>
                <c:pt idx="536">
                  <c:v>157.88884252930455</c:v>
                </c:pt>
                <c:pt idx="537">
                  <c:v>157.56283969897456</c:v>
                </c:pt>
                <c:pt idx="538">
                  <c:v>157.22832341675073</c:v>
                </c:pt>
                <c:pt idx="539">
                  <c:v>156.8852359328022</c:v>
                </c:pt>
                <c:pt idx="540">
                  <c:v>156.53352686537448</c:v>
                </c:pt>
                <c:pt idx="541">
                  <c:v>156.17315341214655</c:v>
                </c:pt>
              </c:numCache>
            </c:numRef>
          </c:yVal>
          <c:smooth val="1"/>
          <c:extLst>
            <c:ext xmlns:c16="http://schemas.microsoft.com/office/drawing/2014/chart" uri="{C3380CC4-5D6E-409C-BE32-E72D297353CC}">
              <c16:uniqueId val="{00000001-036C-4A9D-B2BE-4927C2350775}"/>
            </c:ext>
          </c:extLst>
        </c:ser>
        <c:dLbls>
          <c:showLegendKey val="0"/>
          <c:showVal val="0"/>
          <c:showCatName val="0"/>
          <c:showSerName val="0"/>
          <c:showPercent val="0"/>
          <c:showBubbleSize val="0"/>
        </c:dLbls>
        <c:axId val="315891072"/>
        <c:axId val="315889536"/>
      </c:scatterChart>
      <c:valAx>
        <c:axId val="315885440"/>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15887616"/>
        <c:crosses val="autoZero"/>
        <c:crossBetween val="midCat"/>
      </c:valAx>
      <c:valAx>
        <c:axId val="315887616"/>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15885440"/>
        <c:crosses val="autoZero"/>
        <c:crossBetween val="midCat"/>
        <c:majorUnit val="20"/>
        <c:minorUnit val="10"/>
      </c:valAx>
      <c:valAx>
        <c:axId val="315889536"/>
        <c:scaling>
          <c:orientation val="minMax"/>
          <c:max val="180"/>
          <c:min val="-180"/>
        </c:scaling>
        <c:delete val="0"/>
        <c:axPos val="r"/>
        <c:numFmt formatCode="General" sourceLinked="1"/>
        <c:majorTickMark val="out"/>
        <c:minorTickMark val="none"/>
        <c:tickLblPos val="nextTo"/>
        <c:crossAx val="315891072"/>
        <c:crosses val="max"/>
        <c:crossBetween val="midCat"/>
        <c:majorUnit val="90"/>
        <c:minorUnit val="45"/>
      </c:valAx>
      <c:valAx>
        <c:axId val="315891072"/>
        <c:scaling>
          <c:logBase val="10"/>
          <c:orientation val="minMax"/>
        </c:scaling>
        <c:delete val="1"/>
        <c:axPos val="b"/>
        <c:numFmt formatCode="0.00" sourceLinked="1"/>
        <c:majorTickMark val="out"/>
        <c:minorTickMark val="none"/>
        <c:tickLblPos val="nextTo"/>
        <c:crossAx val="315889536"/>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a:t>
            </a:r>
            <a:r>
              <a:rPr lang="en-US" baseline="0"/>
              <a:t> Amplifier Transfer</a:t>
            </a:r>
          </a:p>
        </c:rich>
      </c:tx>
      <c:overlay val="0"/>
    </c:title>
    <c:autoTitleDeleted val="0"/>
    <c:plotArea>
      <c:layout/>
      <c:scatterChart>
        <c:scatterStyle val="smoothMarker"/>
        <c:varyColors val="0"/>
        <c:ser>
          <c:idx val="0"/>
          <c:order val="0"/>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CCM_Loop_Modeling!$AT$19:$AT$560</c:f>
              <c:numCache>
                <c:formatCode>General</c:formatCode>
                <c:ptCount val="542"/>
                <c:pt idx="0">
                  <c:v>43.038462214899205</c:v>
                </c:pt>
                <c:pt idx="1">
                  <c:v>42.83986653439235</c:v>
                </c:pt>
                <c:pt idx="2">
                  <c:v>42.641336514346726</c:v>
                </c:pt>
                <c:pt idx="3">
                  <c:v>42.442875199183689</c:v>
                </c:pt>
                <c:pt idx="4">
                  <c:v>42.244485772033357</c:v>
                </c:pt>
                <c:pt idx="5">
                  <c:v>42.04617156082044</c:v>
                </c:pt>
                <c:pt idx="6">
                  <c:v>41.847936044594142</c:v>
                </c:pt>
                <c:pt idx="7">
                  <c:v>41.649782860110555</c:v>
                </c:pt>
                <c:pt idx="8">
                  <c:v>41.451715808674827</c:v>
                </c:pt>
                <c:pt idx="9">
                  <c:v>41.253738863250248</c:v>
                </c:pt>
                <c:pt idx="10">
                  <c:v>41.055856175843232</c:v>
                </c:pt>
                <c:pt idx="11">
                  <c:v>40.858072085169503</c:v>
                </c:pt>
                <c:pt idx="12">
                  <c:v>40.660391124611451</c:v>
                </c:pt>
                <c:pt idx="13">
                  <c:v>40.462818030471119</c:v>
                </c:pt>
                <c:pt idx="14">
                  <c:v>40.265357750527961</c:v>
                </c:pt>
                <c:pt idx="15">
                  <c:v>40.068015452906806</c:v>
                </c:pt>
                <c:pt idx="16">
                  <c:v>39.870796535262826</c:v>
                </c:pt>
                <c:pt idx="17">
                  <c:v>39.673706634288777</c:v>
                </c:pt>
                <c:pt idx="18">
                  <c:v>39.476751635550904</c:v>
                </c:pt>
                <c:pt idx="19">
                  <c:v>39.279937683657302</c:v>
                </c:pt>
                <c:pt idx="20">
                  <c:v>39.083271192763547</c:v>
                </c:pt>
                <c:pt idx="21">
                  <c:v>38.886758857418357</c:v>
                </c:pt>
                <c:pt idx="22">
                  <c:v>38.69040766375268</c:v>
                </c:pt>
                <c:pt idx="23">
                  <c:v>38.494224901011947</c:v>
                </c:pt>
                <c:pt idx="24">
                  <c:v>38.298218173434627</c:v>
                </c:pt>
                <c:pt idx="25">
                  <c:v>38.102395412472241</c:v>
                </c:pt>
                <c:pt idx="26">
                  <c:v>37.906764889352679</c:v>
                </c:pt>
                <c:pt idx="27">
                  <c:v>37.711335227979326</c:v>
                </c:pt>
                <c:pt idx="28">
                  <c:v>37.516115418162364</c:v>
                </c:pt>
                <c:pt idx="29">
                  <c:v>37.321114829174064</c:v>
                </c:pt>
                <c:pt idx="30">
                  <c:v>37.126343223617305</c:v>
                </c:pt>
                <c:pt idx="31">
                  <c:v>36.931810771596616</c:v>
                </c:pt>
                <c:pt idx="32">
                  <c:v>36.737528065175574</c:v>
                </c:pt>
                <c:pt idx="33">
                  <c:v>36.543506133103691</c:v>
                </c:pt>
                <c:pt idx="34">
                  <c:v>36.349756455791713</c:v>
                </c:pt>
                <c:pt idx="35">
                  <c:v>36.156290980511187</c:v>
                </c:pt>
                <c:pt idx="36">
                  <c:v>35.963122136790574</c:v>
                </c:pt>
                <c:pt idx="37">
                  <c:v>35.770262851976156</c:v>
                </c:pt>
                <c:pt idx="38">
                  <c:v>35.577726566921996</c:v>
                </c:pt>
                <c:pt idx="39">
                  <c:v>35.385527251767421</c:v>
                </c:pt>
                <c:pt idx="40">
                  <c:v>35.193679421758695</c:v>
                </c:pt>
                <c:pt idx="41">
                  <c:v>35.002198153061258</c:v>
                </c:pt>
                <c:pt idx="42">
                  <c:v>34.811099098509153</c:v>
                </c:pt>
                <c:pt idx="43">
                  <c:v>34.620398503227833</c:v>
                </c:pt>
                <c:pt idx="44">
                  <c:v>34.430113220062253</c:v>
                </c:pt>
                <c:pt idx="45">
                  <c:v>34.240260724735542</c:v>
                </c:pt>
                <c:pt idx="46">
                  <c:v>34.05085913065659</c:v>
                </c:pt>
                <c:pt idx="47">
                  <c:v>33.861927203286648</c:v>
                </c:pt>
                <c:pt idx="48">
                  <c:v>33.673484373969245</c:v>
                </c:pt>
                <c:pt idx="49">
                  <c:v>33.485550753118382</c:v>
                </c:pt>
                <c:pt idx="50">
                  <c:v>33.298147142652887</c:v>
                </c:pt>
                <c:pt idx="51">
                  <c:v>33.111295047556112</c:v>
                </c:pt>
                <c:pt idx="52">
                  <c:v>32.925016686432208</c:v>
                </c:pt>
                <c:pt idx="53">
                  <c:v>32.739335000920718</c:v>
                </c:pt>
                <c:pt idx="54">
                  <c:v>32.554273663824837</c:v>
                </c:pt>
                <c:pt idx="55">
                  <c:v>32.369857085797051</c:v>
                </c:pt>
                <c:pt idx="56">
                  <c:v>32.186110420421429</c:v>
                </c:pt>
                <c:pt idx="57">
                  <c:v>32.003059567519735</c:v>
                </c:pt>
                <c:pt idx="58">
                  <c:v>31.820731174504672</c:v>
                </c:pt>
                <c:pt idx="59">
                  <c:v>31.639152635592929</c:v>
                </c:pt>
                <c:pt idx="60">
                  <c:v>31.458352088687302</c:v>
                </c:pt>
                <c:pt idx="61">
                  <c:v>31.278358409728341</c:v>
                </c:pt>
                <c:pt idx="62">
                  <c:v>31.099201204313761</c:v>
                </c:pt>
                <c:pt idx="63">
                  <c:v>30.920910796377996</c:v>
                </c:pt>
                <c:pt idx="64">
                  <c:v>30.74351821372391</c:v>
                </c:pt>
                <c:pt idx="65">
                  <c:v>30.567055170195875</c:v>
                </c:pt>
                <c:pt idx="66">
                  <c:v>30.391554044285613</c:v>
                </c:pt>
                <c:pt idx="67">
                  <c:v>30.217047853964552</c:v>
                </c:pt>
                <c:pt idx="68">
                  <c:v>30.043570227541228</c:v>
                </c:pt>
                <c:pt idx="69">
                  <c:v>29.871155370350294</c:v>
                </c:pt>
                <c:pt idx="70">
                  <c:v>29.699838027088369</c:v>
                </c:pt>
                <c:pt idx="71">
                  <c:v>29.529653439626156</c:v>
                </c:pt>
                <c:pt idx="72">
                  <c:v>29.360637300140986</c:v>
                </c:pt>
                <c:pt idx="73">
                  <c:v>29.192825699432944</c:v>
                </c:pt>
                <c:pt idx="74">
                  <c:v>29.026255070310288</c:v>
                </c:pt>
                <c:pt idx="75">
                  <c:v>28.860962125954689</c:v>
                </c:pt>
                <c:pt idx="76">
                  <c:v>28.696983793206996</c:v>
                </c:pt>
                <c:pt idx="77">
                  <c:v>28.534357140744614</c:v>
                </c:pt>
                <c:pt idx="78">
                  <c:v>28.373119302161136</c:v>
                </c:pt>
                <c:pt idx="79">
                  <c:v>28.213307393993606</c:v>
                </c:pt>
                <c:pt idx="80">
                  <c:v>28.05495842878971</c:v>
                </c:pt>
                <c:pt idx="81">
                  <c:v>27.898109223350005</c:v>
                </c:pt>
                <c:pt idx="82">
                  <c:v>27.742796302329587</c:v>
                </c:pt>
                <c:pt idx="83">
                  <c:v>27.589055797434536</c:v>
                </c:pt>
                <c:pt idx="84">
                  <c:v>27.436923342500066</c:v>
                </c:pt>
                <c:pt idx="85">
                  <c:v>27.286433964792014</c:v>
                </c:pt>
                <c:pt idx="86">
                  <c:v>27.137621972926851</c:v>
                </c:pt>
                <c:pt idx="87">
                  <c:v>26.990520841861962</c:v>
                </c:pt>
                <c:pt idx="88">
                  <c:v>26.845163095458219</c:v>
                </c:pt>
                <c:pt idx="89">
                  <c:v>26.701580187173168</c:v>
                </c:pt>
                <c:pt idx="90">
                  <c:v>26.559802379489636</c:v>
                </c:pt>
                <c:pt idx="91">
                  <c:v>26.419858622733699</c:v>
                </c:pt>
                <c:pt idx="92">
                  <c:v>26.281776433975708</c:v>
                </c:pt>
                <c:pt idx="93">
                  <c:v>26.145581776748188</c:v>
                </c:pt>
                <c:pt idx="94">
                  <c:v>26.011298942342975</c:v>
                </c:pt>
                <c:pt idx="95">
                  <c:v>25.878950433476582</c:v>
                </c:pt>
                <c:pt idx="96">
                  <c:v>25.748556851128317</c:v>
                </c:pt>
                <c:pt idx="97">
                  <c:v>25.620136785365823</c:v>
                </c:pt>
                <c:pt idx="98">
                  <c:v>25.493706710971157</c:v>
                </c:pt>
                <c:pt idx="99">
                  <c:v>25.369280888674126</c:v>
                </c:pt>
                <c:pt idx="100">
                  <c:v>25.246871272778357</c:v>
                </c:pt>
                <c:pt idx="101">
                  <c:v>25.126487425940578</c:v>
                </c:pt>
                <c:pt idx="102">
                  <c:v>25.008136441825375</c:v>
                </c:pt>
                <c:pt idx="103">
                  <c:v>24.891822876311775</c:v>
                </c:pt>
                <c:pt idx="104">
                  <c:v>24.777548687874265</c:v>
                </c:pt>
                <c:pt idx="105">
                  <c:v>24.66531318769799</c:v>
                </c:pt>
                <c:pt idx="106">
                  <c:v>24.555113000019531</c:v>
                </c:pt>
                <c:pt idx="107">
                  <c:v>24.446942033107547</c:v>
                </c:pt>
                <c:pt idx="108">
                  <c:v>24.340791461220235</c:v>
                </c:pt>
                <c:pt idx="109">
                  <c:v>24.236649717789046</c:v>
                </c:pt>
                <c:pt idx="110">
                  <c:v>24.134502499994976</c:v>
                </c:pt>
                <c:pt idx="111">
                  <c:v>24.034332784814524</c:v>
                </c:pt>
                <c:pt idx="112">
                  <c:v>23.936120856525378</c:v>
                </c:pt>
                <c:pt idx="113">
                  <c:v>23.839844345577241</c:v>
                </c:pt>
                <c:pt idx="114">
                  <c:v>23.745478278649372</c:v>
                </c:pt>
                <c:pt idx="115">
                  <c:v>23.652995139639987</c:v>
                </c:pt>
                <c:pt idx="116">
                  <c:v>23.562364941257115</c:v>
                </c:pt>
                <c:pt idx="117">
                  <c:v>23.473555306814895</c:v>
                </c:pt>
                <c:pt idx="118">
                  <c:v>23.386531561779229</c:v>
                </c:pt>
                <c:pt idx="119">
                  <c:v>23.30125683455341</c:v>
                </c:pt>
                <c:pt idx="120">
                  <c:v>23.217692165951131</c:v>
                </c:pt>
                <c:pt idx="121">
                  <c:v>23.135796626765433</c:v>
                </c:pt>
                <c:pt idx="122">
                  <c:v>23.055527442817496</c:v>
                </c:pt>
                <c:pt idx="123">
                  <c:v>22.976840126845566</c:v>
                </c:pt>
                <c:pt idx="124">
                  <c:v>22.899688616584235</c:v>
                </c:pt>
                <c:pt idx="125">
                  <c:v>22.82402541837811</c:v>
                </c:pt>
                <c:pt idx="126">
                  <c:v>22.749801755674014</c:v>
                </c:pt>
                <c:pt idx="127">
                  <c:v>22.676967721745577</c:v>
                </c:pt>
                <c:pt idx="128">
                  <c:v>22.605472436011912</c:v>
                </c:pt>
                <c:pt idx="129">
                  <c:v>22.53526420333047</c:v>
                </c:pt>
                <c:pt idx="130">
                  <c:v>22.466290675661526</c:v>
                </c:pt>
                <c:pt idx="131">
                  <c:v>22.398499015521519</c:v>
                </c:pt>
                <c:pt idx="132">
                  <c:v>22.331836060662273</c:v>
                </c:pt>
                <c:pt idx="133">
                  <c:v>22.266248489437803</c:v>
                </c:pt>
                <c:pt idx="134">
                  <c:v>22.201682986334035</c:v>
                </c:pt>
                <c:pt idx="135">
                  <c:v>22.138086407159697</c:v>
                </c:pt>
                <c:pt idx="136">
                  <c:v>22.075405943408775</c:v>
                </c:pt>
                <c:pt idx="137">
                  <c:v>22.013589285317497</c:v>
                </c:pt>
                <c:pt idx="138">
                  <c:v>21.952584783146687</c:v>
                </c:pt>
                <c:pt idx="139">
                  <c:v>21.892341606225784</c:v>
                </c:pt>
                <c:pt idx="140">
                  <c:v>21.832809899292354</c:v>
                </c:pt>
                <c:pt idx="141">
                  <c:v>21.773940935659923</c:v>
                </c:pt>
                <c:pt idx="142">
                  <c:v>21.715687266736857</c:v>
                </c:pt>
                <c:pt idx="143">
                  <c:v>21.658002867409994</c:v>
                </c:pt>
                <c:pt idx="144">
                  <c:v>21.600843276789092</c:v>
                </c:pt>
                <c:pt idx="145">
                  <c:v>21.544165733796149</c:v>
                </c:pt>
                <c:pt idx="146">
                  <c:v>21.487929307062444</c:v>
                </c:pt>
                <c:pt idx="147">
                  <c:v>21.432095018578622</c:v>
                </c:pt>
                <c:pt idx="148">
                  <c:v>21.37662596052694</c:v>
                </c:pt>
                <c:pt idx="149">
                  <c:v>21.321487404706055</c:v>
                </c:pt>
                <c:pt idx="150">
                  <c:v>21.266646903948594</c:v>
                </c:pt>
                <c:pt idx="151">
                  <c:v>21.212074384920101</c:v>
                </c:pt>
                <c:pt idx="152">
                  <c:v>21.157742231686264</c:v>
                </c:pt>
                <c:pt idx="153">
                  <c:v>21.103625359437622</c:v>
                </c:pt>
                <c:pt idx="154">
                  <c:v>21.04970127777074</c:v>
                </c:pt>
                <c:pt idx="155">
                  <c:v>20.995950142945148</c:v>
                </c:pt>
                <c:pt idx="156">
                  <c:v>20.942354798563173</c:v>
                </c:pt>
                <c:pt idx="157">
                  <c:v>20.888900804159377</c:v>
                </c:pt>
                <c:pt idx="158">
                  <c:v>20.835576451234466</c:v>
                </c:pt>
                <c:pt idx="159">
                  <c:v>20.782372766330592</c:v>
                </c:pt>
                <c:pt idx="160">
                  <c:v>20.729283500814777</c:v>
                </c:pt>
                <c:pt idx="161">
                  <c:v>20.676305107120182</c:v>
                </c:pt>
                <c:pt idx="162">
                  <c:v>20.623436701286618</c:v>
                </c:pt>
                <c:pt idx="163">
                  <c:v>20.570680011742517</c:v>
                </c:pt>
                <c:pt idx="164">
                  <c:v>20.518039314381731</c:v>
                </c:pt>
                <c:pt idx="165">
                  <c:v>20.465521354102478</c:v>
                </c:pt>
                <c:pt idx="166">
                  <c:v>20.41313525310013</c:v>
                </c:pt>
                <c:pt idx="167">
                  <c:v>20.36089240632819</c:v>
                </c:pt>
                <c:pt idx="168">
                  <c:v>20.308806364669771</c:v>
                </c:pt>
                <c:pt idx="169">
                  <c:v>20.256892706486514</c:v>
                </c:pt>
                <c:pt idx="170">
                  <c:v>20.205168898335959</c:v>
                </c:pt>
                <c:pt idx="171">
                  <c:v>20.153654145764179</c:v>
                </c:pt>
                <c:pt idx="172">
                  <c:v>20.102369235192072</c:v>
                </c:pt>
                <c:pt idx="173">
                  <c:v>20.051336368013718</c:v>
                </c:pt>
                <c:pt idx="174">
                  <c:v>20.000578988113187</c:v>
                </c:pt>
                <c:pt idx="175">
                  <c:v>19.950121604083552</c:v>
                </c:pt>
                <c:pt idx="176">
                  <c:v>19.899989607489768</c:v>
                </c:pt>
                <c:pt idx="177">
                  <c:v>19.850209088562938</c:v>
                </c:pt>
                <c:pt idx="178">
                  <c:v>19.800806650739091</c:v>
                </c:pt>
                <c:pt idx="179">
                  <c:v>19.751809225464314</c:v>
                </c:pt>
                <c:pt idx="180">
                  <c:v>19.70324388867774</c:v>
                </c:pt>
                <c:pt idx="181">
                  <c:v>19.655137680357321</c:v>
                </c:pt>
                <c:pt idx="182">
                  <c:v>19.607517428464355</c:v>
                </c:pt>
                <c:pt idx="183">
                  <c:v>19.560409578564133</c:v>
                </c:pt>
                <c:pt idx="184">
                  <c:v>19.513840030316892</c:v>
                </c:pt>
                <c:pt idx="185">
                  <c:v>19.467833981943169</c:v>
                </c:pt>
                <c:pt idx="186">
                  <c:v>19.422415783660419</c:v>
                </c:pt>
                <c:pt idx="187">
                  <c:v>19.377608800971981</c:v>
                </c:pt>
                <c:pt idx="188">
                  <c:v>19.333435288563162</c:v>
                </c:pt>
                <c:pt idx="189">
                  <c:v>19.289916275429402</c:v>
                </c:pt>
                <c:pt idx="190">
                  <c:v>19.24707146172409</c:v>
                </c:pt>
                <c:pt idx="191">
                  <c:v>19.204919127678238</c:v>
                </c:pt>
                <c:pt idx="192">
                  <c:v>19.163476054804317</c:v>
                </c:pt>
                <c:pt idx="193">
                  <c:v>19.122757459466698</c:v>
                </c:pt>
                <c:pt idx="194">
                  <c:v>19.082776938766635</c:v>
                </c:pt>
                <c:pt idx="195">
                  <c:v>19.043546428570448</c:v>
                </c:pt>
                <c:pt idx="196">
                  <c:v>19.005076173392617</c:v>
                </c:pt>
                <c:pt idx="197">
                  <c:v>18.967374707739921</c:v>
                </c:pt>
                <c:pt idx="198">
                  <c:v>18.930448848429101</c:v>
                </c:pt>
                <c:pt idx="199">
                  <c:v>18.894303697304576</c:v>
                </c:pt>
                <c:pt idx="200">
                  <c:v>18.85894265371406</c:v>
                </c:pt>
                <c:pt idx="201">
                  <c:v>18.824367436037768</c:v>
                </c:pt>
                <c:pt idx="202">
                  <c:v>18.790578111523065</c:v>
                </c:pt>
                <c:pt idx="203">
                  <c:v>18.757573133637997</c:v>
                </c:pt>
                <c:pt idx="204">
                  <c:v>18.725349386139406</c:v>
                </c:pt>
                <c:pt idx="205">
                  <c:v>18.693902233034226</c:v>
                </c:pt>
                <c:pt idx="206">
                  <c:v>18.66322557361719</c:v>
                </c:pt>
                <c:pt idx="207">
                  <c:v>18.6333119017721</c:v>
                </c:pt>
                <c:pt idx="208">
                  <c:v>18.604152368746256</c:v>
                </c:pt>
                <c:pt idx="209">
                  <c:v>18.575736848628328</c:v>
                </c:pt>
                <c:pt idx="210">
                  <c:v>18.548054005796356</c:v>
                </c:pt>
                <c:pt idx="211">
                  <c:v>18.521091363638206</c:v>
                </c:pt>
                <c:pt idx="212">
                  <c:v>18.494835373888737</c:v>
                </c:pt>
                <c:pt idx="213">
                  <c:v>18.469271485976236</c:v>
                </c:pt>
                <c:pt idx="214">
                  <c:v>18.444384215816815</c:v>
                </c:pt>
                <c:pt idx="215">
                  <c:v>18.420157213547299</c:v>
                </c:pt>
                <c:pt idx="216">
                  <c:v>18.39657332973783</c:v>
                </c:pt>
                <c:pt idx="217">
                  <c:v>18.37361467967645</c:v>
                </c:pt>
                <c:pt idx="218">
                  <c:v>18.351262705366437</c:v>
                </c:pt>
                <c:pt idx="219">
                  <c:v>18.329498234931695</c:v>
                </c:pt>
                <c:pt idx="220">
                  <c:v>18.308301539165605</c:v>
                </c:pt>
                <c:pt idx="221">
                  <c:v>18.287652385010684</c:v>
                </c:pt>
                <c:pt idx="222">
                  <c:v>18.267530085794665</c:v>
                </c:pt>
                <c:pt idx="223">
                  <c:v>18.247913548091063</c:v>
                </c:pt>
                <c:pt idx="224">
                  <c:v>18.22878131510868</c:v>
                </c:pt>
                <c:pt idx="225">
                  <c:v>18.210111606548253</c:v>
                </c:pt>
                <c:pt idx="226">
                  <c:v>18.191882354896759</c:v>
                </c:pt>
                <c:pt idx="227">
                  <c:v>18.174071238156287</c:v>
                </c:pt>
                <c:pt idx="228">
                  <c:v>18.156655709030165</c:v>
                </c:pt>
                <c:pt idx="229">
                  <c:v>18.139613020612273</c:v>
                </c:pt>
                <c:pt idx="230">
                  <c:v>18.122920248642306</c:v>
                </c:pt>
                <c:pt idx="231">
                  <c:v>18.10655431040869</c:v>
                </c:pt>
                <c:pt idx="232">
                  <c:v>18.090491980393452</c:v>
                </c:pt>
                <c:pt idx="233">
                  <c:v>18.074709902767307</c:v>
                </c:pt>
                <c:pt idx="234">
                  <c:v>18.059184600850106</c:v>
                </c:pt>
                <c:pt idx="235">
                  <c:v>18.043892483662614</c:v>
                </c:pt>
                <c:pt idx="236">
                  <c:v>18.028809849700842</c:v>
                </c:pt>
                <c:pt idx="237">
                  <c:v>18.013912888067821</c:v>
                </c:pt>
                <c:pt idx="238">
                  <c:v>17.999177677103319</c:v>
                </c:pt>
                <c:pt idx="239">
                  <c:v>17.984580180652745</c:v>
                </c:pt>
                <c:pt idx="240">
                  <c:v>17.970096242118608</c:v>
                </c:pt>
                <c:pt idx="241">
                  <c:v>17.955701576439299</c:v>
                </c:pt>
                <c:pt idx="242">
                  <c:v>17.941371760138484</c:v>
                </c:pt>
                <c:pt idx="243">
                  <c:v>17.92708221958998</c:v>
                </c:pt>
                <c:pt idx="244">
                  <c:v>17.912808217640947</c:v>
                </c:pt>
                <c:pt idx="245">
                  <c:v>17.898524838736726</c:v>
                </c:pt>
                <c:pt idx="246">
                  <c:v>17.884206972688595</c:v>
                </c:pt>
                <c:pt idx="247">
                  <c:v>17.869829297225643</c:v>
                </c:pt>
                <c:pt idx="248">
                  <c:v>17.855366259472394</c:v>
                </c:pt>
                <c:pt idx="249">
                  <c:v>17.840792056490361</c:v>
                </c:pt>
                <c:pt idx="250">
                  <c:v>17.826080615025887</c:v>
                </c:pt>
                <c:pt idx="251">
                  <c:v>17.811205570602194</c:v>
                </c:pt>
                <c:pt idx="252">
                  <c:v>17.796140246098567</c:v>
                </c:pt>
                <c:pt idx="253">
                  <c:v>17.780857629957808</c:v>
                </c:pt>
                <c:pt idx="254">
                  <c:v>17.765330354165052</c:v>
                </c:pt>
                <c:pt idx="255">
                  <c:v>17.749530672144608</c:v>
                </c:pt>
                <c:pt idx="256">
                  <c:v>17.733430436721491</c:v>
                </c:pt>
                <c:pt idx="257">
                  <c:v>17.717001078299912</c:v>
                </c:pt>
                <c:pt idx="258">
                  <c:v>17.700213583412523</c:v>
                </c:pt>
                <c:pt idx="259">
                  <c:v>17.683038473798081</c:v>
                </c:pt>
                <c:pt idx="260">
                  <c:v>17.665445786171524</c:v>
                </c:pt>
                <c:pt idx="261">
                  <c:v>17.647405052852363</c:v>
                </c:pt>
                <c:pt idx="262">
                  <c:v>17.62888528342377</c:v>
                </c:pt>
                <c:pt idx="263">
                  <c:v>17.609854947599718</c:v>
                </c:pt>
                <c:pt idx="264">
                  <c:v>17.590281959482731</c:v>
                </c:pt>
                <c:pt idx="265">
                  <c:v>17.570133663399311</c:v>
                </c:pt>
                <c:pt idx="266">
                  <c:v>17.549376821506307</c:v>
                </c:pt>
                <c:pt idx="267">
                  <c:v>17.527977603366875</c:v>
                </c:pt>
                <c:pt idx="268">
                  <c:v>17.505901577696704</c:v>
                </c:pt>
                <c:pt idx="269">
                  <c:v>17.483113706489949</c:v>
                </c:pt>
                <c:pt idx="270">
                  <c:v>17.459578341732168</c:v>
                </c:pt>
                <c:pt idx="271">
                  <c:v>17.435259224916063</c:v>
                </c:pt>
                <c:pt idx="272">
                  <c:v>17.410119489571862</c:v>
                </c:pt>
                <c:pt idx="273">
                  <c:v>17.38412166702987</c:v>
                </c:pt>
                <c:pt idx="274">
                  <c:v>17.357227695626975</c:v>
                </c:pt>
                <c:pt idx="275">
                  <c:v>17.329398933569983</c:v>
                </c:pt>
                <c:pt idx="276">
                  <c:v>17.300596175661735</c:v>
                </c:pt>
                <c:pt idx="277">
                  <c:v>17.270779674089663</c:v>
                </c:pt>
                <c:pt idx="278">
                  <c:v>17.239909163469129</c:v>
                </c:pt>
                <c:pt idx="279">
                  <c:v>17.207943890319989</c:v>
                </c:pt>
                <c:pt idx="280">
                  <c:v>17.174842647142199</c:v>
                </c:pt>
                <c:pt idx="281">
                  <c:v>17.140563811238316</c:v>
                </c:pt>
                <c:pt idx="282">
                  <c:v>17.105065388411454</c:v>
                </c:pt>
                <c:pt idx="283">
                  <c:v>17.068305061642711</c:v>
                </c:pt>
                <c:pt idx="284">
                  <c:v>17.030240244825841</c:v>
                </c:pt>
                <c:pt idx="285">
                  <c:v>16.990828141607032</c:v>
                </c:pt>
                <c:pt idx="286">
                  <c:v>16.950025809343483</c:v>
                </c:pt>
                <c:pt idx="287">
                  <c:v>16.907790228159051</c:v>
                </c:pt>
                <c:pt idx="288">
                  <c:v>16.86407837503284</c:v>
                </c:pt>
                <c:pt idx="289">
                  <c:v>16.818847302816206</c:v>
                </c:pt>
                <c:pt idx="290">
                  <c:v>16.772054224025734</c:v>
                </c:pt>
                <c:pt idx="291">
                  <c:v>16.723656599213413</c:v>
                </c:pt>
                <c:pt idx="292">
                  <c:v>16.673612229661646</c:v>
                </c:pt>
                <c:pt idx="293">
                  <c:v>16.621879354104315</c:v>
                </c:pt>
                <c:pt idx="294">
                  <c:v>16.568416749115201</c:v>
                </c:pt>
                <c:pt idx="295">
                  <c:v>16.513183832759989</c:v>
                </c:pt>
                <c:pt idx="296">
                  <c:v>16.456140771046613</c:v>
                </c:pt>
                <c:pt idx="297">
                  <c:v>16.397248586666194</c:v>
                </c:pt>
                <c:pt idx="298">
                  <c:v>16.336469269459446</c:v>
                </c:pt>
                <c:pt idx="299">
                  <c:v>16.273765888001911</c:v>
                </c:pt>
                <c:pt idx="300">
                  <c:v>16.209102701656903</c:v>
                </c:pt>
                <c:pt idx="301">
                  <c:v>16.142445272405816</c:v>
                </c:pt>
                <c:pt idx="302">
                  <c:v>16.073760575736948</c:v>
                </c:pt>
                <c:pt idx="303">
                  <c:v>16.003017109840659</c:v>
                </c:pt>
                <c:pt idx="304">
                  <c:v>15.930185002350335</c:v>
                </c:pt>
                <c:pt idx="305">
                  <c:v>15.855236113846608</c:v>
                </c:pt>
                <c:pt idx="306">
                  <c:v>15.778144137349496</c:v>
                </c:pt>
                <c:pt idx="307">
                  <c:v>15.698884693023745</c:v>
                </c:pt>
                <c:pt idx="308">
                  <c:v>15.617435417342424</c:v>
                </c:pt>
                <c:pt idx="309">
                  <c:v>15.533776045977948</c:v>
                </c:pt>
                <c:pt idx="310">
                  <c:v>15.447888489726427</c:v>
                </c:pt>
                <c:pt idx="311">
                  <c:v>15.359756902814111</c:v>
                </c:pt>
                <c:pt idx="312">
                  <c:v>15.269367742991093</c:v>
                </c:pt>
                <c:pt idx="313">
                  <c:v>15.176709822878005</c:v>
                </c:pt>
                <c:pt idx="314">
                  <c:v>15.081774352101826</c:v>
                </c:pt>
                <c:pt idx="315">
                  <c:v>14.984554969834377</c:v>
                </c:pt>
                <c:pt idx="316">
                  <c:v>14.885047767429302</c:v>
                </c:pt>
                <c:pt idx="317">
                  <c:v>14.783251300941263</c:v>
                </c:pt>
                <c:pt idx="318">
                  <c:v>14.679166593398962</c:v>
                </c:pt>
                <c:pt idx="319">
                  <c:v>14.572797126801774</c:v>
                </c:pt>
                <c:pt idx="320">
                  <c:v>14.464148823895295</c:v>
                </c:pt>
                <c:pt idx="321">
                  <c:v>14.353230019879105</c:v>
                </c:pt>
                <c:pt idx="322">
                  <c:v>14.240051424287067</c:v>
                </c:pt>
                <c:pt idx="323">
                  <c:v>14.124626073365945</c:v>
                </c:pt>
                <c:pt idx="324">
                  <c:v>14.006969273360495</c:v>
                </c:pt>
                <c:pt idx="325">
                  <c:v>13.887098535187658</c:v>
                </c:pt>
                <c:pt idx="326">
                  <c:v>13.765033501049068</c:v>
                </c:pt>
                <c:pt idx="327">
                  <c:v>13.64079586359267</c:v>
                </c:pt>
                <c:pt idx="328">
                  <c:v>13.514409278283207</c:v>
                </c:pt>
                <c:pt idx="329">
                  <c:v>13.385899269684657</c:v>
                </c:pt>
                <c:pt idx="330">
                  <c:v>13.25529313239066</c:v>
                </c:pt>
                <c:pt idx="331">
                  <c:v>13.122619827358733</c:v>
                </c:pt>
                <c:pt idx="332">
                  <c:v>12.987909874421179</c:v>
                </c:pt>
                <c:pt idx="333">
                  <c:v>12.85119524174668</c:v>
                </c:pt>
                <c:pt idx="334">
                  <c:v>12.712509233023061</c:v>
                </c:pt>
                <c:pt idx="335">
                  <c:v>12.571886373117422</c:v>
                </c:pt>
                <c:pt idx="336">
                  <c:v>12.429362292950048</c:v>
                </c:pt>
                <c:pt idx="337">
                  <c:v>12.284973614287862</c:v>
                </c:pt>
                <c:pt idx="338">
                  <c:v>12.138757835131953</c:v>
                </c:pt>
                <c:pt idx="339">
                  <c:v>11.99075321633228</c:v>
                </c:pt>
                <c:pt idx="340">
                  <c:v>11.840998670017784</c:v>
                </c:pt>
                <c:pt idx="341">
                  <c:v>11.689533650385052</c:v>
                </c:pt>
                <c:pt idx="342">
                  <c:v>11.536398047336123</c:v>
                </c:pt>
                <c:pt idx="343">
                  <c:v>11.381632083405869</c:v>
                </c:pt>
                <c:pt idx="344">
                  <c:v>11.225276214364824</c:v>
                </c:pt>
                <c:pt idx="345">
                  <c:v>11.067371033831643</c:v>
                </c:pt>
                <c:pt idx="346">
                  <c:v>10.907957182177256</c:v>
                </c:pt>
                <c:pt idx="347">
                  <c:v>10.747075259949042</c:v>
                </c:pt>
                <c:pt idx="348">
                  <c:v>10.584765745997391</c:v>
                </c:pt>
                <c:pt idx="349">
                  <c:v>10.42106892043657</c:v>
                </c:pt>
                <c:pt idx="350">
                  <c:v>10.256024792528752</c:v>
                </c:pt>
                <c:pt idx="351">
                  <c:v>10.089673033537679</c:v>
                </c:pt>
                <c:pt idx="352">
                  <c:v>9.9220529145598473</c:v>
                </c:pt>
                <c:pt idx="353">
                  <c:v>9.7532032493061411</c:v>
                </c:pt>
                <c:pt idx="354">
                  <c:v>9.5831623417727112</c:v>
                </c:pt>
                <c:pt idx="355">
                  <c:v>9.4119679387152502</c:v>
                </c:pt>
                <c:pt idx="356">
                  <c:v>9.2396571868114705</c:v>
                </c:pt>
                <c:pt idx="357">
                  <c:v>9.0662665943768044</c:v>
                </c:pt>
                <c:pt idx="358">
                  <c:v>8.8918319974809599</c:v>
                </c:pt>
                <c:pt idx="359">
                  <c:v>8.7163885302942283</c:v>
                </c:pt>
                <c:pt idx="360">
                  <c:v>8.5399705994824373</c:v>
                </c:pt>
                <c:pt idx="361">
                  <c:v>8.3626118624597456</c:v>
                </c:pt>
                <c:pt idx="362">
                  <c:v>8.1843452092990425</c:v>
                </c:pt>
                <c:pt idx="363">
                  <c:v>8.0052027480972541</c:v>
                </c:pt>
                <c:pt idx="364">
                  <c:v>7.8252157935888276</c:v>
                </c:pt>
                <c:pt idx="365">
                  <c:v>7.6444148588001601</c:v>
                </c:pt>
                <c:pt idx="366">
                  <c:v>7.4628296495385555</c:v>
                </c:pt>
                <c:pt idx="367">
                  <c:v>7.2804890615120579</c:v>
                </c:pt>
                <c:pt idx="368">
                  <c:v>7.0974211798792384</c:v>
                </c:pt>
                <c:pt idx="369">
                  <c:v>6.9136532810352875</c:v>
                </c:pt>
                <c:pt idx="370">
                  <c:v>6.7292118364420741</c:v>
                </c:pt>
                <c:pt idx="371">
                  <c:v>6.5441225183226344</c:v>
                </c:pt>
                <c:pt idx="372">
                  <c:v>6.3584102070404143</c:v>
                </c:pt>
                <c:pt idx="373">
                  <c:v>6.172098999998874</c:v>
                </c:pt>
                <c:pt idx="374">
                  <c:v>5.9852122218983803</c:v>
                </c:pt>
                <c:pt idx="375">
                  <c:v>5.7977724362002272</c:v>
                </c:pt>
                <c:pt idx="376">
                  <c:v>5.6098014576533597</c:v>
                </c:pt>
                <c:pt idx="377">
                  <c:v>5.4213203657496445</c:v>
                </c:pt>
                <c:pt idx="378">
                  <c:v>5.232349518980298</c:v>
                </c:pt>
                <c:pt idx="379">
                  <c:v>5.0429085697755882</c:v>
                </c:pt>
                <c:pt idx="380">
                  <c:v>4.8530164800179518</c:v>
                </c:pt>
                <c:pt idx="381">
                  <c:v>4.6626915370259647</c:v>
                </c:pt>
                <c:pt idx="382">
                  <c:v>4.4719513699147768</c:v>
                </c:pt>
                <c:pt idx="383">
                  <c:v>4.2808129662471073</c:v>
                </c:pt>
                <c:pt idx="384">
                  <c:v>4.0892926888936216</c:v>
                </c:pt>
                <c:pt idx="385">
                  <c:v>3.8974062930307438</c:v>
                </c:pt>
                <c:pt idx="386">
                  <c:v>3.7051689432097317</c:v>
                </c:pt>
                <c:pt idx="387">
                  <c:v>3.5125952304359394</c:v>
                </c:pt>
                <c:pt idx="388">
                  <c:v>3.3196991892050356</c:v>
                </c:pt>
                <c:pt idx="389">
                  <c:v>3.1264943144464414</c:v>
                </c:pt>
                <c:pt idx="390">
                  <c:v>2.9329935783314292</c:v>
                </c:pt>
                <c:pt idx="391">
                  <c:v>2.7392094469059174</c:v>
                </c:pt>
                <c:pt idx="392">
                  <c:v>2.545153896514659</c:v>
                </c:pt>
                <c:pt idx="393">
                  <c:v>2.3508384299863025</c:v>
                </c:pt>
                <c:pt idx="394">
                  <c:v>2.1562740925531036</c:v>
                </c:pt>
                <c:pt idx="395">
                  <c:v>1.9614714874833932</c:v>
                </c:pt>
                <c:pt idx="396">
                  <c:v>1.7664407914061706</c:v>
                </c:pt>
                <c:pt idx="397">
                  <c:v>1.5711917693133954</c:v>
                </c:pt>
                <c:pt idx="398">
                  <c:v>1.3757337892249122</c:v>
                </c:pt>
                <c:pt idx="399">
                  <c:v>1.1800758365062805</c:v>
                </c:pt>
                <c:pt idx="400">
                  <c:v>0.98422652783032849</c:v>
                </c:pt>
                <c:pt idx="401">
                  <c:v>0.78819412477620798</c:v>
                </c:pt>
                <c:pt idx="402">
                  <c:v>0.59198654706231668</c:v>
                </c:pt>
                <c:pt idx="403">
                  <c:v>0.3956113854078866</c:v>
                </c:pt>
                <c:pt idx="404">
                  <c:v>0.19907591402499031</c:v>
                </c:pt>
                <c:pt idx="405">
                  <c:v>2.3871027392586277E-3</c:v>
                </c:pt>
                <c:pt idx="406">
                  <c:v>-0.1944483712593309</c:v>
                </c:pt>
                <c:pt idx="407">
                  <c:v>-0.39142411203172378</c:v>
                </c:pt>
                <c:pt idx="408">
                  <c:v>-0.58853399386936267</c:v>
                </c:pt>
                <c:pt idx="409">
                  <c:v>-0.78577215063266881</c:v>
                </c:pt>
                <c:pt idx="410">
                  <c:v>-0.98313296544371442</c:v>
                </c:pt>
                <c:pt idx="411">
                  <c:v>-1.1806110607270628</c:v>
                </c:pt>
                <c:pt idx="412">
                  <c:v>-1.3782012885937143</c:v>
                </c:pt>
                <c:pt idx="413">
                  <c:v>-1.5758987215597531</c:v>
                </c:pt>
                <c:pt idx="414">
                  <c:v>-1.7736986435937439</c:v>
                </c:pt>
                <c:pt idx="415">
                  <c:v>-1.9715965414857903</c:v>
                </c:pt>
                <c:pt idx="416">
                  <c:v>-2.1695880965291705</c:v>
                </c:pt>
                <c:pt idx="417">
                  <c:v>-2.3676691765075968</c:v>
                </c:pt>
                <c:pt idx="418">
                  <c:v>-2.5658358279812612</c:v>
                </c:pt>
                <c:pt idx="419">
                  <c:v>-2.7640842688602678</c:v>
                </c:pt>
                <c:pt idx="420">
                  <c:v>-2.9624108812611452</c:v>
                </c:pt>
                <c:pt idx="421">
                  <c:v>-3.1608122046356142</c:v>
                </c:pt>
                <c:pt idx="422">
                  <c:v>-3.3592849291636813</c:v>
                </c:pt>
                <c:pt idx="423">
                  <c:v>-3.5578258894049206</c:v>
                </c:pt>
                <c:pt idx="424">
                  <c:v>-3.7564320581962103</c:v>
                </c:pt>
                <c:pt idx="425">
                  <c:v>-3.9551005407918307</c:v>
                </c:pt>
                <c:pt idx="426">
                  <c:v>-4.1538285692356469</c:v>
                </c:pt>
                <c:pt idx="427">
                  <c:v>-4.3526134969570602</c:v>
                </c:pt>
                <c:pt idx="428">
                  <c:v>-4.5514527935850611</c:v>
                </c:pt>
                <c:pt idx="429">
                  <c:v>-4.7503440399722416</c:v>
                </c:pt>
                <c:pt idx="430">
                  <c:v>-4.9492849234191727</c:v>
                </c:pt>
                <c:pt idx="431">
                  <c:v>-5.148273233095658</c:v>
                </c:pt>
                <c:pt idx="432">
                  <c:v>-5.3473068556483314</c:v>
                </c:pt>
                <c:pt idx="433">
                  <c:v>-5.5463837709903157</c:v>
                </c:pt>
                <c:pt idx="434">
                  <c:v>-5.7455020482644734</c:v>
                </c:pt>
                <c:pt idx="435">
                  <c:v>-5.944659841974314</c:v>
                </c:pt>
                <c:pt idx="436">
                  <c:v>-6.1438553882770783</c:v>
                </c:pt>
                <c:pt idx="437">
                  <c:v>-6.3430870014308613</c:v>
                </c:pt>
                <c:pt idx="438">
                  <c:v>-6.5423530703920392</c:v>
                </c:pt>
                <c:pt idx="439">
                  <c:v>-6.7416520555552504</c:v>
                </c:pt>
                <c:pt idx="440">
                  <c:v>-6.9409824856316877</c:v>
                </c:pt>
                <c:pt idx="441">
                  <c:v>-7.1403429546599657</c:v>
                </c:pt>
                <c:pt idx="442">
                  <c:v>-7.3397321191434735</c:v>
                </c:pt>
                <c:pt idx="443">
                  <c:v>-7.539148695310117</c:v>
                </c:pt>
                <c:pt idx="444">
                  <c:v>-7.7385914564893596</c:v>
                </c:pt>
                <c:pt idx="445">
                  <c:v>-7.938059230601481</c:v>
                </c:pt>
                <c:pt idx="446">
                  <c:v>-8.1375508977544939</c:v>
                </c:pt>
                <c:pt idx="447">
                  <c:v>-8.337065387944774</c:v>
                </c:pt>
                <c:pt idx="448">
                  <c:v>-8.5366016788570533</c:v>
                </c:pt>
                <c:pt idx="449">
                  <c:v>-8.7361587937586069</c:v>
                </c:pt>
                <c:pt idx="450">
                  <c:v>-8.935735799486018</c:v>
                </c:pt>
                <c:pt idx="451">
                  <c:v>-9.1353318045178415</c:v>
                </c:pt>
                <c:pt idx="452">
                  <c:v>-9.3349459571321063</c:v>
                </c:pt>
                <c:pt idx="453">
                  <c:v>-9.5345774436432524</c:v>
                </c:pt>
                <c:pt idx="454">
                  <c:v>-9.7342254867166709</c:v>
                </c:pt>
                <c:pt idx="455">
                  <c:v>-9.9338893437558919</c:v>
                </c:pt>
                <c:pt idx="456">
                  <c:v>-10.133568305361301</c:v>
                </c:pt>
                <c:pt idx="457">
                  <c:v>-10.33326169385554</c:v>
                </c:pt>
                <c:pt idx="458">
                  <c:v>-10.53296886187367</c:v>
                </c:pt>
                <c:pt idx="459">
                  <c:v>-10.732689191015815</c:v>
                </c:pt>
                <c:pt idx="460">
                  <c:v>-10.932422090558253</c:v>
                </c:pt>
                <c:pt idx="461">
                  <c:v>-11.132166996221528</c:v>
                </c:pt>
                <c:pt idx="462">
                  <c:v>-11.331923368992767</c:v>
                </c:pt>
                <c:pt idx="463">
                  <c:v>-11.531690694000019</c:v>
                </c:pt>
                <c:pt idx="464">
                  <c:v>-11.731468479436151</c:v>
                </c:pt>
                <c:pt idx="465">
                  <c:v>-11.931256255530036</c:v>
                </c:pt>
                <c:pt idx="466">
                  <c:v>-12.13105357356374</c:v>
                </c:pt>
                <c:pt idx="467">
                  <c:v>-12.330860004932715</c:v>
                </c:pt>
                <c:pt idx="468">
                  <c:v>-12.530675140247929</c:v>
                </c:pt>
                <c:pt idx="469">
                  <c:v>-12.730498588477088</c:v>
                </c:pt>
                <c:pt idx="470">
                  <c:v>-12.930329976125286</c:v>
                </c:pt>
                <c:pt idx="471">
                  <c:v>-13.130168946450723</c:v>
                </c:pt>
                <c:pt idx="472">
                  <c:v>-13.330015158715373</c:v>
                </c:pt>
                <c:pt idx="473">
                  <c:v>-13.529868287469819</c:v>
                </c:pt>
                <c:pt idx="474">
                  <c:v>-13.729728021868965</c:v>
                </c:pt>
                <c:pt idx="475">
                  <c:v>-13.929594065018895</c:v>
                </c:pt>
                <c:pt idx="476">
                  <c:v>-14.129466133351771</c:v>
                </c:pt>
                <c:pt idx="477">
                  <c:v>-14.329343956030058</c:v>
                </c:pt>
                <c:pt idx="478">
                  <c:v>-14.5292272743757</c:v>
                </c:pt>
                <c:pt idx="479">
                  <c:v>-14.72911584132595</c:v>
                </c:pt>
                <c:pt idx="480">
                  <c:v>-14.929009420912784</c:v>
                </c:pt>
                <c:pt idx="481">
                  <c:v>-15.128907787765707</c:v>
                </c:pt>
                <c:pt idx="482">
                  <c:v>-15.328810726637164</c:v>
                </c:pt>
                <c:pt idx="483">
                  <c:v>-15.528718031948065</c:v>
                </c:pt>
                <c:pt idx="484">
                  <c:v>-15.72862950735505</c:v>
                </c:pt>
                <c:pt idx="485">
                  <c:v>-15.928544965335636</c:v>
                </c:pt>
                <c:pt idx="486">
                  <c:v>-16.128464226793081</c:v>
                </c:pt>
                <c:pt idx="487">
                  <c:v>-16.328387120678368</c:v>
                </c:pt>
                <c:pt idx="488">
                  <c:v>-16.528313483628811</c:v>
                </c:pt>
                <c:pt idx="489">
                  <c:v>-16.728243159623588</c:v>
                </c:pt>
                <c:pt idx="490">
                  <c:v>-16.928175999653856</c:v>
                </c:pt>
                <c:pt idx="491">
                  <c:v>-17.128111861408279</c:v>
                </c:pt>
                <c:pt idx="492">
                  <c:v>-17.328050608972557</c:v>
                </c:pt>
                <c:pt idx="493">
                  <c:v>-17.527992112541696</c:v>
                </c:pt>
                <c:pt idx="494">
                  <c:v>-17.72793624814641</c:v>
                </c:pt>
                <c:pt idx="495">
                  <c:v>-17.927882897390187</c:v>
                </c:pt>
                <c:pt idx="496">
                  <c:v>-18.127831947200107</c:v>
                </c:pt>
                <c:pt idx="497">
                  <c:v>-18.327783289586655</c:v>
                </c:pt>
                <c:pt idx="498">
                  <c:v>-18.527736821416198</c:v>
                </c:pt>
                <c:pt idx="499">
                  <c:v>-18.727692444192428</c:v>
                </c:pt>
                <c:pt idx="500">
                  <c:v>-18.927650063848212</c:v>
                </c:pt>
                <c:pt idx="501">
                  <c:v>-19.127609590546427</c:v>
                </c:pt>
                <c:pt idx="502">
                  <c:v>-19.327570938490389</c:v>
                </c:pt>
                <c:pt idx="503">
                  <c:v>-19.527534025741179</c:v>
                </c:pt>
                <c:pt idx="504">
                  <c:v>-19.727498774045646</c:v>
                </c:pt>
                <c:pt idx="505">
                  <c:v>-19.927465108670003</c:v>
                </c:pt>
                <c:pt idx="506">
                  <c:v>-20.127432958241499</c:v>
                </c:pt>
                <c:pt idx="507">
                  <c:v>-20.3274022545978</c:v>
                </c:pt>
                <c:pt idx="508">
                  <c:v>-20.527372932642464</c:v>
                </c:pt>
                <c:pt idx="509">
                  <c:v>-20.727344930207195</c:v>
                </c:pt>
                <c:pt idx="510">
                  <c:v>-20.927318187920076</c:v>
                </c:pt>
                <c:pt idx="511">
                  <c:v>-21.127292649080029</c:v>
                </c:pt>
                <c:pt idx="512">
                  <c:v>-21.327268259536464</c:v>
                </c:pt>
                <c:pt idx="513">
                  <c:v>-21.527244967575005</c:v>
                </c:pt>
                <c:pt idx="514">
                  <c:v>-21.7272227238075</c:v>
                </c:pt>
                <c:pt idx="515">
                  <c:v>-21.92720148106779</c:v>
                </c:pt>
                <c:pt idx="516">
                  <c:v>-22.127181194311689</c:v>
                </c:pt>
                <c:pt idx="517">
                  <c:v>-22.327161820521177</c:v>
                </c:pt>
                <c:pt idx="518">
                  <c:v>-22.527143318614044</c:v>
                </c:pt>
                <c:pt idx="519">
                  <c:v>-22.727125649356058</c:v>
                </c:pt>
                <c:pt idx="520">
                  <c:v>-22.927108775278334</c:v>
                </c:pt>
                <c:pt idx="521">
                  <c:v>-23.127092660597928</c:v>
                </c:pt>
                <c:pt idx="522">
                  <c:v>-23.327077271141672</c:v>
                </c:pt>
                <c:pt idx="523">
                  <c:v>-23.52706257427387</c:v>
                </c:pt>
                <c:pt idx="524">
                  <c:v>-23.727048538827535</c:v>
                </c:pt>
                <c:pt idx="525">
                  <c:v>-23.927035135037894</c:v>
                </c:pt>
                <c:pt idx="526">
                  <c:v>-24.127022334479477</c:v>
                </c:pt>
                <c:pt idx="527">
                  <c:v>-24.327010110005812</c:v>
                </c:pt>
                <c:pt idx="528">
                  <c:v>-24.526998435691681</c:v>
                </c:pt>
                <c:pt idx="529">
                  <c:v>-24.726987286779035</c:v>
                </c:pt>
                <c:pt idx="530">
                  <c:v>-24.926976639623245</c:v>
                </c:pt>
                <c:pt idx="531">
                  <c:v>-25.126966471644071</c:v>
                </c:pt>
                <c:pt idx="532">
                  <c:v>-25.326956761276975</c:v>
                </c:pt>
                <c:pt idx="533">
                  <c:v>-25.52694748792808</c:v>
                </c:pt>
                <c:pt idx="534">
                  <c:v>-25.726938631930018</c:v>
                </c:pt>
                <c:pt idx="535">
                  <c:v>-25.926930174500772</c:v>
                </c:pt>
                <c:pt idx="536">
                  <c:v>-26.126922097703059</c:v>
                </c:pt>
                <c:pt idx="537">
                  <c:v>-26.326914384407004</c:v>
                </c:pt>
                <c:pt idx="538">
                  <c:v>-26.526907018253688</c:v>
                </c:pt>
                <c:pt idx="539">
                  <c:v>-26.726899983620221</c:v>
                </c:pt>
                <c:pt idx="540">
                  <c:v>-26.92689326558672</c:v>
                </c:pt>
                <c:pt idx="541">
                  <c:v>-27.126886849904778</c:v>
                </c:pt>
              </c:numCache>
            </c:numRef>
          </c:yVal>
          <c:smooth val="1"/>
          <c:extLst>
            <c:ext xmlns:c16="http://schemas.microsoft.com/office/drawing/2014/chart" uri="{C3380CC4-5D6E-409C-BE32-E72D297353CC}">
              <c16:uniqueId val="{00000000-BAA4-4E57-BFDE-425B9CFF436F}"/>
            </c:ext>
          </c:extLst>
        </c:ser>
        <c:dLbls>
          <c:showLegendKey val="0"/>
          <c:showVal val="0"/>
          <c:showCatName val="0"/>
          <c:showSerName val="0"/>
          <c:showPercent val="0"/>
          <c:showBubbleSize val="0"/>
        </c:dLbls>
        <c:axId val="315938304"/>
        <c:axId val="315940224"/>
      </c:scatterChart>
      <c:scatterChart>
        <c:scatterStyle val="smoothMarker"/>
        <c:varyColors val="0"/>
        <c:ser>
          <c:idx val="1"/>
          <c:order val="1"/>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CCM_Loop_Modeling!$AU$19:$AU$560</c:f>
              <c:numCache>
                <c:formatCode>General</c:formatCode>
                <c:ptCount val="542"/>
                <c:pt idx="0">
                  <c:v>94.37807862428896</c:v>
                </c:pt>
                <c:pt idx="1">
                  <c:v>94.479508467536817</c:v>
                </c:pt>
                <c:pt idx="2">
                  <c:v>94.583261917358357</c:v>
                </c:pt>
                <c:pt idx="3">
                  <c:v>94.689390338113384</c:v>
                </c:pt>
                <c:pt idx="4">
                  <c:v>94.797946096831836</c:v>
                </c:pt>
                <c:pt idx="5">
                  <c:v>94.908982573143135</c:v>
                </c:pt>
                <c:pt idx="6">
                  <c:v>95.022554168528615</c:v>
                </c:pt>
                <c:pt idx="7">
                  <c:v>95.13871631482148</c:v>
                </c:pt>
                <c:pt idx="8">
                  <c:v>95.257525481875319</c:v>
                </c:pt>
                <c:pt idx="9">
                  <c:v>95.37903918431536</c:v>
                </c:pt>
                <c:pt idx="10">
                  <c:v>95.503315987280942</c:v>
                </c:pt>
                <c:pt idx="11">
                  <c:v>95.630415511062722</c:v>
                </c:pt>
                <c:pt idx="12">
                  <c:v>95.760398434529662</c:v>
                </c:pt>
                <c:pt idx="13">
                  <c:v>95.893326497236359</c:v>
                </c:pt>
                <c:pt idx="14">
                  <c:v>96.029262500091889</c:v>
                </c:pt>
                <c:pt idx="15">
                  <c:v>96.168270304465821</c:v>
                </c:pt>
                <c:pt idx="16">
                  <c:v>96.3104148295984</c:v>
                </c:pt>
                <c:pt idx="17">
                  <c:v>96.455762048173611</c:v>
                </c:pt>
                <c:pt idx="18">
                  <c:v>96.604378979904936</c:v>
                </c:pt>
                <c:pt idx="19">
                  <c:v>96.756333682977456</c:v>
                </c:pt>
                <c:pt idx="20">
                  <c:v>96.911695243176183</c:v>
                </c:pt>
                <c:pt idx="21">
                  <c:v>97.070533760526118</c:v>
                </c:pt>
                <c:pt idx="22">
                  <c:v>97.232920333254938</c:v>
                </c:pt>
                <c:pt idx="23">
                  <c:v>97.398927038883954</c:v>
                </c:pt>
                <c:pt idx="24">
                  <c:v>97.568626912237661</c:v>
                </c:pt>
                <c:pt idx="25">
                  <c:v>97.742093920156549</c:v>
                </c:pt>
                <c:pt idx="26">
                  <c:v>97.919402932681962</c:v>
                </c:pt>
                <c:pt idx="27">
                  <c:v>98.100629690476353</c:v>
                </c:pt>
                <c:pt idx="28">
                  <c:v>98.285850768225316</c:v>
                </c:pt>
                <c:pt idx="29">
                  <c:v>98.475143533761837</c:v>
                </c:pt>
                <c:pt idx="30">
                  <c:v>98.668586102638614</c:v>
                </c:pt>
                <c:pt idx="31">
                  <c:v>98.866257287864755</c:v>
                </c:pt>
                <c:pt idx="32">
                  <c:v>99.068236544511024</c:v>
                </c:pt>
                <c:pt idx="33">
                  <c:v>99.27460390888011</c:v>
                </c:pt>
                <c:pt idx="34">
                  <c:v>99.485439931922286</c:v>
                </c:pt>
                <c:pt idx="35">
                  <c:v>99.700825606575137</c:v>
                </c:pt>
                <c:pt idx="36">
                  <c:v>99.920842288688647</c:v>
                </c:pt>
                <c:pt idx="37">
                  <c:v>100.14557161119546</c:v>
                </c:pt>
                <c:pt idx="38">
                  <c:v>100.37509539117323</c:v>
                </c:pt>
                <c:pt idx="39">
                  <c:v>100.60949552944567</c:v>
                </c:pt>
                <c:pt idx="40">
                  <c:v>100.84885390235776</c:v>
                </c:pt>
                <c:pt idx="41">
                  <c:v>101.09325224536281</c:v>
                </c:pt>
                <c:pt idx="42">
                  <c:v>101.34277202805613</c:v>
                </c:pt>
                <c:pt idx="43">
                  <c:v>101.59749432028909</c:v>
                </c:pt>
                <c:pt idx="44">
                  <c:v>101.85749964900434</c:v>
                </c:pt>
                <c:pt idx="45">
                  <c:v>102.12286784543755</c:v>
                </c:pt>
                <c:pt idx="46">
                  <c:v>102.39367788233771</c:v>
                </c:pt>
                <c:pt idx="47">
                  <c:v>102.67000770087924</c:v>
                </c:pt>
                <c:pt idx="48">
                  <c:v>102.95193402694402</c:v>
                </c:pt>
                <c:pt idx="49">
                  <c:v>103.23953217648463</c:v>
                </c:pt>
                <c:pt idx="50">
                  <c:v>103.53287584969816</c:v>
                </c:pt>
                <c:pt idx="51">
                  <c:v>103.83203691377268</c:v>
                </c:pt>
                <c:pt idx="52">
                  <c:v>104.13708517400792</c:v>
                </c:pt>
                <c:pt idx="53">
                  <c:v>104.44808813315086</c:v>
                </c:pt>
                <c:pt idx="54">
                  <c:v>104.76511073883759</c:v>
                </c:pt>
                <c:pt idx="55">
                  <c:v>105.08821511908944</c:v>
                </c:pt>
                <c:pt idx="56">
                  <c:v>105.41746030587267</c:v>
                </c:pt>
                <c:pt idx="57">
                  <c:v>105.75290194680503</c:v>
                </c:pt>
                <c:pt idx="58">
                  <c:v>106.09459200516808</c:v>
                </c:pt>
                <c:pt idx="59">
                  <c:v>106.44257844847503</c:v>
                </c:pt>
                <c:pt idx="60">
                  <c:v>106.79690492593517</c:v>
                </c:pt>
                <c:pt idx="61">
                  <c:v>107.15761043526683</c:v>
                </c:pt>
                <c:pt idx="62">
                  <c:v>107.52472897941891</c:v>
                </c:pt>
                <c:pt idx="63">
                  <c:v>107.8982892138838</c:v>
                </c:pt>
                <c:pt idx="64">
                  <c:v>108.27831408541952</c:v>
                </c:pt>
                <c:pt idx="65">
                  <c:v>108.66482046313125</c:v>
                </c:pt>
                <c:pt idx="66">
                  <c:v>109.05781876301531</c:v>
                </c:pt>
                <c:pt idx="67">
                  <c:v>109.45731256721919</c:v>
                </c:pt>
                <c:pt idx="68">
                  <c:v>109.86329823943045</c:v>
                </c:pt>
                <c:pt idx="69">
                  <c:v>110.27576453797644</c:v>
                </c:pt>
                <c:pt idx="70">
                  <c:v>110.69469222838288</c:v>
                </c:pt>
                <c:pt idx="71">
                  <c:v>111.120053697312</c:v>
                </c:pt>
                <c:pt idx="72">
                  <c:v>111.55181256997466</c:v>
                </c:pt>
                <c:pt idx="73">
                  <c:v>111.98992333328178</c:v>
                </c:pt>
                <c:pt idx="74">
                  <c:v>112.43433096716146</c:v>
                </c:pt>
                <c:pt idx="75">
                  <c:v>112.88497058664646</c:v>
                </c:pt>
                <c:pt idx="76">
                  <c:v>113.34176709746683</c:v>
                </c:pt>
                <c:pt idx="77">
                  <c:v>113.80463486804346</c:v>
                </c:pt>
                <c:pt idx="78">
                  <c:v>114.27347742089233</c:v>
                </c:pt>
                <c:pt idx="79">
                  <c:v>114.74818714656399</c:v>
                </c:pt>
                <c:pt idx="80">
                  <c:v>115.22864504332408</c:v>
                </c:pt>
                <c:pt idx="81">
                  <c:v>115.71472048584992</c:v>
                </c:pt>
                <c:pt idx="82">
                  <c:v>116.20627102624678</c:v>
                </c:pt>
                <c:pt idx="83">
                  <c:v>116.70314223069158</c:v>
                </c:pt>
                <c:pt idx="84">
                  <c:v>117.20516755498336</c:v>
                </c:pt>
                <c:pt idx="85">
                  <c:v>117.71216826220734</c:v>
                </c:pt>
                <c:pt idx="86">
                  <c:v>118.22395338561535</c:v>
                </c:pt>
                <c:pt idx="87">
                  <c:v>118.74031973967398</c:v>
                </c:pt>
                <c:pt idx="88">
                  <c:v>119.26105198204002</c:v>
                </c:pt>
                <c:pt idx="89">
                  <c:v>119.78592272898857</c:v>
                </c:pt>
                <c:pt idx="90">
                  <c:v>120.31469272653754</c:v>
                </c:pt>
                <c:pt idx="91">
                  <c:v>120.84711107919512</c:v>
                </c:pt>
                <c:pt idx="92">
                  <c:v>121.38291553788308</c:v>
                </c:pt>
                <c:pt idx="93">
                  <c:v>121.92183284820057</c:v>
                </c:pt>
                <c:pt idx="94">
                  <c:v>122.463579159739</c:v>
                </c:pt>
                <c:pt idx="95">
                  <c:v>123.00786049670378</c:v>
                </c:pt>
                <c:pt idx="96">
                  <c:v>123.55437328958811</c:v>
                </c:pt>
                <c:pt idx="97">
                  <c:v>124.10280496714158</c:v>
                </c:pt>
                <c:pt idx="98">
                  <c:v>124.65283460733303</c:v>
                </c:pt>
                <c:pt idx="99">
                  <c:v>125.20413364547814</c:v>
                </c:pt>
                <c:pt idx="100">
                  <c:v>125.75636663716192</c:v>
                </c:pt>
                <c:pt idx="101">
                  <c:v>126.30919207306117</c:v>
                </c:pt>
                <c:pt idx="102">
                  <c:v>126.86226324226021</c:v>
                </c:pt>
                <c:pt idx="103">
                  <c:v>127.41522914016797</c:v>
                </c:pt>
                <c:pt idx="104">
                  <c:v>127.96773541669556</c:v>
                </c:pt>
                <c:pt idx="105">
                  <c:v>128.51942535994024</c:v>
                </c:pt>
                <c:pt idx="106">
                  <c:v>129.06994091025962</c:v>
                </c:pt>
                <c:pt idx="107">
                  <c:v>129.61892369930572</c:v>
                </c:pt>
                <c:pt idx="108">
                  <c:v>130.16601610834701</c:v>
                </c:pt>
                <c:pt idx="109">
                  <c:v>130.71086234000518</c:v>
                </c:pt>
                <c:pt idx="110">
                  <c:v>131.25310949741504</c:v>
                </c:pt>
                <c:pt idx="111">
                  <c:v>131.79240866476403</c:v>
                </c:pt>
                <c:pt idx="112">
                  <c:v>132.32841598316193</c:v>
                </c:pt>
                <c:pt idx="113">
                  <c:v>132.8607937158784</c:v>
                </c:pt>
                <c:pt idx="114">
                  <c:v>133.38921129711045</c:v>
                </c:pt>
                <c:pt idx="115">
                  <c:v>133.91334635864754</c:v>
                </c:pt>
                <c:pt idx="116">
                  <c:v>134.43288572903188</c:v>
                </c:pt>
                <c:pt idx="117">
                  <c:v>134.94752640012501</c:v>
                </c:pt>
                <c:pt idx="118">
                  <c:v>135.45697645630028</c:v>
                </c:pt>
                <c:pt idx="119">
                  <c:v>135.96095596187618</c:v>
                </c:pt>
                <c:pt idx="120">
                  <c:v>136.45919780276779</c:v>
                </c:pt>
                <c:pt idx="121">
                  <c:v>136.95144847875983</c:v>
                </c:pt>
                <c:pt idx="122">
                  <c:v>137.43746884320777</c:v>
                </c:pt>
                <c:pt idx="123">
                  <c:v>137.91703478740018</c:v>
                </c:pt>
                <c:pt idx="124">
                  <c:v>138.38993786721056</c:v>
                </c:pt>
                <c:pt idx="125">
                  <c:v>138.85598587007055</c:v>
                </c:pt>
                <c:pt idx="126">
                  <c:v>139.31500332067347</c:v>
                </c:pt>
                <c:pt idx="127">
                  <c:v>139.76683192415018</c:v>
                </c:pt>
                <c:pt idx="128">
                  <c:v>140.21133094579795</c:v>
                </c:pt>
                <c:pt idx="129">
                  <c:v>140.64837752672091</c:v>
                </c:pt>
                <c:pt idx="130">
                  <c:v>141.07786693499096</c:v>
                </c:pt>
                <c:pt idx="131">
                  <c:v>141.49971275216316</c:v>
                </c:pt>
                <c:pt idx="132">
                  <c:v>141.91384699515049</c:v>
                </c:pt>
                <c:pt idx="133">
                  <c:v>142.32022017363366</c:v>
                </c:pt>
                <c:pt idx="134">
                  <c:v>142.7188012832689</c:v>
                </c:pt>
                <c:pt idx="135">
                  <c:v>143.10957773507701</c:v>
                </c:pt>
                <c:pt idx="136">
                  <c:v>143.49255522144463</c:v>
                </c:pt>
                <c:pt idx="137">
                  <c:v>143.86775751923085</c:v>
                </c:pt>
                <c:pt idx="138">
                  <c:v>144.23522623049033</c:v>
                </c:pt>
                <c:pt idx="139">
                  <c:v>144.59502046138476</c:v>
                </c:pt>
                <c:pt idx="140">
                  <c:v>144.94721643984249</c:v>
                </c:pt>
                <c:pt idx="141">
                  <c:v>145.29190707260423</c:v>
                </c:pt>
                <c:pt idx="142">
                  <c:v>145.62920144230065</c:v>
                </c:pt>
                <c:pt idx="143">
                  <c:v>145.95922424530667</c:v>
                </c:pt>
                <c:pt idx="144">
                  <c:v>146.28211517117902</c:v>
                </c:pt>
                <c:pt idx="145">
                  <c:v>146.59802822462436</c:v>
                </c:pt>
                <c:pt idx="146">
                  <c:v>146.90713099107938</c:v>
                </c:pt>
                <c:pt idx="147">
                  <c:v>147.20960384718401</c:v>
                </c:pt>
                <c:pt idx="148">
                  <c:v>147.50563911765374</c:v>
                </c:pt>
                <c:pt idx="149">
                  <c:v>147.79544018032169</c:v>
                </c:pt>
                <c:pt idx="150">
                  <c:v>148.07922052143593</c:v>
                </c:pt>
                <c:pt idx="151">
                  <c:v>148.35720274364004</c:v>
                </c:pt>
                <c:pt idx="152">
                  <c:v>148.6296175294562</c:v>
                </c:pt>
                <c:pt idx="153">
                  <c:v>148.89670256350141</c:v>
                </c:pt>
                <c:pt idx="154">
                  <c:v>149.15870141711832</c:v>
                </c:pt>
                <c:pt idx="155">
                  <c:v>149.41586239956584</c:v>
                </c:pt>
                <c:pt idx="156">
                  <c:v>149.66843738038912</c:v>
                </c:pt>
                <c:pt idx="157">
                  <c:v>149.9166805880852</c:v>
                </c:pt>
                <c:pt idx="158">
                  <c:v>150.16084739063839</c:v>
                </c:pt>
                <c:pt idx="159">
                  <c:v>150.4011930639719</c:v>
                </c:pt>
                <c:pt idx="160">
                  <c:v>150.63797155479662</c:v>
                </c:pt>
                <c:pt idx="161">
                  <c:v>150.87143424471446</c:v>
                </c:pt>
                <c:pt idx="162">
                  <c:v>151.10182872279816</c:v>
                </c:pt>
                <c:pt idx="163">
                  <c:v>151.32939757412714</c:v>
                </c:pt>
                <c:pt idx="164">
                  <c:v>151.55437719198477</c:v>
                </c:pt>
                <c:pt idx="165">
                  <c:v>151.77699662153864</c:v>
                </c:pt>
                <c:pt idx="166">
                  <c:v>151.99747644286273</c:v>
                </c:pt>
                <c:pt idx="167">
                  <c:v>152.21602770110792</c:v>
                </c:pt>
                <c:pt idx="168">
                  <c:v>152.43285089145363</c:v>
                </c:pt>
                <c:pt idx="169">
                  <c:v>152.64813500622043</c:v>
                </c:pt>
                <c:pt idx="170">
                  <c:v>152.86205665114483</c:v>
                </c:pt>
                <c:pt idx="171">
                  <c:v>153.07477923734567</c:v>
                </c:pt>
                <c:pt idx="172">
                  <c:v>153.28645225493776</c:v>
                </c:pt>
                <c:pt idx="173">
                  <c:v>153.4972106335828</c:v>
                </c:pt>
                <c:pt idx="174">
                  <c:v>153.70717419450972</c:v>
                </c:pt>
                <c:pt idx="175">
                  <c:v>153.91644719771412</c:v>
                </c:pt>
                <c:pt idx="176">
                  <c:v>154.12511798715133</c:v>
                </c:pt>
                <c:pt idx="177">
                  <c:v>154.33325873579568</c:v>
                </c:pt>
                <c:pt idx="178">
                  <c:v>154.54092529146803</c:v>
                </c:pt>
                <c:pt idx="179">
                  <c:v>154.74815712333452</c:v>
                </c:pt>
                <c:pt idx="180">
                  <c:v>154.95497736798424</c:v>
                </c:pt>
                <c:pt idx="181">
                  <c:v>155.1613929730126</c:v>
                </c:pt>
                <c:pt idx="182">
                  <c:v>155.36739493508111</c:v>
                </c:pt>
                <c:pt idx="183">
                  <c:v>155.57295862852257</c:v>
                </c:pt>
                <c:pt idx="184">
                  <c:v>155.77804421971166</c:v>
                </c:pt>
                <c:pt idx="185">
                  <c:v>155.98259716164515</c:v>
                </c:pt>
                <c:pt idx="186">
                  <c:v>156.18654876249727</c:v>
                </c:pt>
                <c:pt idx="187">
                  <c:v>156.3898168213139</c:v>
                </c:pt>
                <c:pt idx="188">
                  <c:v>156.59230632352342</c:v>
                </c:pt>
                <c:pt idx="189">
                  <c:v>156.79391018855813</c:v>
                </c:pt>
                <c:pt idx="190">
                  <c:v>156.99451006160777</c:v>
                </c:pt>
                <c:pt idx="191">
                  <c:v>157.1939771413677</c:v>
                </c:pt>
                <c:pt idx="192">
                  <c:v>157.39217303558726</c:v>
                </c:pt>
                <c:pt idx="193">
                  <c:v>157.5889506362918</c:v>
                </c:pt>
                <c:pt idx="194">
                  <c:v>157.78415500669385</c:v>
                </c:pt>
                <c:pt idx="195">
                  <c:v>157.97762427207527</c:v>
                </c:pt>
                <c:pt idx="196">
                  <c:v>158.1691905072486</c:v>
                </c:pt>
                <c:pt idx="197">
                  <c:v>158.35868061362234</c:v>
                </c:pt>
                <c:pt idx="198">
                  <c:v>158.54591717937927</c:v>
                </c:pt>
                <c:pt idx="199">
                  <c:v>158.73071931679618</c:v>
                </c:pt>
                <c:pt idx="200">
                  <c:v>158.91290347132423</c:v>
                </c:pt>
                <c:pt idx="201">
                  <c:v>159.09228419764401</c:v>
                </c:pt>
                <c:pt idx="202">
                  <c:v>159.26867489854499</c:v>
                </c:pt>
                <c:pt idx="203">
                  <c:v>159.4418885231039</c:v>
                </c:pt>
                <c:pt idx="204">
                  <c:v>159.61173822128609</c:v>
                </c:pt>
                <c:pt idx="205">
                  <c:v>159.77803795270327</c:v>
                </c:pt>
                <c:pt idx="206">
                  <c:v>159.94060304787843</c:v>
                </c:pt>
                <c:pt idx="207">
                  <c:v>160.09925072093782</c:v>
                </c:pt>
                <c:pt idx="208">
                  <c:v>160.25380053320941</c:v>
                </c:pt>
                <c:pt idx="209">
                  <c:v>160.40407480770247</c:v>
                </c:pt>
                <c:pt idx="210">
                  <c:v>160.54989899492563</c:v>
                </c:pt>
                <c:pt idx="211">
                  <c:v>160.69110199091213</c:v>
                </c:pt>
                <c:pt idx="212">
                  <c:v>160.82751640870865</c:v>
                </c:pt>
                <c:pt idx="213">
                  <c:v>160.95897880491117</c:v>
                </c:pt>
                <c:pt idx="214">
                  <c:v>161.08532986311613</c:v>
                </c:pt>
                <c:pt idx="215">
                  <c:v>161.20641453639121</c:v>
                </c:pt>
                <c:pt idx="216">
                  <c:v>161.32208215107258</c:v>
                </c:pt>
                <c:pt idx="217">
                  <c:v>161.43218647433633</c:v>
                </c:pt>
                <c:pt idx="218">
                  <c:v>161.53658574810876</c:v>
                </c:pt>
                <c:pt idx="219">
                  <c:v>161.63514269196017</c:v>
                </c:pt>
                <c:pt idx="220">
                  <c:v>161.72772447765561</c:v>
                </c:pt>
                <c:pt idx="221">
                  <c:v>161.81420267806078</c:v>
                </c:pt>
                <c:pt idx="222">
                  <c:v>161.89445319307347</c:v>
                </c:pt>
                <c:pt idx="223">
                  <c:v>161.96835615521792</c:v>
                </c:pt>
                <c:pt idx="224">
                  <c:v>162.03579581747812</c:v>
                </c:pt>
                <c:pt idx="225">
                  <c:v>162.09666042586559</c:v>
                </c:pt>
                <c:pt idx="226">
                  <c:v>162.150842079131</c:v>
                </c:pt>
                <c:pt idx="227">
                  <c:v>162.19823657792296</c:v>
                </c:pt>
                <c:pt idx="228">
                  <c:v>162.23874326558905</c:v>
                </c:pt>
                <c:pt idx="229">
                  <c:v>162.27226486269745</c:v>
                </c:pt>
                <c:pt idx="230">
                  <c:v>162.29870729723814</c:v>
                </c:pt>
                <c:pt idx="231">
                  <c:v>162.31797953233837</c:v>
                </c:pt>
                <c:pt idx="232">
                  <c:v>162.32999339321148</c:v>
                </c:pt>
                <c:pt idx="233">
                  <c:v>162.33466339493157</c:v>
                </c:pt>
                <c:pt idx="234">
                  <c:v>162.33190657251487</c:v>
                </c:pt>
                <c:pt idx="235">
                  <c:v>162.32164231467289</c:v>
                </c:pt>
                <c:pt idx="236">
                  <c:v>162.30379220249529</c:v>
                </c:pt>
                <c:pt idx="237">
                  <c:v>162.27827985421519</c:v>
                </c:pt>
                <c:pt idx="238">
                  <c:v>162.24503077711748</c:v>
                </c:pt>
                <c:pt idx="239">
                  <c:v>162.20397222755381</c:v>
                </c:pt>
                <c:pt idx="240">
                  <c:v>162.15503307994734</c:v>
                </c:pt>
                <c:pt idx="241">
                  <c:v>162.09814370559243</c:v>
                </c:pt>
                <c:pt idx="242">
                  <c:v>162.03323586197845</c:v>
                </c:pt>
                <c:pt idx="243">
                  <c:v>161.96024259330648</c:v>
                </c:pt>
                <c:pt idx="244">
                  <c:v>161.87909814280547</c:v>
                </c:pt>
                <c:pt idx="245">
                  <c:v>161.7897378773992</c:v>
                </c:pt>
                <c:pt idx="246">
                  <c:v>161.69209822522814</c:v>
                </c:pt>
                <c:pt idx="247">
                  <c:v>161.58611662648758</c:v>
                </c:pt>
                <c:pt idx="248">
                  <c:v>161.47173149799769</c:v>
                </c:pt>
                <c:pt idx="249">
                  <c:v>161.34888221189414</c:v>
                </c:pt>
                <c:pt idx="250">
                  <c:v>161.21750908878499</c:v>
                </c:pt>
                <c:pt idx="251">
                  <c:v>161.07755340569699</c:v>
                </c:pt>
                <c:pt idx="252">
                  <c:v>160.92895741910263</c:v>
                </c:pt>
                <c:pt idx="253">
                  <c:v>160.77166440329211</c:v>
                </c:pt>
                <c:pt idx="254">
                  <c:v>160.60561870432795</c:v>
                </c:pt>
                <c:pt idx="255">
                  <c:v>160.43076580979613</c:v>
                </c:pt>
                <c:pt idx="256">
                  <c:v>160.2470524345386</c:v>
                </c:pt>
                <c:pt idx="257">
                  <c:v>160.05442662252145</c:v>
                </c:pt>
                <c:pt idx="258">
                  <c:v>159.85283786497035</c:v>
                </c:pt>
                <c:pt idx="259">
                  <c:v>159.64223723486245</c:v>
                </c:pt>
                <c:pt idx="260">
                  <c:v>159.42257753783588</c:v>
                </c:pt>
                <c:pt idx="261">
                  <c:v>159.19381347953419</c:v>
                </c:pt>
                <c:pt idx="262">
                  <c:v>158.9559018493579</c:v>
                </c:pt>
                <c:pt idx="263">
                  <c:v>158.7088017205476</c:v>
                </c:pt>
                <c:pt idx="264">
                  <c:v>158.45247466646649</c:v>
                </c:pt>
                <c:pt idx="265">
                  <c:v>158.18688499288811</c:v>
                </c:pt>
                <c:pt idx="266">
                  <c:v>157.9119999860263</c:v>
                </c:pt>
                <c:pt idx="267">
                  <c:v>157.62779017596816</c:v>
                </c:pt>
                <c:pt idx="268">
                  <c:v>157.33422961508847</c:v>
                </c:pt>
                <c:pt idx="269">
                  <c:v>157.03129617092853</c:v>
                </c:pt>
                <c:pt idx="270">
                  <c:v>156.71897183292748</c:v>
                </c:pt>
                <c:pt idx="271">
                  <c:v>156.39724303227993</c:v>
                </c:pt>
                <c:pt idx="272">
                  <c:v>156.06610097408506</c:v>
                </c:pt>
                <c:pt idx="273">
                  <c:v>155.72554198081556</c:v>
                </c:pt>
                <c:pt idx="274">
                  <c:v>155.37556784601665</c:v>
                </c:pt>
                <c:pt idx="275">
                  <c:v>155.0161861969917</c:v>
                </c:pt>
                <c:pt idx="276">
                  <c:v>154.64741086509486</c:v>
                </c:pt>
                <c:pt idx="277">
                  <c:v>154.26926226209235</c:v>
                </c:pt>
                <c:pt idx="278">
                  <c:v>153.88176776089787</c:v>
                </c:pt>
                <c:pt idx="279">
                  <c:v>153.48496207883099</c:v>
                </c:pt>
                <c:pt idx="280">
                  <c:v>153.07888766137739</c:v>
                </c:pt>
                <c:pt idx="281">
                  <c:v>152.66359506427804</c:v>
                </c:pt>
                <c:pt idx="282">
                  <c:v>152.23914333160255</c:v>
                </c:pt>
                <c:pt idx="283">
                  <c:v>151.80560036731671</c:v>
                </c:pt>
                <c:pt idx="284">
                  <c:v>151.3630432976974</c:v>
                </c:pt>
                <c:pt idx="285">
                  <c:v>150.91155882181587</c:v>
                </c:pt>
                <c:pt idx="286">
                  <c:v>150.45124354717862</c:v>
                </c:pt>
                <c:pt idx="287">
                  <c:v>149.98220430750797</c:v>
                </c:pt>
                <c:pt idx="288">
                  <c:v>149.50455845955443</c:v>
                </c:pt>
                <c:pt idx="289">
                  <c:v>149.01843415575854</c:v>
                </c:pt>
                <c:pt idx="290">
                  <c:v>148.52397058954583</c:v>
                </c:pt>
                <c:pt idx="291">
                  <c:v>148.02131821001589</c:v>
                </c:pt>
                <c:pt idx="292">
                  <c:v>147.5106389028108</c:v>
                </c:pt>
                <c:pt idx="293">
                  <c:v>146.99210613399961</c:v>
                </c:pt>
                <c:pt idx="294">
                  <c:v>146.46590505390654</c:v>
                </c:pt>
                <c:pt idx="295">
                  <c:v>145.93223255794192</c:v>
                </c:pt>
                <c:pt idx="296">
                  <c:v>145.39129730166903</c:v>
                </c:pt>
                <c:pt idx="297">
                  <c:v>144.84331966755329</c:v>
                </c:pt>
                <c:pt idx="298">
                  <c:v>144.28853168109927</c:v>
                </c:pt>
                <c:pt idx="299">
                  <c:v>143.72717687438956</c:v>
                </c:pt>
                <c:pt idx="300">
                  <c:v>143.15951009536658</c:v>
                </c:pt>
                <c:pt idx="301">
                  <c:v>142.58579726160715</c:v>
                </c:pt>
                <c:pt idx="302">
                  <c:v>142.0063150577343</c:v>
                </c:pt>
                <c:pt idx="303">
                  <c:v>141.42135057608502</c:v>
                </c:pt>
                <c:pt idx="304">
                  <c:v>140.83120090072251</c:v>
                </c:pt>
                <c:pt idx="305">
                  <c:v>140.23617263539876</c:v>
                </c:pt>
                <c:pt idx="306">
                  <c:v>139.63658137658314</c:v>
                </c:pt>
                <c:pt idx="307">
                  <c:v>139.03275113321791</c:v>
                </c:pt>
                <c:pt idx="308">
                  <c:v>138.42501369538613</c:v>
                </c:pt>
                <c:pt idx="309">
                  <c:v>137.81370795461919</c:v>
                </c:pt>
                <c:pt idx="310">
                  <c:v>137.1991791790677</c:v>
                </c:pt>
                <c:pt idx="311">
                  <c:v>136.58177824727278</c:v>
                </c:pt>
                <c:pt idx="312">
                  <c:v>135.96186084471836</c:v>
                </c:pt>
                <c:pt idx="313">
                  <c:v>135.33978662778173</c:v>
                </c:pt>
                <c:pt idx="314">
                  <c:v>134.71591836006445</c:v>
                </c:pt>
                <c:pt idx="315">
                  <c:v>134.0906210264167</c:v>
                </c:pt>
                <c:pt idx="316">
                  <c:v>133.46426093022768</c:v>
                </c:pt>
                <c:pt idx="317">
                  <c:v>132.83720477975365</c:v>
                </c:pt>
                <c:pt idx="318">
                  <c:v>132.20981876939004</c:v>
                </c:pt>
                <c:pt idx="319">
                  <c:v>131.58246766185167</c:v>
                </c:pt>
                <c:pt idx="320">
                  <c:v>130.9555138772138</c:v>
                </c:pt>
                <c:pt idx="321">
                  <c:v>130.32931659468738</c:v>
                </c:pt>
                <c:pt idx="322">
                  <c:v>129.70423087285096</c:v>
                </c:pt>
                <c:pt idx="323">
                  <c:v>129.08060679383519</c:v>
                </c:pt>
                <c:pt idx="324">
                  <c:v>128.45878863668199</c:v>
                </c:pt>
                <c:pt idx="325">
                  <c:v>127.83911408476025</c:v>
                </c:pt>
                <c:pt idx="326">
                  <c:v>127.22191347172654</c:v>
                </c:pt>
                <c:pt idx="327">
                  <c:v>126.60750907008341</c:v>
                </c:pt>
                <c:pt idx="328">
                  <c:v>125.99621442592898</c:v>
                </c:pt>
                <c:pt idx="329">
                  <c:v>125.38833374296804</c:v>
                </c:pt>
                <c:pt idx="330">
                  <c:v>124.78416131837336</c:v>
                </c:pt>
                <c:pt idx="331">
                  <c:v>124.18398103251064</c:v>
                </c:pt>
                <c:pt idx="332">
                  <c:v>123.58806589405143</c:v>
                </c:pt>
                <c:pt idx="333">
                  <c:v>122.99667764143088</c:v>
                </c:pt>
                <c:pt idx="334">
                  <c:v>122.41006640112396</c:v>
                </c:pt>
                <c:pt idx="335">
                  <c:v>121.82847040269004</c:v>
                </c:pt>
                <c:pt idx="336">
                  <c:v>121.25211575008355</c:v>
                </c:pt>
                <c:pt idx="337">
                  <c:v>120.6812162482683</c:v>
                </c:pt>
                <c:pt idx="338">
                  <c:v>120.11597328378443</c:v>
                </c:pt>
                <c:pt idx="339">
                  <c:v>119.55657575753564</c:v>
                </c:pt>
                <c:pt idx="340">
                  <c:v>119.00320006773742</c:v>
                </c:pt>
                <c:pt idx="341">
                  <c:v>118.45601014068653</c:v>
                </c:pt>
                <c:pt idx="342">
                  <c:v>117.91515750676623</c:v>
                </c:pt>
                <c:pt idx="343">
                  <c:v>117.38078141890483</c:v>
                </c:pt>
                <c:pt idx="344">
                  <c:v>116.85300901054201</c:v>
                </c:pt>
                <c:pt idx="345">
                  <c:v>116.33195549005616</c:v>
                </c:pt>
                <c:pt idx="346">
                  <c:v>115.81772436851304</c:v>
                </c:pt>
                <c:pt idx="347">
                  <c:v>115.3104077175764</c:v>
                </c:pt>
                <c:pt idx="348">
                  <c:v>114.81008645439488</c:v>
                </c:pt>
                <c:pt idx="349">
                  <c:v>114.31683065033376</c:v>
                </c:pt>
                <c:pt idx="350">
                  <c:v>113.83069986044671</c:v>
                </c:pt>
                <c:pt idx="351">
                  <c:v>113.35174347068987</c:v>
                </c:pt>
                <c:pt idx="352">
                  <c:v>112.88000105996099</c:v>
                </c:pt>
                <c:pt idx="353">
                  <c:v>112.41550277418156</c:v>
                </c:pt>
                <c:pt idx="354">
                  <c:v>111.95826970976557</c:v>
                </c:pt>
                <c:pt idx="355">
                  <c:v>111.50831430397341</c:v>
                </c:pt>
                <c:pt idx="356">
                  <c:v>111.06564072979893</c:v>
                </c:pt>
                <c:pt idx="357">
                  <c:v>110.63024529320496</c:v>
                </c:pt>
                <c:pt idx="358">
                  <c:v>110.20211683068578</c:v>
                </c:pt>
                <c:pt idx="359">
                  <c:v>109.78123710530967</c:v>
                </c:pt>
                <c:pt idx="360">
                  <c:v>109.36758119954875</c:v>
                </c:pt>
                <c:pt idx="361">
                  <c:v>108.96111790338749</c:v>
                </c:pt>
                <c:pt idx="362">
                  <c:v>108.56181009634521</c:v>
                </c:pt>
                <c:pt idx="363">
                  <c:v>108.1696151222161</c:v>
                </c:pt>
                <c:pt idx="364">
                  <c:v>107.78448515547501</c:v>
                </c:pt>
                <c:pt idx="365">
                  <c:v>107.40636755844683</c:v>
                </c:pt>
                <c:pt idx="366">
                  <c:v>107.03520522846208</c:v>
                </c:pt>
                <c:pt idx="367">
                  <c:v>106.67093693436651</c:v>
                </c:pt>
                <c:pt idx="368">
                  <c:v>106.31349764185275</c:v>
                </c:pt>
                <c:pt idx="369">
                  <c:v>105.96281882720911</c:v>
                </c:pt>
                <c:pt idx="370">
                  <c:v>105.61882877917388</c:v>
                </c:pt>
                <c:pt idx="371">
                  <c:v>105.28145288868038</c:v>
                </c:pt>
                <c:pt idx="372">
                  <c:v>104.95061392636109</c:v>
                </c:pt>
                <c:pt idx="373">
                  <c:v>104.62623230776242</c:v>
                </c:pt>
                <c:pt idx="374">
                  <c:v>104.3082263462819</c:v>
                </c:pt>
                <c:pt idx="375">
                  <c:v>103.99651249390759</c:v>
                </c:pt>
                <c:pt idx="376">
                  <c:v>103.69100556989441</c:v>
                </c:pt>
                <c:pt idx="377">
                  <c:v>103.39161897755386</c:v>
                </c:pt>
                <c:pt idx="378">
                  <c:v>103.09826490938191</c:v>
                </c:pt>
                <c:pt idx="379">
                  <c:v>102.81085454077986</c:v>
                </c:pt>
                <c:pt idx="380">
                  <c:v>102.52929821265596</c:v>
                </c:pt>
                <c:pt idx="381">
                  <c:v>102.25350560321807</c:v>
                </c:pt>
                <c:pt idx="382">
                  <c:v>101.98338588929107</c:v>
                </c:pt>
                <c:pt idx="383">
                  <c:v>101.71884789750331</c:v>
                </c:pt>
                <c:pt idx="384">
                  <c:v>101.45980024570343</c:v>
                </c:pt>
                <c:pt idx="385">
                  <c:v>101.20615147497593</c:v>
                </c:pt>
                <c:pt idx="386">
                  <c:v>100.95781017262688</c:v>
                </c:pt>
                <c:pt idx="387">
                  <c:v>100.71468508651715</c:v>
                </c:pt>
                <c:pt idx="388">
                  <c:v>100.47668523111905</c:v>
                </c:pt>
                <c:pt idx="389">
                  <c:v>100.24371998567106</c:v>
                </c:pt>
                <c:pt idx="390">
                  <c:v>100.0156991848007</c:v>
                </c:pt>
                <c:pt idx="391">
                  <c:v>99.792533201981399</c:v>
                </c:pt>
                <c:pt idx="392">
                  <c:v>99.574133026181627</c:v>
                </c:pt>
                <c:pt idx="393">
                  <c:v>99.360410332056858</c:v>
                </c:pt>
                <c:pt idx="394">
                  <c:v>99.151277544026939</c:v>
                </c:pt>
                <c:pt idx="395">
                  <c:v>98.946647894569338</c:v>
                </c:pt>
                <c:pt idx="396">
                  <c:v>98.746435477053325</c:v>
                </c:pt>
                <c:pt idx="397">
                  <c:v>98.550555293422818</c:v>
                </c:pt>
                <c:pt idx="398">
                  <c:v>98.358923297030614</c:v>
                </c:pt>
                <c:pt idx="399">
                  <c:v>98.17145643091196</c:v>
                </c:pt>
                <c:pt idx="400">
                  <c:v>97.98807266177505</c:v>
                </c:pt>
                <c:pt idx="401">
                  <c:v>97.808691009973884</c:v>
                </c:pt>
                <c:pt idx="402">
                  <c:v>97.633231575718639</c:v>
                </c:pt>
                <c:pt idx="403">
                  <c:v>97.46161556176618</c:v>
                </c:pt>
                <c:pt idx="404">
                  <c:v>97.293765292822457</c:v>
                </c:pt>
                <c:pt idx="405">
                  <c:v>97.129604231876925</c:v>
                </c:pt>
                <c:pt idx="406">
                  <c:v>96.969056993680027</c:v>
                </c:pt>
                <c:pt idx="407">
                  <c:v>96.812049355561953</c:v>
                </c:pt>
                <c:pt idx="408">
                  <c:v>96.65850826578135</c:v>
                </c:pt>
                <c:pt idx="409">
                  <c:v>96.508361849584261</c:v>
                </c:pt>
                <c:pt idx="410">
                  <c:v>96.361539413140932</c:v>
                </c:pt>
                <c:pt idx="411">
                  <c:v>96.217971445521513</c:v>
                </c:pt>
                <c:pt idx="412">
                  <c:v>96.077589618861296</c:v>
                </c:pt>
                <c:pt idx="413">
                  <c:v>95.940326786857483</c:v>
                </c:pt>
                <c:pt idx="414">
                  <c:v>95.806116981732274</c:v>
                </c:pt>
                <c:pt idx="415">
                  <c:v>95.67489540978741</c:v>
                </c:pt>
                <c:pt idx="416">
                  <c:v>95.546598445669844</c:v>
                </c:pt>
                <c:pt idx="417">
                  <c:v>95.421163625458703</c:v>
                </c:pt>
                <c:pt idx="418">
                  <c:v>95.298529638679199</c:v>
                </c:pt>
                <c:pt idx="419">
                  <c:v>95.178636319340328</c:v>
                </c:pt>
                <c:pt idx="420">
                  <c:v>95.061424636088674</c:v>
                </c:pt>
                <c:pt idx="421">
                  <c:v>94.946836681563639</c:v>
                </c:pt>
                <c:pt idx="422">
                  <c:v>94.834815661035137</c:v>
                </c:pt>
                <c:pt idx="423">
                  <c:v>94.725305880396874</c:v>
                </c:pt>
                <c:pt idx="424">
                  <c:v>94.618252733587553</c:v>
                </c:pt>
                <c:pt idx="425">
                  <c:v>94.51360268950242</c:v>
                </c:pt>
                <c:pt idx="426">
                  <c:v>94.411303278457368</c:v>
                </c:pt>
                <c:pt idx="427">
                  <c:v>94.311303078262029</c:v>
                </c:pt>
                <c:pt idx="428">
                  <c:v>94.213551699953769</c:v>
                </c:pt>
                <c:pt idx="429">
                  <c:v>94.117999773240172</c:v>
                </c:pt>
                <c:pt idx="430">
                  <c:v>94.024598931697895</c:v>
                </c:pt>
                <c:pt idx="431">
                  <c:v>93.933301797766603</c:v>
                </c:pt>
                <c:pt idx="432">
                  <c:v>93.844061967578952</c:v>
                </c:pt>
                <c:pt idx="433">
                  <c:v>93.756833995660585</c:v>
                </c:pt>
                <c:pt idx="434">
                  <c:v>93.671573379534522</c:v>
                </c:pt>
                <c:pt idx="435">
                  <c:v>93.588236544259743</c:v>
                </c:pt>
                <c:pt idx="436">
                  <c:v>93.506780826931248</c:v>
                </c:pt>
                <c:pt idx="437">
                  <c:v>93.427164461168957</c:v>
                </c:pt>
                <c:pt idx="438">
                  <c:v>93.34934656161721</c:v>
                </c:pt>
                <c:pt idx="439">
                  <c:v>93.273287108477888</c:v>
                </c:pt>
                <c:pt idx="440">
                  <c:v>93.198946932096106</c:v>
                </c:pt>
                <c:pt idx="441">
                  <c:v>93.126287697616718</c:v>
                </c:pt>
                <c:pt idx="442">
                  <c:v>93.055271889728076</c:v>
                </c:pt>
                <c:pt idx="443">
                  <c:v>92.985862797508332</c:v>
                </c:pt>
                <c:pt idx="444">
                  <c:v>92.918024499386661</c:v>
                </c:pt>
                <c:pt idx="445">
                  <c:v>92.851721848233154</c:v>
                </c:pt>
                <c:pt idx="446">
                  <c:v>92.786920456586827</c:v>
                </c:pt>
                <c:pt idx="447">
                  <c:v>92.723586682033002</c:v>
                </c:pt>
                <c:pt idx="448">
                  <c:v>92.66168761273758</c:v>
                </c:pt>
                <c:pt idx="449">
                  <c:v>92.601191053146991</c:v>
                </c:pt>
                <c:pt idx="450">
                  <c:v>92.542065509860237</c:v>
                </c:pt>
                <c:pt idx="451">
                  <c:v>92.484280177679267</c:v>
                </c:pt>
                <c:pt idx="452">
                  <c:v>92.427804925842906</c:v>
                </c:pt>
                <c:pt idx="453">
                  <c:v>92.372610284448882</c:v>
                </c:pt>
                <c:pt idx="454">
                  <c:v>92.318667431068064</c:v>
                </c:pt>
                <c:pt idx="455">
                  <c:v>92.265948177553881</c:v>
                </c:pt>
                <c:pt idx="456">
                  <c:v>92.214424957049928</c:v>
                </c:pt>
                <c:pt idx="457">
                  <c:v>92.164070811197803</c:v>
                </c:pt>
                <c:pt idx="458">
                  <c:v>92.114859377546779</c:v>
                </c:pt>
                <c:pt idx="459">
                  <c:v>92.066764877166904</c:v>
                </c:pt>
                <c:pt idx="460">
                  <c:v>92.019762102465961</c:v>
                </c:pt>
                <c:pt idx="461">
                  <c:v>91.973826405211227</c:v>
                </c:pt>
                <c:pt idx="462">
                  <c:v>91.928933684755677</c:v>
                </c:pt>
                <c:pt idx="463">
                  <c:v>91.885060376468815</c:v>
                </c:pt>
                <c:pt idx="464">
                  <c:v>91.8421834403715</c:v>
                </c:pt>
                <c:pt idx="465">
                  <c:v>91.800280349974159</c:v>
                </c:pt>
                <c:pt idx="466">
                  <c:v>91.759329081317119</c:v>
                </c:pt>
                <c:pt idx="467">
                  <c:v>91.719308102212366</c:v>
                </c:pt>
                <c:pt idx="468">
                  <c:v>91.680196361684708</c:v>
                </c:pt>
                <c:pt idx="469">
                  <c:v>91.641973279611463</c:v>
                </c:pt>
                <c:pt idx="470">
                  <c:v>91.604618736558365</c:v>
                </c:pt>
                <c:pt idx="471">
                  <c:v>91.568113063810088</c:v>
                </c:pt>
                <c:pt idx="472">
                  <c:v>91.532437033593609</c:v>
                </c:pt>
                <c:pt idx="473">
                  <c:v>91.497571849491621</c:v>
                </c:pt>
                <c:pt idx="474">
                  <c:v>91.463499137044664</c:v>
                </c:pt>
                <c:pt idx="475">
                  <c:v>91.43020093453886</c:v>
                </c:pt>
                <c:pt idx="476">
                  <c:v>91.397659683977537</c:v>
                </c:pt>
                <c:pt idx="477">
                  <c:v>91.365858222233697</c:v>
                </c:pt>
                <c:pt idx="478">
                  <c:v>91.33477977238141</c:v>
                </c:pt>
                <c:pt idx="479">
                  <c:v>91.304407935203002</c:v>
                </c:pt>
                <c:pt idx="480">
                  <c:v>91.274726680869946</c:v>
                </c:pt>
                <c:pt idx="481">
                  <c:v>91.245720340794477</c:v>
                </c:pt>
                <c:pt idx="482">
                  <c:v>91.21737359964942</c:v>
                </c:pt>
                <c:pt idx="483">
                  <c:v>91.189671487553468</c:v>
                </c:pt>
                <c:pt idx="484">
                  <c:v>91.162599372419422</c:v>
                </c:pt>
                <c:pt idx="485">
                  <c:v>91.136142952462336</c:v>
                </c:pt>
                <c:pt idx="486">
                  <c:v>91.110288248865231</c:v>
                </c:pt>
                <c:pt idx="487">
                  <c:v>91.085021598599369</c:v>
                </c:pt>
                <c:pt idx="488">
                  <c:v>91.060329647396571</c:v>
                </c:pt>
                <c:pt idx="489">
                  <c:v>91.03619934287083</c:v>
                </c:pt>
                <c:pt idx="490">
                  <c:v>91.012617927786437</c:v>
                </c:pt>
                <c:pt idx="491">
                  <c:v>90.989572933470114</c:v>
                </c:pt>
                <c:pt idx="492">
                  <c:v>90.96705217336438</c:v>
                </c:pt>
                <c:pt idx="493">
                  <c:v>90.945043736719512</c:v>
                </c:pt>
                <c:pt idx="494">
                  <c:v>90.923535982421569</c:v>
                </c:pt>
                <c:pt idx="495">
                  <c:v>90.902517532953809</c:v>
                </c:pt>
                <c:pt idx="496">
                  <c:v>90.881977268488953</c:v>
                </c:pt>
                <c:pt idx="497">
                  <c:v>90.861904321109805</c:v>
                </c:pt>
                <c:pt idx="498">
                  <c:v>90.842288069155529</c:v>
                </c:pt>
                <c:pt idx="499">
                  <c:v>90.823118131691558</c:v>
                </c:pt>
                <c:pt idx="500">
                  <c:v>90.80438436309997</c:v>
                </c:pt>
                <c:pt idx="501">
                  <c:v>90.786076847788692</c:v>
                </c:pt>
                <c:pt idx="502">
                  <c:v>90.768185895016529</c:v>
                </c:pt>
                <c:pt idx="503">
                  <c:v>90.750702033831985</c:v>
                </c:pt>
                <c:pt idx="504">
                  <c:v>90.733616008123548</c:v>
                </c:pt>
                <c:pt idx="505">
                  <c:v>90.716918771779035</c:v>
                </c:pt>
                <c:pt idx="506">
                  <c:v>90.700601483951758</c:v>
                </c:pt>
                <c:pt idx="507">
                  <c:v>90.684655504431461</c:v>
                </c:pt>
                <c:pt idx="508">
                  <c:v>90.669072389117716</c:v>
                </c:pt>
                <c:pt idx="509">
                  <c:v>90.653843885593545</c:v>
                </c:pt>
                <c:pt idx="510">
                  <c:v>90.638961928797485</c:v>
                </c:pt>
                <c:pt idx="511">
                  <c:v>90.624418636791589</c:v>
                </c:pt>
                <c:pt idx="512">
                  <c:v>90.610206306623823</c:v>
                </c:pt>
                <c:pt idx="513">
                  <c:v>90.596317410282367</c:v>
                </c:pt>
                <c:pt idx="514">
                  <c:v>90.582744590740205</c:v>
                </c:pt>
                <c:pt idx="515">
                  <c:v>90.569480658088054</c:v>
                </c:pt>
                <c:pt idx="516">
                  <c:v>90.556518585753452</c:v>
                </c:pt>
                <c:pt idx="517">
                  <c:v>90.543851506804558</c:v>
                </c:pt>
                <c:pt idx="518">
                  <c:v>90.531472710336487</c:v>
                </c:pt>
                <c:pt idx="519">
                  <c:v>90.519375637938651</c:v>
                </c:pt>
                <c:pt idx="520">
                  <c:v>90.507553880241247</c:v>
                </c:pt>
                <c:pt idx="521">
                  <c:v>90.496001173539042</c:v>
                </c:pt>
                <c:pt idx="522">
                  <c:v>90.484711396491207</c:v>
                </c:pt>
                <c:pt idx="523">
                  <c:v>90.473678566894819</c:v>
                </c:pt>
                <c:pt idx="524">
                  <c:v>90.462896838531307</c:v>
                </c:pt>
                <c:pt idx="525">
                  <c:v>90.452360498083394</c:v>
                </c:pt>
                <c:pt idx="526">
                  <c:v>90.442063962121665</c:v>
                </c:pt>
                <c:pt idx="527">
                  <c:v>90.432001774158849</c:v>
                </c:pt>
                <c:pt idx="528">
                  <c:v>90.422168601770366</c:v>
                </c:pt>
                <c:pt idx="529">
                  <c:v>90.412559233779803</c:v>
                </c:pt>
                <c:pt idx="530">
                  <c:v>90.40316857750787</c:v>
                </c:pt>
                <c:pt idx="531">
                  <c:v>90.393991656083287</c:v>
                </c:pt>
                <c:pt idx="532">
                  <c:v>90.385023605814382</c:v>
                </c:pt>
                <c:pt idx="533">
                  <c:v>90.376259673620055</c:v>
                </c:pt>
                <c:pt idx="534">
                  <c:v>90.367695214518633</c:v>
                </c:pt>
                <c:pt idx="535">
                  <c:v>90.359325689173474</c:v>
                </c:pt>
                <c:pt idx="536">
                  <c:v>90.351146661494141</c:v>
                </c:pt>
                <c:pt idx="537">
                  <c:v>90.34315379629156</c:v>
                </c:pt>
                <c:pt idx="538">
                  <c:v>90.335342856986429</c:v>
                </c:pt>
                <c:pt idx="539">
                  <c:v>90.327709703369266</c:v>
                </c:pt>
                <c:pt idx="540">
                  <c:v>90.320250289411234</c:v>
                </c:pt>
                <c:pt idx="541">
                  <c:v>90.312960661124436</c:v>
                </c:pt>
              </c:numCache>
            </c:numRef>
          </c:yVal>
          <c:smooth val="1"/>
          <c:extLst>
            <c:ext xmlns:c16="http://schemas.microsoft.com/office/drawing/2014/chart" uri="{C3380CC4-5D6E-409C-BE32-E72D297353CC}">
              <c16:uniqueId val="{00000001-BAA4-4E57-BFDE-425B9CFF436F}"/>
            </c:ext>
          </c:extLst>
        </c:ser>
        <c:dLbls>
          <c:showLegendKey val="0"/>
          <c:showVal val="0"/>
          <c:showCatName val="0"/>
          <c:showSerName val="0"/>
          <c:showPercent val="0"/>
          <c:showBubbleSize val="0"/>
        </c:dLbls>
        <c:axId val="315943936"/>
        <c:axId val="315942400"/>
      </c:scatterChart>
      <c:valAx>
        <c:axId val="315938304"/>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15940224"/>
        <c:crosses val="autoZero"/>
        <c:crossBetween val="midCat"/>
      </c:valAx>
      <c:valAx>
        <c:axId val="315940224"/>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15938304"/>
        <c:crosses val="autoZero"/>
        <c:crossBetween val="midCat"/>
        <c:majorUnit val="20"/>
        <c:minorUnit val="10"/>
      </c:valAx>
      <c:valAx>
        <c:axId val="315942400"/>
        <c:scaling>
          <c:orientation val="minMax"/>
          <c:max val="180"/>
          <c:min val="-180"/>
        </c:scaling>
        <c:delete val="0"/>
        <c:axPos val="r"/>
        <c:numFmt formatCode="General" sourceLinked="1"/>
        <c:majorTickMark val="out"/>
        <c:minorTickMark val="none"/>
        <c:tickLblPos val="nextTo"/>
        <c:crossAx val="315943936"/>
        <c:crosses val="max"/>
        <c:crossBetween val="midCat"/>
        <c:majorUnit val="90"/>
        <c:minorUnit val="45"/>
      </c:valAx>
      <c:valAx>
        <c:axId val="315943936"/>
        <c:scaling>
          <c:logBase val="10"/>
          <c:orientation val="minMax"/>
        </c:scaling>
        <c:delete val="1"/>
        <c:axPos val="b"/>
        <c:numFmt formatCode="0.00" sourceLinked="1"/>
        <c:majorTickMark val="out"/>
        <c:minorTickMark val="none"/>
        <c:tickLblPos val="nextTo"/>
        <c:crossAx val="315942400"/>
        <c:crosses val="autoZero"/>
        <c:crossBetween val="midCat"/>
      </c:valAx>
    </c:plotArea>
    <c:legend>
      <c:legendPos val="r"/>
      <c:layout>
        <c:manualLayout>
          <c:xMode val="edge"/>
          <c:yMode val="edge"/>
          <c:x val="0.79880558209512509"/>
          <c:y val="0.14321997959862004"/>
          <c:w val="0.13485048155591431"/>
          <c:h val="0.10528624969913696"/>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Bode Plot</a:t>
            </a:r>
          </a:p>
        </c:rich>
      </c:tx>
      <c:layout>
        <c:manualLayout>
          <c:xMode val="edge"/>
          <c:yMode val="edge"/>
          <c:x val="9.4354157174953393E-2"/>
          <c:y val="3.9916010498687662E-3"/>
        </c:manualLayout>
      </c:layout>
      <c:overlay val="0"/>
    </c:title>
    <c:autoTitleDeleted val="0"/>
    <c:plotArea>
      <c:layout>
        <c:manualLayout>
          <c:layoutTarget val="inner"/>
          <c:xMode val="edge"/>
          <c:yMode val="edge"/>
          <c:x val="8.7413438847232044E-2"/>
          <c:y val="8.915804101931861E-2"/>
          <c:w val="0.80965876742891785"/>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CCM_Loop_Modeling!$AW$19:$AW$560</c:f>
              <c:numCache>
                <c:formatCode>0.000</c:formatCode>
                <c:ptCount val="542"/>
                <c:pt idx="0">
                  <c:v>67.84943461685684</c:v>
                </c:pt>
                <c:pt idx="1">
                  <c:v>67.650832730312288</c:v>
                </c:pt>
                <c:pt idx="2">
                  <c:v>67.452296211756945</c:v>
                </c:pt>
                <c:pt idx="3">
                  <c:v>67.253828091829263</c:v>
                </c:pt>
                <c:pt idx="4">
                  <c:v>67.055431539227058</c:v>
                </c:pt>
                <c:pt idx="5">
                  <c:v>66.857109866762528</c:v>
                </c:pt>
                <c:pt idx="6">
                  <c:v>66.658866537660529</c:v>
                </c:pt>
                <c:pt idx="7">
                  <c:v>66.460705172106742</c:v>
                </c:pt>
                <c:pt idx="8">
                  <c:v>66.262629554055295</c:v>
                </c:pt>
                <c:pt idx="9">
                  <c:v>66.064643638301078</c:v>
                </c:pt>
                <c:pt idx="10">
                  <c:v>65.866751557825523</c:v>
                </c:pt>
                <c:pt idx="11">
                  <c:v>65.668957631423481</c:v>
                </c:pt>
                <c:pt idx="12">
                  <c:v>65.471266371617347</c:v>
                </c:pt>
                <c:pt idx="13">
                  <c:v>65.273682492866484</c:v>
                </c:pt>
                <c:pt idx="14">
                  <c:v>65.076210920078466</c:v>
                </c:pt>
                <c:pt idx="15">
                  <c:v>64.878856797428568</c:v>
                </c:pt>
                <c:pt idx="16">
                  <c:v>64.681625497493854</c:v>
                </c:pt>
                <c:pt idx="17">
                  <c:v>64.484522630707602</c:v>
                </c:pt>
                <c:pt idx="18">
                  <c:v>64.287554055139026</c:v>
                </c:pt>
                <c:pt idx="19">
                  <c:v>64.090725886603934</c:v>
                </c:pt>
                <c:pt idx="20">
                  <c:v>63.894044509108916</c:v>
                </c:pt>
                <c:pt idx="21">
                  <c:v>63.697516585633203</c:v>
                </c:pt>
                <c:pt idx="22">
                  <c:v>63.501149069251007</c:v>
                </c:pt>
                <c:pt idx="23">
                  <c:v>63.304949214593549</c:v>
                </c:pt>
                <c:pt idx="24">
                  <c:v>63.108924589654407</c:v>
                </c:pt>
                <c:pt idx="25">
                  <c:v>62.913083087932584</c:v>
                </c:pt>
                <c:pt idx="26">
                  <c:v>62.717432940915401</c:v>
                </c:pt>
                <c:pt idx="27">
                  <c:v>62.521982730893683</c:v>
                </c:pt>
                <c:pt idx="28">
                  <c:v>62.326741404104631</c:v>
                </c:pt>
                <c:pt idx="29">
                  <c:v>62.131718284194797</c:v>
                </c:pt>
                <c:pt idx="30">
                  <c:v>61.936923085992213</c:v>
                </c:pt>
                <c:pt idx="31">
                  <c:v>61.742365929575847</c:v>
                </c:pt>
                <c:pt idx="32">
                  <c:v>61.548057354627531</c:v>
                </c:pt>
                <c:pt idx="33">
                  <c:v>61.354008335047283</c:v>
                </c:pt>
                <c:pt idx="34">
                  <c:v>61.160230293813029</c:v>
                </c:pt>
                <c:pt idx="35">
                  <c:v>60.966735118058295</c:v>
                </c:pt>
                <c:pt idx="36">
                  <c:v>60.773535174340942</c:v>
                </c:pt>
                <c:pt idx="37">
                  <c:v>60.580643324070749</c:v>
                </c:pt>
                <c:pt idx="38">
                  <c:v>60.38807293905986</c:v>
                </c:pt>
                <c:pt idx="39">
                  <c:v>60.195837917154201</c:v>
                </c:pt>
                <c:pt idx="40">
                  <c:v>60.003952697901433</c:v>
                </c:pt>
                <c:pt idx="41">
                  <c:v>59.812432278204291</c:v>
                </c:pt>
                <c:pt idx="42">
                  <c:v>59.621292227900888</c:v>
                </c:pt>
                <c:pt idx="43">
                  <c:v>59.430548705212743</c:v>
                </c:pt>
                <c:pt idx="44">
                  <c:v>59.240218471988769</c:v>
                </c:pt>
                <c:pt idx="45">
                  <c:v>59.050318908671201</c:v>
                </c:pt>
                <c:pt idx="46">
                  <c:v>58.860868028902075</c:v>
                </c:pt>
                <c:pt idx="47">
                  <c:v>58.671884493678299</c:v>
                </c:pt>
                <c:pt idx="48">
                  <c:v>58.483387624961061</c:v>
                </c:pt>
                <c:pt idx="49">
                  <c:v>58.295397418632511</c:v>
                </c:pt>
                <c:pt idx="50">
                  <c:v>58.107934556688079</c:v>
                </c:pt>
                <c:pt idx="51">
                  <c:v>57.921020418542469</c:v>
                </c:pt>
                <c:pt idx="52">
                  <c:v>57.734677091320819</c:v>
                </c:pt>
                <c:pt idx="53">
                  <c:v>57.548927378995188</c:v>
                </c:pt>
                <c:pt idx="54">
                  <c:v>57.363794810222132</c:v>
                </c:pt>
                <c:pt idx="55">
                  <c:v>57.179303644723667</c:v>
                </c:pt>
                <c:pt idx="56">
                  <c:v>56.995478878051046</c:v>
                </c:pt>
                <c:pt idx="57">
                  <c:v>56.812346244556771</c:v>
                </c:pt>
                <c:pt idx="58">
                  <c:v>56.629932218398913</c:v>
                </c:pt>
                <c:pt idx="59">
                  <c:v>56.448264012388208</c:v>
                </c:pt>
                <c:pt idx="60">
                  <c:v>56.267369574487418</c:v>
                </c:pt>
                <c:pt idx="61">
                  <c:v>56.087277581762336</c:v>
                </c:pt>
                <c:pt idx="62">
                  <c:v>55.908017431581676</c:v>
                </c:pt>
                <c:pt idx="63">
                  <c:v>55.729619229857477</c:v>
                </c:pt>
                <c:pt idx="64">
                  <c:v>55.552113776117523</c:v>
                </c:pt>
                <c:pt idx="65">
                  <c:v>55.37553254519689</c:v>
                </c:pt>
                <c:pt idx="66">
                  <c:v>55.199907665340604</c:v>
                </c:pt>
                <c:pt idx="67">
                  <c:v>55.02527189250884</c:v>
                </c:pt>
                <c:pt idx="68">
                  <c:v>54.851658580682738</c:v>
                </c:pt>
                <c:pt idx="69">
                  <c:v>54.679101647975855</c:v>
                </c:pt>
                <c:pt idx="70">
                  <c:v>54.507635538366166</c:v>
                </c:pt>
                <c:pt idx="71">
                  <c:v>54.33729517887528</c:v>
                </c:pt>
                <c:pt idx="72">
                  <c:v>54.168115932039484</c:v>
                </c:pt>
                <c:pt idx="73">
                  <c:v>54.000133543532868</c:v>
                </c:pt>
                <c:pt idx="74">
                  <c:v>53.833384084828218</c:v>
                </c:pt>
                <c:pt idx="75">
                  <c:v>53.667903890803224</c:v>
                </c:pt>
                <c:pt idx="76">
                  <c:v>53.503729492232949</c:v>
                </c:pt>
                <c:pt idx="77">
                  <c:v>53.34089754313613</c:v>
                </c:pt>
                <c:pt idx="78">
                  <c:v>53.179444742985773</c:v>
                </c:pt>
                <c:pt idx="79">
                  <c:v>53.019407753826926</c:v>
                </c:pt>
                <c:pt idx="80">
                  <c:v>52.860823112392204</c:v>
                </c:pt>
                <c:pt idx="81">
                  <c:v>52.703727137348544</c:v>
                </c:pt>
                <c:pt idx="82">
                  <c:v>52.548155831857031</c:v>
                </c:pt>
                <c:pt idx="83">
                  <c:v>52.394144781679529</c:v>
                </c:pt>
                <c:pt idx="84">
                  <c:v>52.241729049117168</c:v>
                </c:pt>
                <c:pt idx="85">
                  <c:v>52.09094306311853</c:v>
                </c:pt>
                <c:pt idx="86">
                  <c:v>51.941820505952819</c:v>
                </c:pt>
                <c:pt idx="87">
                  <c:v>51.794394196894686</c:v>
                </c:pt>
                <c:pt idx="88">
                  <c:v>51.648695973422072</c:v>
                </c:pt>
                <c:pt idx="89">
                  <c:v>51.504756570482286</c:v>
                </c:pt>
                <c:pt idx="90">
                  <c:v>51.362605498426952</c:v>
                </c:pt>
                <c:pt idx="91">
                  <c:v>51.222270920269246</c:v>
                </c:pt>
                <c:pt idx="92">
                  <c:v>51.083779528952078</c:v>
                </c:pt>
                <c:pt idx="93">
                  <c:v>50.947156425359026</c:v>
                </c:pt>
                <c:pt idx="94">
                  <c:v>50.812424997826341</c:v>
                </c:pt>
                <c:pt idx="95">
                  <c:v>50.679606803942576</c:v>
                </c:pt>
                <c:pt idx="96">
                  <c:v>50.548721455435469</c:v>
                </c:pt>
                <c:pt idx="97">
                  <c:v>50.419786506958424</c:v>
                </c:pt>
                <c:pt idx="98">
                  <c:v>50.292817349585107</c:v>
                </c:pt>
                <c:pt idx="99">
                  <c:v>50.167827109814837</c:v>
                </c:pt>
                <c:pt idx="100">
                  <c:v>50.044826554870667</c:v>
                </c:pt>
                <c:pt idx="101">
                  <c:v>49.923824005045951</c:v>
                </c:pt>
                <c:pt idx="102">
                  <c:v>49.80482525381673</c:v>
                </c:pt>
                <c:pt idx="103">
                  <c:v>49.687833496392997</c:v>
                </c:pt>
                <c:pt idx="104">
                  <c:v>49.572849267325545</c:v>
                </c:pt>
                <c:pt idx="105">
                  <c:v>49.459870387723214</c:v>
                </c:pt>
                <c:pt idx="106">
                  <c:v>49.348891922567503</c:v>
                </c:pt>
                <c:pt idx="107">
                  <c:v>49.239906148533052</c:v>
                </c:pt>
                <c:pt idx="108">
                  <c:v>49.13290253264536</c:v>
                </c:pt>
                <c:pt idx="109">
                  <c:v>49.027867722019622</c:v>
                </c:pt>
                <c:pt idx="110">
                  <c:v>48.924785544841676</c:v>
                </c:pt>
                <c:pt idx="111">
                  <c:v>48.823637022661217</c:v>
                </c:pt>
                <c:pt idx="112">
                  <c:v>48.724400393981462</c:v>
                </c:pt>
                <c:pt idx="113">
                  <c:v>48.627051149044711</c:v>
                </c:pt>
                <c:pt idx="114">
                  <c:v>48.531562075628088</c:v>
                </c:pt>
                <c:pt idx="115">
                  <c:v>48.437903315588606</c:v>
                </c:pt>
                <c:pt idx="116">
                  <c:v>48.346042431819207</c:v>
                </c:pt>
                <c:pt idx="117">
                  <c:v>48.255944485213689</c:v>
                </c:pt>
                <c:pt idx="118">
                  <c:v>48.167572121176548</c:v>
                </c:pt>
                <c:pt idx="119">
                  <c:v>48.080885665160828</c:v>
                </c:pt>
                <c:pt idx="120">
                  <c:v>47.995843226674133</c:v>
                </c:pt>
                <c:pt idx="121">
                  <c:v>47.91240081115351</c:v>
                </c:pt>
                <c:pt idx="122">
                  <c:v>47.830512439085226</c:v>
                </c:pt>
                <c:pt idx="123">
                  <c:v>47.750130271721829</c:v>
                </c:pt>
                <c:pt idx="124">
                  <c:v>47.671204742737771</c:v>
                </c:pt>
                <c:pt idx="125">
                  <c:v>47.593684695161549</c:v>
                </c:pt>
                <c:pt idx="126">
                  <c:v>47.517517522917849</c:v>
                </c:pt>
                <c:pt idx="127">
                  <c:v>47.442649316326978</c:v>
                </c:pt>
                <c:pt idx="128">
                  <c:v>47.369025010914456</c:v>
                </c:pt>
                <c:pt idx="129">
                  <c:v>47.296588538902711</c:v>
                </c:pt>
                <c:pt idx="130">
                  <c:v>47.225282982774246</c:v>
                </c:pt>
                <c:pt idx="131">
                  <c:v>47.155050730315182</c:v>
                </c:pt>
                <c:pt idx="132">
                  <c:v>47.085833630569141</c:v>
                </c:pt>
                <c:pt idx="133">
                  <c:v>47.017573150154803</c:v>
                </c:pt>
                <c:pt idx="134">
                  <c:v>46.950210529415209</c:v>
                </c:pt>
                <c:pt idx="135">
                  <c:v>46.883686937890175</c:v>
                </c:pt>
                <c:pt idx="136">
                  <c:v>46.817943628615879</c:v>
                </c:pt>
                <c:pt idx="137">
                  <c:v>46.752922090767768</c:v>
                </c:pt>
                <c:pt idx="138">
                  <c:v>46.6885642001725</c:v>
                </c:pt>
                <c:pt idx="139">
                  <c:v>46.624812367220457</c:v>
                </c:pt>
                <c:pt idx="140">
                  <c:v>46.561609681707978</c:v>
                </c:pt>
                <c:pt idx="141">
                  <c:v>46.498900054139327</c:v>
                </c:pt>
                <c:pt idx="142">
                  <c:v>46.43662835300853</c:v>
                </c:pt>
                <c:pt idx="143">
                  <c:v>46.374740537574006</c:v>
                </c:pt>
                <c:pt idx="144">
                  <c:v>46.313183785621881</c:v>
                </c:pt>
                <c:pt idx="145">
                  <c:v>46.251906615703497</c:v>
                </c:pt>
                <c:pt idx="146">
                  <c:v>46.190859003313378</c:v>
                </c:pt>
                <c:pt idx="147">
                  <c:v>46.129992490457937</c:v>
                </c:pt>
                <c:pt idx="148">
                  <c:v>46.069260288050344</c:v>
                </c:pt>
                <c:pt idx="149">
                  <c:v>46.008617370551654</c:v>
                </c:pt>
                <c:pt idx="150">
                  <c:v>45.948020562269285</c:v>
                </c:pt>
                <c:pt idx="151">
                  <c:v>45.887428614716008</c:v>
                </c:pt>
                <c:pt idx="152">
                  <c:v>45.826802274431998</c:v>
                </c:pt>
                <c:pt idx="153">
                  <c:v>45.766104340681267</c:v>
                </c:pt>
                <c:pt idx="154">
                  <c:v>45.705299712442255</c:v>
                </c:pt>
                <c:pt idx="155">
                  <c:v>45.644355424140983</c:v>
                </c:pt>
                <c:pt idx="156">
                  <c:v>45.58324066960337</c:v>
                </c:pt>
                <c:pt idx="157">
                  <c:v>45.521926813750106</c:v>
                </c:pt>
                <c:pt idx="158">
                  <c:v>45.460387391607114</c:v>
                </c:pt>
                <c:pt idx="159">
                  <c:v>45.398598094274732</c:v>
                </c:pt>
                <c:pt idx="160">
                  <c:v>45.336536741571521</c:v>
                </c:pt>
                <c:pt idx="161">
                  <c:v>45.274183241158362</c:v>
                </c:pt>
                <c:pt idx="162">
                  <c:v>45.211519534045266</c:v>
                </c:pt>
                <c:pt idx="163">
                  <c:v>45.148529526491579</c:v>
                </c:pt>
                <c:pt idx="164">
                  <c:v>45.085199008426983</c:v>
                </c:pt>
                <c:pt idx="165">
                  <c:v>45.021515558641639</c:v>
                </c:pt>
                <c:pt idx="166">
                  <c:v>44.957468437126565</c:v>
                </c:pt>
                <c:pt idx="167">
                  <c:v>44.893048465073228</c:v>
                </c:pt>
                <c:pt idx="168">
                  <c:v>44.828247893180148</c:v>
                </c:pt>
                <c:pt idx="169">
                  <c:v>44.763060259044721</c:v>
                </c:pt>
                <c:pt idx="170">
                  <c:v>44.697480234550582</c:v>
                </c:pt>
                <c:pt idx="171">
                  <c:v>44.631503464287043</c:v>
                </c:pt>
                <c:pt idx="172">
                  <c:v>44.565126396155257</c:v>
                </c:pt>
                <c:pt idx="173">
                  <c:v>44.498346105425036</c:v>
                </c:pt>
                <c:pt idx="174">
                  <c:v>44.431160113601635</c:v>
                </c:pt>
                <c:pt idx="175">
                  <c:v>44.3635662035501</c:v>
                </c:pt>
                <c:pt idx="176">
                  <c:v>44.295562232386189</c:v>
                </c:pt>
                <c:pt idx="177">
                  <c:v>44.227145943700833</c:v>
                </c:pt>
                <c:pt idx="178">
                  <c:v>44.158314780714448</c:v>
                </c:pt>
                <c:pt idx="179">
                  <c:v>44.089065701974597</c:v>
                </c:pt>
                <c:pt idx="180">
                  <c:v>44.019395001203996</c:v>
                </c:pt>
                <c:pt idx="181">
                  <c:v>43.949298132885218</c:v>
                </c:pt>
                <c:pt idx="182">
                  <c:v>43.87876954512268</c:v>
                </c:pt>
                <c:pt idx="183">
                  <c:v>43.807802521265089</c:v>
                </c:pt>
                <c:pt idx="184">
                  <c:v>43.736389031689242</c:v>
                </c:pt>
                <c:pt idx="185">
                  <c:v>43.664519597056056</c:v>
                </c:pt>
                <c:pt idx="186">
                  <c:v>43.592183164235905</c:v>
                </c:pt>
                <c:pt idx="187">
                  <c:v>43.519366995984242</c:v>
                </c:pt>
                <c:pt idx="188">
                  <c:v>43.446056575307573</c:v>
                </c:pt>
                <c:pt idx="189">
                  <c:v>43.372235525327199</c:v>
                </c:pt>
                <c:pt idx="190">
                  <c:v>43.2978855452901</c:v>
                </c:pt>
                <c:pt idx="191">
                  <c:v>43.222986363230966</c:v>
                </c:pt>
                <c:pt idx="192">
                  <c:v>43.147515705625345</c:v>
                </c:pt>
                <c:pt idx="193">
                  <c:v>43.071449284224776</c:v>
                </c:pt>
                <c:pt idx="194">
                  <c:v>42.994760800101361</c:v>
                </c:pt>
                <c:pt idx="195">
                  <c:v>42.917421964783841</c:v>
                </c:pt>
                <c:pt idx="196">
                  <c:v>42.839402538212937</c:v>
                </c:pt>
                <c:pt idx="197">
                  <c:v>42.760670383106643</c:v>
                </c:pt>
                <c:pt idx="198">
                  <c:v>42.681191535189726</c:v>
                </c:pt>
                <c:pt idx="199">
                  <c:v>42.600930288614109</c:v>
                </c:pt>
                <c:pt idx="200">
                  <c:v>42.51984929578267</c:v>
                </c:pt>
                <c:pt idx="201">
                  <c:v>42.43790968067966</c:v>
                </c:pt>
                <c:pt idx="202">
                  <c:v>42.355071164715234</c:v>
                </c:pt>
                <c:pt idx="203">
                  <c:v>42.271292204003188</c:v>
                </c:pt>
                <c:pt idx="204">
                  <c:v>42.186530136920048</c:v>
                </c:pt>
                <c:pt idx="205">
                  <c:v>42.100741340723182</c:v>
                </c:pt>
                <c:pt idx="206">
                  <c:v>42.013881395957846</c:v>
                </c:pt>
                <c:pt idx="207">
                  <c:v>41.92590525733511</c:v>
                </c:pt>
                <c:pt idx="208">
                  <c:v>41.836767429736085</c:v>
                </c:pt>
                <c:pt idx="209">
                  <c:v>41.746422147970172</c:v>
                </c:pt>
                <c:pt idx="210">
                  <c:v>41.654823558910621</c:v>
                </c:pt>
                <c:pt idx="211">
                  <c:v>41.56192590462566</c:v>
                </c:pt>
                <c:pt idx="212">
                  <c:v>41.467683705133581</c:v>
                </c:pt>
                <c:pt idx="213">
                  <c:v>41.372051939432225</c:v>
                </c:pt>
                <c:pt idx="214">
                  <c:v>41.274986223479182</c:v>
                </c:pt>
                <c:pt idx="215">
                  <c:v>41.176442983839948</c:v>
                </c:pt>
                <c:pt idx="216">
                  <c:v>41.076379625768872</c:v>
                </c:pt>
                <c:pt idx="217">
                  <c:v>40.974754694545616</c:v>
                </c:pt>
                <c:pt idx="218">
                  <c:v>40.871528028952667</c:v>
                </c:pt>
                <c:pt idx="219">
                  <c:v>40.766660905859773</c:v>
                </c:pt>
                <c:pt idx="220">
                  <c:v>40.660116174956528</c:v>
                </c:pt>
                <c:pt idx="221">
                  <c:v>40.551858382768515</c:v>
                </c:pt>
                <c:pt idx="222">
                  <c:v>40.441853885186333</c:v>
                </c:pt>
                <c:pt idx="223">
                  <c:v>40.330070947838593</c:v>
                </c:pt>
                <c:pt idx="224">
                  <c:v>40.216479833747705</c:v>
                </c:pt>
                <c:pt idx="225">
                  <c:v>40.101052877815803</c:v>
                </c:pt>
                <c:pt idx="226">
                  <c:v>39.983764547803993</c:v>
                </c:pt>
                <c:pt idx="227">
                  <c:v>39.864591491580754</c:v>
                </c:pt>
                <c:pt idx="228">
                  <c:v>39.743512570531692</c:v>
                </c:pt>
                <c:pt idx="229">
                  <c:v>39.620508879136722</c:v>
                </c:pt>
                <c:pt idx="230">
                  <c:v>39.495563750834293</c:v>
                </c:pt>
                <c:pt idx="231">
                  <c:v>39.368662750398123</c:v>
                </c:pt>
                <c:pt idx="232">
                  <c:v>39.239793653159097</c:v>
                </c:pt>
                <c:pt idx="233">
                  <c:v>39.108946411501378</c:v>
                </c:pt>
                <c:pt idx="234">
                  <c:v>38.976113109151861</c:v>
                </c:pt>
                <c:pt idx="235">
                  <c:v>38.841287903868817</c:v>
                </c:pt>
                <c:pt idx="236">
                  <c:v>38.704466959205789</c:v>
                </c:pt>
                <c:pt idx="237">
                  <c:v>38.56564836609585</c:v>
                </c:pt>
                <c:pt idx="238">
                  <c:v>38.424832055051866</c:v>
                </c:pt>
                <c:pt idx="239">
                  <c:v>38.28201969982927</c:v>
                </c:pt>
                <c:pt idx="240">
                  <c:v>38.137214613425996</c:v>
                </c:pt>
                <c:pt idx="241">
                  <c:v>37.990421637323443</c:v>
                </c:pt>
                <c:pt idx="242">
                  <c:v>37.841647024883514</c:v>
                </c:pt>
                <c:pt idx="243">
                  <c:v>37.690898319821983</c:v>
                </c:pt>
                <c:pt idx="244">
                  <c:v>37.538184230673608</c:v>
                </c:pt>
                <c:pt idx="245">
                  <c:v>37.383514502150341</c:v>
                </c:pt>
                <c:pt idx="246">
                  <c:v>37.226899784272838</c:v>
                </c:pt>
                <c:pt idx="247">
                  <c:v>37.068351500126781</c:v>
                </c:pt>
                <c:pt idx="248">
                  <c:v>36.907881713061606</c:v>
                </c:pt>
                <c:pt idx="249">
                  <c:v>36.745502994108023</c:v>
                </c:pt>
                <c:pt idx="250">
                  <c:v>36.581228290349031</c:v>
                </c:pt>
                <c:pt idx="251">
                  <c:v>36.415070794929591</c:v>
                </c:pt>
                <c:pt idx="252">
                  <c:v>36.247043819341862</c:v>
                </c:pt>
                <c:pt idx="253">
                  <c:v>36.077160668573228</c:v>
                </c:pt>
                <c:pt idx="254">
                  <c:v>35.905434519649859</c:v>
                </c:pt>
                <c:pt idx="255">
                  <c:v>35.731878304061283</c:v>
                </c:pt>
                <c:pt idx="256">
                  <c:v>35.556504594498072</c:v>
                </c:pt>
                <c:pt idx="257">
                  <c:v>35.379325496288502</c:v>
                </c:pt>
                <c:pt idx="258">
                  <c:v>35.200352543873159</c:v>
                </c:pt>
                <c:pt idx="259">
                  <c:v>35.019596602611394</c:v>
                </c:pt>
                <c:pt idx="260">
                  <c:v>34.837067776175417</c:v>
                </c:pt>
                <c:pt idx="261">
                  <c:v>34.652775319748102</c:v>
                </c:pt>
                <c:pt idx="262">
                  <c:v>34.466727559206916</c:v>
                </c:pt>
                <c:pt idx="263">
                  <c:v>34.27893181644734</c:v>
                </c:pt>
                <c:pt idx="264">
                  <c:v>34.089394340969491</c:v>
                </c:pt>
                <c:pt idx="265">
                  <c:v>33.898120247830533</c:v>
                </c:pt>
                <c:pt idx="266">
                  <c:v>33.705113462043244</c:v>
                </c:pt>
                <c:pt idx="267">
                  <c:v>33.510376669486234</c:v>
                </c:pt>
                <c:pt idx="268">
                  <c:v>33.313911274373545</c:v>
                </c:pt>
                <c:pt idx="269">
                  <c:v>33.115717363324826</c:v>
                </c:pt>
                <c:pt idx="270">
                  <c:v>32.915793676062314</c:v>
                </c:pt>
                <c:pt idx="271">
                  <c:v>32.714137582758788</c:v>
                </c:pt>
                <c:pt idx="272">
                  <c:v>32.510745068050419</c:v>
                </c:pt>
                <c:pt idx="273">
                  <c:v>32.305610721727419</c:v>
                </c:pt>
                <c:pt idx="274">
                  <c:v>32.098727736108536</c:v>
                </c:pt>
                <c:pt idx="275">
                  <c:v>31.890087910104139</c:v>
                </c:pt>
                <c:pt idx="276">
                  <c:v>31.679681659966832</c:v>
                </c:pt>
                <c:pt idx="277">
                  <c:v>31.467498036725022</c:v>
                </c:pt>
                <c:pt idx="278">
                  <c:v>31.253524750290911</c:v>
                </c:pt>
                <c:pt idx="279">
                  <c:v>31.037748200224339</c:v>
                </c:pt>
                <c:pt idx="280">
                  <c:v>30.820153513128187</c:v>
                </c:pt>
                <c:pt idx="281">
                  <c:v>30.600724586639391</c:v>
                </c:pt>
                <c:pt idx="282">
                  <c:v>30.379444139965912</c:v>
                </c:pt>
                <c:pt idx="283">
                  <c:v>30.156293770905819</c:v>
                </c:pt>
                <c:pt idx="284">
                  <c:v>29.931254019263104</c:v>
                </c:pt>
                <c:pt idx="285">
                  <c:v>29.704304436555951</c:v>
                </c:pt>
                <c:pt idx="286">
                  <c:v>29.475423661886229</c:v>
                </c:pt>
                <c:pt idx="287">
                  <c:v>29.244589503810499</c:v>
                </c:pt>
                <c:pt idx="288">
                  <c:v>29.011779028022367</c:v>
                </c:pt>
                <c:pt idx="289">
                  <c:v>28.776968650620219</c:v>
                </c:pt>
                <c:pt idx="290">
                  <c:v>28.540134236696755</c:v>
                </c:pt>
                <c:pt idx="291">
                  <c:v>28.301251203947849</c:v>
                </c:pt>
                <c:pt idx="292">
                  <c:v>28.060294630952221</c:v>
                </c:pt>
                <c:pt idx="293">
                  <c:v>27.817239369734438</c:v>
                </c:pt>
                <c:pt idx="294">
                  <c:v>27.572060162171507</c:v>
                </c:pt>
                <c:pt idx="295">
                  <c:v>27.324731759764077</c:v>
                </c:pt>
                <c:pt idx="296">
                  <c:v>27.075229046239468</c:v>
                </c:pt>
                <c:pt idx="297">
                  <c:v>26.823527162416628</c:v>
                </c:pt>
                <c:pt idx="298">
                  <c:v>26.569601632711802</c:v>
                </c:pt>
                <c:pt idx="299">
                  <c:v>26.313428492627647</c:v>
                </c:pt>
                <c:pt idx="300">
                  <c:v>26.054984416529532</c:v>
                </c:pt>
                <c:pt idx="301">
                  <c:v>25.79424684497792</c:v>
                </c:pt>
                <c:pt idx="302">
                  <c:v>25.531194110862</c:v>
                </c:pt>
                <c:pt idx="303">
                  <c:v>25.26580556355006</c:v>
                </c:pt>
                <c:pt idx="304">
                  <c:v>24.998061690269353</c:v>
                </c:pt>
                <c:pt idx="305">
                  <c:v>24.727944233907163</c:v>
                </c:pt>
                <c:pt idx="306">
                  <c:v>24.455436306437175</c:v>
                </c:pt>
                <c:pt idx="307">
                  <c:v>24.180522497179489</c:v>
                </c:pt>
                <c:pt idx="308">
                  <c:v>23.903188975122465</c:v>
                </c:pt>
                <c:pt idx="309">
                  <c:v>23.623423584564335</c:v>
                </c:pt>
                <c:pt idx="310">
                  <c:v>23.341215933370233</c:v>
                </c:pt>
                <c:pt idx="311">
                  <c:v>23.056557473184846</c:v>
                </c:pt>
                <c:pt idx="312">
                  <c:v>22.769441571000101</c:v>
                </c:pt>
                <c:pt idx="313">
                  <c:v>22.479863571539926</c:v>
                </c:pt>
                <c:pt idx="314">
                  <c:v>22.187820849994985</c:v>
                </c:pt>
                <c:pt idx="315">
                  <c:v>21.893312854720431</c:v>
                </c:pt>
                <c:pt idx="316">
                  <c:v>21.59634113959228</c:v>
                </c:pt>
                <c:pt idx="317">
                  <c:v>21.296909385808348</c:v>
                </c:pt>
                <c:pt idx="318">
                  <c:v>20.995023413007768</c:v>
                </c:pt>
                <c:pt idx="319">
                  <c:v>20.690691179682826</c:v>
                </c:pt>
                <c:pt idx="320">
                  <c:v>20.383922772942395</c:v>
                </c:pt>
                <c:pt idx="321">
                  <c:v>20.074730387787486</c:v>
                </c:pt>
                <c:pt idx="322">
                  <c:v>19.763128296144284</c:v>
                </c:pt>
                <c:pt idx="323">
                  <c:v>19.449132805988263</c:v>
                </c:pt>
                <c:pt idx="324">
                  <c:v>19.132762210975905</c:v>
                </c:pt>
                <c:pt idx="325">
                  <c:v>18.814036731074857</c:v>
                </c:pt>
                <c:pt idx="326">
                  <c:v>18.492978444751767</c:v>
                </c:pt>
                <c:pt idx="327">
                  <c:v>18.169611213338523</c:v>
                </c:pt>
                <c:pt idx="328">
                  <c:v>17.843960598248042</c:v>
                </c:pt>
                <c:pt idx="329">
                  <c:v>17.516053771752802</c:v>
                </c:pt>
                <c:pt idx="330">
                  <c:v>17.185919422077628</c:v>
                </c:pt>
                <c:pt idx="331">
                  <c:v>16.853587653572617</c:v>
                </c:pt>
                <c:pt idx="332">
                  <c:v>16.51908988275536</c:v>
                </c:pt>
                <c:pt idx="333">
                  <c:v>16.182458731010062</c:v>
                </c:pt>
                <c:pt idx="334">
                  <c:v>15.843727914731263</c:v>
                </c:pt>
                <c:pt idx="335">
                  <c:v>15.502932133683892</c:v>
                </c:pt>
                <c:pt idx="336">
                  <c:v>15.160106958336064</c:v>
                </c:pt>
                <c:pt idx="337">
                  <c:v>14.815288716887922</c:v>
                </c:pt>
                <c:pt idx="338">
                  <c:v>14.468514382692184</c:v>
                </c:pt>
                <c:pt idx="339">
                  <c:v>14.119821462722621</c:v>
                </c:pt>
                <c:pt idx="340">
                  <c:v>13.76924788770088</c:v>
                </c:pt>
                <c:pt idx="341">
                  <c:v>13.416831904450838</c:v>
                </c:pt>
                <c:pt idx="342">
                  <c:v>13.062611970997988</c:v>
                </c:pt>
                <c:pt idx="343">
                  <c:v>12.706626654882847</c:v>
                </c:pt>
                <c:pt idx="344">
                  <c:v>12.348914535107088</c:v>
                </c:pt>
                <c:pt idx="345">
                  <c:v>11.989514108077117</c:v>
                </c:pt>
                <c:pt idx="346">
                  <c:v>11.628463697865694</c:v>
                </c:pt>
                <c:pt idx="347">
                  <c:v>11.26580137105684</c:v>
                </c:pt>
                <c:pt idx="348">
                  <c:v>10.901564856397975</c:v>
                </c:pt>
                <c:pt idx="349">
                  <c:v>10.535791469435088</c:v>
                </c:pt>
                <c:pt idx="350">
                  <c:v>10.168518042267326</c:v>
                </c:pt>
                <c:pt idx="351">
                  <c:v>9.7997808585181811</c:v>
                </c:pt>
                <c:pt idx="352">
                  <c:v>9.4296155935842023</c:v>
                </c:pt>
                <c:pt idx="353">
                  <c:v>9.0580572601932712</c:v>
                </c:pt>
                <c:pt idx="354">
                  <c:v>8.6851401592704374</c:v>
                </c:pt>
                <c:pt idx="355">
                  <c:v>8.3108978360941954</c:v>
                </c:pt>
                <c:pt idx="356">
                  <c:v>7.9353630416934786</c:v>
                </c:pt>
                <c:pt idx="357">
                  <c:v>7.558567699427301</c:v>
                </c:pt>
                <c:pt idx="358">
                  <c:v>7.180542876670339</c:v>
                </c:pt>
                <c:pt idx="359">
                  <c:v>6.8013187615174386</c:v>
                </c:pt>
                <c:pt idx="360">
                  <c:v>6.4209246444101122</c:v>
                </c:pt>
                <c:pt idx="361">
                  <c:v>6.0393889045878186</c:v>
                </c:pt>
                <c:pt idx="362">
                  <c:v>5.6567390012565744</c:v>
                </c:pt>
                <c:pt idx="363">
                  <c:v>5.2730014693731295</c:v>
                </c:pt>
                <c:pt idx="364">
                  <c:v>4.8882019199392612</c:v>
                </c:pt>
                <c:pt idx="365">
                  <c:v>4.5023650447086965</c:v>
                </c:pt>
                <c:pt idx="366">
                  <c:v>4.1155146252066102</c:v>
                </c:pt>
                <c:pt idx="367">
                  <c:v>3.7276735459744481</c:v>
                </c:pt>
                <c:pt idx="368">
                  <c:v>3.3388638119524221</c:v>
                </c:pt>
                <c:pt idx="369">
                  <c:v>2.9491065699236572</c:v>
                </c:pt>
                <c:pt idx="370">
                  <c:v>2.5584221339458306</c:v>
                </c:pt>
                <c:pt idx="371">
                  <c:v>2.1668300147082977</c:v>
                </c:pt>
                <c:pt idx="372">
                  <c:v>1.7743489527515774</c:v>
                </c:pt>
                <c:pt idx="373">
                  <c:v>1.3809969555008288</c:v>
                </c:pt>
                <c:pt idx="374">
                  <c:v>0.98679133805946051</c:v>
                </c:pt>
                <c:pt idx="375">
                  <c:v>0.59174876772027141</c:v>
                </c:pt>
                <c:pt idx="376">
                  <c:v>0.19588531214848245</c:v>
                </c:pt>
                <c:pt idx="377">
                  <c:v>-0.20078350880630202</c:v>
                </c:pt>
                <c:pt idx="378">
                  <c:v>-0.59824266771692824</c:v>
                </c:pt>
                <c:pt idx="379">
                  <c:v>-0.99647757065344433</c:v>
                </c:pt>
                <c:pt idx="380">
                  <c:v>-1.3954739947833692</c:v>
                </c:pt>
                <c:pt idx="381">
                  <c:v>-1.7952180225634642</c:v>
                </c:pt>
                <c:pt idx="382">
                  <c:v>-2.1956959726030152</c:v>
                </c:pt>
                <c:pt idx="383">
                  <c:v>-2.5968943272886955</c:v>
                </c:pt>
                <c:pt idx="384">
                  <c:v>-2.9987996572858071</c:v>
                </c:pt>
                <c:pt idx="385">
                  <c:v>-3.4013985430451403</c:v>
                </c:pt>
                <c:pt idx="386">
                  <c:v>-3.8046774934714778</c:v>
                </c:pt>
                <c:pt idx="387">
                  <c:v>-4.2086228619375756</c:v>
                </c:pt>
                <c:pt idx="388">
                  <c:v>-4.613220759853732</c:v>
                </c:pt>
                <c:pt idx="389">
                  <c:v>-5.0184569680374205</c:v>
                </c:pt>
                <c:pt idx="390">
                  <c:v>-5.4243168461609494</c:v>
                </c:pt>
                <c:pt idx="391">
                  <c:v>-5.8307852405928955</c:v>
                </c:pt>
                <c:pt idx="392">
                  <c:v>-6.2378463909844397</c:v>
                </c:pt>
                <c:pt idx="393">
                  <c:v>-6.6454838359940194</c:v>
                </c:pt>
                <c:pt idx="394">
                  <c:v>-7.0536803185808639</c:v>
                </c:pt>
                <c:pt idx="395">
                  <c:v>-7.4624176913393692</c:v>
                </c:pt>
                <c:pt idx="396">
                  <c:v>-7.8716768223845444</c:v>
                </c:pt>
                <c:pt idx="397">
                  <c:v>-8.2814375023357467</c:v>
                </c:pt>
                <c:pt idx="398">
                  <c:v>-8.6916783529817607</c:v>
                </c:pt>
                <c:pt idx="399">
                  <c:v>-9.1023767382410199</c:v>
                </c:pt>
                <c:pt idx="400">
                  <c:v>-9.5135086780589084</c:v>
                </c:pt>
                <c:pt idx="401">
                  <c:v>-9.9250487659065847</c:v>
                </c:pt>
                <c:pt idx="402">
                  <c:v>-10.336970090560744</c:v>
                </c:pt>
                <c:pt idx="403">
                  <c:v>-10.749244162856478</c:v>
                </c:pt>
                <c:pt idx="404">
                  <c:v>-11.161840848103504</c:v>
                </c:pt>
                <c:pt idx="405">
                  <c:v>-11.574728304851536</c:v>
                </c:pt>
                <c:pt idx="406">
                  <c:v>-11.987872930675596</c:v>
                </c:pt>
                <c:pt idx="407">
                  <c:v>-12.401239315623888</c:v>
                </c:pt>
                <c:pt idx="408">
                  <c:v>-12.814790203940232</c:v>
                </c:pt>
                <c:pt idx="409">
                  <c:v>-13.228486464623675</c:v>
                </c:pt>
                <c:pt idx="410">
                  <c:v>-13.642287071336055</c:v>
                </c:pt>
                <c:pt idx="411">
                  <c:v>-14.056149092101041</c:v>
                </c:pt>
                <c:pt idx="412">
                  <c:v>-14.470027689168303</c:v>
                </c:pt>
                <c:pt idx="413">
                  <c:v>-14.883876129329041</c:v>
                </c:pt>
                <c:pt idx="414">
                  <c:v>-15.297645804884926</c:v>
                </c:pt>
                <c:pt idx="415">
                  <c:v>-15.711286265373721</c:v>
                </c:pt>
                <c:pt idx="416">
                  <c:v>-16.124745260055565</c:v>
                </c:pt>
                <c:pt idx="417">
                  <c:v>-16.537968791059608</c:v>
                </c:pt>
                <c:pt idx="418">
                  <c:v>-16.950901176989952</c:v>
                </c:pt>
                <c:pt idx="419">
                  <c:v>-17.363485126679102</c:v>
                </c:pt>
                <c:pt idx="420">
                  <c:v>-17.775661822682849</c:v>
                </c:pt>
                <c:pt idx="421">
                  <c:v>-18.187371014007915</c:v>
                </c:pt>
                <c:pt idx="422">
                  <c:v>-18.598551117475775</c:v>
                </c:pt>
                <c:pt idx="423">
                  <c:v>-19.009139327045613</c:v>
                </c:pt>
                <c:pt idx="424">
                  <c:v>-19.419071730340022</c:v>
                </c:pt>
                <c:pt idx="425">
                  <c:v>-19.828283431566248</c:v>
                </c:pt>
                <c:pt idx="426">
                  <c:v>-20.236708679969226</c:v>
                </c:pt>
                <c:pt idx="427">
                  <c:v>-20.644281002920156</c:v>
                </c:pt>
                <c:pt idx="428">
                  <c:v>-21.050933342726296</c:v>
                </c:pt>
                <c:pt idx="429">
                  <c:v>-21.456598196243878</c:v>
                </c:pt>
                <c:pt idx="430">
                  <c:v>-21.861207756373361</c:v>
                </c:pt>
                <c:pt idx="431">
                  <c:v>-22.264694054557008</c:v>
                </c:pt>
                <c:pt idx="432">
                  <c:v>-22.666989103418494</c:v>
                </c:pt>
                <c:pt idx="433">
                  <c:v>-23.06802503874524</c:v>
                </c:pt>
                <c:pt idx="434">
                  <c:v>-23.467734260066226</c:v>
                </c:pt>
                <c:pt idx="435">
                  <c:v>-23.866049569149986</c:v>
                </c:pt>
                <c:pt idx="436">
                  <c:v>-24.262904305825167</c:v>
                </c:pt>
                <c:pt idx="437">
                  <c:v>-24.658232480604475</c:v>
                </c:pt>
                <c:pt idx="438">
                  <c:v>-25.051968903680908</c:v>
                </c:pt>
                <c:pt idx="439">
                  <c:v>-25.444049309949737</c:v>
                </c:pt>
                <c:pt idx="440">
                  <c:v>-25.834410479795903</c:v>
                </c:pt>
                <c:pt idx="441">
                  <c:v>-26.222990355468593</c:v>
                </c:pt>
                <c:pt idx="442">
                  <c:v>-26.609728152940558</c:v>
                </c:pt>
                <c:pt idx="443">
                  <c:v>-26.994564469221878</c:v>
                </c:pt>
                <c:pt idx="444">
                  <c:v>-27.377441385160083</c:v>
                </c:pt>
                <c:pt idx="445">
                  <c:v>-27.758302563809035</c:v>
                </c:pt>
                <c:pt idx="446">
                  <c:v>-28.137093344493401</c:v>
                </c:pt>
                <c:pt idx="447">
                  <c:v>-28.513760832725463</c:v>
                </c:pt>
                <c:pt idx="448">
                  <c:v>-28.888253986151248</c:v>
                </c:pt>
                <c:pt idx="449">
                  <c:v>-29.260523696707885</c:v>
                </c:pt>
                <c:pt idx="450">
                  <c:v>-29.630522869178883</c:v>
                </c:pt>
                <c:pt idx="451">
                  <c:v>-29.998206496308192</c:v>
                </c:pt>
                <c:pt idx="452">
                  <c:v>-30.363531730623883</c:v>
                </c:pt>
                <c:pt idx="453">
                  <c:v>-30.726457953079795</c:v>
                </c:pt>
                <c:pt idx="454">
                  <c:v>-31.086946838591992</c:v>
                </c:pt>
                <c:pt idx="455">
                  <c:v>-31.44496241849658</c:v>
                </c:pt>
                <c:pt idx="456">
                  <c:v>-31.800471139912325</c:v>
                </c:pt>
                <c:pt idx="457">
                  <c:v>-32.153441921936441</c:v>
                </c:pt>
                <c:pt idx="458">
                  <c:v>-32.503846208552758</c:v>
                </c:pt>
                <c:pt idx="459">
                  <c:v>-32.851658018081693</c:v>
                </c:pt>
                <c:pt idx="460">
                  <c:v>-33.196853988953407</c:v>
                </c:pt>
                <c:pt idx="461">
                  <c:v>-33.53941342154269</c:v>
                </c:pt>
                <c:pt idx="462">
                  <c:v>-33.879318315770021</c:v>
                </c:pt>
                <c:pt idx="463">
                  <c:v>-34.216553404140875</c:v>
                </c:pt>
                <c:pt idx="464">
                  <c:v>-34.551106179876562</c:v>
                </c:pt>
                <c:pt idx="465">
                  <c:v>-34.88296691977559</c:v>
                </c:pt>
                <c:pt idx="466">
                  <c:v>-35.212128701446375</c:v>
                </c:pt>
                <c:pt idx="467">
                  <c:v>-35.538587414554158</c:v>
                </c:pt>
                <c:pt idx="468">
                  <c:v>-35.862341765748255</c:v>
                </c:pt>
                <c:pt idx="469">
                  <c:v>-36.183393276958554</c:v>
                </c:pt>
                <c:pt idx="470">
                  <c:v>-36.501746276791145</c:v>
                </c:pt>
                <c:pt idx="471">
                  <c:v>-36.817407884795507</c:v>
                </c:pt>
                <c:pt idx="472">
                  <c:v>-37.130387988427628</c:v>
                </c:pt>
                <c:pt idx="473">
                  <c:v>-37.440699212599284</c:v>
                </c:pt>
                <c:pt idx="474">
                  <c:v>-37.748356881760515</c:v>
                </c:pt>
                <c:pt idx="475">
                  <c:v>-38.053378974536948</c:v>
                </c:pt>
                <c:pt idx="476">
                  <c:v>-38.355786071012389</c:v>
                </c:pt>
                <c:pt idx="477">
                  <c:v>-38.655601292821999</c:v>
                </c:pt>
                <c:pt idx="478">
                  <c:v>-38.95285023628864</c:v>
                </c:pt>
                <c:pt idx="479">
                  <c:v>-39.247560898911729</c:v>
                </c:pt>
                <c:pt idx="480">
                  <c:v>-39.539763599578407</c:v>
                </c:pt>
                <c:pt idx="481">
                  <c:v>-39.8294908929333</c:v>
                </c:pt>
                <c:pt idx="482">
                  <c:v>-40.116777478399044</c:v>
                </c:pt>
                <c:pt idx="483">
                  <c:v>-40.401660104387943</c:v>
                </c:pt>
                <c:pt idx="484">
                  <c:v>-40.684177468292582</c:v>
                </c:pt>
                <c:pt idx="485">
                  <c:v>-40.964370112872494</c:v>
                </c:pt>
                <c:pt idx="486">
                  <c:v>-41.242280319686337</c:v>
                </c:pt>
                <c:pt idx="487">
                  <c:v>-41.517952000233905</c:v>
                </c:pt>
                <c:pt idx="488">
                  <c:v>-41.79143058548167</c:v>
                </c:pt>
                <c:pt idx="489">
                  <c:v>-42.062762914451497</c:v>
                </c:pt>
                <c:pt idx="490">
                  <c:v>-42.33199712253959</c:v>
                </c:pt>
                <c:pt idx="491">
                  <c:v>-42.599182530222215</c:v>
                </c:pt>
                <c:pt idx="492">
                  <c:v>-42.864369532783726</c:v>
                </c:pt>
                <c:pt idx="493">
                  <c:v>-43.127609491672189</c:v>
                </c:pt>
                <c:pt idx="494">
                  <c:v>-43.388954628057739</c:v>
                </c:pt>
                <c:pt idx="495">
                  <c:v>-43.648457919127502</c:v>
                </c:pt>
                <c:pt idx="496">
                  <c:v>-43.906172997614206</c:v>
                </c:pt>
                <c:pt idx="497">
                  <c:v>-44.162154055002524</c:v>
                </c:pt>
                <c:pt idx="498">
                  <c:v>-44.41645574881889</c:v>
                </c:pt>
                <c:pt idx="499">
                  <c:v>-44.669133114353691</c:v>
                </c:pt>
                <c:pt idx="500">
                  <c:v>-44.920241481119888</c:v>
                </c:pt>
                <c:pt idx="501">
                  <c:v>-45.16983639430034</c:v>
                </c:pt>
                <c:pt idx="502">
                  <c:v>-45.417973541387404</c:v>
                </c:pt>
                <c:pt idx="503">
                  <c:v>-45.664708684168794</c:v>
                </c:pt>
                <c:pt idx="504">
                  <c:v>-45.910097596171049</c:v>
                </c:pt>
                <c:pt idx="505">
                  <c:v>-46.154196005622119</c:v>
                </c:pt>
                <c:pt idx="506">
                  <c:v>-46.397059543956146</c:v>
                </c:pt>
                <c:pt idx="507">
                  <c:v>-46.63874369984417</c:v>
                </c:pt>
                <c:pt idx="508">
                  <c:v>-46.879303778695053</c:v>
                </c:pt>
                <c:pt idx="509">
                  <c:v>-47.118794867539428</c:v>
                </c:pt>
                <c:pt idx="510">
                  <c:v>-47.357271805178598</c:v>
                </c:pt>
                <c:pt idx="511">
                  <c:v>-47.594789157451338</c:v>
                </c:pt>
                <c:pt idx="512">
                  <c:v>-47.831401197447676</c:v>
                </c:pt>
                <c:pt idx="513">
                  <c:v>-48.067161890477379</c:v>
                </c:pt>
                <c:pt idx="514">
                  <c:v>-48.302124883578927</c:v>
                </c:pt>
                <c:pt idx="515">
                  <c:v>-48.536343499342649</c:v>
                </c:pt>
                <c:pt idx="516">
                  <c:v>-48.769870733802605</c:v>
                </c:pt>
                <c:pt idx="517">
                  <c:v>-49.002759258142788</c:v>
                </c:pt>
                <c:pt idx="518">
                  <c:v>-49.235061423953809</c:v>
                </c:pt>
                <c:pt idx="519">
                  <c:v>-49.466829271763743</c:v>
                </c:pt>
                <c:pt idx="520">
                  <c:v>-49.698114542566501</c:v>
                </c:pt>
                <c:pt idx="521">
                  <c:v>-49.928968692059847</c:v>
                </c:pt>
                <c:pt idx="522">
                  <c:v>-50.159442907305156</c:v>
                </c:pt>
                <c:pt idx="523">
                  <c:v>-50.389588125516084</c:v>
                </c:pt>
                <c:pt idx="524">
                  <c:v>-50.619455054682533</c:v>
                </c:pt>
                <c:pt idx="525">
                  <c:v>-50.84909419573323</c:v>
                </c:pt>
                <c:pt idx="526">
                  <c:v>-51.078555865938981</c:v>
                </c:pt>
                <c:pt idx="527">
                  <c:v>-51.307890223262092</c:v>
                </c:pt>
                <c:pt idx="528">
                  <c:v>-51.537147291350351</c:v>
                </c:pt>
                <c:pt idx="529">
                  <c:v>-51.766376984882719</c:v>
                </c:pt>
                <c:pt idx="530">
                  <c:v>-51.995629134963409</c:v>
                </c:pt>
                <c:pt idx="531">
                  <c:v>-52.224953514272904</c:v>
                </c:pt>
                <c:pt idx="532">
                  <c:v>-52.454399861675199</c:v>
                </c:pt>
                <c:pt idx="533">
                  <c:v>-52.684017905988156</c:v>
                </c:pt>
                <c:pt idx="534">
                  <c:v>-52.913857388620293</c:v>
                </c:pt>
                <c:pt idx="535">
                  <c:v>-53.14396808478147</c:v>
                </c:pt>
                <c:pt idx="536">
                  <c:v>-53.374399822973388</c:v>
                </c:pt>
                <c:pt idx="537">
                  <c:v>-53.605202502472508</c:v>
                </c:pt>
                <c:pt idx="538">
                  <c:v>-53.836426108514758</c:v>
                </c:pt>
                <c:pt idx="539">
                  <c:v>-54.068120724899195</c:v>
                </c:pt>
                <c:pt idx="540">
                  <c:v>-54.300336543730367</c:v>
                </c:pt>
                <c:pt idx="541">
                  <c:v>-54.533123872024021</c:v>
                </c:pt>
              </c:numCache>
            </c:numRef>
          </c:yVal>
          <c:smooth val="1"/>
          <c:extLst>
            <c:ext xmlns:c16="http://schemas.microsoft.com/office/drawing/2014/chart" uri="{C3380CC4-5D6E-409C-BE32-E72D297353CC}">
              <c16:uniqueId val="{00000000-4A7B-42F9-953A-D032EDE31AAD}"/>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4A7B-42F9-953A-D032EDE31AAD}"/>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A7B-42F9-953A-D032EDE31AAD}"/>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CCM_Loop_Modeling!$O$11</c:f>
              <c:numCache>
                <c:formatCode>0</c:formatCode>
                <c:ptCount val="1"/>
                <c:pt idx="0">
                  <c:v>1858.3680119847779</c:v>
                </c:pt>
              </c:numCache>
            </c:numRef>
          </c:xVal>
          <c:yVal>
            <c:numRef>
              <c:f>CCM_Loop_Modeling!$AW$11</c:f>
              <c:numCache>
                <c:formatCode>0.000</c:formatCode>
                <c:ptCount val="1"/>
                <c:pt idx="0">
                  <c:v>39.994022841506066</c:v>
                </c:pt>
              </c:numCache>
            </c:numRef>
          </c:yVal>
          <c:smooth val="0"/>
          <c:extLst>
            <c:ext xmlns:c16="http://schemas.microsoft.com/office/drawing/2014/chart" uri="{C3380CC4-5D6E-409C-BE32-E72D297353CC}">
              <c16:uniqueId val="{00000002-4A7B-42F9-953A-D032EDE31AAD}"/>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4A7B-42F9-953A-D032EDE31AAD}"/>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CCM_Loop_Modeling!$O$9</c:f>
              <c:numCache>
                <c:formatCode>0</c:formatCode>
                <c:ptCount val="1"/>
                <c:pt idx="0">
                  <c:v>215034.71171423368</c:v>
                </c:pt>
              </c:numCache>
            </c:numRef>
          </c:xVal>
          <c:yVal>
            <c:numRef>
              <c:f>CCM_Loop_Modeling!$AW$9</c:f>
              <c:numCache>
                <c:formatCode>0.000</c:formatCode>
                <c:ptCount val="1"/>
                <c:pt idx="0">
                  <c:v>-22.767712781576304</c:v>
                </c:pt>
              </c:numCache>
            </c:numRef>
          </c:yVal>
          <c:smooth val="1"/>
          <c:extLst>
            <c:ext xmlns:c16="http://schemas.microsoft.com/office/drawing/2014/chart" uri="{C3380CC4-5D6E-409C-BE32-E72D297353CC}">
              <c16:uniqueId val="{00000004-4A7B-42F9-953A-D032EDE31AAD}"/>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4A7B-42F9-953A-D032EDE31AAD}"/>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4A7B-42F9-953A-D032EDE31AAD}"/>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CCM_Loop_Modeling!$O$10</c:f>
              <c:numCache>
                <c:formatCode>0</c:formatCode>
                <c:ptCount val="1"/>
                <c:pt idx="0">
                  <c:v>530516.4769729845</c:v>
                </c:pt>
              </c:numCache>
            </c:numRef>
          </c:xVal>
          <c:yVal>
            <c:numRef>
              <c:f>CCM_Loop_Modeling!$AW$10</c:f>
              <c:numCache>
                <c:formatCode>0.000</c:formatCode>
                <c:ptCount val="1"/>
                <c:pt idx="0">
                  <c:v>-36.964806648808157</c:v>
                </c:pt>
              </c:numCache>
            </c:numRef>
          </c:yVal>
          <c:smooth val="1"/>
          <c:extLst>
            <c:ext xmlns:c16="http://schemas.microsoft.com/office/drawing/2014/chart" uri="{C3380CC4-5D6E-409C-BE32-E72D297353CC}">
              <c16:uniqueId val="{00000006-4A7B-42F9-953A-D032EDE31AAD}"/>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4A7B-42F9-953A-D032EDE31A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CCM_Loop_Modeling!$O$12</c:f>
              <c:numCache>
                <c:formatCode>General</c:formatCode>
                <c:ptCount val="1"/>
                <c:pt idx="0">
                  <c:v>723.43155950861512</c:v>
                </c:pt>
              </c:numCache>
            </c:numRef>
          </c:xVal>
          <c:yVal>
            <c:numRef>
              <c:f>CCM_Loop_Modeling!$AW$12</c:f>
              <c:numCache>
                <c:formatCode>0.000</c:formatCode>
                <c:ptCount val="1"/>
                <c:pt idx="0">
                  <c:v>43.668863187099689</c:v>
                </c:pt>
              </c:numCache>
            </c:numRef>
          </c:yVal>
          <c:smooth val="1"/>
          <c:extLst>
            <c:ext xmlns:c16="http://schemas.microsoft.com/office/drawing/2014/chart" uri="{C3380CC4-5D6E-409C-BE32-E72D297353CC}">
              <c16:uniqueId val="{00000008-4A7B-42F9-953A-D032EDE31AAD}"/>
            </c:ext>
          </c:extLst>
        </c:ser>
        <c:ser>
          <c:idx val="6"/>
          <c:order val="6"/>
          <c:tx>
            <c:v>fp1_ea</c:v>
          </c:tx>
          <c:spPr>
            <a:ln w="28575">
              <a:solidFill>
                <a:srgbClr val="00B0F0"/>
              </a:solidFill>
            </a:ln>
          </c:spPr>
          <c:marker>
            <c:symbol val="circle"/>
            <c:size val="7"/>
            <c:spPr>
              <a:noFill/>
              <a:ln w="28575">
                <a:solidFill>
                  <a:srgbClr val="00B0F0"/>
                </a:solidFill>
              </a:ln>
            </c:spPr>
          </c:marker>
          <c:dLbls>
            <c:dLbl>
              <c:idx val="0"/>
              <c:tx>
                <c:rich>
                  <a:bodyPr lIns="38100" tIns="19050" rIns="38100" bIns="19050">
                    <a:spAutoFit/>
                  </a:bodyPr>
                  <a:lstStyle/>
                  <a:p>
                    <a:pPr>
                      <a:defRPr b="1" i="0" baseline="0"/>
                    </a:pPr>
                    <a:fld id="{AC887EBF-369E-432A-998A-DA43EF3811DF}" type="SERIESNAME">
                      <a:rPr lang="en-US" b="1" i="0" baseline="0"/>
                      <a:pPr>
                        <a:defRPr b="1" i="0" baseline="0"/>
                      </a:pPr>
                      <a:t>[SERIES NAME]</a:t>
                    </a:fld>
                    <a:endParaRPr lang="en-US"/>
                  </a:p>
                </c:rich>
              </c:tx>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C40-4AE6-B4A5-6984CAD2773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CCM_Loop_Modeling!$O$13</c:f>
              <c:numCache>
                <c:formatCode>General</c:formatCode>
                <c:ptCount val="1"/>
                <c:pt idx="0">
                  <c:v>5.5106921580739487E-5</c:v>
                </c:pt>
              </c:numCache>
            </c:numRef>
          </c:xVal>
          <c:yVal>
            <c:numRef>
              <c:f>CCM_Loop_Modeling!$AW$13</c:f>
              <c:numCache>
                <c:formatCode>0.000</c:formatCode>
                <c:ptCount val="1"/>
                <c:pt idx="0">
                  <c:v>173.1955299997588</c:v>
                </c:pt>
              </c:numCache>
            </c:numRef>
          </c:yVal>
          <c:smooth val="0"/>
          <c:extLst>
            <c:ext xmlns:c16="http://schemas.microsoft.com/office/drawing/2014/chart" uri="{C3380CC4-5D6E-409C-BE32-E72D297353CC}">
              <c16:uniqueId val="{00000002-5C40-4AE6-B4A5-6984CAD2773A}"/>
            </c:ext>
          </c:extLst>
        </c:ser>
        <c:dLbls>
          <c:showLegendKey val="0"/>
          <c:showVal val="0"/>
          <c:showCatName val="0"/>
          <c:showSerName val="0"/>
          <c:showPercent val="0"/>
          <c:showBubbleSize val="0"/>
        </c:dLbls>
        <c:axId val="315959936"/>
        <c:axId val="315966208"/>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CCM_Loop_Modeling!$AX$19:$AX$560</c:f>
              <c:numCache>
                <c:formatCode>General</c:formatCode>
                <c:ptCount val="542"/>
                <c:pt idx="0">
                  <c:v>94.057153307384496</c:v>
                </c:pt>
                <c:pt idx="1">
                  <c:v>94.151107993474213</c:v>
                </c:pt>
                <c:pt idx="2">
                  <c:v>94.247212178356946</c:v>
                </c:pt>
                <c:pt idx="3">
                  <c:v>94.345513171687841</c:v>
                </c:pt>
                <c:pt idx="4">
                  <c:v>94.446059191402114</c:v>
                </c:pt>
                <c:pt idx="5">
                  <c:v>94.548899371449963</c:v>
                </c:pt>
                <c:pt idx="6">
                  <c:v>94.654083768803503</c:v>
                </c:pt>
                <c:pt idx="7">
                  <c:v>94.761663369659303</c:v>
                </c:pt>
                <c:pt idx="8">
                  <c:v>94.871690094756232</c:v>
                </c:pt>
                <c:pt idx="9">
                  <c:v>94.984216803721807</c:v>
                </c:pt>
                <c:pt idx="10">
                  <c:v>95.099297298353918</c:v>
                </c:pt>
                <c:pt idx="11">
                  <c:v>95.216986324740475</c:v>
                </c:pt>
                <c:pt idx="12">
                  <c:v>95.337339574110757</c:v>
                </c:pt>
                <c:pt idx="13">
                  <c:v>95.460413682307248</c:v>
                </c:pt>
                <c:pt idx="14">
                  <c:v>95.586266227758486</c:v>
                </c:pt>
                <c:pt idx="15">
                  <c:v>95.714955727826464</c:v>
                </c:pt>
                <c:pt idx="16">
                  <c:v>95.846541633394779</c:v>
                </c:pt>
                <c:pt idx="17">
                  <c:v>95.981084321554349</c:v>
                </c:pt>
                <c:pt idx="18">
                  <c:v>96.118645086235659</c:v>
                </c:pt>
                <c:pt idx="19">
                  <c:v>96.259286126628297</c:v>
                </c:pt>
                <c:pt idx="20">
                  <c:v>96.403070533218326</c:v>
                </c:pt>
                <c:pt idx="21">
                  <c:v>96.550062271265219</c:v>
                </c:pt>
                <c:pt idx="22">
                  <c:v>96.700326161529091</c:v>
                </c:pt>
                <c:pt idx="23">
                  <c:v>96.853927858051534</c:v>
                </c:pt>
                <c:pt idx="24">
                  <c:v>97.010933822779165</c:v>
                </c:pt>
                <c:pt idx="25">
                  <c:v>97.171411296812437</c:v>
                </c:pt>
                <c:pt idx="26">
                  <c:v>97.335428268047067</c:v>
                </c:pt>
                <c:pt idx="27">
                  <c:v>97.503053434969459</c:v>
                </c:pt>
                <c:pt idx="28">
                  <c:v>97.674356166350947</c:v>
                </c:pt>
                <c:pt idx="29">
                  <c:v>97.849406456579075</c:v>
                </c:pt>
                <c:pt idx="30">
                  <c:v>98.028274876350125</c:v>
                </c:pt>
                <c:pt idx="31">
                  <c:v>98.211032518437747</c:v>
                </c:pt>
                <c:pt idx="32">
                  <c:v>98.397750938238545</c:v>
                </c:pt>
                <c:pt idx="33">
                  <c:v>98.588502088790875</c:v>
                </c:pt>
                <c:pt idx="34">
                  <c:v>98.783358249943817</c:v>
                </c:pt>
                <c:pt idx="35">
                  <c:v>98.982391951353293</c:v>
                </c:pt>
                <c:pt idx="36">
                  <c:v>99.18567588896525</c:v>
                </c:pt>
                <c:pt idx="37">
                  <c:v>99.393282834642562</c:v>
                </c:pt>
                <c:pt idx="38">
                  <c:v>99.605285538580787</c:v>
                </c:pt>
                <c:pt idx="39">
                  <c:v>99.821756624157118</c:v>
                </c:pt>
                <c:pt idx="40">
                  <c:v>100.04276847484662</c:v>
                </c:pt>
                <c:pt idx="41">
                  <c:v>100.26839311283889</c:v>
                </c:pt>
                <c:pt idx="42">
                  <c:v>100.4987020689906</c:v>
                </c:pt>
                <c:pt idx="43">
                  <c:v>100.73376624374232</c:v>
                </c:pt>
                <c:pt idx="44">
                  <c:v>100.97365575864075</c:v>
                </c:pt>
                <c:pt idx="45">
                  <c:v>101.21843979810681</c:v>
                </c:pt>
                <c:pt idx="46">
                  <c:v>101.46818644110104</c:v>
                </c:pt>
                <c:pt idx="47">
                  <c:v>101.72296248235578</c:v>
                </c:pt>
                <c:pt idx="48">
                  <c:v>101.98283324285053</c:v>
                </c:pt>
                <c:pt idx="49">
                  <c:v>102.24786236923887</c:v>
                </c:pt>
                <c:pt idx="50">
                  <c:v>102.51811162195325</c:v>
                </c:pt>
                <c:pt idx="51">
                  <c:v>102.79364065174801</c:v>
                </c:pt>
                <c:pt idx="52">
                  <c:v>103.07450676447844</c:v>
                </c:pt>
                <c:pt idx="53">
                  <c:v>103.36076467395513</c:v>
                </c:pt>
                <c:pt idx="54">
                  <c:v>103.65246624276065</c:v>
                </c:pt>
                <c:pt idx="55">
                  <c:v>103.94966021097544</c:v>
                </c:pt>
                <c:pt idx="56">
                  <c:v>104.25239191281779</c:v>
                </c:pt>
                <c:pt idx="57">
                  <c:v>104.56070298128002</c:v>
                </c:pt>
                <c:pt idx="58">
                  <c:v>104.87463104091563</c:v>
                </c:pt>
                <c:pt idx="59">
                  <c:v>105.19420938902472</c:v>
                </c:pt>
                <c:pt idx="60">
                  <c:v>105.51946666557626</c:v>
                </c:pt>
                <c:pt idx="61">
                  <c:v>105.85042651231619</c:v>
                </c:pt>
                <c:pt idx="62">
                  <c:v>106.18710722161725</c:v>
                </c:pt>
                <c:pt idx="63">
                  <c:v>106.52952137575298</c:v>
                </c:pt>
                <c:pt idx="64">
                  <c:v>106.877675477408</c:v>
                </c:pt>
                <c:pt idx="65">
                  <c:v>107.23156957237423</c:v>
                </c:pt>
                <c:pt idx="66">
                  <c:v>107.5911968655315</c:v>
                </c:pt>
                <c:pt idx="67">
                  <c:v>107.95654333136473</c:v>
                </c:pt>
                <c:pt idx="68">
                  <c:v>108.32758732042626</c:v>
                </c:pt>
                <c:pt idx="69">
                  <c:v>108.70429916332353</c:v>
                </c:pt>
                <c:pt idx="70">
                  <c:v>109.08664077397754</c:v>
                </c:pt>
                <c:pt idx="71">
                  <c:v>109.47456525406855</c:v>
                </c:pt>
                <c:pt idx="72">
                  <c:v>109.86801650076271</c:v>
                </c:pt>
                <c:pt idx="73">
                  <c:v>110.2669288199812</c:v>
                </c:pt>
                <c:pt idx="74">
                  <c:v>110.67122654763608</c:v>
                </c:pt>
                <c:pt idx="75">
                  <c:v>111.08082368143489</c:v>
                </c:pt>
                <c:pt idx="76">
                  <c:v>111.49562352598666</c:v>
                </c:pt>
                <c:pt idx="77">
                  <c:v>111.9155183541032</c:v>
                </c:pt>
                <c:pt idx="78">
                  <c:v>112.3403890873026</c:v>
                </c:pt>
                <c:pt idx="79">
                  <c:v>112.77010499863781</c:v>
                </c:pt>
                <c:pt idx="80">
                  <c:v>113.20452344105502</c:v>
                </c:pt>
                <c:pt idx="81">
                  <c:v>113.64348960455449</c:v>
                </c:pt>
                <c:pt idx="82">
                  <c:v>114.08683630545546</c:v>
                </c:pt>
                <c:pt idx="83">
                  <c:v>114.53438381107375</c:v>
                </c:pt>
                <c:pt idx="84">
                  <c:v>114.98593970308774</c:v>
                </c:pt>
                <c:pt idx="85">
                  <c:v>115.44129878280167</c:v>
                </c:pt>
                <c:pt idx="86">
                  <c:v>115.90024302140566</c:v>
                </c:pt>
                <c:pt idx="87">
                  <c:v>116.36254155818662</c:v>
                </c:pt>
                <c:pt idx="88">
                  <c:v>116.82795074944751</c:v>
                </c:pt>
                <c:pt idx="89">
                  <c:v>117.29621427066218</c:v>
                </c:pt>
                <c:pt idx="90">
                  <c:v>117.7670632741107</c:v>
                </c:pt>
                <c:pt idx="91">
                  <c:v>118.24021660392182</c:v>
                </c:pt>
                <c:pt idx="92">
                  <c:v>118.71538107007993</c:v>
                </c:pt>
                <c:pt idx="93">
                  <c:v>119.19225178256031</c:v>
                </c:pt>
                <c:pt idx="94">
                  <c:v>119.6705125463095</c:v>
                </c:pt>
                <c:pt idx="95">
                  <c:v>120.14983631732879</c:v>
                </c:pt>
                <c:pt idx="96">
                  <c:v>120.6298857196094</c:v>
                </c:pt>
                <c:pt idx="97">
                  <c:v>121.11031362216977</c:v>
                </c:pt>
                <c:pt idx="98">
                  <c:v>121.59076377489733</c:v>
                </c:pt>
                <c:pt idx="99">
                  <c:v>122.07087150137495</c:v>
                </c:pt>
                <c:pt idx="100">
                  <c:v>122.55026444632718</c:v>
                </c:pt>
                <c:pt idx="101">
                  <c:v>123.02856337480148</c:v>
                </c:pt>
                <c:pt idx="102">
                  <c:v>123.50538301968643</c:v>
                </c:pt>
                <c:pt idx="103">
                  <c:v>123.98033297368838</c:v>
                </c:pt>
                <c:pt idx="104">
                  <c:v>124.45301862143333</c:v>
                </c:pt>
                <c:pt idx="105">
                  <c:v>124.92304210695735</c:v>
                </c:pt>
                <c:pt idx="106">
                  <c:v>125.39000333148232</c:v>
                </c:pt>
                <c:pt idx="107">
                  <c:v>125.85350097606232</c:v>
                </c:pt>
                <c:pt idx="108">
                  <c:v>126.3131335434493</c:v>
                </c:pt>
                <c:pt idx="109">
                  <c:v>126.76850041332119</c:v>
                </c:pt>
                <c:pt idx="110">
                  <c:v>127.21920290490429</c:v>
                </c:pt>
                <c:pt idx="111">
                  <c:v>127.66484534097052</c:v>
                </c:pt>
                <c:pt idx="112">
                  <c:v>128.10503610718399</c:v>
                </c:pt>
                <c:pt idx="113">
                  <c:v>128.53938870086404</c:v>
                </c:pt>
                <c:pt idx="114">
                  <c:v>128.96752276335607</c:v>
                </c:pt>
                <c:pt idx="115">
                  <c:v>129.38906509041277</c:v>
                </c:pt>
                <c:pt idx="116">
                  <c:v>129.80365061521599</c:v>
                </c:pt>
                <c:pt idx="117">
                  <c:v>130.21092335899334</c:v>
                </c:pt>
                <c:pt idx="118">
                  <c:v>130.61053734448703</c:v>
                </c:pt>
                <c:pt idx="119">
                  <c:v>131.0021574679366</c:v>
                </c:pt>
                <c:pt idx="120">
                  <c:v>131.38546032560515</c:v>
                </c:pt>
                <c:pt idx="121">
                  <c:v>131.76013499129684</c:v>
                </c:pt>
                <c:pt idx="122">
                  <c:v>132.12588374174015</c:v>
                </c:pt>
                <c:pt idx="123">
                  <c:v>132.48242272711951</c:v>
                </c:pt>
                <c:pt idx="124">
                  <c:v>132.82948258445768</c:v>
                </c:pt>
                <c:pt idx="125">
                  <c:v>133.16680899194779</c:v>
                </c:pt>
                <c:pt idx="126">
                  <c:v>133.49416316271686</c:v>
                </c:pt>
                <c:pt idx="127">
                  <c:v>133.81132227685012</c:v>
                </c:pt>
                <c:pt idx="128">
                  <c:v>134.11807985083638</c:v>
                </c:pt>
                <c:pt idx="129">
                  <c:v>134.41424604388729</c:v>
                </c:pt>
                <c:pt idx="130">
                  <c:v>134.69964790084327</c:v>
                </c:pt>
                <c:pt idx="131">
                  <c:v>134.97412953159673</c:v>
                </c:pt>
                <c:pt idx="132">
                  <c:v>135.23755222715556</c:v>
                </c:pt>
                <c:pt idx="133">
                  <c:v>135.48979451264199</c:v>
                </c:pt>
                <c:pt idx="134">
                  <c:v>135.7307521376124</c:v>
                </c:pt>
                <c:pt idx="135">
                  <c:v>135.96033800422262</c:v>
                </c:pt>
                <c:pt idx="136">
                  <c:v>136.17848203380794</c:v>
                </c:pt>
                <c:pt idx="137">
                  <c:v>136.38513097252573</c:v>
                </c:pt>
                <c:pt idx="138">
                  <c:v>136.5802481367331</c:v>
                </c:pt>
                <c:pt idx="139">
                  <c:v>136.76381309884172</c:v>
                </c:pt>
                <c:pt idx="140">
                  <c:v>136.93582131438677</c:v>
                </c:pt>
                <c:pt idx="141">
                  <c:v>137.09628369114594</c:v>
                </c:pt>
                <c:pt idx="142">
                  <c:v>137.24522610114593</c:v>
                </c:pt>
                <c:pt idx="143">
                  <c:v>137.38268883651958</c:v>
                </c:pt>
                <c:pt idx="144">
                  <c:v>137.50872601023829</c:v>
                </c:pt>
                <c:pt idx="145">
                  <c:v>137.62340490290308</c:v>
                </c:pt>
                <c:pt idx="146">
                  <c:v>137.72680525691686</c:v>
                </c:pt>
                <c:pt idx="147">
                  <c:v>137.81901851958102</c:v>
                </c:pt>
                <c:pt idx="148">
                  <c:v>137.90014703688129</c:v>
                </c:pt>
                <c:pt idx="149">
                  <c:v>137.97030320002222</c:v>
                </c:pt>
                <c:pt idx="150">
                  <c:v>138.02960854707609</c:v>
                </c:pt>
                <c:pt idx="151">
                  <c:v>138.07819282248664</c:v>
                </c:pt>
                <c:pt idx="152">
                  <c:v>138.11619299754838</c:v>
                </c:pt>
                <c:pt idx="153">
                  <c:v>138.14375225542565</c:v>
                </c:pt>
                <c:pt idx="154">
                  <c:v>138.16101894471782</c:v>
                </c:pt>
                <c:pt idx="155">
                  <c:v>138.16814550606344</c:v>
                </c:pt>
                <c:pt idx="156">
                  <c:v>138.1652873767525</c:v>
                </c:pt>
                <c:pt idx="157">
                  <c:v>138.15260187882339</c:v>
                </c:pt>
                <c:pt idx="158">
                  <c:v>138.13024709657947</c:v>
                </c:pt>
                <c:pt idx="159">
                  <c:v>138.09838074994946</c:v>
                </c:pt>
                <c:pt idx="160">
                  <c:v>138.05715907053792</c:v>
                </c:pt>
                <c:pt idx="161">
                  <c:v>138.00673568760374</c:v>
                </c:pt>
                <c:pt idx="162">
                  <c:v>137.94726053155938</c:v>
                </c:pt>
                <c:pt idx="163">
                  <c:v>137.87887876284373</c:v>
                </c:pt>
                <c:pt idx="164">
                  <c:v>137.80172973423493</c:v>
                </c:pt>
                <c:pt idx="165">
                  <c:v>137.71594599478343</c:v>
                </c:pt>
                <c:pt idx="166">
                  <c:v>137.62165234356206</c:v>
                </c:pt>
                <c:pt idx="167">
                  <c:v>137.51896494136992</c:v>
                </c:pt>
                <c:pt idx="168">
                  <c:v>137.40799048832105</c:v>
                </c:pt>
                <c:pt idx="169">
                  <c:v>137.28882547497997</c:v>
                </c:pt>
                <c:pt idx="170">
                  <c:v>137.16155551429139</c:v>
                </c:pt>
                <c:pt idx="171">
                  <c:v>137.02625476103998</c:v>
                </c:pt>
                <c:pt idx="172">
                  <c:v>136.8829854249696</c:v>
                </c:pt>
                <c:pt idx="173">
                  <c:v>136.73179738296159</c:v>
                </c:pt>
                <c:pt idx="174">
                  <c:v>136.57272789487374</c:v>
                </c:pt>
                <c:pt idx="175">
                  <c:v>136.40580142674312</c:v>
                </c:pt>
                <c:pt idx="176">
                  <c:v>136.23102958409393</c:v>
                </c:pt>
                <c:pt idx="177">
                  <c:v>136.04841115707288</c:v>
                </c:pt>
                <c:pt idx="178">
                  <c:v>135.8579322780748</c:v>
                </c:pt>
                <c:pt idx="179">
                  <c:v>135.65956669142179</c:v>
                </c:pt>
                <c:pt idx="180">
                  <c:v>135.4532761335679</c:v>
                </c:pt>
                <c:pt idx="181">
                  <c:v>135.23901082119841</c:v>
                </c:pt>
                <c:pt idx="182">
                  <c:v>135.01671004352744</c:v>
                </c:pt>
                <c:pt idx="183">
                  <c:v>134.7863028540437</c:v>
                </c:pt>
                <c:pt idx="184">
                  <c:v>134.54770885599856</c:v>
                </c:pt>
                <c:pt idx="185">
                  <c:v>134.30083907497578</c:v>
                </c:pt>
                <c:pt idx="186">
                  <c:v>134.04559691108091</c:v>
                </c:pt>
                <c:pt idx="187">
                  <c:v>133.78187916250619</c:v>
                </c:pt>
                <c:pt idx="188">
                  <c:v>133.50957711159086</c:v>
                </c:pt>
                <c:pt idx="189">
                  <c:v>133.22857766394321</c:v>
                </c:pt>
                <c:pt idx="190">
                  <c:v>132.93876453075237</c:v>
                </c:pt>
                <c:pt idx="191">
                  <c:v>132.64001944407912</c:v>
                </c:pt>
                <c:pt idx="192">
                  <c:v>132.33222339471763</c:v>
                </c:pt>
                <c:pt idx="193">
                  <c:v>132.01525788209622</c:v>
                </c:pt>
                <c:pt idx="194">
                  <c:v>131.68900616569624</c:v>
                </c:pt>
                <c:pt idx="195">
                  <c:v>131.35335450757907</c:v>
                </c:pt>
                <c:pt idx="196">
                  <c:v>131.00819339580551</c:v>
                </c:pt>
                <c:pt idx="197">
                  <c:v>130.65341873884097</c:v>
                </c:pt>
                <c:pt idx="198">
                  <c:v>130.28893302141091</c:v>
                </c:pt>
                <c:pt idx="199">
                  <c:v>129.91464641273757</c:v>
                </c:pt>
                <c:pt idx="200">
                  <c:v>129.53047781860943</c:v>
                </c:pt>
                <c:pt idx="201">
                  <c:v>129.13635586932429</c:v>
                </c:pt>
                <c:pt idx="202">
                  <c:v>128.73221983618998</c:v>
                </c:pt>
                <c:pt idx="203">
                  <c:v>128.3180204699373</c:v>
                </c:pt>
                <c:pt idx="204">
                  <c:v>127.89372075513867</c:v>
                </c:pt>
                <c:pt idx="205">
                  <c:v>127.45929657545244</c:v>
                </c:pt>
                <c:pt idx="206">
                  <c:v>127.01473728531244</c:v>
                </c:pt>
                <c:pt idx="207">
                  <c:v>126.56004618443789</c:v>
                </c:pt>
                <c:pt idx="208">
                  <c:v>126.09524089237675</c:v>
                </c:pt>
                <c:pt idx="209">
                  <c:v>125.62035362106718</c:v>
                </c:pt>
                <c:pt idx="210">
                  <c:v>125.13543134423294</c:v>
                </c:pt>
                <c:pt idx="211">
                  <c:v>124.64053586321647</c:v>
                </c:pt>
                <c:pt idx="212">
                  <c:v>124.13574376965759</c:v>
                </c:pt>
                <c:pt idx="213">
                  <c:v>123.62114630619806</c:v>
                </c:pt>
                <c:pt idx="214">
                  <c:v>123.09684912716722</c:v>
                </c:pt>
                <c:pt idx="215">
                  <c:v>122.56297196192813</c:v>
                </c:pt>
                <c:pt idx="216">
                  <c:v>122.01964818429846</c:v>
                </c:pt>
                <c:pt idx="217">
                  <c:v>121.46702429212581</c:v>
                </c:pt>
                <c:pt idx="218">
                  <c:v>120.90525930175028</c:v>
                </c:pt>
                <c:pt idx="219">
                  <c:v>120.3345240626911</c:v>
                </c:pt>
                <c:pt idx="220">
                  <c:v>119.75500049844656</c:v>
                </c:pt>
                <c:pt idx="221">
                  <c:v>119.16688077980322</c:v>
                </c:pt>
                <c:pt idx="222">
                  <c:v>118.57036643749584</c:v>
                </c:pt>
                <c:pt idx="223">
                  <c:v>117.96566742144272</c:v>
                </c:pt>
                <c:pt idx="224">
                  <c:v>117.35300111410544</c:v>
                </c:pt>
                <c:pt idx="225">
                  <c:v>116.7325913057619</c:v>
                </c:pt>
                <c:pt idx="226">
                  <c:v>116.10466713966323</c:v>
                </c:pt>
                <c:pt idx="227">
                  <c:v>115.46946203514936</c:v>
                </c:pt>
                <c:pt idx="228">
                  <c:v>114.82721259681628</c:v>
                </c:pt>
                <c:pt idx="229">
                  <c:v>114.17815751777502</c:v>
                </c:pt>
                <c:pt idx="230">
                  <c:v>113.52253648493483</c:v>
                </c:pt>
                <c:pt idx="231">
                  <c:v>112.86058909401459</c:v>
                </c:pt>
                <c:pt idx="232">
                  <c:v>112.19255378174492</c:v>
                </c:pt>
                <c:pt idx="233">
                  <c:v>111.51866678237199</c:v>
                </c:pt>
                <c:pt idx="234">
                  <c:v>110.83916111518354</c:v>
                </c:pt>
                <c:pt idx="235">
                  <c:v>110.15426560933365</c:v>
                </c:pt>
                <c:pt idx="236">
                  <c:v>109.46420397173958</c:v>
                </c:pt>
                <c:pt idx="237">
                  <c:v>108.76919390329648</c:v>
                </c:pt>
                <c:pt idx="238">
                  <c:v>108.06944626808013</c:v>
                </c:pt>
                <c:pt idx="239">
                  <c:v>107.36516431963474</c:v>
                </c:pt>
                <c:pt idx="240">
                  <c:v>106.65654298782228</c:v>
                </c:pt>
                <c:pt idx="241">
                  <c:v>105.94376822911535</c:v>
                </c:pt>
                <c:pt idx="242">
                  <c:v>105.22701644260376</c:v>
                </c:pt>
                <c:pt idx="243">
                  <c:v>104.5064539533916</c:v>
                </c:pt>
                <c:pt idx="244">
                  <c:v>103.78223656448391</c:v>
                </c:pt>
                <c:pt idx="245">
                  <c:v>103.05450917770746</c:v>
                </c:pt>
                <c:pt idx="246">
                  <c:v>102.32340548368975</c:v>
                </c:pt>
                <c:pt idx="247">
                  <c:v>101.58904772043014</c:v>
                </c:pt>
                <c:pt idx="248">
                  <c:v>100.85154649954313</c:v>
                </c:pt>
                <c:pt idx="249">
                  <c:v>100.11100069885612</c:v>
                </c:pt>
                <c:pt idx="250">
                  <c:v>99.367497419666975</c:v>
                </c:pt>
                <c:pt idx="251">
                  <c:v>98.621112006658322</c:v>
                </c:pt>
                <c:pt idx="252">
                  <c:v>97.871908128185538</c:v>
                </c:pt>
                <c:pt idx="253">
                  <c:v>97.119937914425762</c:v>
                </c:pt>
                <c:pt idx="254">
                  <c:v>96.365242150693817</c:v>
                </c:pt>
                <c:pt idx="255">
                  <c:v>95.607850523082888</c:v>
                </c:pt>
                <c:pt idx="256">
                  <c:v>94.847781913485576</c:v>
                </c:pt>
                <c:pt idx="257">
                  <c:v>94.085044740974183</c:v>
                </c:pt>
                <c:pt idx="258">
                  <c:v>93.319637346495483</c:v>
                </c:pt>
                <c:pt idx="259">
                  <c:v>92.551548417814146</c:v>
                </c:pt>
                <c:pt idx="260">
                  <c:v>91.780757451663789</c:v>
                </c:pt>
                <c:pt idx="261">
                  <c:v>91.007235250103406</c:v>
                </c:pt>
                <c:pt idx="262">
                  <c:v>90.230944448129691</c:v>
                </c:pt>
                <c:pt idx="263">
                  <c:v>89.451840069665607</c:v>
                </c:pt>
                <c:pt idx="264">
                  <c:v>88.669870109127345</c:v>
                </c:pt>
                <c:pt idx="265">
                  <c:v>87.884976135853591</c:v>
                </c:pt>
                <c:pt idx="266">
                  <c:v>87.097093918766987</c:v>
                </c:pt>
                <c:pt idx="267">
                  <c:v>86.306154068728844</c:v>
                </c:pt>
                <c:pt idx="268">
                  <c:v>85.512082696123983</c:v>
                </c:pt>
                <c:pt idx="269">
                  <c:v>84.714802081295602</c:v>
                </c:pt>
                <c:pt idx="270">
                  <c:v>83.914231355513081</c:v>
                </c:pt>
                <c:pt idx="271">
                  <c:v>83.110287190212802</c:v>
                </c:pt>
                <c:pt idx="272">
                  <c:v>82.302884492306049</c:v>
                </c:pt>
                <c:pt idx="273">
                  <c:v>81.491937103364833</c:v>
                </c:pt>
                <c:pt idx="274">
                  <c:v>80.677358500532662</c:v>
                </c:pt>
                <c:pt idx="275">
                  <c:v>79.859062496996629</c:v>
                </c:pt>
                <c:pt idx="276">
                  <c:v>79.036963939859234</c:v>
                </c:pt>
                <c:pt idx="277">
                  <c:v>78.210979403216982</c:v>
                </c:pt>
                <c:pt idx="278">
                  <c:v>77.381027874217565</c:v>
                </c:pt>
                <c:pt idx="279">
                  <c:v>76.54703142982504</c:v>
                </c:pt>
                <c:pt idx="280">
                  <c:v>75.708915901951642</c:v>
                </c:pt>
                <c:pt idx="281">
                  <c:v>74.866611528561975</c:v>
                </c:pt>
                <c:pt idx="282">
                  <c:v>74.020053588267373</c:v>
                </c:pt>
                <c:pt idx="283">
                  <c:v>73.169183015863865</c:v>
                </c:pt>
                <c:pt idx="284">
                  <c:v>72.313946996176512</c:v>
                </c:pt>
                <c:pt idx="285">
                  <c:v>71.454299533509257</c:v>
                </c:pt>
                <c:pt idx="286">
                  <c:v>70.590201993918583</c:v>
                </c:pt>
                <c:pt idx="287">
                  <c:v>69.721623617472588</c:v>
                </c:pt>
                <c:pt idx="288">
                  <c:v>68.848541997611477</c:v>
                </c:pt>
                <c:pt idx="289">
                  <c:v>67.970943524686234</c:v>
                </c:pt>
                <c:pt idx="290">
                  <c:v>67.088823790746133</c:v>
                </c:pt>
                <c:pt idx="291">
                  <c:v>66.202187952658491</c:v>
                </c:pt>
                <c:pt idx="292">
                  <c:v>65.311051050677506</c:v>
                </c:pt>
                <c:pt idx="293">
                  <c:v>64.415438279661245</c:v>
                </c:pt>
                <c:pt idx="294">
                  <c:v>63.515385210225887</c:v>
                </c:pt>
                <c:pt idx="295">
                  <c:v>62.610937957284669</c:v>
                </c:pt>
                <c:pt idx="296">
                  <c:v>61.702153293582811</c:v>
                </c:pt>
                <c:pt idx="297">
                  <c:v>60.789098706072686</c:v>
                </c:pt>
                <c:pt idx="298">
                  <c:v>59.871852393225367</c:v>
                </c:pt>
                <c:pt idx="299">
                  <c:v>58.950503201685898</c:v>
                </c:pt>
                <c:pt idx="300">
                  <c:v>58.025150501010195</c:v>
                </c:pt>
                <c:pt idx="301">
                  <c:v>57.095903995615778</c:v>
                </c:pt>
                <c:pt idx="302">
                  <c:v>56.162883473483852</c:v>
                </c:pt>
                <c:pt idx="303">
                  <c:v>55.226218491604868</c:v>
                </c:pt>
                <c:pt idx="304">
                  <c:v>54.286047998637095</c:v>
                </c:pt>
                <c:pt idx="305">
                  <c:v>53.342519895744182</c:v>
                </c:pt>
                <c:pt idx="306">
                  <c:v>52.395790537096197</c:v>
                </c:pt>
                <c:pt idx="307">
                  <c:v>51.446024172042357</c:v>
                </c:pt>
                <c:pt idx="308">
                  <c:v>50.493392331490298</c:v>
                </c:pt>
                <c:pt idx="309">
                  <c:v>49.538073161556824</c:v>
                </c:pt>
                <c:pt idx="310">
                  <c:v>48.580250708047423</c:v>
                </c:pt>
                <c:pt idx="311">
                  <c:v>47.6201141558236</c:v>
                </c:pt>
                <c:pt idx="312">
                  <c:v>46.657857027557803</c:v>
                </c:pt>
                <c:pt idx="313">
                  <c:v>45.693676346805319</c:v>
                </c:pt>
                <c:pt idx="314">
                  <c:v>44.727771770681173</c:v>
                </c:pt>
                <c:pt idx="315">
                  <c:v>43.760344697754064</c:v>
                </c:pt>
                <c:pt idx="316">
                  <c:v>42.791597357027165</c:v>
                </c:pt>
                <c:pt idx="317">
                  <c:v>41.82173188406896</c:v>
                </c:pt>
                <c:pt idx="318">
                  <c:v>40.850949390488054</c:v>
                </c:pt>
                <c:pt idx="319">
                  <c:v>39.879449033002651</c:v>
                </c:pt>
                <c:pt idx="320">
                  <c:v>38.907427088339425</c:v>
                </c:pt>
                <c:pt idx="321">
                  <c:v>37.935076040120194</c:v>
                </c:pt>
                <c:pt idx="322">
                  <c:v>36.962583683738558</c:v>
                </c:pt>
                <c:pt idx="323">
                  <c:v>35.990132255007474</c:v>
                </c:pt>
                <c:pt idx="324">
                  <c:v>35.017897588080707</c:v>
                </c:pt>
                <c:pt idx="325">
                  <c:v>34.046048307820854</c:v>
                </c:pt>
                <c:pt idx="326">
                  <c:v>33.074745061388207</c:v>
                </c:pt>
                <c:pt idx="327">
                  <c:v>32.104139793397835</c:v>
                </c:pt>
                <c:pt idx="328">
                  <c:v>31.1343750685378</c:v>
                </c:pt>
                <c:pt idx="329">
                  <c:v>30.165583445020829</c:v>
                </c:pt>
                <c:pt idx="330">
                  <c:v>29.197886901772716</c:v>
                </c:pt>
                <c:pt idx="331">
                  <c:v>28.231396321685313</c:v>
                </c:pt>
                <c:pt idx="332">
                  <c:v>27.26621103278935</c:v>
                </c:pt>
                <c:pt idx="333">
                  <c:v>26.302418408638381</c:v>
                </c:pt>
                <c:pt idx="334">
                  <c:v>25.340093528725241</c:v>
                </c:pt>
                <c:pt idx="335">
                  <c:v>24.379298899238254</c:v>
                </c:pt>
                <c:pt idx="336">
                  <c:v>23.420084234027723</c:v>
                </c:pt>
                <c:pt idx="337">
                  <c:v>22.462486295197731</c:v>
                </c:pt>
                <c:pt idx="338">
                  <c:v>21.506528792374539</c:v>
                </c:pt>
                <c:pt idx="339">
                  <c:v>20.552222339325091</c:v>
                </c:pt>
                <c:pt idx="340">
                  <c:v>19.599564466295494</c:v>
                </c:pt>
                <c:pt idx="341">
                  <c:v>18.648539686165954</c:v>
                </c:pt>
                <c:pt idx="342">
                  <c:v>17.699119612297807</c:v>
                </c:pt>
                <c:pt idx="343">
                  <c:v>16.751263125759859</c:v>
                </c:pt>
                <c:pt idx="344">
                  <c:v>15.804916589479257</c:v>
                </c:pt>
                <c:pt idx="345">
                  <c:v>14.860014106776172</c:v>
                </c:pt>
                <c:pt idx="346">
                  <c:v>13.916477821664394</c:v>
                </c:pt>
                <c:pt idx="347">
                  <c:v>12.974218258299921</c:v>
                </c:pt>
                <c:pt idx="348">
                  <c:v>12.0331346969439</c:v>
                </c:pt>
                <c:pt idx="349">
                  <c:v>11.09311558388395</c:v>
                </c:pt>
                <c:pt idx="350">
                  <c:v>10.154038972792392</c:v>
                </c:pt>
                <c:pt idx="351">
                  <c:v>9.2157729951245688</c:v>
                </c:pt>
                <c:pt idx="352">
                  <c:v>8.2781763572534288</c:v>
                </c:pt>
                <c:pt idx="353">
                  <c:v>7.3410988621824922</c:v>
                </c:pt>
                <c:pt idx="354">
                  <c:v>6.4043819538117912</c:v>
                </c:pt>
                <c:pt idx="355">
                  <c:v>5.4678592818994138</c:v>
                </c:pt>
                <c:pt idx="356">
                  <c:v>4.5313572860062754</c:v>
                </c:pt>
                <c:pt idx="357">
                  <c:v>3.5946957968883244</c:v>
                </c:pt>
                <c:pt idx="358">
                  <c:v>2.6576886539562699</c:v>
                </c:pt>
                <c:pt idx="359">
                  <c:v>1.7201443375914314</c:v>
                </c:pt>
                <c:pt idx="360">
                  <c:v>0.7818666152517505</c:v>
                </c:pt>
                <c:pt idx="361">
                  <c:v>-0.15734479953345673</c:v>
                </c:pt>
                <c:pt idx="362">
                  <c:v>-1.0976935760564597</c:v>
                </c:pt>
                <c:pt idx="363">
                  <c:v>-2.0393860838514462</c:v>
                </c:pt>
                <c:pt idx="364">
                  <c:v>-2.9826306991703775</c:v>
                </c:pt>
                <c:pt idx="365">
                  <c:v>-3.9276371009361415</c:v>
                </c:pt>
                <c:pt idx="366">
                  <c:v>-4.8746155565243541</c:v>
                </c:pt>
                <c:pt idx="367">
                  <c:v>-5.8237761976357616</c:v>
                </c:pt>
                <c:pt idx="368">
                  <c:v>-6.7753282864966193</c:v>
                </c:pt>
                <c:pt idx="369">
                  <c:v>-7.729479472572006</c:v>
                </c:pt>
                <c:pt idx="370">
                  <c:v>-8.6864350399808483</c:v>
                </c:pt>
                <c:pt idx="371">
                  <c:v>-9.6463971458054214</c:v>
                </c:pt>
                <c:pt idx="372">
                  <c:v>-10.609564049518848</c:v>
                </c:pt>
                <c:pt idx="373">
                  <c:v>-11.576129333802605</c:v>
                </c:pt>
                <c:pt idx="374">
                  <c:v>-12.546281117104101</c:v>
                </c:pt>
                <c:pt idx="375">
                  <c:v>-13.520201258372346</c:v>
                </c:pt>
                <c:pt idx="376">
                  <c:v>-14.498064554523356</c:v>
                </c:pt>
                <c:pt idx="377">
                  <c:v>-15.480037931325</c:v>
                </c:pt>
                <c:pt idx="378">
                  <c:v>-16.466279628542267</c:v>
                </c:pt>
                <c:pt idx="379">
                  <c:v>-17.456938380356732</c:v>
                </c:pt>
                <c:pt idx="380">
                  <c:v>-18.452152592267591</c:v>
                </c:pt>
                <c:pt idx="381">
                  <c:v>-19.452049515889744</c:v>
                </c:pt>
                <c:pt idx="382">
                  <c:v>-20.456744423282132</c:v>
                </c:pt>
                <c:pt idx="383">
                  <c:v>-21.466339782691215</c:v>
                </c:pt>
                <c:pt idx="384">
                  <c:v>-22.480924437827994</c:v>
                </c:pt>
                <c:pt idx="385">
                  <c:v>-23.500572793063991</c:v>
                </c:pt>
                <c:pt idx="386">
                  <c:v>-24.525344007200683</c:v>
                </c:pt>
                <c:pt idx="387">
                  <c:v>-25.555281198727144</c:v>
                </c:pt>
                <c:pt idx="388">
                  <c:v>-26.590410665762185</c:v>
                </c:pt>
                <c:pt idx="389">
                  <c:v>-27.63074112413403</c:v>
                </c:pt>
                <c:pt idx="390">
                  <c:v>-28.67626296732098</c:v>
                </c:pt>
                <c:pt idx="391">
                  <c:v>-29.726947552225152</c:v>
                </c:pt>
                <c:pt idx="392">
                  <c:v>-30.782746514982438</c:v>
                </c:pt>
                <c:pt idx="393">
                  <c:v>-31.843591121235512</c:v>
                </c:pt>
                <c:pt idx="394">
                  <c:v>-32.909391655486736</c:v>
                </c:pt>
                <c:pt idx="395">
                  <c:v>-33.980036854312551</c:v>
                </c:pt>
                <c:pt idx="396">
                  <c:v>-35.055393388353025</c:v>
                </c:pt>
                <c:pt idx="397">
                  <c:v>-36.135305398085258</c:v>
                </c:pt>
                <c:pt idx="398">
                  <c:v>-37.219594088440687</c:v>
                </c:pt>
                <c:pt idx="399">
                  <c:v>-38.308057387335765</c:v>
                </c:pt>
                <c:pt idx="400">
                  <c:v>-39.400469673135305</c:v>
                </c:pt>
                <c:pt idx="401">
                  <c:v>-40.496581575983761</c:v>
                </c:pt>
                <c:pt idx="402">
                  <c:v>-41.596119857777126</c:v>
                </c:pt>
                <c:pt idx="403">
                  <c:v>-42.698787375341631</c:v>
                </c:pt>
                <c:pt idx="404">
                  <c:v>-43.80426313112465</c:v>
                </c:pt>
                <c:pt idx="405">
                  <c:v>-44.912202415363517</c:v>
                </c:pt>
                <c:pt idx="406">
                  <c:v>-46.022237043320871</c:v>
                </c:pt>
                <c:pt idx="407">
                  <c:v>-47.133975690723766</c:v>
                </c:pt>
                <c:pt idx="408">
                  <c:v>-48.24700433004697</c:v>
                </c:pt>
                <c:pt idx="409">
                  <c:v>-49.360886769724573</c:v>
                </c:pt>
                <c:pt idx="410">
                  <c:v>-50.47516529777603</c:v>
                </c:pt>
                <c:pt idx="411">
                  <c:v>-51.589361430675325</c:v>
                </c:pt>
                <c:pt idx="412">
                  <c:v>-52.702976767627348</c:v>
                </c:pt>
                <c:pt idx="413">
                  <c:v>-53.815493949681404</c:v>
                </c:pt>
                <c:pt idx="414">
                  <c:v>-54.926377722382192</c:v>
                </c:pt>
                <c:pt idx="415">
                  <c:v>-56.035076099901602</c:v>
                </c:pt>
                <c:pt idx="416">
                  <c:v>-57.141021627832494</c:v>
                </c:pt>
                <c:pt idx="417">
                  <c:v>-58.243632741057461</c:v>
                </c:pt>
                <c:pt idx="418">
                  <c:v>-59.342315212359154</c:v>
                </c:pt>
                <c:pt idx="419">
                  <c:v>-60.436463686695909</c:v>
                </c:pt>
                <c:pt idx="420">
                  <c:v>-61.525463295368397</c:v>
                </c:pt>
                <c:pt idx="421">
                  <c:v>-62.608691343616286</c:v>
                </c:pt>
                <c:pt idx="422">
                  <c:v>-63.685519064563046</c:v>
                </c:pt>
                <c:pt idx="423">
                  <c:v>-64.755313431847171</c:v>
                </c:pt>
                <c:pt idx="424">
                  <c:v>-65.817439022745333</c:v>
                </c:pt>
                <c:pt idx="425">
                  <c:v>-66.871259923146425</c:v>
                </c:pt>
                <c:pt idx="426">
                  <c:v>-67.916141665331978</c:v>
                </c:pt>
                <c:pt idx="427">
                  <c:v>-68.95145318919991</c:v>
                </c:pt>
                <c:pt idx="428">
                  <c:v>-69.976568817330744</c:v>
                </c:pt>
                <c:pt idx="429">
                  <c:v>-70.99087023412045</c:v>
                </c:pt>
                <c:pt idx="430">
                  <c:v>-71.993748459109028</c:v>
                </c:pt>
                <c:pt idx="431">
                  <c:v>-72.984605804633148</c:v>
                </c:pt>
                <c:pt idx="432">
                  <c:v>-73.962857807985756</c:v>
                </c:pt>
                <c:pt idx="433">
                  <c:v>-74.927935128411576</c:v>
                </c:pt>
                <c:pt idx="434">
                  <c:v>-75.879285399470206</c:v>
                </c:pt>
                <c:pt idx="435">
                  <c:v>-76.816375027587611</c:v>
                </c:pt>
                <c:pt idx="436">
                  <c:v>-77.738690927953343</c:v>
                </c:pt>
                <c:pt idx="437">
                  <c:v>-78.645742189322675</c:v>
                </c:pt>
                <c:pt idx="438">
                  <c:v>-79.537061659745461</c:v>
                </c:pt>
                <c:pt idx="439">
                  <c:v>-80.412207445732633</c:v>
                </c:pt>
                <c:pt idx="440">
                  <c:v>-81.270764317927274</c:v>
                </c:pt>
                <c:pt idx="441">
                  <c:v>-82.112345016927335</c:v>
                </c:pt>
                <c:pt idx="442">
                  <c:v>-82.936591453495765</c:v>
                </c:pt>
                <c:pt idx="443">
                  <c:v>-83.74317579805043</c:v>
                </c:pt>
                <c:pt idx="444">
                  <c:v>-84.531801454958014</c:v>
                </c:pt>
                <c:pt idx="445">
                  <c:v>-85.302203917816257</c:v>
                </c:pt>
                <c:pt idx="446">
                  <c:v>-86.054151502589548</c:v>
                </c:pt>
                <c:pt idx="447">
                  <c:v>-86.787445956112833</c:v>
                </c:pt>
                <c:pt idx="448">
                  <c:v>-87.501922938163204</c:v>
                </c:pt>
                <c:pt idx="449">
                  <c:v>-88.197452375961404</c:v>
                </c:pt>
                <c:pt idx="450">
                  <c:v>-88.873938690607645</c:v>
                </c:pt>
                <c:pt idx="451">
                  <c:v>-89.531320895626976</c:v>
                </c:pt>
                <c:pt idx="452">
                  <c:v>-90.169572568413258</c:v>
                </c:pt>
                <c:pt idx="453">
                  <c:v>-90.788701696001496</c:v>
                </c:pt>
                <c:pt idx="454">
                  <c:v>-91.388750397196617</c:v>
                </c:pt>
                <c:pt idx="455">
                  <c:v>-91.969794523687199</c:v>
                </c:pt>
                <c:pt idx="456">
                  <c:v>-92.531943143345828</c:v>
                </c:pt>
                <c:pt idx="457">
                  <c:v>-93.075337909483792</c:v>
                </c:pt>
                <c:pt idx="458">
                  <c:v>-93.600152320367854</c:v>
                </c:pt>
                <c:pt idx="459">
                  <c:v>-94.106590873826008</c:v>
                </c:pt>
                <c:pt idx="460">
                  <c:v>-94.594888122272181</c:v>
                </c:pt>
                <c:pt idx="461">
                  <c:v>-95.065307633956039</c:v>
                </c:pt>
                <c:pt idx="462">
                  <c:v>-95.518140866689208</c:v>
                </c:pt>
                <c:pt idx="463">
                  <c:v>-95.953705960717926</c:v>
                </c:pt>
                <c:pt idx="464">
                  <c:v>-96.372346457801143</c:v>
                </c:pt>
                <c:pt idx="465">
                  <c:v>-96.774429953889893</c:v>
                </c:pt>
                <c:pt idx="466">
                  <c:v>-97.160346693121568</c:v>
                </c:pt>
                <c:pt idx="467">
                  <c:v>-97.530508111088679</c:v>
                </c:pt>
                <c:pt idx="468">
                  <c:v>-97.885345335563812</c:v>
                </c:pt>
                <c:pt idx="469">
                  <c:v>-98.225307653006496</c:v>
                </c:pt>
                <c:pt idx="470">
                  <c:v>-98.550860949287014</c:v>
                </c:pt>
                <c:pt idx="471">
                  <c:v>-98.862486133089647</c:v>
                </c:pt>
                <c:pt idx="472">
                  <c:v>-99.16067755044044</c:v>
                </c:pt>
                <c:pt idx="473">
                  <c:v>-99.445941398710303</c:v>
                </c:pt>
                <c:pt idx="474">
                  <c:v>-99.718794148292588</c:v>
                </c:pt>
                <c:pt idx="475">
                  <c:v>-99.979760979926269</c:v>
                </c:pt>
                <c:pt idx="476">
                  <c:v>-100.22937424536251</c:v>
                </c:pt>
                <c:pt idx="477">
                  <c:v>-100.46817195871462</c:v>
                </c:pt>
                <c:pt idx="478">
                  <c:v>-100.69669632543317</c:v>
                </c:pt>
                <c:pt idx="479">
                  <c:v>-100.91549231538581</c:v>
                </c:pt>
                <c:pt idx="480">
                  <c:v>-101.12510628601824</c:v>
                </c:pt>
                <c:pt idx="481">
                  <c:v>-101.32608466101276</c:v>
                </c:pt>
                <c:pt idx="482">
                  <c:v>-101.51897266928718</c:v>
                </c:pt>
                <c:pt idx="483">
                  <c:v>-101.70431314855198</c:v>
                </c:pt>
                <c:pt idx="484">
                  <c:v>-101.88264541701662</c:v>
                </c:pt>
                <c:pt idx="485">
                  <c:v>-102.05450421618337</c:v>
                </c:pt>
                <c:pt idx="486">
                  <c:v>-102.22041872702002</c:v>
                </c:pt>
                <c:pt idx="487">
                  <c:v>-102.3809116611545</c:v>
                </c:pt>
                <c:pt idx="488">
                  <c:v>-102.53649842809396</c:v>
                </c:pt>
                <c:pt idx="489">
                  <c:v>-102.68768637886424</c:v>
                </c:pt>
                <c:pt idx="490">
                  <c:v>-102.83497412586215</c:v>
                </c:pt>
                <c:pt idx="491">
                  <c:v>-102.9788509381566</c:v>
                </c:pt>
                <c:pt idx="492">
                  <c:v>-103.11979621095433</c:v>
                </c:pt>
                <c:pt idx="493">
                  <c:v>-103.25827900745502</c:v>
                </c:pt>
                <c:pt idx="494">
                  <c:v>-103.39475767088382</c:v>
                </c:pt>
                <c:pt idx="495">
                  <c:v>-103.52967950409585</c:v>
                </c:pt>
                <c:pt idx="496">
                  <c:v>-103.66348051379893</c:v>
                </c:pt>
                <c:pt idx="497">
                  <c:v>-103.79658521614896</c:v>
                </c:pt>
                <c:pt idx="498">
                  <c:v>-103.92940650021622</c:v>
                </c:pt>
                <c:pt idx="499">
                  <c:v>-104.06234554562799</c:v>
                </c:pt>
                <c:pt idx="500">
                  <c:v>-104.19579179053432</c:v>
                </c:pt>
                <c:pt idx="501">
                  <c:v>-104.33012294593298</c:v>
                </c:pt>
                <c:pt idx="502">
                  <c:v>-104.46570505232751</c:v>
                </c:pt>
                <c:pt idx="503">
                  <c:v>-104.60289257465767</c:v>
                </c:pt>
                <c:pt idx="504">
                  <c:v>-104.74202853144662</c:v>
                </c:pt>
                <c:pt idx="505">
                  <c:v>-104.88344465416154</c:v>
                </c:pt>
                <c:pt idx="506">
                  <c:v>-105.02746157282908</c:v>
                </c:pt>
                <c:pt idx="507">
                  <c:v>-105.17438902406651</c:v>
                </c:pt>
                <c:pt idx="508">
                  <c:v>-105.32452607778352</c:v>
                </c:pt>
                <c:pt idx="509">
                  <c:v>-105.4781613789531</c:v>
                </c:pt>
                <c:pt idx="510">
                  <c:v>-105.63557340099642</c:v>
                </c:pt>
                <c:pt idx="511">
                  <c:v>-105.797030707486</c:v>
                </c:pt>
                <c:pt idx="512">
                  <c:v>-105.96279221903777</c:v>
                </c:pt>
                <c:pt idx="513">
                  <c:v>-106.13310748244376</c:v>
                </c:pt>
                <c:pt idx="514">
                  <c:v>-106.30821693927065</c:v>
                </c:pt>
                <c:pt idx="515">
                  <c:v>-106.48835219133468</c:v>
                </c:pt>
                <c:pt idx="516">
                  <c:v>-106.67373626063862</c:v>
                </c:pt>
                <c:pt idx="517">
                  <c:v>-106.86458384154356</c:v>
                </c:pt>
                <c:pt idx="518">
                  <c:v>-107.06110154312053</c:v>
                </c:pt>
                <c:pt idx="519">
                  <c:v>-107.26348811979489</c:v>
                </c:pt>
                <c:pt idx="520">
                  <c:v>-107.47193468857719</c:v>
                </c:pt>
                <c:pt idx="521">
                  <c:v>-107.6866249313256</c:v>
                </c:pt>
                <c:pt idx="522">
                  <c:v>-107.9077352806447</c:v>
                </c:pt>
                <c:pt idx="523">
                  <c:v>-108.13543508818576</c:v>
                </c:pt>
                <c:pt idx="524">
                  <c:v>-108.36988677424927</c:v>
                </c:pt>
                <c:pt idx="525">
                  <c:v>-108.61124595773877</c:v>
                </c:pt>
                <c:pt idx="526">
                  <c:v>-108.85966156565175</c:v>
                </c:pt>
                <c:pt idx="527">
                  <c:v>-109.11527592142299</c:v>
                </c:pt>
                <c:pt idx="528">
                  <c:v>-109.37822481156434</c:v>
                </c:pt>
                <c:pt idx="529">
                  <c:v>-109.64863753018103</c:v>
                </c:pt>
                <c:pt idx="530">
                  <c:v>-109.92663690104666</c:v>
                </c:pt>
                <c:pt idx="531">
                  <c:v>-110.21233927706919</c:v>
                </c:pt>
                <c:pt idx="532">
                  <c:v>-110.50585451707857</c:v>
                </c:pt>
                <c:pt idx="533">
                  <c:v>-110.80728594000033</c:v>
                </c:pt>
                <c:pt idx="534">
                  <c:v>-111.11673025660248</c:v>
                </c:pt>
                <c:pt idx="535">
                  <c:v>-111.43427747912027</c:v>
                </c:pt>
                <c:pt idx="536">
                  <c:v>-111.76001080920129</c:v>
                </c:pt>
                <c:pt idx="537">
                  <c:v>-112.09400650473385</c:v>
                </c:pt>
                <c:pt idx="538">
                  <c:v>-112.43633372626287</c:v>
                </c:pt>
                <c:pt idx="539">
                  <c:v>-112.78705436382853</c:v>
                </c:pt>
                <c:pt idx="540">
                  <c:v>-113.14622284521424</c:v>
                </c:pt>
                <c:pt idx="541">
                  <c:v>-113.51388592672903</c:v>
                </c:pt>
              </c:numCache>
            </c:numRef>
          </c:yVal>
          <c:smooth val="1"/>
          <c:extLst>
            <c:ext xmlns:c16="http://schemas.microsoft.com/office/drawing/2014/chart" uri="{C3380CC4-5D6E-409C-BE32-E72D297353CC}">
              <c16:uniqueId val="{00000009-4A7B-42F9-953A-D032EDE31AAD}"/>
            </c:ext>
          </c:extLst>
        </c:ser>
        <c:dLbls>
          <c:showLegendKey val="0"/>
          <c:showVal val="0"/>
          <c:showCatName val="0"/>
          <c:showSerName val="0"/>
          <c:showPercent val="0"/>
          <c:showBubbleSize val="0"/>
        </c:dLbls>
        <c:axId val="315970304"/>
        <c:axId val="315968128"/>
      </c:scatterChart>
      <c:valAx>
        <c:axId val="315959936"/>
        <c:scaling>
          <c:logBase val="10"/>
          <c:orientation val="minMax"/>
          <c:max val="2000000"/>
          <c:min val="10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315966208"/>
        <c:crosses val="autoZero"/>
        <c:crossBetween val="midCat"/>
      </c:valAx>
      <c:valAx>
        <c:axId val="315966208"/>
        <c:scaling>
          <c:orientation val="minMax"/>
          <c:max val="60"/>
          <c:min val="-6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315959936"/>
        <c:crosses val="autoZero"/>
        <c:crossBetween val="midCat"/>
        <c:majorUnit val="20"/>
        <c:minorUnit val="10"/>
      </c:valAx>
      <c:valAx>
        <c:axId val="315968128"/>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315970304"/>
        <c:crosses val="max"/>
        <c:crossBetween val="midCat"/>
        <c:majorUnit val="90"/>
        <c:minorUnit val="45"/>
      </c:valAx>
      <c:valAx>
        <c:axId val="315970304"/>
        <c:scaling>
          <c:logBase val="10"/>
          <c:orientation val="minMax"/>
        </c:scaling>
        <c:delete val="1"/>
        <c:axPos val="b"/>
        <c:numFmt formatCode="0.00" sourceLinked="1"/>
        <c:majorTickMark val="out"/>
        <c:minorTickMark val="none"/>
        <c:tickLblPos val="nextTo"/>
        <c:crossAx val="315968128"/>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80279940326437149"/>
          <c:y val="0.10242728477811168"/>
          <c:w val="9.2635864897870832E-2"/>
          <c:h val="8.4142135148859834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Plant Transfer</a:t>
            </a:r>
            <a:r>
              <a:rPr lang="en-US" baseline="0"/>
              <a:t> Function</a:t>
            </a:r>
            <a:endParaRPr lang="en-US"/>
          </a:p>
        </c:rich>
      </c:tx>
      <c:overlay val="0"/>
    </c:title>
    <c:autoTitleDeleted val="0"/>
    <c:plotArea>
      <c:layout/>
      <c:scatterChart>
        <c:scatterStyle val="smoothMarker"/>
        <c:varyColors val="0"/>
        <c:ser>
          <c:idx val="0"/>
          <c:order val="0"/>
          <c:tx>
            <c:v>Gain(dB)</c:v>
          </c:tx>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CCM_Loop_Modeling_non_isolated!$AD$19:$AD$560</c:f>
              <c:numCache>
                <c:formatCode>0.000</c:formatCode>
                <c:ptCount val="542"/>
                <c:pt idx="0">
                  <c:v>24.810972401957656</c:v>
                </c:pt>
                <c:pt idx="1">
                  <c:v>24.810966195919946</c:v>
                </c:pt>
                <c:pt idx="2">
                  <c:v>24.810959697410212</c:v>
                </c:pt>
                <c:pt idx="3">
                  <c:v>24.810952892645581</c:v>
                </c:pt>
                <c:pt idx="4">
                  <c:v>24.810945767193708</c:v>
                </c:pt>
                <c:pt idx="5">
                  <c:v>24.810938305942102</c:v>
                </c:pt>
                <c:pt idx="6">
                  <c:v>24.810930493066358</c:v>
                </c:pt>
                <c:pt idx="7">
                  <c:v>24.810922311996173</c:v>
                </c:pt>
                <c:pt idx="8">
                  <c:v>24.810913745380475</c:v>
                </c:pt>
                <c:pt idx="9">
                  <c:v>24.810904775050822</c:v>
                </c:pt>
                <c:pt idx="10">
                  <c:v>24.810895381982313</c:v>
                </c:pt>
                <c:pt idx="11">
                  <c:v>24.810885546253957</c:v>
                </c:pt>
                <c:pt idx="12">
                  <c:v>24.810875247005892</c:v>
                </c:pt>
                <c:pt idx="13">
                  <c:v>24.810864462395365</c:v>
                </c:pt>
                <c:pt idx="14">
                  <c:v>24.810853169550512</c:v>
                </c:pt>
                <c:pt idx="15">
                  <c:v>24.810841344521766</c:v>
                </c:pt>
                <c:pt idx="16">
                  <c:v>24.810828962231035</c:v>
                </c:pt>
                <c:pt idx="17">
                  <c:v>24.810815996418807</c:v>
                </c:pt>
                <c:pt idx="18">
                  <c:v>24.810802419588128</c:v>
                </c:pt>
                <c:pt idx="19">
                  <c:v>24.810788202946618</c:v>
                </c:pt>
                <c:pt idx="20">
                  <c:v>24.810773316345369</c:v>
                </c:pt>
                <c:pt idx="21">
                  <c:v>24.810757728214831</c:v>
                </c:pt>
                <c:pt idx="22">
                  <c:v>24.810741405498312</c:v>
                </c:pt>
                <c:pt idx="23">
                  <c:v>24.810724313581581</c:v>
                </c:pt>
                <c:pt idx="24">
                  <c:v>24.810706416219798</c:v>
                </c:pt>
                <c:pt idx="25">
                  <c:v>24.810687675460343</c:v>
                </c:pt>
                <c:pt idx="26">
                  <c:v>24.810668051562761</c:v>
                </c:pt>
                <c:pt idx="27">
                  <c:v>24.810647502914374</c:v>
                </c:pt>
                <c:pt idx="28">
                  <c:v>24.810625985942288</c:v>
                </c:pt>
                <c:pt idx="29">
                  <c:v>24.810603455020768</c:v>
                </c:pt>
                <c:pt idx="30">
                  <c:v>24.810579862374937</c:v>
                </c:pt>
                <c:pt idx="31">
                  <c:v>24.810555157979259</c:v>
                </c:pt>
                <c:pt idx="32">
                  <c:v>24.810529289451928</c:v>
                </c:pt>
                <c:pt idx="33">
                  <c:v>24.810502201943585</c:v>
                </c:pt>
                <c:pt idx="34">
                  <c:v>24.810473838021352</c:v>
                </c:pt>
                <c:pt idx="35">
                  <c:v>24.81044413754713</c:v>
                </c:pt>
                <c:pt idx="36">
                  <c:v>24.810413037550365</c:v>
                </c:pt>
                <c:pt idx="37">
                  <c:v>24.8103804720946</c:v>
                </c:pt>
                <c:pt idx="38">
                  <c:v>24.810346372137907</c:v>
                </c:pt>
                <c:pt idx="39">
                  <c:v>24.810310665386744</c:v>
                </c:pt>
                <c:pt idx="40">
                  <c:v>24.810273276142741</c:v>
                </c:pt>
                <c:pt idx="41">
                  <c:v>24.810234125143037</c:v>
                </c:pt>
                <c:pt idx="42">
                  <c:v>24.810193129391731</c:v>
                </c:pt>
                <c:pt idx="43">
                  <c:v>24.810150201984914</c:v>
                </c:pt>
                <c:pt idx="44">
                  <c:v>24.810105251926519</c:v>
                </c:pt>
                <c:pt idx="45">
                  <c:v>24.810058183935656</c:v>
                </c:pt>
                <c:pt idx="46">
                  <c:v>24.810008898245478</c:v>
                </c:pt>
                <c:pt idx="47">
                  <c:v>24.809957290391655</c:v>
                </c:pt>
                <c:pt idx="48">
                  <c:v>24.80990325099182</c:v>
                </c:pt>
                <c:pt idx="49">
                  <c:v>24.809846665514137</c:v>
                </c:pt>
                <c:pt idx="50">
                  <c:v>24.809787414035199</c:v>
                </c:pt>
                <c:pt idx="51">
                  <c:v>24.809725370986353</c:v>
                </c:pt>
                <c:pt idx="52">
                  <c:v>24.809660404888607</c:v>
                </c:pt>
                <c:pt idx="53">
                  <c:v>24.80959237807447</c:v>
                </c:pt>
                <c:pt idx="54">
                  <c:v>24.809521146397294</c:v>
                </c:pt>
                <c:pt idx="55">
                  <c:v>24.80944655892662</c:v>
                </c:pt>
                <c:pt idx="56">
                  <c:v>24.809368457629617</c:v>
                </c:pt>
                <c:pt idx="57">
                  <c:v>24.80928667703704</c:v>
                </c:pt>
                <c:pt idx="58">
                  <c:v>24.809201043894241</c:v>
                </c:pt>
                <c:pt idx="59">
                  <c:v>24.809111376795279</c:v>
                </c:pt>
                <c:pt idx="60">
                  <c:v>24.809017485800105</c:v>
                </c:pt>
                <c:pt idx="61">
                  <c:v>24.808919172034003</c:v>
                </c:pt>
                <c:pt idx="62">
                  <c:v>24.808816227267911</c:v>
                </c:pt>
                <c:pt idx="63">
                  <c:v>24.808708433479481</c:v>
                </c:pt>
                <c:pt idx="64">
                  <c:v>24.808595562393609</c:v>
                </c:pt>
                <c:pt idx="65">
                  <c:v>24.808477375001011</c:v>
                </c:pt>
                <c:pt idx="66">
                  <c:v>24.808353621054984</c:v>
                </c:pt>
                <c:pt idx="67">
                  <c:v>24.808224038544303</c:v>
                </c:pt>
                <c:pt idx="68">
                  <c:v>24.808088353141503</c:v>
                </c:pt>
                <c:pt idx="69">
                  <c:v>24.807946277625554</c:v>
                </c:pt>
                <c:pt idx="70">
                  <c:v>24.807797511277798</c:v>
                </c:pt>
                <c:pt idx="71">
                  <c:v>24.807641739249124</c:v>
                </c:pt>
                <c:pt idx="72">
                  <c:v>24.807478631898491</c:v>
                </c:pt>
                <c:pt idx="73">
                  <c:v>24.807307844099928</c:v>
                </c:pt>
                <c:pt idx="74">
                  <c:v>24.807129014517926</c:v>
                </c:pt>
                <c:pt idx="75">
                  <c:v>24.806941764848524</c:v>
                </c:pt>
                <c:pt idx="76">
                  <c:v>24.806745699025953</c:v>
                </c:pt>
                <c:pt idx="77">
                  <c:v>24.806540402391523</c:v>
                </c:pt>
                <c:pt idx="78">
                  <c:v>24.806325440824626</c:v>
                </c:pt>
                <c:pt idx="79">
                  <c:v>24.806100359833305</c:v>
                </c:pt>
                <c:pt idx="80">
                  <c:v>24.805864683602493</c:v>
                </c:pt>
                <c:pt idx="81">
                  <c:v>24.805617913998542</c:v>
                </c:pt>
                <c:pt idx="82">
                  <c:v>24.80535952952745</c:v>
                </c:pt>
                <c:pt idx="83">
                  <c:v>24.805088984244996</c:v>
                </c:pt>
                <c:pt idx="84">
                  <c:v>24.804805706617099</c:v>
                </c:pt>
                <c:pt idx="85">
                  <c:v>24.804509098326516</c:v>
                </c:pt>
                <c:pt idx="86">
                  <c:v>24.804198533025975</c:v>
                </c:pt>
                <c:pt idx="87">
                  <c:v>24.803873355032717</c:v>
                </c:pt>
                <c:pt idx="88">
                  <c:v>24.80353287796386</c:v>
                </c:pt>
                <c:pt idx="89">
                  <c:v>24.803176383309125</c:v>
                </c:pt>
                <c:pt idx="90">
                  <c:v>24.802803118937305</c:v>
                </c:pt>
                <c:pt idx="91">
                  <c:v>24.80241229753554</c:v>
                </c:pt>
                <c:pt idx="92">
                  <c:v>24.802003094976381</c:v>
                </c:pt>
                <c:pt idx="93">
                  <c:v>24.801574648610831</c:v>
                </c:pt>
                <c:pt idx="94">
                  <c:v>24.801126055483373</c:v>
                </c:pt>
                <c:pt idx="95">
                  <c:v>24.800656370465987</c:v>
                </c:pt>
                <c:pt idx="96">
                  <c:v>24.800164604307163</c:v>
                </c:pt>
                <c:pt idx="97">
                  <c:v>24.799649721592605</c:v>
                </c:pt>
                <c:pt idx="98">
                  <c:v>24.799110638613946</c:v>
                </c:pt>
                <c:pt idx="99">
                  <c:v>24.798546221140711</c:v>
                </c:pt>
                <c:pt idx="100">
                  <c:v>24.797955282092307</c:v>
                </c:pt>
                <c:pt idx="101">
                  <c:v>24.797336579105377</c:v>
                </c:pt>
                <c:pt idx="102">
                  <c:v>24.796688811991334</c:v>
                </c:pt>
                <c:pt idx="103">
                  <c:v>24.796010620081223</c:v>
                </c:pt>
                <c:pt idx="104">
                  <c:v>24.795300579451283</c:v>
                </c:pt>
                <c:pt idx="105">
                  <c:v>24.794557200025217</c:v>
                </c:pt>
                <c:pt idx="106">
                  <c:v>24.793778922547986</c:v>
                </c:pt>
                <c:pt idx="107">
                  <c:v>24.792964115425498</c:v>
                </c:pt>
                <c:pt idx="108">
                  <c:v>24.792111071425115</c:v>
                </c:pt>
                <c:pt idx="109">
                  <c:v>24.791218004230586</c:v>
                </c:pt>
                <c:pt idx="110">
                  <c:v>24.790283044846714</c:v>
                </c:pt>
                <c:pt idx="111">
                  <c:v>24.7893042378467</c:v>
                </c:pt>
                <c:pt idx="112">
                  <c:v>24.788279537456098</c:v>
                </c:pt>
                <c:pt idx="113">
                  <c:v>24.78720680346747</c:v>
                </c:pt>
                <c:pt idx="114">
                  <c:v>24.786083796978705</c:v>
                </c:pt>
                <c:pt idx="115">
                  <c:v>24.784908175948619</c:v>
                </c:pt>
                <c:pt idx="116">
                  <c:v>24.783677490562091</c:v>
                </c:pt>
                <c:pt idx="117">
                  <c:v>24.782389178398802</c:v>
                </c:pt>
                <c:pt idx="118">
                  <c:v>24.781040559397333</c:v>
                </c:pt>
                <c:pt idx="119">
                  <c:v>24.779628830607415</c:v>
                </c:pt>
                <c:pt idx="120">
                  <c:v>24.778151060723008</c:v>
                </c:pt>
                <c:pt idx="121">
                  <c:v>24.776604184388088</c:v>
                </c:pt>
                <c:pt idx="122">
                  <c:v>24.77498499626774</c:v>
                </c:pt>
                <c:pt idx="123">
                  <c:v>24.773290144876267</c:v>
                </c:pt>
                <c:pt idx="124">
                  <c:v>24.771516126153546</c:v>
                </c:pt>
                <c:pt idx="125">
                  <c:v>24.769659276783436</c:v>
                </c:pt>
                <c:pt idx="126">
                  <c:v>24.767715767243828</c:v>
                </c:pt>
                <c:pt idx="127">
                  <c:v>24.765681594581391</c:v>
                </c:pt>
                <c:pt idx="128">
                  <c:v>24.76355257490254</c:v>
                </c:pt>
                <c:pt idx="129">
                  <c:v>24.761324335572262</c:v>
                </c:pt>
                <c:pt idx="130">
                  <c:v>24.758992307112738</c:v>
                </c:pt>
                <c:pt idx="131">
                  <c:v>24.756551714793655</c:v>
                </c:pt>
                <c:pt idx="132">
                  <c:v>24.753997569906851</c:v>
                </c:pt>
                <c:pt idx="133">
                  <c:v>24.751324660716989</c:v>
                </c:pt>
                <c:pt idx="134">
                  <c:v>24.748527543081167</c:v>
                </c:pt>
                <c:pt idx="135">
                  <c:v>24.745600530730485</c:v>
                </c:pt>
                <c:pt idx="136">
                  <c:v>24.742537685207104</c:v>
                </c:pt>
                <c:pt idx="137">
                  <c:v>24.739332805450264</c:v>
                </c:pt>
                <c:pt idx="138">
                  <c:v>24.73597941702582</c:v>
                </c:pt>
                <c:pt idx="139">
                  <c:v>24.732470760994669</c:v>
                </c:pt>
                <c:pt idx="140">
                  <c:v>24.728799782415642</c:v>
                </c:pt>
                <c:pt idx="141">
                  <c:v>24.724959118479383</c:v>
                </c:pt>
                <c:pt idx="142">
                  <c:v>24.720941086271651</c:v>
                </c:pt>
                <c:pt idx="143">
                  <c:v>24.716737670164036</c:v>
                </c:pt>
                <c:pt idx="144">
                  <c:v>24.712340508832803</c:v>
                </c:pt>
                <c:pt idx="145">
                  <c:v>24.707740881907352</c:v>
                </c:pt>
                <c:pt idx="146">
                  <c:v>24.702929696250937</c:v>
                </c:pt>
                <c:pt idx="147">
                  <c:v>24.697897471879337</c:v>
                </c:pt>
                <c:pt idx="148">
                  <c:v>24.692634327523415</c:v>
                </c:pt>
                <c:pt idx="149">
                  <c:v>24.6871299658456</c:v>
                </c:pt>
                <c:pt idx="150">
                  <c:v>24.681373658320709</c:v>
                </c:pt>
                <c:pt idx="151">
                  <c:v>24.675354229795904</c:v>
                </c:pt>
                <c:pt idx="152">
                  <c:v>24.669060042745727</c:v>
                </c:pt>
                <c:pt idx="153">
                  <c:v>24.662478981243652</c:v>
                </c:pt>
                <c:pt idx="154">
                  <c:v>24.655598434671514</c:v>
                </c:pt>
                <c:pt idx="155">
                  <c:v>24.648405281195835</c:v>
                </c:pt>
                <c:pt idx="156">
                  <c:v>24.640885871040211</c:v>
                </c:pt>
                <c:pt idx="157">
                  <c:v>24.633026009590722</c:v>
                </c:pt>
                <c:pt idx="158">
                  <c:v>24.624810940372651</c:v>
                </c:pt>
                <c:pt idx="159">
                  <c:v>24.616225327944157</c:v>
                </c:pt>
                <c:pt idx="160">
                  <c:v>24.607253240756762</c:v>
                </c:pt>
                <c:pt idx="161">
                  <c:v>24.597878134038197</c:v>
                </c:pt>
                <c:pt idx="162">
                  <c:v>24.588082832758623</c:v>
                </c:pt>
                <c:pt idx="163">
                  <c:v>24.577849514749055</c:v>
                </c:pt>
                <c:pt idx="164">
                  <c:v>24.567159694045237</c:v>
                </c:pt>
                <c:pt idx="165">
                  <c:v>24.555994204539182</c:v>
                </c:pt>
                <c:pt idx="166">
                  <c:v>24.544333184026428</c:v>
                </c:pt>
                <c:pt idx="167">
                  <c:v>24.532156058745048</c:v>
                </c:pt>
                <c:pt idx="168">
                  <c:v>24.519441528510391</c:v>
                </c:pt>
                <c:pt idx="169">
                  <c:v>24.506167552558207</c:v>
                </c:pt>
                <c:pt idx="170">
                  <c:v>24.49231133621462</c:v>
                </c:pt>
                <c:pt idx="171">
                  <c:v>24.477849318522864</c:v>
                </c:pt>
                <c:pt idx="172">
                  <c:v>24.462757160963207</c:v>
                </c:pt>
                <c:pt idx="173">
                  <c:v>24.447009737411307</c:v>
                </c:pt>
                <c:pt idx="174">
                  <c:v>24.430581125488441</c:v>
                </c:pt>
                <c:pt idx="175">
                  <c:v>24.413444599466558</c:v>
                </c:pt>
                <c:pt idx="176">
                  <c:v>24.395572624896417</c:v>
                </c:pt>
                <c:pt idx="177">
                  <c:v>24.376936855137906</c:v>
                </c:pt>
                <c:pt idx="178">
                  <c:v>24.357508129975361</c:v>
                </c:pt>
                <c:pt idx="179">
                  <c:v>24.337256476510284</c:v>
                </c:pt>
                <c:pt idx="180">
                  <c:v>24.316151112526271</c:v>
                </c:pt>
                <c:pt idx="181">
                  <c:v>24.29416045252789</c:v>
                </c:pt>
                <c:pt idx="182">
                  <c:v>24.271252116658349</c:v>
                </c:pt>
                <c:pt idx="183">
                  <c:v>24.247392942700934</c:v>
                </c:pt>
                <c:pt idx="184">
                  <c:v>24.222549001372368</c:v>
                </c:pt>
                <c:pt idx="185">
                  <c:v>24.196685615112873</c:v>
                </c:pt>
                <c:pt idx="186">
                  <c:v>24.16976738057549</c:v>
                </c:pt>
                <c:pt idx="187">
                  <c:v>24.14175819501224</c:v>
                </c:pt>
                <c:pt idx="188">
                  <c:v>24.112621286744403</c:v>
                </c:pt>
                <c:pt idx="189">
                  <c:v>24.082319249897779</c:v>
                </c:pt>
                <c:pt idx="190">
                  <c:v>24.050814083566031</c:v>
                </c:pt>
                <c:pt idx="191">
                  <c:v>24.018067235552728</c:v>
                </c:pt>
                <c:pt idx="192">
                  <c:v>23.984039650821025</c:v>
                </c:pt>
                <c:pt idx="193">
                  <c:v>23.948691824758068</c:v>
                </c:pt>
                <c:pt idx="194">
                  <c:v>23.91198386133474</c:v>
                </c:pt>
                <c:pt idx="195">
                  <c:v>23.873875536213415</c:v>
                </c:pt>
                <c:pt idx="196">
                  <c:v>23.834326364820324</c:v>
                </c:pt>
                <c:pt idx="197">
                  <c:v>23.793295675366743</c:v>
                </c:pt>
                <c:pt idx="198">
                  <c:v>23.750742686760638</c:v>
                </c:pt>
                <c:pt idx="199">
                  <c:v>23.706626591309515</c:v>
                </c:pt>
                <c:pt idx="200">
                  <c:v>23.6609066420686</c:v>
                </c:pt>
                <c:pt idx="201">
                  <c:v>23.613542244641899</c:v>
                </c:pt>
                <c:pt idx="202">
                  <c:v>23.564493053192198</c:v>
                </c:pt>
                <c:pt idx="203">
                  <c:v>23.513719070365187</c:v>
                </c:pt>
                <c:pt idx="204">
                  <c:v>23.461180750780656</c:v>
                </c:pt>
                <c:pt idx="205">
                  <c:v>23.406839107688945</c:v>
                </c:pt>
                <c:pt idx="206">
                  <c:v>23.350655822340652</c:v>
                </c:pt>
                <c:pt idx="207">
                  <c:v>23.292593355563032</c:v>
                </c:pt>
                <c:pt idx="208">
                  <c:v>23.232615060989822</c:v>
                </c:pt>
                <c:pt idx="209">
                  <c:v>23.170685299341844</c:v>
                </c:pt>
                <c:pt idx="210">
                  <c:v>23.106769553114269</c:v>
                </c:pt>
                <c:pt idx="211">
                  <c:v>23.040834540987451</c:v>
                </c:pt>
                <c:pt idx="212">
                  <c:v>22.972848331244855</c:v>
                </c:pt>
                <c:pt idx="213">
                  <c:v>22.902780453455986</c:v>
                </c:pt>
                <c:pt idx="214">
                  <c:v>22.830602007662371</c:v>
                </c:pt>
                <c:pt idx="215">
                  <c:v>22.756285770292649</c:v>
                </c:pt>
                <c:pt idx="216">
                  <c:v>22.679806296031046</c:v>
                </c:pt>
                <c:pt idx="217">
                  <c:v>22.601140014869173</c:v>
                </c:pt>
                <c:pt idx="218">
                  <c:v>22.520265323586223</c:v>
                </c:pt>
                <c:pt idx="219">
                  <c:v>22.437162670928075</c:v>
                </c:pt>
                <c:pt idx="220">
                  <c:v>22.351814635790916</c:v>
                </c:pt>
                <c:pt idx="221">
                  <c:v>22.264205997757823</c:v>
                </c:pt>
                <c:pt idx="222">
                  <c:v>22.174323799391669</c:v>
                </c:pt>
                <c:pt idx="223">
                  <c:v>22.082157399747526</c:v>
                </c:pt>
                <c:pt idx="224">
                  <c:v>21.987698518639025</c:v>
                </c:pt>
                <c:pt idx="225">
                  <c:v>21.890941271267547</c:v>
                </c:pt>
                <c:pt idx="226">
                  <c:v>21.791882192907227</c:v>
                </c:pt>
                <c:pt idx="227">
                  <c:v>21.690520253424467</c:v>
                </c:pt>
                <c:pt idx="228">
                  <c:v>21.586856861501523</c:v>
                </c:pt>
                <c:pt idx="229">
                  <c:v>21.480895858524448</c:v>
                </c:pt>
                <c:pt idx="230">
                  <c:v>21.372643502191981</c:v>
                </c:pt>
                <c:pt idx="231">
                  <c:v>21.262108439989436</c:v>
                </c:pt>
                <c:pt idx="232">
                  <c:v>21.149301672765652</c:v>
                </c:pt>
                <c:pt idx="233">
                  <c:v>21.034236508734068</c:v>
                </c:pt>
                <c:pt idx="234">
                  <c:v>20.916928508301748</c:v>
                </c:pt>
                <c:pt idx="235">
                  <c:v>20.7973954202062</c:v>
                </c:pt>
                <c:pt idx="236">
                  <c:v>20.67565710950494</c:v>
                </c:pt>
                <c:pt idx="237">
                  <c:v>20.551735478028029</c:v>
                </c:pt>
                <c:pt idx="238">
                  <c:v>20.425654377948547</c:v>
                </c:pt>
                <c:pt idx="239">
                  <c:v>20.297439519176521</c:v>
                </c:pt>
                <c:pt idx="240">
                  <c:v>20.167118371307385</c:v>
                </c:pt>
                <c:pt idx="241">
                  <c:v>20.034720060884133</c:v>
                </c:pt>
                <c:pt idx="242">
                  <c:v>19.90027526474503</c:v>
                </c:pt>
                <c:pt idx="243">
                  <c:v>19.763816100232003</c:v>
                </c:pt>
                <c:pt idx="244">
                  <c:v>19.625376013032668</c:v>
                </c:pt>
                <c:pt idx="245">
                  <c:v>19.484989663413611</c:v>
                </c:pt>
                <c:pt idx="246">
                  <c:v>19.342692811584236</c:v>
                </c:pt>
                <c:pt idx="247">
                  <c:v>19.198522202901131</c:v>
                </c:pt>
                <c:pt idx="248">
                  <c:v>19.052515453589209</c:v>
                </c:pt>
                <c:pt idx="249">
                  <c:v>18.904710937617658</c:v>
                </c:pt>
                <c:pt idx="250">
                  <c:v>18.755147675323151</c:v>
                </c:pt>
                <c:pt idx="251">
                  <c:v>18.603865224327386</c:v>
                </c:pt>
                <c:pt idx="252">
                  <c:v>18.450903573243302</c:v>
                </c:pt>
                <c:pt idx="253">
                  <c:v>18.296303038615424</c:v>
                </c:pt>
                <c:pt idx="254">
                  <c:v>18.140104165484804</c:v>
                </c:pt>
                <c:pt idx="255">
                  <c:v>17.982347631916674</c:v>
                </c:pt>
                <c:pt idx="256">
                  <c:v>17.823074157776585</c:v>
                </c:pt>
                <c:pt idx="257">
                  <c:v>17.662324417988582</c:v>
                </c:pt>
                <c:pt idx="258">
                  <c:v>17.500138960460639</c:v>
                </c:pt>
                <c:pt idx="259">
                  <c:v>17.336558128813316</c:v>
                </c:pt>
                <c:pt idx="260">
                  <c:v>17.171621990003892</c:v>
                </c:pt>
                <c:pt idx="261">
                  <c:v>17.005370266895731</c:v>
                </c:pt>
                <c:pt idx="262">
                  <c:v>16.837842275783146</c:v>
                </c:pt>
                <c:pt idx="263">
                  <c:v>16.669076868847622</c:v>
                </c:pt>
                <c:pt idx="264">
                  <c:v>16.499112381486757</c:v>
                </c:pt>
                <c:pt idx="265">
                  <c:v>16.327986584431208</c:v>
                </c:pt>
                <c:pt idx="266">
                  <c:v>16.155736640536936</c:v>
                </c:pt>
                <c:pt idx="267">
                  <c:v>15.982399066119356</c:v>
                </c:pt>
                <c:pt idx="268">
                  <c:v>15.808009696676846</c:v>
                </c:pt>
                <c:pt idx="269">
                  <c:v>15.632603656834871</c:v>
                </c:pt>
                <c:pt idx="270">
                  <c:v>15.456215334330153</c:v>
                </c:pt>
                <c:pt idx="271">
                  <c:v>15.278878357842727</c:v>
                </c:pt>
                <c:pt idx="272">
                  <c:v>15.100625578478555</c:v>
                </c:pt>
                <c:pt idx="273">
                  <c:v>14.921489054697549</c:v>
                </c:pt>
                <c:pt idx="274">
                  <c:v>14.741500040481561</c:v>
                </c:pt>
                <c:pt idx="275">
                  <c:v>14.560688976534173</c:v>
                </c:pt>
                <c:pt idx="276">
                  <c:v>14.379085484305094</c:v>
                </c:pt>
                <c:pt idx="277">
                  <c:v>14.196718362635362</c:v>
                </c:pt>
                <c:pt idx="278">
                  <c:v>14.013615586821786</c:v>
                </c:pt>
                <c:pt idx="279">
                  <c:v>13.829804309904345</c:v>
                </c:pt>
                <c:pt idx="280">
                  <c:v>13.645310865985978</c:v>
                </c:pt>
                <c:pt idx="281">
                  <c:v>13.460160775401071</c:v>
                </c:pt>
                <c:pt idx="282">
                  <c:v>13.274378751554467</c:v>
                </c:pt>
                <c:pt idx="283">
                  <c:v>13.087988709263117</c:v>
                </c:pt>
                <c:pt idx="284">
                  <c:v>12.90101377443726</c:v>
                </c:pt>
                <c:pt idx="285">
                  <c:v>12.713476294948924</c:v>
                </c:pt>
                <c:pt idx="286">
                  <c:v>12.525397852542744</c:v>
                </c:pt>
                <c:pt idx="287">
                  <c:v>12.336799275651437</c:v>
                </c:pt>
                <c:pt idx="288">
                  <c:v>12.14770065298951</c:v>
                </c:pt>
                <c:pt idx="289">
                  <c:v>11.958121347804028</c:v>
                </c:pt>
                <c:pt idx="290">
                  <c:v>11.768080012671032</c:v>
                </c:pt>
                <c:pt idx="291">
                  <c:v>11.577594604734436</c:v>
                </c:pt>
                <c:pt idx="292">
                  <c:v>11.386682401290589</c:v>
                </c:pt>
                <c:pt idx="293">
                  <c:v>11.195360015630133</c:v>
                </c:pt>
                <c:pt idx="294">
                  <c:v>11.00364341305629</c:v>
                </c:pt>
                <c:pt idx="295">
                  <c:v>10.811547927004067</c:v>
                </c:pt>
                <c:pt idx="296">
                  <c:v>10.619088275192873</c:v>
                </c:pt>
                <c:pt idx="297">
                  <c:v>10.426278575750443</c:v>
                </c:pt>
                <c:pt idx="298">
                  <c:v>10.233132363252357</c:v>
                </c:pt>
                <c:pt idx="299">
                  <c:v>10.039662604625711</c:v>
                </c:pt>
                <c:pt idx="300">
                  <c:v>9.8458817148726236</c:v>
                </c:pt>
                <c:pt idx="301">
                  <c:v>9.651801572572122</c:v>
                </c:pt>
                <c:pt idx="302">
                  <c:v>9.4574335351250429</c:v>
                </c:pt>
                <c:pt idx="303">
                  <c:v>9.2627884537094083</c:v>
                </c:pt>
                <c:pt idx="304">
                  <c:v>9.0678766879190249</c:v>
                </c:pt>
                <c:pt idx="305">
                  <c:v>8.8727081200605582</c:v>
                </c:pt>
                <c:pt idx="306">
                  <c:v>8.6772921690876856</c:v>
                </c:pt>
                <c:pt idx="307">
                  <c:v>8.4816378041557314</c:v>
                </c:pt>
                <c:pt idx="308">
                  <c:v>8.2857535577800174</c:v>
                </c:pt>
                <c:pt idx="309">
                  <c:v>8.0896475385863713</c:v>
                </c:pt>
                <c:pt idx="310">
                  <c:v>7.8933274436438019</c:v>
                </c:pt>
                <c:pt idx="311">
                  <c:v>7.6968005703707334</c:v>
                </c:pt>
                <c:pt idx="312">
                  <c:v>7.5000738280089987</c:v>
                </c:pt>
                <c:pt idx="313">
                  <c:v>7.3031537486619218</c:v>
                </c:pt>
                <c:pt idx="314">
                  <c:v>7.1060464978931579</c:v>
                </c:pt>
                <c:pt idx="315">
                  <c:v>6.9087578848860529</c:v>
                </c:pt>
                <c:pt idx="316">
                  <c:v>6.7112933721629773</c:v>
                </c:pt>
                <c:pt idx="317">
                  <c:v>6.5136580848670897</c:v>
                </c:pt>
                <c:pt idx="318">
                  <c:v>6.3158568196088058</c:v>
                </c:pt>
                <c:pt idx="319">
                  <c:v>6.1178940528810504</c:v>
                </c:pt>
                <c:pt idx="320">
                  <c:v>5.9197739490470944</c:v>
                </c:pt>
                <c:pt idx="321">
                  <c:v>5.7215003679083809</c:v>
                </c:pt>
                <c:pt idx="322">
                  <c:v>5.5230768718572154</c:v>
                </c:pt>
                <c:pt idx="323">
                  <c:v>5.324506732622325</c:v>
                </c:pt>
                <c:pt idx="324">
                  <c:v>5.1257929376154179</c:v>
                </c:pt>
                <c:pt idx="325">
                  <c:v>4.9269381958871996</c:v>
                </c:pt>
                <c:pt idx="326">
                  <c:v>4.7279449437026999</c:v>
                </c:pt>
                <c:pt idx="327">
                  <c:v>4.5288153497458534</c:v>
                </c:pt>
                <c:pt idx="328">
                  <c:v>4.329551319964831</c:v>
                </c:pt>
                <c:pt idx="329">
                  <c:v>4.1301545020681445</c:v>
                </c:pt>
                <c:pt idx="330">
                  <c:v>3.930626289686975</c:v>
                </c:pt>
                <c:pt idx="331">
                  <c:v>3.730967826213897</c:v>
                </c:pt>
                <c:pt idx="332">
                  <c:v>3.5311800083341844</c:v>
                </c:pt>
                <c:pt idx="333">
                  <c:v>3.3312634892633879</c:v>
                </c:pt>
                <c:pt idx="334">
                  <c:v>3.1312186817082042</c:v>
                </c:pt>
                <c:pt idx="335">
                  <c:v>2.9310457605664637</c:v>
                </c:pt>
                <c:pt idx="336">
                  <c:v>2.7307446653860108</c:v>
                </c:pt>
                <c:pt idx="337">
                  <c:v>2.5303151026000608</c:v>
                </c:pt>
                <c:pt idx="338">
                  <c:v>2.3297565475602409</c:v>
                </c:pt>
                <c:pt idx="339">
                  <c:v>2.1290682463903403</c:v>
                </c:pt>
                <c:pt idx="340">
                  <c:v>1.9282492176830881</c:v>
                </c:pt>
                <c:pt idx="341">
                  <c:v>1.7272982540657846</c:v>
                </c:pt>
                <c:pt idx="342">
                  <c:v>1.5262139236618701</c:v>
                </c:pt>
                <c:pt idx="343">
                  <c:v>1.3249945714769695</c:v>
                </c:pt>
                <c:pt idx="344">
                  <c:v>1.123638320742256</c:v>
                </c:pt>
                <c:pt idx="345">
                  <c:v>0.92214307424547326</c:v>
                </c:pt>
                <c:pt idx="346">
                  <c:v>0.7205065156884245</c:v>
                </c:pt>
                <c:pt idx="347">
                  <c:v>0.51872611110779732</c:v>
                </c:pt>
                <c:pt idx="348">
                  <c:v>0.31679911040059006</c:v>
                </c:pt>
                <c:pt idx="349">
                  <c:v>0.11472254899850624</c:v>
                </c:pt>
                <c:pt idx="350">
                  <c:v>-8.7506750261411637E-2</c:v>
                </c:pt>
                <c:pt idx="351">
                  <c:v>-0.28989217501948805</c:v>
                </c:pt>
                <c:pt idx="352">
                  <c:v>-0.4924373209756383</c:v>
                </c:pt>
                <c:pt idx="353">
                  <c:v>-0.69514598911287773</c:v>
                </c:pt>
                <c:pt idx="354">
                  <c:v>-0.89802218250226162</c:v>
                </c:pt>
                <c:pt idx="355">
                  <c:v>-1.1010701026210656</c:v>
                </c:pt>
                <c:pt idx="356">
                  <c:v>-1.304294145118003</c:v>
                </c:pt>
                <c:pt idx="357">
                  <c:v>-1.5076988949495151</c:v>
                </c:pt>
                <c:pt idx="358">
                  <c:v>-1.7112891208106258</c:v>
                </c:pt>
                <c:pt idx="359">
                  <c:v>-1.9150697687767926</c:v>
                </c:pt>
                <c:pt idx="360">
                  <c:v>-2.1190459550723291</c:v>
                </c:pt>
                <c:pt idx="361">
                  <c:v>-2.3232229578719132</c:v>
                </c:pt>
                <c:pt idx="362">
                  <c:v>-2.5276062080424455</c:v>
                </c:pt>
                <c:pt idx="363">
                  <c:v>-2.7322012787241095</c:v>
                </c:pt>
                <c:pt idx="364">
                  <c:v>-2.9370138736495441</c:v>
                </c:pt>
                <c:pt idx="365">
                  <c:v>-3.1420498140914437</c:v>
                </c:pt>
                <c:pt idx="366">
                  <c:v>-3.3473150243319227</c:v>
                </c:pt>
                <c:pt idx="367">
                  <c:v>-3.5528155155376058</c:v>
                </c:pt>
                <c:pt idx="368">
                  <c:v>-3.7585573679268141</c:v>
                </c:pt>
                <c:pt idx="369">
                  <c:v>-3.9645467111116184</c:v>
                </c:pt>
                <c:pt idx="370">
                  <c:v>-4.1707897024962417</c:v>
                </c:pt>
                <c:pt idx="371">
                  <c:v>-4.3772925036143668</c:v>
                </c:pt>
                <c:pt idx="372">
                  <c:v>-4.5840612542888293</c:v>
                </c:pt>
                <c:pt idx="373">
                  <c:v>-4.7911020444980155</c:v>
                </c:pt>
                <c:pt idx="374">
                  <c:v>-4.9984208838389064</c:v>
                </c:pt>
                <c:pt idx="375">
                  <c:v>-5.2060236684799923</c:v>
                </c:pt>
                <c:pt idx="376">
                  <c:v>-5.4139161455048734</c:v>
                </c:pt>
                <c:pt idx="377">
                  <c:v>-5.6221038745559522</c:v>
                </c:pt>
                <c:pt idx="378">
                  <c:v>-5.8305921866972277</c:v>
                </c:pt>
                <c:pt idx="379">
                  <c:v>-6.0393861404290305</c:v>
                </c:pt>
                <c:pt idx="380">
                  <c:v>-6.2484904748013239</c:v>
                </c:pt>
                <c:pt idx="381">
                  <c:v>-6.457909559589428</c:v>
                </c:pt>
                <c:pt idx="382">
                  <c:v>-6.6676473425177907</c:v>
                </c:pt>
                <c:pt idx="383">
                  <c:v>-6.8777072935358046</c:v>
                </c:pt>
                <c:pt idx="384">
                  <c:v>-7.0880923461794314</c:v>
                </c:pt>
                <c:pt idx="385">
                  <c:v>-7.2988048360758864</c:v>
                </c:pt>
                <c:pt idx="386">
                  <c:v>-7.5098464366812037</c:v>
                </c:pt>
                <c:pt idx="387">
                  <c:v>-7.7212180923735172</c:v>
                </c:pt>
                <c:pt idx="388">
                  <c:v>-7.9329199490587641</c:v>
                </c:pt>
                <c:pt idx="389">
                  <c:v>-8.1449512824838628</c:v>
                </c:pt>
                <c:pt idx="390">
                  <c:v>-8.3573104244923773</c:v>
                </c:pt>
                <c:pt idx="391">
                  <c:v>-8.5699946874988182</c:v>
                </c:pt>
                <c:pt idx="392">
                  <c:v>-8.7830002874990907</c:v>
                </c:pt>
                <c:pt idx="393">
                  <c:v>-8.9963222659803161</c:v>
                </c:pt>
                <c:pt idx="394">
                  <c:v>-9.2099544111339675</c:v>
                </c:pt>
                <c:pt idx="395">
                  <c:v>-9.4238891788227583</c:v>
                </c:pt>
                <c:pt idx="396">
                  <c:v>-9.6381176137907101</c:v>
                </c:pt>
                <c:pt idx="397">
                  <c:v>-9.8526292716491408</c:v>
                </c:pt>
                <c:pt idx="398">
                  <c:v>-10.067412142206676</c:v>
                </c:pt>
                <c:pt idx="399">
                  <c:v>-10.28245257474731</c:v>
                </c:pt>
                <c:pt idx="400">
                  <c:v>-10.497735205889235</c:v>
                </c:pt>
                <c:pt idx="401">
                  <c:v>-10.713242890682801</c:v>
                </c:pt>
                <c:pt idx="402">
                  <c:v>-10.928956637623051</c:v>
                </c:pt>
                <c:pt idx="403">
                  <c:v>-11.144855548264356</c:v>
                </c:pt>
                <c:pt idx="404">
                  <c:v>-11.360916762128493</c:v>
                </c:pt>
                <c:pt idx="405">
                  <c:v>-11.577115407590806</c:v>
                </c:pt>
                <c:pt idx="406">
                  <c:v>-11.793424559416261</c:v>
                </c:pt>
                <c:pt idx="407">
                  <c:v>-12.009815203592174</c:v>
                </c:pt>
                <c:pt idx="408">
                  <c:v>-12.226256210070874</c:v>
                </c:pt>
                <c:pt idx="409">
                  <c:v>-12.442714313991011</c:v>
                </c:pt>
                <c:pt idx="410">
                  <c:v>-12.659154105892348</c:v>
                </c:pt>
                <c:pt idx="411">
                  <c:v>-12.875538031373976</c:v>
                </c:pt>
                <c:pt idx="412">
                  <c:v>-13.091826400574575</c:v>
                </c:pt>
                <c:pt idx="413">
                  <c:v>-13.307977407769263</c:v>
                </c:pt>
                <c:pt idx="414">
                  <c:v>-13.523947161291165</c:v>
                </c:pt>
                <c:pt idx="415">
                  <c:v>-13.739689723887947</c:v>
                </c:pt>
                <c:pt idx="416">
                  <c:v>-13.955157163526415</c:v>
                </c:pt>
                <c:pt idx="417">
                  <c:v>-14.170299614552007</c:v>
                </c:pt>
                <c:pt idx="418">
                  <c:v>-14.385065349008668</c:v>
                </c:pt>
                <c:pt idx="419">
                  <c:v>-14.599400857818846</c:v>
                </c:pt>
                <c:pt idx="420">
                  <c:v>-14.813250941421732</c:v>
                </c:pt>
                <c:pt idx="421">
                  <c:v>-15.026558809372332</c:v>
                </c:pt>
                <c:pt idx="422">
                  <c:v>-15.239266188312117</c:v>
                </c:pt>
                <c:pt idx="423">
                  <c:v>-15.451313437640726</c:v>
                </c:pt>
                <c:pt idx="424">
                  <c:v>-15.662639672143809</c:v>
                </c:pt>
                <c:pt idx="425">
                  <c:v>-15.873182890774419</c:v>
                </c:pt>
                <c:pt idx="426">
                  <c:v>-16.08288011073358</c:v>
                </c:pt>
                <c:pt idx="427">
                  <c:v>-16.291667505963094</c:v>
                </c:pt>
                <c:pt idx="428">
                  <c:v>-16.499480549141239</c:v>
                </c:pt>
                <c:pt idx="429">
                  <c:v>-16.706254156271637</c:v>
                </c:pt>
                <c:pt idx="430">
                  <c:v>-16.91192283295419</c:v>
                </c:pt>
                <c:pt idx="431">
                  <c:v>-17.116420821461354</c:v>
                </c:pt>
                <c:pt idx="432">
                  <c:v>-17.319682247770164</c:v>
                </c:pt>
                <c:pt idx="433">
                  <c:v>-17.52164126775493</c:v>
                </c:pt>
                <c:pt idx="434">
                  <c:v>-17.722232211801753</c:v>
                </c:pt>
                <c:pt idx="435">
                  <c:v>-17.921389727175676</c:v>
                </c:pt>
                <c:pt idx="436">
                  <c:v>-18.119048917548085</c:v>
                </c:pt>
                <c:pt idx="437">
                  <c:v>-18.315145479173619</c:v>
                </c:pt>
                <c:pt idx="438">
                  <c:v>-18.509615833288862</c:v>
                </c:pt>
                <c:pt idx="439">
                  <c:v>-18.702397254394487</c:v>
                </c:pt>
                <c:pt idx="440">
                  <c:v>-18.893427994164213</c:v>
                </c:pt>
                <c:pt idx="441">
                  <c:v>-19.082647400808622</c:v>
                </c:pt>
                <c:pt idx="442">
                  <c:v>-19.269996033797089</c:v>
                </c:pt>
                <c:pt idx="443">
                  <c:v>-19.455415773911763</c:v>
                </c:pt>
                <c:pt idx="444">
                  <c:v>-19.638849928670719</c:v>
                </c:pt>
                <c:pt idx="445">
                  <c:v>-19.820243333207543</c:v>
                </c:pt>
                <c:pt idx="446">
                  <c:v>-19.999542446738921</c:v>
                </c:pt>
                <c:pt idx="447">
                  <c:v>-20.176695444780698</c:v>
                </c:pt>
                <c:pt idx="448">
                  <c:v>-20.351652307294184</c:v>
                </c:pt>
                <c:pt idx="449">
                  <c:v>-20.524364902949284</c:v>
                </c:pt>
                <c:pt idx="450">
                  <c:v>-20.694787069692879</c:v>
                </c:pt>
                <c:pt idx="451">
                  <c:v>-20.862874691790356</c:v>
                </c:pt>
                <c:pt idx="452">
                  <c:v>-21.028585773491773</c:v>
                </c:pt>
                <c:pt idx="453">
                  <c:v>-21.19188050943654</c:v>
                </c:pt>
                <c:pt idx="454">
                  <c:v>-21.352721351875324</c:v>
                </c:pt>
                <c:pt idx="455">
                  <c:v>-21.51107307474069</c:v>
                </c:pt>
                <c:pt idx="456">
                  <c:v>-21.666902834551021</c:v>
                </c:pt>
                <c:pt idx="457">
                  <c:v>-21.820180228080886</c:v>
                </c:pt>
                <c:pt idx="458">
                  <c:v>-21.970877346679096</c:v>
                </c:pt>
                <c:pt idx="459">
                  <c:v>-22.118968827065892</c:v>
                </c:pt>
                <c:pt idx="460">
                  <c:v>-22.264431898395152</c:v>
                </c:pt>
                <c:pt idx="461">
                  <c:v>-22.407246425321162</c:v>
                </c:pt>
                <c:pt idx="462">
                  <c:v>-22.547394946777235</c:v>
                </c:pt>
                <c:pt idx="463">
                  <c:v>-22.684862710140852</c:v>
                </c:pt>
                <c:pt idx="464">
                  <c:v>-22.819637700440424</c:v>
                </c:pt>
                <c:pt idx="465">
                  <c:v>-22.951710664245574</c:v>
                </c:pt>
                <c:pt idx="466">
                  <c:v>-23.081075127882613</c:v>
                </c:pt>
                <c:pt idx="467">
                  <c:v>-23.20772740962143</c:v>
                </c:pt>
                <c:pt idx="468">
                  <c:v>-23.331666625500347</c:v>
                </c:pt>
                <c:pt idx="469">
                  <c:v>-23.452894688481454</c:v>
                </c:pt>
                <c:pt idx="470">
                  <c:v>-23.571416300665888</c:v>
                </c:pt>
                <c:pt idx="471">
                  <c:v>-23.687238938344784</c:v>
                </c:pt>
                <c:pt idx="472">
                  <c:v>-23.800372829712231</c:v>
                </c:pt>
                <c:pt idx="473">
                  <c:v>-23.910830925129464</c:v>
                </c:pt>
                <c:pt idx="474">
                  <c:v>-24.018628859891567</c:v>
                </c:pt>
                <c:pt idx="475">
                  <c:v>-24.123784909518029</c:v>
                </c:pt>
                <c:pt idx="476">
                  <c:v>-24.226319937660655</c:v>
                </c:pt>
                <c:pt idx="477">
                  <c:v>-24.326257336791951</c:v>
                </c:pt>
                <c:pt idx="478">
                  <c:v>-24.423622961912944</c:v>
                </c:pt>
                <c:pt idx="479">
                  <c:v>-24.518445057585815</c:v>
                </c:pt>
                <c:pt idx="480">
                  <c:v>-24.610754178665658</c:v>
                </c:pt>
                <c:pt idx="481">
                  <c:v>-24.700583105167595</c:v>
                </c:pt>
                <c:pt idx="482">
                  <c:v>-24.787966751761878</c:v>
                </c:pt>
                <c:pt idx="483">
                  <c:v>-24.872942072439873</c:v>
                </c:pt>
                <c:pt idx="484">
                  <c:v>-24.955547960937537</c:v>
                </c:pt>
                <c:pt idx="485">
                  <c:v>-25.035825147536862</c:v>
                </c:pt>
                <c:pt idx="486">
                  <c:v>-25.113816092893252</c:v>
                </c:pt>
                <c:pt idx="487">
                  <c:v>-25.189564879555533</c:v>
                </c:pt>
                <c:pt idx="488">
                  <c:v>-25.26311710185286</c:v>
                </c:pt>
                <c:pt idx="489">
                  <c:v>-25.334519754827909</c:v>
                </c:pt>
                <c:pt idx="490">
                  <c:v>-25.403821122885727</c:v>
                </c:pt>
                <c:pt idx="491">
                  <c:v>-25.471070668813933</c:v>
                </c:pt>
                <c:pt idx="492">
                  <c:v>-25.536318923811177</c:v>
                </c:pt>
                <c:pt idx="493">
                  <c:v>-25.599617379130493</c:v>
                </c:pt>
                <c:pt idx="494">
                  <c:v>-25.66101837991134</c:v>
                </c:pt>
                <c:pt idx="495">
                  <c:v>-25.720575021737318</c:v>
                </c:pt>
                <c:pt idx="496">
                  <c:v>-25.778341050414099</c:v>
                </c:pt>
                <c:pt idx="497">
                  <c:v>-25.834370765415873</c:v>
                </c:pt>
                <c:pt idx="498">
                  <c:v>-25.888718927402689</c:v>
                </c:pt>
                <c:pt idx="499">
                  <c:v>-25.941440670161263</c:v>
                </c:pt>
                <c:pt idx="500">
                  <c:v>-25.992591417271676</c:v>
                </c:pt>
                <c:pt idx="501">
                  <c:v>-26.042226803753913</c:v>
                </c:pt>
                <c:pt idx="502">
                  <c:v>-26.090402602897015</c:v>
                </c:pt>
                <c:pt idx="503">
                  <c:v>-26.137174658427618</c:v>
                </c:pt>
                <c:pt idx="504">
                  <c:v>-26.182598822125392</c:v>
                </c:pt>
                <c:pt idx="505">
                  <c:v>-26.226730896952112</c:v>
                </c:pt>
                <c:pt idx="506">
                  <c:v>-26.269626585714647</c:v>
                </c:pt>
                <c:pt idx="507">
                  <c:v>-26.311341445246374</c:v>
                </c:pt>
                <c:pt idx="508">
                  <c:v>-26.351930846052575</c:v>
                </c:pt>
                <c:pt idx="509">
                  <c:v>-26.391449937332233</c:v>
                </c:pt>
                <c:pt idx="510">
                  <c:v>-26.429953617258523</c:v>
                </c:pt>
                <c:pt idx="511">
                  <c:v>-26.467496508371301</c:v>
                </c:pt>
                <c:pt idx="512">
                  <c:v>-26.504132937911212</c:v>
                </c:pt>
                <c:pt idx="513">
                  <c:v>-26.539916922902375</c:v>
                </c:pt>
                <c:pt idx="514">
                  <c:v>-26.57490215977143</c:v>
                </c:pt>
                <c:pt idx="515">
                  <c:v>-26.609142018274863</c:v>
                </c:pt>
                <c:pt idx="516">
                  <c:v>-26.642689539490924</c:v>
                </c:pt>
                <c:pt idx="517">
                  <c:v>-26.675597437621615</c:v>
                </c:pt>
                <c:pt idx="518">
                  <c:v>-26.707918105339758</c:v>
                </c:pt>
                <c:pt idx="519">
                  <c:v>-26.739703622407681</c:v>
                </c:pt>
                <c:pt idx="520">
                  <c:v>-26.771005767288155</c:v>
                </c:pt>
                <c:pt idx="521">
                  <c:v>-26.801876031461926</c:v>
                </c:pt>
                <c:pt idx="522">
                  <c:v>-26.83236563616348</c:v>
                </c:pt>
                <c:pt idx="523">
                  <c:v>-26.862525551242221</c:v>
                </c:pt>
                <c:pt idx="524">
                  <c:v>-26.892406515854994</c:v>
                </c:pt>
                <c:pt idx="525">
                  <c:v>-26.922059060695325</c:v>
                </c:pt>
                <c:pt idx="526">
                  <c:v>-26.951533531459511</c:v>
                </c:pt>
                <c:pt idx="527">
                  <c:v>-26.980880113256269</c:v>
                </c:pt>
                <c:pt idx="528">
                  <c:v>-27.010148855658681</c:v>
                </c:pt>
                <c:pt idx="529">
                  <c:v>-27.039389698103694</c:v>
                </c:pt>
                <c:pt idx="530">
                  <c:v>-27.068652495340157</c:v>
                </c:pt>
                <c:pt idx="531">
                  <c:v>-27.097987042628834</c:v>
                </c:pt>
                <c:pt idx="532">
                  <c:v>-27.127443100398217</c:v>
                </c:pt>
                <c:pt idx="533">
                  <c:v>-27.157070418060091</c:v>
                </c:pt>
                <c:pt idx="534">
                  <c:v>-27.186918756690286</c:v>
                </c:pt>
                <c:pt idx="535">
                  <c:v>-27.217037910280695</c:v>
                </c:pt>
                <c:pt idx="536">
                  <c:v>-27.247477725270329</c:v>
                </c:pt>
                <c:pt idx="537">
                  <c:v>-27.278288118065515</c:v>
                </c:pt>
                <c:pt idx="538">
                  <c:v>-27.30951909026107</c:v>
                </c:pt>
                <c:pt idx="539">
                  <c:v>-27.34122074127896</c:v>
                </c:pt>
                <c:pt idx="540">
                  <c:v>-27.373443278143665</c:v>
                </c:pt>
                <c:pt idx="541">
                  <c:v>-27.406237022119239</c:v>
                </c:pt>
              </c:numCache>
            </c:numRef>
          </c:yVal>
          <c:smooth val="1"/>
          <c:extLst>
            <c:ext xmlns:c16="http://schemas.microsoft.com/office/drawing/2014/chart" uri="{C3380CC4-5D6E-409C-BE32-E72D297353CC}">
              <c16:uniqueId val="{00000000-4DF9-48EE-A14E-F4C50FB2351F}"/>
            </c:ext>
          </c:extLst>
        </c:ser>
        <c:dLbls>
          <c:showLegendKey val="0"/>
          <c:showVal val="0"/>
          <c:showCatName val="0"/>
          <c:showSerName val="0"/>
          <c:showPercent val="0"/>
          <c:showBubbleSize val="0"/>
        </c:dLbls>
        <c:axId val="317457152"/>
        <c:axId val="317459072"/>
      </c:scatterChart>
      <c:scatterChart>
        <c:scatterStyle val="smoothMarker"/>
        <c:varyColors val="0"/>
        <c:ser>
          <c:idx val="1"/>
          <c:order val="1"/>
          <c:tx>
            <c:v>Phase (deg)</c:v>
          </c:tx>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CCM_Loop_Modeling_non_isolated!$AE$19:$AE$560</c:f>
              <c:numCache>
                <c:formatCode>General</c:formatCode>
                <c:ptCount val="542"/>
                <c:pt idx="0">
                  <c:v>-0.32092531690447401</c:v>
                </c:pt>
                <c:pt idx="1">
                  <c:v>-0.32840047406260253</c:v>
                </c:pt>
                <c:pt idx="2">
                  <c:v>-0.33604973900138918</c:v>
                </c:pt>
                <c:pt idx="3">
                  <c:v>-0.34387716642554145</c:v>
                </c:pt>
                <c:pt idx="4">
                  <c:v>-0.35188690542972567</c:v>
                </c:pt>
                <c:pt idx="5">
                  <c:v>-0.36008320169317098</c:v>
                </c:pt>
                <c:pt idx="6">
                  <c:v>-0.36847039972510026</c:v>
                </c:pt>
                <c:pt idx="7">
                  <c:v>-0.37705294516217053</c:v>
                </c:pt>
                <c:pt idx="8">
                  <c:v>-0.38583538711907323</c:v>
                </c:pt>
                <c:pt idx="9">
                  <c:v>-0.39482238059354863</c:v>
                </c:pt>
                <c:pt idx="10">
                  <c:v>-0.40401868892703402</c:v>
                </c:pt>
                <c:pt idx="11">
                  <c:v>-0.4134291863222414</c:v>
                </c:pt>
                <c:pt idx="12">
                  <c:v>-0.4230588604189035</c:v>
                </c:pt>
                <c:pt idx="13">
                  <c:v>-0.43291281492909844</c:v>
                </c:pt>
                <c:pt idx="14">
                  <c:v>-0.4429962723334015</c:v>
                </c:pt>
                <c:pt idx="15">
                  <c:v>-0.45331457663936747</c:v>
                </c:pt>
                <c:pt idx="16">
                  <c:v>-0.46387319620364664</c:v>
                </c:pt>
                <c:pt idx="17">
                  <c:v>-0.47467772661922303</c:v>
                </c:pt>
                <c:pt idx="18">
                  <c:v>-0.48573389366928205</c:v>
                </c:pt>
                <c:pt idx="19">
                  <c:v>-0.49704755634914349</c:v>
                </c:pt>
                <c:pt idx="20">
                  <c:v>-0.50862470995783204</c:v>
                </c:pt>
                <c:pt idx="21">
                  <c:v>-0.52047148926086728</c:v>
                </c:pt>
                <c:pt idx="22">
                  <c:v>-0.53259417172583423</c:v>
                </c:pt>
                <c:pt idx="23">
                  <c:v>-0.54499918083242027</c:v>
                </c:pt>
                <c:pt idx="24">
                  <c:v>-0.55769308945850515</c:v>
                </c:pt>
                <c:pt idx="25">
                  <c:v>-0.57068262334412567</c:v>
                </c:pt>
                <c:pt idx="26">
                  <c:v>-0.58397466463491221</c:v>
                </c:pt>
                <c:pt idx="27">
                  <c:v>-0.59757625550689097</c:v>
                </c:pt>
                <c:pt idx="28">
                  <c:v>-0.61149460187436999</c:v>
                </c:pt>
                <c:pt idx="29">
                  <c:v>-0.62573707718279625</c:v>
                </c:pt>
                <c:pt idx="30">
                  <c:v>-0.64031122628847825</c:v>
                </c:pt>
                <c:pt idx="31">
                  <c:v>-0.65522476942701591</c:v>
                </c:pt>
                <c:pt idx="32">
                  <c:v>-0.67048560627246145</c:v>
                </c:pt>
                <c:pt idx="33">
                  <c:v>-0.68610182008919973</c:v>
                </c:pt>
                <c:pt idx="34">
                  <c:v>-0.7020816819784953</c:v>
                </c:pt>
                <c:pt idx="35">
                  <c:v>-0.71843365522187985</c:v>
                </c:pt>
                <c:pt idx="36">
                  <c:v>-0.73516639972340647</c:v>
                </c:pt>
                <c:pt idx="37">
                  <c:v>-0.75228877655288695</c:v>
                </c:pt>
                <c:pt idx="38">
                  <c:v>-0.7698098525924767</c:v>
                </c:pt>
                <c:pt idx="39">
                  <c:v>-0.78773890528851609</c:v>
                </c:pt>
                <c:pt idx="40">
                  <c:v>-0.80608542751114587</c:v>
                </c:pt>
                <c:pt idx="41">
                  <c:v>-0.82485913252389642</c:v>
                </c:pt>
                <c:pt idx="42">
                  <c:v>-0.84406995906556981</c:v>
                </c:pt>
                <c:pt idx="43">
                  <c:v>-0.86372807654676731</c:v>
                </c:pt>
                <c:pt idx="44">
                  <c:v>-0.88384389036357403</c:v>
                </c:pt>
                <c:pt idx="45">
                  <c:v>-0.90442804733069782</c:v>
                </c:pt>
                <c:pt idx="46">
                  <c:v>-0.92549144123664739</c:v>
                </c:pt>
                <c:pt idx="47">
                  <c:v>-0.94704521852344958</c:v>
                </c:pt>
                <c:pt idx="48">
                  <c:v>-0.96910078409345035</c:v>
                </c:pt>
                <c:pt idx="49">
                  <c:v>-0.99166980724572507</c:v>
                </c:pt>
                <c:pt idx="50">
                  <c:v>-1.0147642277448699</c:v>
                </c:pt>
                <c:pt idx="51">
                  <c:v>-1.0383962620246969</c:v>
                </c:pt>
                <c:pt idx="52">
                  <c:v>-1.0625784095294752</c:v>
                </c:pt>
                <c:pt idx="53">
                  <c:v>-1.0873234591957428</c:v>
                </c:pt>
                <c:pt idx="54">
                  <c:v>-1.1126444960769106</c:v>
                </c:pt>
                <c:pt idx="55">
                  <c:v>-1.1385549081140012</c:v>
                </c:pt>
                <c:pt idx="56">
                  <c:v>-1.1650683930548646</c:v>
                </c:pt>
                <c:pt idx="57">
                  <c:v>-1.1921989655249661</c:v>
                </c:pt>
                <c:pt idx="58">
                  <c:v>-1.2199609642524551</c:v>
                </c:pt>
                <c:pt idx="59">
                  <c:v>-1.2483690594503478</c:v>
                </c:pt>
                <c:pt idx="60">
                  <c:v>-1.277438260358895</c:v>
                </c:pt>
                <c:pt idx="61">
                  <c:v>-1.3071839229506839</c:v>
                </c:pt>
                <c:pt idx="62">
                  <c:v>-1.3376217578016683</c:v>
                </c:pt>
                <c:pt idx="63">
                  <c:v>-1.3687678381308559</c:v>
                </c:pt>
                <c:pt idx="64">
                  <c:v>-1.4006386080115369</c:v>
                </c:pt>
                <c:pt idx="65">
                  <c:v>-1.4332508907570458</c:v>
                </c:pt>
                <c:pt idx="66">
                  <c:v>-1.4666218974837837</c:v>
                </c:pt>
                <c:pt idx="67">
                  <c:v>-1.5007692358544338</c:v>
                </c:pt>
                <c:pt idx="68">
                  <c:v>-1.5357109190042062</c:v>
                </c:pt>
                <c:pt idx="69">
                  <c:v>-1.5714653746528722</c:v>
                </c:pt>
                <c:pt idx="70">
                  <c:v>-1.6080514544053246</c:v>
                </c:pt>
                <c:pt idx="71">
                  <c:v>-1.6454884432434782</c:v>
                </c:pt>
                <c:pt idx="72">
                  <c:v>-1.6837960692119729</c:v>
                </c:pt>
                <c:pt idx="73">
                  <c:v>-1.7229945133005806</c:v>
                </c:pt>
                <c:pt idx="74">
                  <c:v>-1.7631044195253649</c:v>
                </c:pt>
                <c:pt idx="75">
                  <c:v>-1.8041469052115924</c:v>
                </c:pt>
                <c:pt idx="76">
                  <c:v>-1.8461435714801668</c:v>
                </c:pt>
                <c:pt idx="77">
                  <c:v>-1.8891165139402306</c:v>
                </c:pt>
                <c:pt idx="78">
                  <c:v>-1.9330883335897691</c:v>
                </c:pt>
                <c:pt idx="79">
                  <c:v>-1.9780821479262263</c:v>
                </c:pt>
                <c:pt idx="80">
                  <c:v>-2.0241216022690245</c:v>
                </c:pt>
                <c:pt idx="81">
                  <c:v>-2.0712308812954241</c:v>
                </c:pt>
                <c:pt idx="82">
                  <c:v>-2.1194347207912867</c:v>
                </c:pt>
                <c:pt idx="83">
                  <c:v>-2.1687584196178777</c:v>
                </c:pt>
                <c:pt idx="84">
                  <c:v>-2.219227851895635</c:v>
                </c:pt>
                <c:pt idx="85">
                  <c:v>-2.2708694794057367</c:v>
                </c:pt>
                <c:pt idx="86">
                  <c:v>-2.3237103642097092</c:v>
                </c:pt>
                <c:pt idx="87">
                  <c:v>-2.3777781814873427</c:v>
                </c:pt>
                <c:pt idx="88">
                  <c:v>-2.4331012325925117</c:v>
                </c:pt>
                <c:pt idx="89">
                  <c:v>-2.4897084583263491</c:v>
                </c:pt>
                <c:pt idx="90">
                  <c:v>-2.5476294524268672</c:v>
                </c:pt>
                <c:pt idx="91">
                  <c:v>-2.6068944752732435</c:v>
                </c:pt>
                <c:pt idx="92">
                  <c:v>-2.6675344678031609</c:v>
                </c:pt>
                <c:pt idx="93">
                  <c:v>-2.7295810656402963</c:v>
                </c:pt>
                <c:pt idx="94">
                  <c:v>-2.7930666134294557</c:v>
                </c:pt>
                <c:pt idx="95">
                  <c:v>-2.8580241793749801</c:v>
                </c:pt>
                <c:pt idx="96">
                  <c:v>-2.9244875699787052</c:v>
                </c:pt>
                <c:pt idx="97">
                  <c:v>-2.9924913449719255</c:v>
                </c:pt>
                <c:pt idx="98">
                  <c:v>-3.0620708324357779</c:v>
                </c:pt>
                <c:pt idx="99">
                  <c:v>-3.1332621441031745</c:v>
                </c:pt>
                <c:pt idx="100">
                  <c:v>-3.2061021908346956</c:v>
                </c:pt>
                <c:pt idx="101">
                  <c:v>-3.2806286982597972</c:v>
                </c:pt>
                <c:pt idx="102">
                  <c:v>-3.3568802225737775</c:v>
                </c:pt>
                <c:pt idx="103">
                  <c:v>-3.4348961664795747</c:v>
                </c:pt>
                <c:pt idx="104">
                  <c:v>-3.5147167952622267</c:v>
                </c:pt>
                <c:pt idx="105">
                  <c:v>-3.5963832529828288</c:v>
                </c:pt>
                <c:pt idx="106">
                  <c:v>-3.6799375787773472</c:v>
                </c:pt>
                <c:pt idx="107">
                  <c:v>-3.7654227232433941</c:v>
                </c:pt>
                <c:pt idx="108">
                  <c:v>-3.8528825648976541</c:v>
                </c:pt>
                <c:pt idx="109">
                  <c:v>-3.9423619266839944</c:v>
                </c:pt>
                <c:pt idx="110">
                  <c:v>-4.0339065925107764</c:v>
                </c:pt>
                <c:pt idx="111">
                  <c:v>-4.1275633237935399</c:v>
                </c:pt>
                <c:pt idx="112">
                  <c:v>-4.2233798759779155</c:v>
                </c:pt>
                <c:pt idx="113">
                  <c:v>-4.3214050150143848</c:v>
                </c:pt>
                <c:pt idx="114">
                  <c:v>-4.4216885337543372</c:v>
                </c:pt>
                <c:pt idx="115">
                  <c:v>-4.524281268234807</c:v>
                </c:pt>
                <c:pt idx="116">
                  <c:v>-4.6292351138158523</c:v>
                </c:pt>
                <c:pt idx="117">
                  <c:v>-4.7366030411315858</c:v>
                </c:pt>
                <c:pt idx="118">
                  <c:v>-4.8464391118133134</c:v>
                </c:pt>
                <c:pt idx="119">
                  <c:v>-4.9587984939394874</c:v>
                </c:pt>
                <c:pt idx="120">
                  <c:v>-5.0737374771627204</c:v>
                </c:pt>
                <c:pt idx="121">
                  <c:v>-5.1913134874628843</c:v>
                </c:pt>
                <c:pt idx="122">
                  <c:v>-5.3115851014675677</c:v>
                </c:pt>
                <c:pt idx="123">
                  <c:v>-5.4346120602806911</c:v>
                </c:pt>
                <c:pt idx="124">
                  <c:v>-5.5604552827528471</c:v>
                </c:pt>
                <c:pt idx="125">
                  <c:v>-5.6891768781229013</c:v>
                </c:pt>
                <c:pt idx="126">
                  <c:v>-5.8208401579566109</c:v>
                </c:pt>
                <c:pt idx="127">
                  <c:v>-5.9555096472999969</c:v>
                </c:pt>
                <c:pt idx="128">
                  <c:v>-6.0932510949617109</c:v>
                </c:pt>
                <c:pt idx="129">
                  <c:v>-6.2341314828336438</c:v>
                </c:pt>
                <c:pt idx="130">
                  <c:v>-6.378219034147623</c:v>
                </c:pt>
                <c:pt idx="131">
                  <c:v>-6.5255832205664843</c:v>
                </c:pt>
                <c:pt idx="132">
                  <c:v>-6.6762947679949045</c:v>
                </c:pt>
                <c:pt idx="133">
                  <c:v>-6.8304256609917893</c:v>
                </c:pt>
                <c:pt idx="134">
                  <c:v>-6.9880491456565634</c:v>
                </c:pt>
                <c:pt idx="135">
                  <c:v>-7.1492397308544504</c:v>
                </c:pt>
                <c:pt idx="136">
                  <c:v>-7.3140731876368008</c:v>
                </c:pt>
                <c:pt idx="137">
                  <c:v>-7.482626546705216</c:v>
                </c:pt>
                <c:pt idx="138">
                  <c:v>-7.6549780937570855</c:v>
                </c:pt>
                <c:pt idx="139">
                  <c:v>-7.831207362543096</c:v>
                </c:pt>
                <c:pt idx="140">
                  <c:v>-8.0113951254556905</c:v>
                </c:pt>
                <c:pt idx="141">
                  <c:v>-8.1956233814582582</c:v>
                </c:pt>
                <c:pt idx="142">
                  <c:v>-8.383975341154688</c:v>
                </c:pt>
                <c:pt idx="143">
                  <c:v>-8.5765354087871462</c:v>
                </c:pt>
                <c:pt idx="144">
                  <c:v>-8.7733891609407095</c:v>
                </c:pt>
                <c:pt idx="145">
                  <c:v>-8.974623321721479</c:v>
                </c:pt>
                <c:pt idx="146">
                  <c:v>-9.1803257341625404</c:v>
                </c:pt>
                <c:pt idx="147">
                  <c:v>-9.3905853276030218</c:v>
                </c:pt>
                <c:pt idx="148">
                  <c:v>-9.6054920807723203</c:v>
                </c:pt>
                <c:pt idx="149">
                  <c:v>-9.8251369802995132</c:v>
                </c:pt>
                <c:pt idx="150">
                  <c:v>-10.049611974359806</c:v>
                </c:pt>
                <c:pt idx="151">
                  <c:v>-10.27900992115358</c:v>
                </c:pt>
                <c:pt idx="152">
                  <c:v>-10.51342453190782</c:v>
                </c:pt>
                <c:pt idx="153">
                  <c:v>-10.75295030807559</c:v>
                </c:pt>
                <c:pt idx="154">
                  <c:v>-10.997682472400401</c:v>
                </c:pt>
                <c:pt idx="155">
                  <c:v>-11.247716893502504</c:v>
                </c:pt>
                <c:pt idx="156">
                  <c:v>-11.503150003636573</c:v>
                </c:pt>
                <c:pt idx="157">
                  <c:v>-11.764078709262037</c:v>
                </c:pt>
                <c:pt idx="158">
                  <c:v>-12.030600294059047</c:v>
                </c:pt>
                <c:pt idx="159">
                  <c:v>-12.302812314022368</c:v>
                </c:pt>
                <c:pt idx="160">
                  <c:v>-12.580812484258621</c:v>
                </c:pt>
                <c:pt idx="161">
                  <c:v>-12.864698557110716</c:v>
                </c:pt>
                <c:pt idx="162">
                  <c:v>-13.154568191238791</c:v>
                </c:pt>
                <c:pt idx="163">
                  <c:v>-13.450518811283446</c:v>
                </c:pt>
                <c:pt idx="164">
                  <c:v>-13.752647457749825</c:v>
                </c:pt>
                <c:pt idx="165">
                  <c:v>-14.061050626755321</c:v>
                </c:pt>
                <c:pt idx="166">
                  <c:v>-14.37582409930069</c:v>
                </c:pt>
                <c:pt idx="167">
                  <c:v>-14.697062759737955</c:v>
                </c:pt>
                <c:pt idx="168">
                  <c:v>-15.024860403132653</c:v>
                </c:pt>
                <c:pt idx="169">
                  <c:v>-15.359309531240509</c:v>
                </c:pt>
                <c:pt idx="170">
                  <c:v>-15.70050113685352</c:v>
                </c:pt>
                <c:pt idx="171">
                  <c:v>-16.048524476305587</c:v>
                </c:pt>
                <c:pt idx="172">
                  <c:v>-16.403466829968192</c:v>
                </c:pt>
                <c:pt idx="173">
                  <c:v>-16.765413250621286</c:v>
                </c:pt>
                <c:pt idx="174">
                  <c:v>-17.134446299636004</c:v>
                </c:pt>
                <c:pt idx="175">
                  <c:v>-17.510645770971003</c:v>
                </c:pt>
                <c:pt idx="176">
                  <c:v>-17.894088403057594</c:v>
                </c:pt>
                <c:pt idx="177">
                  <c:v>-18.284847578722744</c:v>
                </c:pt>
                <c:pt idx="178">
                  <c:v>-18.682993013393038</c:v>
                </c:pt>
                <c:pt idx="179">
                  <c:v>-19.0885904319125</c:v>
                </c:pt>
                <c:pt idx="180">
                  <c:v>-19.501701234416412</c:v>
                </c:pt>
                <c:pt idx="181">
                  <c:v>-19.922382151813999</c:v>
                </c:pt>
                <c:pt idx="182">
                  <c:v>-20.350684891553747</c:v>
                </c:pt>
                <c:pt idx="183">
                  <c:v>-20.786655774478835</c:v>
                </c:pt>
                <c:pt idx="184">
                  <c:v>-21.230335363713223</c:v>
                </c:pt>
                <c:pt idx="185">
                  <c:v>-21.681758086669305</c:v>
                </c:pt>
                <c:pt idx="186">
                  <c:v>-22.140951851416236</c:v>
                </c:pt>
                <c:pt idx="187">
                  <c:v>-22.607937658807632</c:v>
                </c:pt>
                <c:pt idx="188">
                  <c:v>-23.082729211932794</c:v>
                </c:pt>
                <c:pt idx="189">
                  <c:v>-23.565332524614799</c:v>
                </c:pt>
                <c:pt idx="190">
                  <c:v>-24.055745530855518</c:v>
                </c:pt>
                <c:pt idx="191">
                  <c:v>-24.553957697288606</c:v>
                </c:pt>
                <c:pt idx="192">
                  <c:v>-25.059949640869633</c:v>
                </c:pt>
                <c:pt idx="193">
                  <c:v>-25.573692754195491</c:v>
                </c:pt>
                <c:pt idx="194">
                  <c:v>-26.095148840997673</c:v>
                </c:pt>
                <c:pt idx="195">
                  <c:v>-26.624269764496336</c:v>
                </c:pt>
                <c:pt idx="196">
                  <c:v>-27.160997111443113</c:v>
                </c:pt>
                <c:pt idx="197">
                  <c:v>-27.705261874781478</c:v>
                </c:pt>
                <c:pt idx="198">
                  <c:v>-28.256984157968464</c:v>
                </c:pt>
                <c:pt idx="199">
                  <c:v>-28.816072904058576</c:v>
                </c:pt>
                <c:pt idx="200">
                  <c:v>-29.382425652714744</c:v>
                </c:pt>
                <c:pt idx="201">
                  <c:v>-29.955928328319768</c:v>
                </c:pt>
                <c:pt idx="202">
                  <c:v>-30.536455062355103</c:v>
                </c:pt>
                <c:pt idx="203">
                  <c:v>-31.123868053166515</c:v>
                </c:pt>
                <c:pt idx="204">
                  <c:v>-31.718017466147476</c:v>
                </c:pt>
                <c:pt idx="205">
                  <c:v>-32.318741377250774</c:v>
                </c:pt>
                <c:pt idx="206">
                  <c:v>-32.925865762565969</c:v>
                </c:pt>
                <c:pt idx="207">
                  <c:v>-33.539204536500002</c:v>
                </c:pt>
                <c:pt idx="208">
                  <c:v>-34.15855964083265</c:v>
                </c:pt>
                <c:pt idx="209">
                  <c:v>-34.78372118663529</c:v>
                </c:pt>
                <c:pt idx="210">
                  <c:v>-35.414467650692714</c:v>
                </c:pt>
                <c:pt idx="211">
                  <c:v>-36.050566127695653</c:v>
                </c:pt>
                <c:pt idx="212">
                  <c:v>-36.691772639051045</c:v>
                </c:pt>
                <c:pt idx="213">
                  <c:v>-37.337832498713084</c:v>
                </c:pt>
                <c:pt idx="214">
                  <c:v>-37.988480735948926</c:v>
                </c:pt>
                <c:pt idx="215">
                  <c:v>-38.643442574463073</c:v>
                </c:pt>
                <c:pt idx="216">
                  <c:v>-39.302433966774117</c:v>
                </c:pt>
                <c:pt idx="217">
                  <c:v>-39.965162182210477</c:v>
                </c:pt>
                <c:pt idx="218">
                  <c:v>-40.631326446358479</c:v>
                </c:pt>
                <c:pt idx="219">
                  <c:v>-41.300618629269124</c:v>
                </c:pt>
                <c:pt idx="220">
                  <c:v>-41.972723979209043</c:v>
                </c:pt>
                <c:pt idx="221">
                  <c:v>-42.64732189825758</c:v>
                </c:pt>
                <c:pt idx="222">
                  <c:v>-43.324086755577653</c:v>
                </c:pt>
                <c:pt idx="223">
                  <c:v>-44.002688733775187</c:v>
                </c:pt>
                <c:pt idx="224">
                  <c:v>-44.682794703372629</c:v>
                </c:pt>
                <c:pt idx="225">
                  <c:v>-45.364069120103714</c:v>
                </c:pt>
                <c:pt idx="226">
                  <c:v>-46.046174939467782</c:v>
                </c:pt>
                <c:pt idx="227">
                  <c:v>-46.728774542773628</c:v>
                </c:pt>
                <c:pt idx="228">
                  <c:v>-47.41153066877277</c:v>
                </c:pt>
                <c:pt idx="229">
                  <c:v>-48.094107344922406</c:v>
                </c:pt>
                <c:pt idx="230">
                  <c:v>-48.776170812303327</c:v>
                </c:pt>
                <c:pt idx="231">
                  <c:v>-49.457390438323777</c:v>
                </c:pt>
                <c:pt idx="232">
                  <c:v>-50.137439611466547</c:v>
                </c:pt>
                <c:pt idx="233">
                  <c:v>-50.815996612559559</c:v>
                </c:pt>
                <c:pt idx="234">
                  <c:v>-51.492745457331345</c:v>
                </c:pt>
                <c:pt idx="235">
                  <c:v>-52.167376705339279</c:v>
                </c:pt>
                <c:pt idx="236">
                  <c:v>-52.839588230755709</c:v>
                </c:pt>
                <c:pt idx="237">
                  <c:v>-53.509085950918724</c:v>
                </c:pt>
                <c:pt idx="238">
                  <c:v>-54.175584509037314</c:v>
                </c:pt>
                <c:pt idx="239">
                  <c:v>-54.838807907919026</c:v>
                </c:pt>
                <c:pt idx="240">
                  <c:v>-55.498490092125067</c:v>
                </c:pt>
                <c:pt idx="241">
                  <c:v>-56.154375476477107</c:v>
                </c:pt>
                <c:pt idx="242">
                  <c:v>-56.806219419374671</c:v>
                </c:pt>
                <c:pt idx="243">
                  <c:v>-57.453788639914862</c:v>
                </c:pt>
                <c:pt idx="244">
                  <c:v>-58.096861578321601</c:v>
                </c:pt>
                <c:pt idx="245">
                  <c:v>-58.735228699691731</c:v>
                </c:pt>
                <c:pt idx="246">
                  <c:v>-59.368692741538375</c:v>
                </c:pt>
                <c:pt idx="247">
                  <c:v>-59.9970689060574</c:v>
                </c:pt>
                <c:pt idx="248">
                  <c:v>-60.620184998454583</c:v>
                </c:pt>
                <c:pt idx="249">
                  <c:v>-61.237881513037998</c:v>
                </c:pt>
                <c:pt idx="250">
                  <c:v>-61.850011669118061</c:v>
                </c:pt>
                <c:pt idx="251">
                  <c:v>-62.456441399038681</c:v>
                </c:pt>
                <c:pt idx="252">
                  <c:v>-63.057049290917099</c:v>
                </c:pt>
                <c:pt idx="253">
                  <c:v>-63.651726488866359</c:v>
                </c:pt>
                <c:pt idx="254">
                  <c:v>-64.240376553634121</c:v>
                </c:pt>
                <c:pt idx="255">
                  <c:v>-64.82291528671324</c:v>
                </c:pt>
                <c:pt idx="256">
                  <c:v>-65.399270521053026</c:v>
                </c:pt>
                <c:pt idx="257">
                  <c:v>-65.969381881547278</c:v>
                </c:pt>
                <c:pt idx="258">
                  <c:v>-66.533200518474885</c:v>
                </c:pt>
                <c:pt idx="259">
                  <c:v>-67.090688817048289</c:v>
                </c:pt>
                <c:pt idx="260">
                  <c:v>-67.641820086172089</c:v>
                </c:pt>
                <c:pt idx="261">
                  <c:v>-68.186578229430779</c:v>
                </c:pt>
                <c:pt idx="262">
                  <c:v>-68.72495740122821</c:v>
                </c:pt>
                <c:pt idx="263">
                  <c:v>-69.256961650882005</c:v>
                </c:pt>
                <c:pt idx="264">
                  <c:v>-69.782604557339155</c:v>
                </c:pt>
                <c:pt idx="265">
                  <c:v>-70.301908857034533</c:v>
                </c:pt>
                <c:pt idx="266">
                  <c:v>-70.814906067259287</c:v>
                </c:pt>
                <c:pt idx="267">
                  <c:v>-71.321636107239328</c:v>
                </c:pt>
                <c:pt idx="268">
                  <c:v>-71.822146918964492</c:v>
                </c:pt>
                <c:pt idx="269">
                  <c:v>-72.31649408963294</c:v>
                </c:pt>
                <c:pt idx="270">
                  <c:v>-72.804740477414384</c:v>
                </c:pt>
                <c:pt idx="271">
                  <c:v>-73.28695584206713</c:v>
                </c:pt>
                <c:pt idx="272">
                  <c:v>-73.763216481779025</c:v>
                </c:pt>
                <c:pt idx="273">
                  <c:v>-74.23360487745073</c:v>
                </c:pt>
                <c:pt idx="274">
                  <c:v>-74.698209345484017</c:v>
                </c:pt>
                <c:pt idx="275">
                  <c:v>-75.157123699995054</c:v>
                </c:pt>
                <c:pt idx="276">
                  <c:v>-75.610446925235621</c:v>
                </c:pt>
                <c:pt idx="277">
                  <c:v>-76.058282858875387</c:v>
                </c:pt>
                <c:pt idx="278">
                  <c:v>-76.500739886680336</c:v>
                </c:pt>
                <c:pt idx="279">
                  <c:v>-76.937930649005949</c:v>
                </c:pt>
                <c:pt idx="280">
                  <c:v>-77.369971759425752</c:v>
                </c:pt>
                <c:pt idx="281">
                  <c:v>-77.796983535716066</c:v>
                </c:pt>
                <c:pt idx="282">
                  <c:v>-78.219089743335175</c:v>
                </c:pt>
                <c:pt idx="283">
                  <c:v>-78.636417351452863</c:v>
                </c:pt>
                <c:pt idx="284">
                  <c:v>-79.049096301520891</c:v>
                </c:pt>
                <c:pt idx="285">
                  <c:v>-79.457259288306602</c:v>
                </c:pt>
                <c:pt idx="286">
                  <c:v>-79.861041553260051</c:v>
                </c:pt>
                <c:pt idx="287">
                  <c:v>-80.260580690035496</c:v>
                </c:pt>
                <c:pt idx="288">
                  <c:v>-80.656016461942926</c:v>
                </c:pt>
                <c:pt idx="289">
                  <c:v>-81.047490631072336</c:v>
                </c:pt>
                <c:pt idx="290">
                  <c:v>-81.435146798799707</c:v>
                </c:pt>
                <c:pt idx="291">
                  <c:v>-81.8191302573575</c:v>
                </c:pt>
                <c:pt idx="292">
                  <c:v>-82.199587852133277</c:v>
                </c:pt>
                <c:pt idx="293">
                  <c:v>-82.576667854338467</c:v>
                </c:pt>
                <c:pt idx="294">
                  <c:v>-82.95051984368061</c:v>
                </c:pt>
                <c:pt idx="295">
                  <c:v>-83.321294600657211</c:v>
                </c:pt>
                <c:pt idx="296">
                  <c:v>-83.689144008086132</c:v>
                </c:pt>
                <c:pt idx="297">
                  <c:v>-84.054220961480524</c:v>
                </c:pt>
                <c:pt idx="298">
                  <c:v>-84.416679287874061</c:v>
                </c:pt>
                <c:pt idx="299">
                  <c:v>-84.776673672703708</c:v>
                </c:pt>
                <c:pt idx="300">
                  <c:v>-85.134359594356511</c:v>
                </c:pt>
                <c:pt idx="301">
                  <c:v>-85.489893265991412</c:v>
                </c:pt>
                <c:pt idx="302">
                  <c:v>-85.843431584250609</c:v>
                </c:pt>
                <c:pt idx="303">
                  <c:v>-86.195132084480122</c:v>
                </c:pt>
                <c:pt idx="304">
                  <c:v>-86.545152902085491</c:v>
                </c:pt>
                <c:pt idx="305">
                  <c:v>-86.893652739654613</c:v>
                </c:pt>
                <c:pt idx="306">
                  <c:v>-87.240790839486877</c:v>
                </c:pt>
                <c:pt idx="307">
                  <c:v>-87.586726961175472</c:v>
                </c:pt>
                <c:pt idx="308">
                  <c:v>-87.931621363895943</c:v>
                </c:pt>
                <c:pt idx="309">
                  <c:v>-88.27563479306248</c:v>
                </c:pt>
                <c:pt idx="310">
                  <c:v>-88.618928471020311</c:v>
                </c:pt>
                <c:pt idx="311">
                  <c:v>-88.961664091449194</c:v>
                </c:pt>
                <c:pt idx="312">
                  <c:v>-89.304003817160634</c:v>
                </c:pt>
                <c:pt idx="313">
                  <c:v>-89.646110280976416</c:v>
                </c:pt>
                <c:pt idx="314">
                  <c:v>-89.988146589383277</c:v>
                </c:pt>
                <c:pt idx="315">
                  <c:v>-90.330276328662649</c:v>
                </c:pt>
                <c:pt idx="316">
                  <c:v>-90.672663573200524</c:v>
                </c:pt>
                <c:pt idx="317">
                  <c:v>-91.015472895684695</c:v>
                </c:pt>
                <c:pt idx="318">
                  <c:v>-91.358869378901971</c:v>
                </c:pt>
                <c:pt idx="319">
                  <c:v>-91.703018628848994</c:v>
                </c:pt>
                <c:pt idx="320">
                  <c:v>-92.048086788874357</c:v>
                </c:pt>
                <c:pt idx="321">
                  <c:v>-92.394240554567205</c:v>
                </c:pt>
                <c:pt idx="322">
                  <c:v>-92.741647189112371</c:v>
                </c:pt>
                <c:pt idx="323">
                  <c:v>-93.090474538827749</c:v>
                </c:pt>
                <c:pt idx="324">
                  <c:v>-93.440891048601273</c:v>
                </c:pt>
                <c:pt idx="325">
                  <c:v>-93.7930657769394</c:v>
                </c:pt>
                <c:pt idx="326">
                  <c:v>-94.14716841033831</c:v>
                </c:pt>
                <c:pt idx="327">
                  <c:v>-94.503369276685618</c:v>
                </c:pt>
                <c:pt idx="328">
                  <c:v>-94.86183935739119</c:v>
                </c:pt>
                <c:pt idx="329">
                  <c:v>-95.222750297947186</c:v>
                </c:pt>
                <c:pt idx="330">
                  <c:v>-95.586274416600617</c:v>
                </c:pt>
                <c:pt idx="331">
                  <c:v>-95.95258471082532</c:v>
                </c:pt>
                <c:pt idx="332">
                  <c:v>-96.321854861262082</c:v>
                </c:pt>
                <c:pt idx="333">
                  <c:v>-96.69425923279249</c:v>
                </c:pt>
                <c:pt idx="334">
                  <c:v>-97.069972872398722</c:v>
                </c:pt>
                <c:pt idx="335">
                  <c:v>-97.449171503451737</c:v>
                </c:pt>
                <c:pt idx="336">
                  <c:v>-97.832031516055793</c:v>
                </c:pt>
                <c:pt idx="337">
                  <c:v>-98.218729953070564</c:v>
                </c:pt>
                <c:pt idx="338">
                  <c:v>-98.609444491409917</c:v>
                </c:pt>
                <c:pt idx="339">
                  <c:v>-99.004353418210584</c:v>
                </c:pt>
                <c:pt idx="340">
                  <c:v>-99.403635601441934</c:v>
                </c:pt>
                <c:pt idx="341">
                  <c:v>-99.807470454520555</c:v>
                </c:pt>
                <c:pt idx="342">
                  <c:v>-100.21603789446837</c:v>
                </c:pt>
                <c:pt idx="343">
                  <c:v>-100.62951829314498</c:v>
                </c:pt>
                <c:pt idx="344">
                  <c:v>-101.04809242106279</c:v>
                </c:pt>
                <c:pt idx="345">
                  <c:v>-101.47194138328004</c:v>
                </c:pt>
                <c:pt idx="346">
                  <c:v>-101.90124654684863</c:v>
                </c:pt>
                <c:pt idx="347">
                  <c:v>-102.33618945927647</c:v>
                </c:pt>
                <c:pt idx="348">
                  <c:v>-102.77695175745099</c:v>
                </c:pt>
                <c:pt idx="349">
                  <c:v>-103.2237150664498</c:v>
                </c:pt>
                <c:pt idx="350">
                  <c:v>-103.67666088765432</c:v>
                </c:pt>
                <c:pt idx="351">
                  <c:v>-104.13597047556532</c:v>
                </c:pt>
                <c:pt idx="352">
                  <c:v>-104.60182470270757</c:v>
                </c:pt>
                <c:pt idx="353">
                  <c:v>-105.07440391199906</c:v>
                </c:pt>
                <c:pt idx="354">
                  <c:v>-105.55388775595381</c:v>
                </c:pt>
                <c:pt idx="355">
                  <c:v>-106.04045502207397</c:v>
                </c:pt>
                <c:pt idx="356">
                  <c:v>-106.53428344379266</c:v>
                </c:pt>
                <c:pt idx="357">
                  <c:v>-107.03554949631663</c:v>
                </c:pt>
                <c:pt idx="358">
                  <c:v>-107.54442817672953</c:v>
                </c:pt>
                <c:pt idx="359">
                  <c:v>-108.06109276771825</c:v>
                </c:pt>
                <c:pt idx="360">
                  <c:v>-108.58571458429701</c:v>
                </c:pt>
                <c:pt idx="361">
                  <c:v>-109.11846270292095</c:v>
                </c:pt>
                <c:pt idx="362">
                  <c:v>-109.65950367240166</c:v>
                </c:pt>
                <c:pt idx="363">
                  <c:v>-110.20900120606755</c:v>
                </c:pt>
                <c:pt idx="364">
                  <c:v>-110.76711585464538</c:v>
                </c:pt>
                <c:pt idx="365">
                  <c:v>-111.33400465938296</c:v>
                </c:pt>
                <c:pt idx="366">
                  <c:v>-111.90982078498641</c:v>
                </c:pt>
                <c:pt idx="367">
                  <c:v>-112.49471313200229</c:v>
                </c:pt>
                <c:pt idx="368">
                  <c:v>-113.08882592834938</c:v>
                </c:pt>
                <c:pt idx="369">
                  <c:v>-113.69229829978111</c:v>
                </c:pt>
                <c:pt idx="370">
                  <c:v>-114.30526381915475</c:v>
                </c:pt>
                <c:pt idx="371">
                  <c:v>-114.92785003448584</c:v>
                </c:pt>
                <c:pt idx="372">
                  <c:v>-115.56017797587992</c:v>
                </c:pt>
                <c:pt idx="373">
                  <c:v>-116.20236164156498</c:v>
                </c:pt>
                <c:pt idx="374">
                  <c:v>-116.854507463386</c:v>
                </c:pt>
                <c:pt idx="375">
                  <c:v>-117.51671375227998</c:v>
                </c:pt>
                <c:pt idx="376">
                  <c:v>-118.18907012441777</c:v>
                </c:pt>
                <c:pt idx="377">
                  <c:v>-118.87165690887883</c:v>
                </c:pt>
                <c:pt idx="378">
                  <c:v>-119.56454453792421</c:v>
                </c:pt>
                <c:pt idx="379">
                  <c:v>-120.26779292113655</c:v>
                </c:pt>
                <c:pt idx="380">
                  <c:v>-120.98145080492357</c:v>
                </c:pt>
                <c:pt idx="381">
                  <c:v>-121.70555511910783</c:v>
                </c:pt>
                <c:pt idx="382">
                  <c:v>-122.44013031257317</c:v>
                </c:pt>
                <c:pt idx="383">
                  <c:v>-123.18518768019457</c:v>
                </c:pt>
                <c:pt idx="384">
                  <c:v>-123.94072468353139</c:v>
                </c:pt>
                <c:pt idx="385">
                  <c:v>-124.70672426803998</c:v>
                </c:pt>
                <c:pt idx="386">
                  <c:v>-125.48315417982755</c:v>
                </c:pt>
                <c:pt idx="387">
                  <c:v>-126.26996628524428</c:v>
                </c:pt>
                <c:pt idx="388">
                  <c:v>-127.06709589688126</c:v>
                </c:pt>
                <c:pt idx="389">
                  <c:v>-127.87446110980511</c:v>
                </c:pt>
                <c:pt idx="390">
                  <c:v>-128.69196215212168</c:v>
                </c:pt>
                <c:pt idx="391">
                  <c:v>-129.51948075420657</c:v>
                </c:pt>
                <c:pt idx="392">
                  <c:v>-130.35687954116409</c:v>
                </c:pt>
                <c:pt idx="393">
                  <c:v>-131.20400145329236</c:v>
                </c:pt>
                <c:pt idx="394">
                  <c:v>-132.06066919951368</c:v>
                </c:pt>
                <c:pt idx="395">
                  <c:v>-132.92668474888191</c:v>
                </c:pt>
                <c:pt idx="396">
                  <c:v>-133.80182886540635</c:v>
                </c:pt>
                <c:pt idx="397">
                  <c:v>-134.68586069150814</c:v>
                </c:pt>
                <c:pt idx="398">
                  <c:v>-135.5785173854714</c:v>
                </c:pt>
                <c:pt idx="399">
                  <c:v>-136.47951381824774</c:v>
                </c:pt>
                <c:pt idx="400">
                  <c:v>-137.38854233491023</c:v>
                </c:pt>
                <c:pt idx="401">
                  <c:v>-138.30527258595768</c:v>
                </c:pt>
                <c:pt idx="402">
                  <c:v>-139.22935143349571</c:v>
                </c:pt>
                <c:pt idx="403">
                  <c:v>-140.16040293710779</c:v>
                </c:pt>
                <c:pt idx="404">
                  <c:v>-141.09802842394703</c:v>
                </c:pt>
                <c:pt idx="405">
                  <c:v>-142.04180664724043</c:v>
                </c:pt>
                <c:pt idx="406">
                  <c:v>-142.99129403700098</c:v>
                </c:pt>
                <c:pt idx="407">
                  <c:v>-143.94602504628577</c:v>
                </c:pt>
                <c:pt idx="408">
                  <c:v>-144.90551259582827</c:v>
                </c:pt>
                <c:pt idx="409">
                  <c:v>-145.86924861930893</c:v>
                </c:pt>
                <c:pt idx="410">
                  <c:v>-146.83670471091693</c:v>
                </c:pt>
                <c:pt idx="411">
                  <c:v>-147.80733287619691</c:v>
                </c:pt>
                <c:pt idx="412">
                  <c:v>-148.78056638648872</c:v>
                </c:pt>
                <c:pt idx="413">
                  <c:v>-149.75582073653888</c:v>
                </c:pt>
                <c:pt idx="414">
                  <c:v>-150.73249470411454</c:v>
                </c:pt>
                <c:pt idx="415">
                  <c:v>-151.70997150968896</c:v>
                </c:pt>
                <c:pt idx="416">
                  <c:v>-152.68762007350225</c:v>
                </c:pt>
                <c:pt idx="417">
                  <c:v>-153.66479636651619</c:v>
                </c:pt>
                <c:pt idx="418">
                  <c:v>-154.64084485103842</c:v>
                </c:pt>
                <c:pt idx="419">
                  <c:v>-155.61510000603619</c:v>
                </c:pt>
                <c:pt idx="420">
                  <c:v>-156.586887931457</c:v>
                </c:pt>
                <c:pt idx="421">
                  <c:v>-157.55552802517983</c:v>
                </c:pt>
                <c:pt idx="422">
                  <c:v>-158.5203347255981</c:v>
                </c:pt>
                <c:pt idx="423">
                  <c:v>-159.48061931224393</c:v>
                </c:pt>
                <c:pt idx="424">
                  <c:v>-160.43569175633286</c:v>
                </c:pt>
                <c:pt idx="425">
                  <c:v>-161.38486261264879</c:v>
                </c:pt>
                <c:pt idx="426">
                  <c:v>-162.32744494378935</c:v>
                </c:pt>
                <c:pt idx="427">
                  <c:v>-163.2627562674619</c:v>
                </c:pt>
                <c:pt idx="428">
                  <c:v>-164.19012051728453</c:v>
                </c:pt>
                <c:pt idx="429">
                  <c:v>-165.10887000736065</c:v>
                </c:pt>
                <c:pt idx="430">
                  <c:v>-166.01834739080687</c:v>
                </c:pt>
                <c:pt idx="431">
                  <c:v>-166.91790760239974</c:v>
                </c:pt>
                <c:pt idx="432">
                  <c:v>-167.80691977556475</c:v>
                </c:pt>
                <c:pt idx="433">
                  <c:v>-168.68476912407218</c:v>
                </c:pt>
                <c:pt idx="434">
                  <c:v>-169.5508587790047</c:v>
                </c:pt>
                <c:pt idx="435">
                  <c:v>-170.40461157184734</c:v>
                </c:pt>
                <c:pt idx="436">
                  <c:v>-171.24547175488459</c:v>
                </c:pt>
                <c:pt idx="437">
                  <c:v>-172.07290665049166</c:v>
                </c:pt>
                <c:pt idx="438">
                  <c:v>-172.88640822136267</c:v>
                </c:pt>
                <c:pt idx="439">
                  <c:v>-173.68549455421052</c:v>
                </c:pt>
                <c:pt idx="440">
                  <c:v>-174.46971125002338</c:v>
                </c:pt>
                <c:pt idx="441">
                  <c:v>-175.23863271454405</c:v>
                </c:pt>
                <c:pt idx="442">
                  <c:v>-175.99186334322383</c:v>
                </c:pt>
                <c:pt idx="443">
                  <c:v>-176.72903859555876</c:v>
                </c:pt>
                <c:pt idx="444">
                  <c:v>-177.44982595434467</c:v>
                </c:pt>
                <c:pt idx="445">
                  <c:v>-178.15392576604944</c:v>
                </c:pt>
                <c:pt idx="446">
                  <c:v>-178.84107195917639</c:v>
                </c:pt>
                <c:pt idx="447">
                  <c:v>-179.51103263814585</c:v>
                </c:pt>
                <c:pt idx="448">
                  <c:v>179.83638944909922</c:v>
                </c:pt>
                <c:pt idx="449">
                  <c:v>179.20135657089159</c:v>
                </c:pt>
                <c:pt idx="450">
                  <c:v>178.58399579953212</c:v>
                </c:pt>
                <c:pt idx="451">
                  <c:v>177.98439892669376</c:v>
                </c:pt>
                <c:pt idx="452">
                  <c:v>177.40262250574384</c:v>
                </c:pt>
                <c:pt idx="453">
                  <c:v>176.83868801954961</c:v>
                </c:pt>
                <c:pt idx="454">
                  <c:v>176.29258217173532</c:v>
                </c:pt>
                <c:pt idx="455">
                  <c:v>175.76425729875891</c:v>
                </c:pt>
                <c:pt idx="456">
                  <c:v>175.25363189960424</c:v>
                </c:pt>
                <c:pt idx="457">
                  <c:v>174.76059127931842</c:v>
                </c:pt>
                <c:pt idx="458">
                  <c:v>174.28498830208537</c:v>
                </c:pt>
                <c:pt idx="459">
                  <c:v>173.82664424900707</c:v>
                </c:pt>
                <c:pt idx="460">
                  <c:v>173.38534977526186</c:v>
                </c:pt>
                <c:pt idx="461">
                  <c:v>172.96086596083271</c:v>
                </c:pt>
                <c:pt idx="462">
                  <c:v>172.55292544855513</c:v>
                </c:pt>
                <c:pt idx="463">
                  <c:v>172.16123366281323</c:v>
                </c:pt>
                <c:pt idx="464">
                  <c:v>171.78547010182731</c:v>
                </c:pt>
                <c:pt idx="465">
                  <c:v>171.42528969613593</c:v>
                </c:pt>
                <c:pt idx="466">
                  <c:v>171.0803242255613</c:v>
                </c:pt>
                <c:pt idx="467">
                  <c:v>170.75018378669895</c:v>
                </c:pt>
                <c:pt idx="468">
                  <c:v>170.43445830275144</c:v>
                </c:pt>
                <c:pt idx="469">
                  <c:v>170.13271906738206</c:v>
                </c:pt>
                <c:pt idx="470">
                  <c:v>169.84452031415461</c:v>
                </c:pt>
                <c:pt idx="471">
                  <c:v>169.56940080310028</c:v>
                </c:pt>
                <c:pt idx="472">
                  <c:v>169.30688541596598</c:v>
                </c:pt>
                <c:pt idx="473">
                  <c:v>169.05648675179805</c:v>
                </c:pt>
                <c:pt idx="474">
                  <c:v>168.81770671466273</c:v>
                </c:pt>
                <c:pt idx="475">
                  <c:v>168.59003808553484</c:v>
                </c:pt>
                <c:pt idx="476">
                  <c:v>168.37296607065991</c:v>
                </c:pt>
                <c:pt idx="477">
                  <c:v>168.16596981905167</c:v>
                </c:pt>
                <c:pt idx="478">
                  <c:v>167.96852390218544</c:v>
                </c:pt>
                <c:pt idx="479">
                  <c:v>167.78009974941114</c:v>
                </c:pt>
                <c:pt idx="480">
                  <c:v>167.60016703311175</c:v>
                </c:pt>
                <c:pt idx="481">
                  <c:v>167.42819499819271</c:v>
                </c:pt>
                <c:pt idx="482">
                  <c:v>167.26365373106336</c:v>
                </c:pt>
                <c:pt idx="483">
                  <c:v>167.10601536389456</c:v>
                </c:pt>
                <c:pt idx="484">
                  <c:v>166.95475521056397</c:v>
                </c:pt>
                <c:pt idx="485">
                  <c:v>166.80935283135429</c:v>
                </c:pt>
                <c:pt idx="486">
                  <c:v>166.66929302411475</c:v>
                </c:pt>
                <c:pt idx="487">
                  <c:v>166.53406674024612</c:v>
                </c:pt>
                <c:pt idx="488">
                  <c:v>166.40317192450942</c:v>
                </c:pt>
                <c:pt idx="489">
                  <c:v>166.27611427826494</c:v>
                </c:pt>
                <c:pt idx="490">
                  <c:v>166.15240794635142</c:v>
                </c:pt>
                <c:pt idx="491">
                  <c:v>166.03157612837325</c:v>
                </c:pt>
                <c:pt idx="492">
                  <c:v>165.91315161568127</c:v>
                </c:pt>
                <c:pt idx="493">
                  <c:v>165.79667725582547</c:v>
                </c:pt>
                <c:pt idx="494">
                  <c:v>165.6817063466946</c:v>
                </c:pt>
                <c:pt idx="495">
                  <c:v>165.56780296295034</c:v>
                </c:pt>
                <c:pt idx="496">
                  <c:v>165.45454221771212</c:v>
                </c:pt>
                <c:pt idx="497">
                  <c:v>165.34151046274124</c:v>
                </c:pt>
                <c:pt idx="498">
                  <c:v>165.22830543062824</c:v>
                </c:pt>
                <c:pt idx="499">
                  <c:v>165.11453632268044</c:v>
                </c:pt>
                <c:pt idx="500">
                  <c:v>164.9998238463657</c:v>
                </c:pt>
                <c:pt idx="501">
                  <c:v>164.88380020627835</c:v>
                </c:pt>
                <c:pt idx="502">
                  <c:v>164.76610905265596</c:v>
                </c:pt>
                <c:pt idx="503">
                  <c:v>164.64640539151034</c:v>
                </c:pt>
                <c:pt idx="504">
                  <c:v>164.52435546042977</c:v>
                </c:pt>
                <c:pt idx="505">
                  <c:v>164.39963657405943</c:v>
                </c:pt>
                <c:pt idx="506">
                  <c:v>164.2719369432192</c:v>
                </c:pt>
                <c:pt idx="507">
                  <c:v>164.14095547150202</c:v>
                </c:pt>
                <c:pt idx="508">
                  <c:v>164.00640153309877</c:v>
                </c:pt>
                <c:pt idx="509">
                  <c:v>163.86799473545338</c:v>
                </c:pt>
                <c:pt idx="510">
                  <c:v>163.72546467020607</c:v>
                </c:pt>
                <c:pt idx="511">
                  <c:v>163.57855065572235</c:v>
                </c:pt>
                <c:pt idx="512">
                  <c:v>163.42700147433843</c:v>
                </c:pt>
                <c:pt idx="513">
                  <c:v>163.27057510727397</c:v>
                </c:pt>
                <c:pt idx="514">
                  <c:v>163.10903846998912</c:v>
                </c:pt>
                <c:pt idx="515">
                  <c:v>162.94216715057723</c:v>
                </c:pt>
                <c:pt idx="516">
                  <c:v>162.76974515360797</c:v>
                </c:pt>
                <c:pt idx="517">
                  <c:v>162.59156465165182</c:v>
                </c:pt>
                <c:pt idx="518">
                  <c:v>162.40742574654297</c:v>
                </c:pt>
                <c:pt idx="519">
                  <c:v>162.21713624226646</c:v>
                </c:pt>
                <c:pt idx="520">
                  <c:v>162.02051143118155</c:v>
                </c:pt>
                <c:pt idx="521">
                  <c:v>161.81737389513532</c:v>
                </c:pt>
                <c:pt idx="522">
                  <c:v>161.60755332286411</c:v>
                </c:pt>
                <c:pt idx="523">
                  <c:v>161.39088634491938</c:v>
                </c:pt>
                <c:pt idx="524">
                  <c:v>161.16721638721947</c:v>
                </c:pt>
                <c:pt idx="525">
                  <c:v>160.93639354417786</c:v>
                </c:pt>
                <c:pt idx="526">
                  <c:v>160.69827447222656</c:v>
                </c:pt>
                <c:pt idx="527">
                  <c:v>160.45272230441819</c:v>
                </c:pt>
                <c:pt idx="528">
                  <c:v>160.19960658666525</c:v>
                </c:pt>
                <c:pt idx="529">
                  <c:v>159.93880323603915</c:v>
                </c:pt>
                <c:pt idx="530">
                  <c:v>159.67019452144547</c:v>
                </c:pt>
                <c:pt idx="531">
                  <c:v>159.39366906684751</c:v>
                </c:pt>
                <c:pt idx="532">
                  <c:v>159.10912187710707</c:v>
                </c:pt>
                <c:pt idx="533">
                  <c:v>158.81645438637958</c:v>
                </c:pt>
                <c:pt idx="534">
                  <c:v>158.51557452887886</c:v>
                </c:pt>
                <c:pt idx="535">
                  <c:v>158.20639683170629</c:v>
                </c:pt>
                <c:pt idx="536">
                  <c:v>157.88884252930455</c:v>
                </c:pt>
                <c:pt idx="537">
                  <c:v>157.56283969897456</c:v>
                </c:pt>
                <c:pt idx="538">
                  <c:v>157.22832341675073</c:v>
                </c:pt>
                <c:pt idx="539">
                  <c:v>156.8852359328022</c:v>
                </c:pt>
                <c:pt idx="540">
                  <c:v>156.53352686537448</c:v>
                </c:pt>
                <c:pt idx="541">
                  <c:v>156.17315341214655</c:v>
                </c:pt>
              </c:numCache>
            </c:numRef>
          </c:yVal>
          <c:smooth val="1"/>
          <c:extLst>
            <c:ext xmlns:c16="http://schemas.microsoft.com/office/drawing/2014/chart" uri="{C3380CC4-5D6E-409C-BE32-E72D297353CC}">
              <c16:uniqueId val="{00000001-4DF9-48EE-A14E-F4C50FB2351F}"/>
            </c:ext>
          </c:extLst>
        </c:ser>
        <c:dLbls>
          <c:showLegendKey val="0"/>
          <c:showVal val="0"/>
          <c:showCatName val="0"/>
          <c:showSerName val="0"/>
          <c:showPercent val="0"/>
          <c:showBubbleSize val="0"/>
        </c:dLbls>
        <c:axId val="317462784"/>
        <c:axId val="317461248"/>
      </c:scatterChart>
      <c:valAx>
        <c:axId val="317457152"/>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17459072"/>
        <c:crosses val="autoZero"/>
        <c:crossBetween val="midCat"/>
      </c:valAx>
      <c:valAx>
        <c:axId val="317459072"/>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17457152"/>
        <c:crosses val="autoZero"/>
        <c:crossBetween val="midCat"/>
        <c:majorUnit val="20"/>
        <c:minorUnit val="10"/>
      </c:valAx>
      <c:valAx>
        <c:axId val="317461248"/>
        <c:scaling>
          <c:orientation val="minMax"/>
          <c:max val="180"/>
          <c:min val="-180"/>
        </c:scaling>
        <c:delete val="0"/>
        <c:axPos val="r"/>
        <c:numFmt formatCode="General" sourceLinked="1"/>
        <c:majorTickMark val="out"/>
        <c:minorTickMark val="none"/>
        <c:tickLblPos val="nextTo"/>
        <c:crossAx val="317462784"/>
        <c:crosses val="max"/>
        <c:crossBetween val="midCat"/>
        <c:majorUnit val="90"/>
        <c:minorUnit val="45"/>
      </c:valAx>
      <c:valAx>
        <c:axId val="317462784"/>
        <c:scaling>
          <c:logBase val="10"/>
          <c:orientation val="minMax"/>
        </c:scaling>
        <c:delete val="1"/>
        <c:axPos val="b"/>
        <c:numFmt formatCode="0.00" sourceLinked="1"/>
        <c:majorTickMark val="out"/>
        <c:minorTickMark val="none"/>
        <c:tickLblPos val="nextTo"/>
        <c:crossAx val="317461248"/>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a:t>
            </a:r>
            <a:r>
              <a:rPr lang="en-US" baseline="0"/>
              <a:t> Amplifier Transfer</a:t>
            </a:r>
          </a:p>
        </c:rich>
      </c:tx>
      <c:overlay val="0"/>
    </c:title>
    <c:autoTitleDeleted val="0"/>
    <c:plotArea>
      <c:layout/>
      <c:scatterChart>
        <c:scatterStyle val="smoothMarker"/>
        <c:varyColors val="0"/>
        <c:ser>
          <c:idx val="0"/>
          <c:order val="0"/>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CCM_Loop_Modeling_non_isolated!$AT$19:$AT$560</c:f>
              <c:numCache>
                <c:formatCode>General</c:formatCode>
                <c:ptCount val="542"/>
                <c:pt idx="0">
                  <c:v>126.68299486903427</c:v>
                </c:pt>
                <c:pt idx="1">
                  <c:v>126.4844535071482</c:v>
                </c:pt>
                <c:pt idx="2">
                  <c:v>126.28598036385938</c:v>
                </c:pt>
                <c:pt idx="3">
                  <c:v>126.08757860397478</c:v>
                </c:pt>
                <c:pt idx="4">
                  <c:v>125.88925153666685</c:v>
                </c:pt>
                <c:pt idx="5">
                  <c:v>125.69100262182424</c:v>
                </c:pt>
                <c:pt idx="6">
                  <c:v>125.49283547665914</c:v>
                </c:pt>
                <c:pt idx="7">
                  <c:v>125.29475388257963</c:v>
                </c:pt>
                <c:pt idx="8">
                  <c:v>125.0967617923355</c:v>
                </c:pt>
                <c:pt idx="9">
                  <c:v>124.89886333744556</c:v>
                </c:pt>
                <c:pt idx="10">
                  <c:v>124.7010628359145</c:v>
                </c:pt>
                <c:pt idx="11">
                  <c:v>124.50336480024767</c:v>
                </c:pt>
                <c:pt idx="12">
                  <c:v>124.30577394577196</c:v>
                </c:pt>
                <c:pt idx="13">
                  <c:v>124.10829519927003</c:v>
                </c:pt>
                <c:pt idx="14">
                  <c:v>123.91093370793676</c:v>
                </c:pt>
                <c:pt idx="15">
                  <c:v>123.71369484866389</c:v>
                </c:pt>
                <c:pt idx="16">
                  <c:v>123.51658423766116</c:v>
                </c:pt>
                <c:pt idx="17">
                  <c:v>123.31960774042045</c:v>
                </c:pt>
                <c:pt idx="18">
                  <c:v>123.12277148202865</c:v>
                </c:pt>
                <c:pt idx="19">
                  <c:v>122.92608185783556</c:v>
                </c:pt>
                <c:pt idx="20">
                  <c:v>122.72954554448178</c:v>
                </c:pt>
                <c:pt idx="21">
                  <c:v>122.53316951129095</c:v>
                </c:pt>
                <c:pt idx="22">
                  <c:v>122.33696103203013</c:v>
                </c:pt>
                <c:pt idx="23">
                  <c:v>122.1409276970397</c:v>
                </c:pt>
                <c:pt idx="24">
                  <c:v>121.94507742573676</c:v>
                </c:pt>
                <c:pt idx="25">
                  <c:v>121.74941847948881</c:v>
                </c:pt>
                <c:pt idx="26">
                  <c:v>121.55395947486045</c:v>
                </c:pt>
                <c:pt idx="27">
                  <c:v>121.35870939722672</c:v>
                </c:pt>
                <c:pt idx="28">
                  <c:v>121.16367761475172</c:v>
                </c:pt>
                <c:pt idx="29">
                  <c:v>120.96887389272447</c:v>
                </c:pt>
                <c:pt idx="30">
                  <c:v>120.77430840824388</c:v>
                </c:pt>
                <c:pt idx="31">
                  <c:v>120.5799917652428</c:v>
                </c:pt>
                <c:pt idx="32">
                  <c:v>120.38593500983723</c:v>
                </c:pt>
                <c:pt idx="33">
                  <c:v>120.19214964598518</c:v>
                </c:pt>
                <c:pt idx="34">
                  <c:v>119.99864765143545</c:v>
                </c:pt>
                <c:pt idx="35">
                  <c:v>119.80544149394477</c:v>
                </c:pt>
                <c:pt idx="36">
                  <c:v>119.61254414773664</c:v>
                </c:pt>
                <c:pt idx="37">
                  <c:v>119.41996911017296</c:v>
                </c:pt>
                <c:pt idx="38">
                  <c:v>119.22773041860312</c:v>
                </c:pt>
                <c:pt idx="39">
                  <c:v>119.03584266735328</c:v>
                </c:pt>
                <c:pt idx="40">
                  <c:v>118.84432102481212</c:v>
                </c:pt>
                <c:pt idx="41">
                  <c:v>118.65318125056422</c:v>
                </c:pt>
                <c:pt idx="42">
                  <c:v>118.46243971251764</c:v>
                </c:pt>
                <c:pt idx="43">
                  <c:v>118.27211340396532</c:v>
                </c:pt>
                <c:pt idx="44">
                  <c:v>118.08221996051554</c:v>
                </c:pt>
                <c:pt idx="45">
                  <c:v>117.89277767681688</c:v>
                </c:pt>
                <c:pt idx="46">
                  <c:v>117.70380552300048</c:v>
                </c:pt>
                <c:pt idx="47">
                  <c:v>117.51532316075213</c:v>
                </c:pt>
                <c:pt idx="48">
                  <c:v>117.32735095891998</c:v>
                </c:pt>
                <c:pt idx="49">
                  <c:v>117.13991000855698</c:v>
                </c:pt>
                <c:pt idx="50">
                  <c:v>116.95302213728789</c:v>
                </c:pt>
                <c:pt idx="51">
                  <c:v>116.76670992288362</c:v>
                </c:pt>
                <c:pt idx="52">
                  <c:v>116.58099670591614</c:v>
                </c:pt>
                <c:pt idx="53">
                  <c:v>116.3959066013596</c:v>
                </c:pt>
                <c:pt idx="54">
                  <c:v>116.21146450899573</c:v>
                </c:pt>
                <c:pt idx="55">
                  <c:v>116.02769612247053</c:v>
                </c:pt>
                <c:pt idx="56">
                  <c:v>115.84462793684375</c:v>
                </c:pt>
                <c:pt idx="57">
                  <c:v>115.66228725446349</c:v>
                </c:pt>
                <c:pt idx="58">
                  <c:v>115.48070218898962</c:v>
                </c:pt>
                <c:pt idx="59">
                  <c:v>115.29990166738523</c:v>
                </c:pt>
                <c:pt idx="60">
                  <c:v>115.11991542968532</c:v>
                </c:pt>
                <c:pt idx="61">
                  <c:v>114.94077402634881</c:v>
                </c:pt>
                <c:pt idx="62">
                  <c:v>114.76250881299406</c:v>
                </c:pt>
                <c:pt idx="63">
                  <c:v>114.58515194231404</c:v>
                </c:pt>
                <c:pt idx="64">
                  <c:v>114.40873635296541</c:v>
                </c:pt>
                <c:pt idx="65">
                  <c:v>114.23329575522474</c:v>
                </c:pt>
                <c:pt idx="66">
                  <c:v>114.05886461320557</c:v>
                </c:pt>
                <c:pt idx="67">
                  <c:v>113.88547812343255</c:v>
                </c:pt>
                <c:pt idx="68">
                  <c:v>113.71317218957478</c:v>
                </c:pt>
                <c:pt idx="69">
                  <c:v>113.5419833931457</c:v>
                </c:pt>
                <c:pt idx="70">
                  <c:v>113.37194895998906</c:v>
                </c:pt>
                <c:pt idx="71">
                  <c:v>113.20310672238</c:v>
                </c:pt>
                <c:pt idx="72">
                  <c:v>113.03549507658889</c:v>
                </c:pt>
                <c:pt idx="73">
                  <c:v>112.86915293577121</c:v>
                </c:pt>
                <c:pt idx="74">
                  <c:v>112.70411967807021</c:v>
                </c:pt>
                <c:pt idx="75">
                  <c:v>112.54043508984364</c:v>
                </c:pt>
                <c:pt idx="76">
                  <c:v>112.37813930395454</c:v>
                </c:pt>
                <c:pt idx="77">
                  <c:v>112.21727273309708</c:v>
                </c:pt>
                <c:pt idx="78">
                  <c:v>112.05787599816549</c:v>
                </c:pt>
                <c:pt idx="79">
                  <c:v>111.89998985171074</c:v>
                </c:pt>
                <c:pt idx="80">
                  <c:v>111.74365509657333</c:v>
                </c:pt>
                <c:pt idx="81">
                  <c:v>111.58891249982345</c:v>
                </c:pt>
                <c:pt idx="82">
                  <c:v>111.43580270218823</c:v>
                </c:pt>
                <c:pt idx="83">
                  <c:v>111.28436612319533</c:v>
                </c:pt>
                <c:pt idx="84">
                  <c:v>111.13464286231194</c:v>
                </c:pt>
                <c:pt idx="85">
                  <c:v>110.98667259641326</c:v>
                </c:pt>
                <c:pt idx="86">
                  <c:v>110.84049447396399</c:v>
                </c:pt>
                <c:pt idx="87">
                  <c:v>110.69614700635393</c:v>
                </c:pt>
                <c:pt idx="88">
                  <c:v>110.55366795687564</c:v>
                </c:pt>
                <c:pt idx="89">
                  <c:v>110.41309422788697</c:v>
                </c:pt>
                <c:pt idx="90">
                  <c:v>110.27446174674564</c:v>
                </c:pt>
                <c:pt idx="91">
                  <c:v>110.13780535114934</c:v>
                </c:pt>
                <c:pt idx="92">
                  <c:v>110.00315867455438</c:v>
                </c:pt>
                <c:pt idx="93">
                  <c:v>109.87055403237906</c:v>
                </c:pt>
                <c:pt idx="94">
                  <c:v>109.74002230972842</c:v>
                </c:pt>
                <c:pt idx="95">
                  <c:v>109.61159285139709</c:v>
                </c:pt>
                <c:pt idx="96">
                  <c:v>109.48529335492151</c:v>
                </c:pt>
                <c:pt idx="97">
                  <c:v>109.3611497674575</c:v>
                </c:pt>
                <c:pt idx="98">
                  <c:v>109.23918618725537</c:v>
                </c:pt>
                <c:pt idx="99">
                  <c:v>109.11942477049408</c:v>
                </c:pt>
                <c:pt idx="100">
                  <c:v>109.00188564421052</c:v>
                </c:pt>
                <c:pt idx="101">
                  <c:v>108.88658682602977</c:v>
                </c:pt>
                <c:pt idx="102">
                  <c:v>108.77354415136122</c:v>
                </c:pt>
                <c:pt idx="103">
                  <c:v>108.66277120867325</c:v>
                </c:pt>
                <c:pt idx="104">
                  <c:v>108.55427928340076</c:v>
                </c:pt>
                <c:pt idx="105">
                  <c:v>108.44807731097313</c:v>
                </c:pt>
                <c:pt idx="106">
                  <c:v>108.34417183937403</c:v>
                </c:pt>
                <c:pt idx="107">
                  <c:v>108.24256700156474</c:v>
                </c:pt>
                <c:pt idx="108">
                  <c:v>108.14326449801823</c:v>
                </c:pt>
                <c:pt idx="109">
                  <c:v>108.04626358951867</c:v>
                </c:pt>
                <c:pt idx="110">
                  <c:v>107.95156110029259</c:v>
                </c:pt>
                <c:pt idx="111">
                  <c:v>107.8591514314425</c:v>
                </c:pt>
                <c:pt idx="112">
                  <c:v>107.76902658456343</c:v>
                </c:pt>
                <c:pt idx="113">
                  <c:v>107.68117619533018</c:v>
                </c:pt>
                <c:pt idx="114">
                  <c:v>107.59558757675788</c:v>
                </c:pt>
                <c:pt idx="115">
                  <c:v>107.51224577175367</c:v>
                </c:pt>
                <c:pt idx="116">
                  <c:v>107.43113361450243</c:v>
                </c:pt>
                <c:pt idx="117">
                  <c:v>107.35223180015687</c:v>
                </c:pt>
                <c:pt idx="118">
                  <c:v>107.27551896224111</c:v>
                </c:pt>
                <c:pt idx="119">
                  <c:v>107.20097175712354</c:v>
                </c:pt>
                <c:pt idx="120">
                  <c:v>107.12856495486675</c:v>
                </c:pt>
                <c:pt idx="121">
                  <c:v>107.05827153572989</c:v>
                </c:pt>
                <c:pt idx="122">
                  <c:v>106.99006279157101</c:v>
                </c:pt>
                <c:pt idx="123">
                  <c:v>106.9239084313796</c:v>
                </c:pt>
                <c:pt idx="124">
                  <c:v>106.85977669016492</c:v>
                </c:pt>
                <c:pt idx="125">
                  <c:v>106.79763444042423</c:v>
                </c:pt>
                <c:pt idx="126">
                  <c:v>106.73744730542927</c:v>
                </c:pt>
                <c:pt idx="127">
                  <c:v>106.67917977358431</c:v>
                </c:pt>
                <c:pt idx="128">
                  <c:v>106.62279531313798</c:v>
                </c:pt>
                <c:pt idx="129">
                  <c:v>106.5682564865599</c:v>
                </c:pt>
                <c:pt idx="130">
                  <c:v>106.51552506393607</c:v>
                </c:pt>
                <c:pt idx="131">
                  <c:v>106.46456213477282</c:v>
                </c:pt>
                <c:pt idx="132">
                  <c:v>106.41532821765273</c:v>
                </c:pt>
                <c:pt idx="133">
                  <c:v>106.36778336722963</c:v>
                </c:pt>
                <c:pt idx="134">
                  <c:v>106.32188727810487</c:v>
                </c:pt>
                <c:pt idx="135">
                  <c:v>106.27759938517721</c:v>
                </c:pt>
                <c:pt idx="136">
                  <c:v>106.23487896011413</c:v>
                </c:pt>
                <c:pt idx="137">
                  <c:v>106.1936852036433</c:v>
                </c:pt>
                <c:pt idx="138">
                  <c:v>106.15397733341446</c:v>
                </c:pt>
                <c:pt idx="139">
                  <c:v>106.11571466723524</c:v>
                </c:pt>
                <c:pt idx="140">
                  <c:v>106.078856701528</c:v>
                </c:pt>
                <c:pt idx="141">
                  <c:v>106.04336318490502</c:v>
                </c:pt>
                <c:pt idx="142">
                  <c:v>106.00919418679894</c:v>
                </c:pt>
                <c:pt idx="143">
                  <c:v>105.97631016112703</c:v>
                </c:pt>
                <c:pt idx="144">
                  <c:v>105.94467200500543</c:v>
                </c:pt>
                <c:pt idx="145">
                  <c:v>105.9142411125579</c:v>
                </c:pt>
                <c:pt idx="146">
                  <c:v>105.88497942390099</c:v>
                </c:pt>
                <c:pt idx="147">
                  <c:v>105.85684946940734</c:v>
                </c:pt>
                <c:pt idx="148">
                  <c:v>105.82981440937543</c:v>
                </c:pt>
                <c:pt idx="149">
                  <c:v>105.80383806925201</c:v>
                </c:pt>
                <c:pt idx="150">
                  <c:v>105.77888497057229</c:v>
                </c:pt>
                <c:pt idx="151">
                  <c:v>105.75492035779384</c:v>
                </c:pt>
                <c:pt idx="152">
                  <c:v>105.73191022121284</c:v>
                </c:pt>
                <c:pt idx="153">
                  <c:v>105.70982131615838</c:v>
                </c:pt>
                <c:pt idx="154">
                  <c:v>105.68862117866779</c:v>
                </c:pt>
                <c:pt idx="155">
                  <c:v>105.66827813784654</c:v>
                </c:pt>
                <c:pt idx="156">
                  <c:v>105.64876132512113</c:v>
                </c:pt>
                <c:pt idx="157">
                  <c:v>105.63004068059099</c:v>
                </c:pt>
                <c:pt idx="158">
                  <c:v>105.61208695668314</c:v>
                </c:pt>
                <c:pt idx="159">
                  <c:v>105.59487171931266</c:v>
                </c:pt>
                <c:pt idx="160">
                  <c:v>105.57836734674456</c:v>
                </c:pt>
                <c:pt idx="161">
                  <c:v>105.56254702634851</c:v>
                </c:pt>
                <c:pt idx="162">
                  <c:v>105.54738474943314</c:v>
                </c:pt>
                <c:pt idx="163">
                  <c:v>105.53285530433587</c:v>
                </c:pt>
                <c:pt idx="164">
                  <c:v>105.51893426794052</c:v>
                </c:pt>
                <c:pt idx="165">
                  <c:v>105.50559799578544</c:v>
                </c:pt>
                <c:pt idx="166">
                  <c:v>105.49282361091583</c:v>
                </c:pt>
                <c:pt idx="167">
                  <c:v>105.4805889916276</c:v>
                </c:pt>
                <c:pt idx="168">
                  <c:v>105.46887275824002</c:v>
                </c:pt>
                <c:pt idx="169">
                  <c:v>105.45765425902661</c:v>
                </c:pt>
                <c:pt idx="170">
                  <c:v>105.4469135554251</c:v>
                </c:pt>
                <c:pt idx="171">
                  <c:v>105.43663140664036</c:v>
                </c:pt>
                <c:pt idx="172">
                  <c:v>105.42678925374318</c:v>
                </c:pt>
                <c:pt idx="173">
                  <c:v>105.41736920336385</c:v>
                </c:pt>
                <c:pt idx="174">
                  <c:v>105.40835401106806</c:v>
                </c:pt>
                <c:pt idx="175">
                  <c:v>105.39972706449873</c:v>
                </c:pt>
                <c:pt idx="176">
                  <c:v>105.39147236635816</c:v>
                </c:pt>
                <c:pt idx="177">
                  <c:v>105.38357451729877</c:v>
                </c:pt>
                <c:pt idx="178">
                  <c:v>105.37601869878532</c:v>
                </c:pt>
                <c:pt idx="179">
                  <c:v>105.3687906559844</c:v>
                </c:pt>
                <c:pt idx="180">
                  <c:v>105.36187668073148</c:v>
                </c:pt>
                <c:pt idx="181">
                  <c:v>105.35526359462222</c:v>
                </c:pt>
                <c:pt idx="182">
                  <c:v>105.34893873226558</c:v>
                </c:pt>
                <c:pt idx="183">
                  <c:v>105.34288992473849</c:v>
                </c:pt>
                <c:pt idx="184">
                  <c:v>105.33710548326948</c:v>
                </c:pt>
                <c:pt idx="185">
                  <c:v>105.33157418318146</c:v>
                </c:pt>
                <c:pt idx="186">
                  <c:v>105.32628524811585</c:v>
                </c:pt>
                <c:pt idx="187">
                  <c:v>105.32122833455989</c:v>
                </c:pt>
                <c:pt idx="188">
                  <c:v>105.31639351669192</c:v>
                </c:pt>
                <c:pt idx="189">
                  <c:v>105.31177127156214</c:v>
                </c:pt>
                <c:pt idx="190">
                  <c:v>105.30735246461731</c:v>
                </c:pt>
                <c:pt idx="191">
                  <c:v>105.30312833558096</c:v>
                </c:pt>
                <c:pt idx="192">
                  <c:v>105.29909048469534</c:v>
                </c:pt>
                <c:pt idx="193">
                  <c:v>105.29523085932971</c:v>
                </c:pt>
                <c:pt idx="194">
                  <c:v>105.29154174095937</c:v>
                </c:pt>
                <c:pt idx="195">
                  <c:v>105.28801573251673</c:v>
                </c:pt>
                <c:pt idx="196">
                  <c:v>105.28464574611377</c:v>
                </c:pt>
                <c:pt idx="197">
                  <c:v>105.28142499113639</c:v>
                </c:pt>
                <c:pt idx="198">
                  <c:v>105.27834696270773</c:v>
                </c:pt>
                <c:pt idx="199">
                  <c:v>105.27540543051686</c:v>
                </c:pt>
                <c:pt idx="200">
                  <c:v>105.27259442800984</c:v>
                </c:pt>
                <c:pt idx="201">
                  <c:v>105.26990824193732</c:v>
                </c:pt>
                <c:pt idx="202">
                  <c:v>105.26734140225373</c:v>
                </c:pt>
                <c:pt idx="203">
                  <c:v>105.26488867236188</c:v>
                </c:pt>
                <c:pt idx="204">
                  <c:v>105.26254503969638</c:v>
                </c:pt>
                <c:pt idx="205">
                  <c:v>105.26030570663875</c:v>
                </c:pt>
                <c:pt idx="206">
                  <c:v>105.25816608175724</c:v>
                </c:pt>
                <c:pt idx="207">
                  <c:v>105.25612177136313</c:v>
                </c:pt>
                <c:pt idx="208">
                  <c:v>105.25416857137648</c:v>
                </c:pt>
                <c:pt idx="209">
                  <c:v>105.25230245949273</c:v>
                </c:pt>
                <c:pt idx="210">
                  <c:v>105.25051958764216</c:v>
                </c:pt>
                <c:pt idx="211">
                  <c:v>105.24881627473435</c:v>
                </c:pt>
                <c:pt idx="212">
                  <c:v>105.24718899967887</c:v>
                </c:pt>
                <c:pt idx="213">
                  <c:v>105.24563439467448</c:v>
                </c:pt>
                <c:pt idx="214">
                  <c:v>105.24414923875815</c:v>
                </c:pt>
                <c:pt idx="215">
                  <c:v>105.24273045160623</c:v>
                </c:pt>
                <c:pt idx="216">
                  <c:v>105.24137508757929</c:v>
                </c:pt>
                <c:pt idx="217">
                  <c:v>105.24008033000307</c:v>
                </c:pt>
                <c:pt idx="218">
                  <c:v>105.23884348567678</c:v>
                </c:pt>
                <c:pt idx="219">
                  <c:v>105.23766197960227</c:v>
                </c:pt>
                <c:pt idx="220">
                  <c:v>105.23653334992531</c:v>
                </c:pt>
                <c:pt idx="221">
                  <c:v>105.23545524308207</c:v>
                </c:pt>
                <c:pt idx="222">
                  <c:v>105.23442540914414</c:v>
                </c:pt>
                <c:pt idx="223">
                  <c:v>105.23344169735267</c:v>
                </c:pt>
                <c:pt idx="224">
                  <c:v>105.23250205183773</c:v>
                </c:pt>
                <c:pt idx="225">
                  <c:v>105.23160450751404</c:v>
                </c:pt>
                <c:pt idx="226">
                  <c:v>105.23074718614646</c:v>
                </c:pt>
                <c:pt idx="227">
                  <c:v>105.22992829258055</c:v>
                </c:pt>
                <c:pt idx="228">
                  <c:v>105.22914611112965</c:v>
                </c:pt>
                <c:pt idx="229">
                  <c:v>105.22839900211393</c:v>
                </c:pt>
                <c:pt idx="230">
                  <c:v>105.22768539854582</c:v>
                </c:pt>
                <c:pt idx="231">
                  <c:v>105.22700380295413</c:v>
                </c:pt>
                <c:pt idx="232">
                  <c:v>105.22635278434379</c:v>
                </c:pt>
                <c:pt idx="233">
                  <c:v>105.22573097528453</c:v>
                </c:pt>
                <c:pt idx="234">
                  <c:v>105.22513706912305</c:v>
                </c:pt>
                <c:pt idx="235">
                  <c:v>105.224569817315</c:v>
                </c:pt>
                <c:pt idx="236">
                  <c:v>105.22402802687081</c:v>
                </c:pt>
                <c:pt idx="237">
                  <c:v>105.22351055791093</c:v>
                </c:pt>
                <c:pt idx="238">
                  <c:v>105.22301632132695</c:v>
                </c:pt>
                <c:pt idx="239">
                  <c:v>105.22254427654269</c:v>
                </c:pt>
                <c:pt idx="240">
                  <c:v>105.22209342937268</c:v>
                </c:pt>
                <c:pt idx="241">
                  <c:v>105.22166282997274</c:v>
                </c:pt>
                <c:pt idx="242">
                  <c:v>105.22125157087993</c:v>
                </c:pt>
                <c:pt idx="243">
                  <c:v>105.22085878513712</c:v>
                </c:pt>
                <c:pt idx="244">
                  <c:v>105.22048364449985</c:v>
                </c:pt>
                <c:pt idx="245">
                  <c:v>105.22012535772051</c:v>
                </c:pt>
                <c:pt idx="246">
                  <c:v>105.21978316890767</c:v>
                </c:pt>
                <c:pt idx="247">
                  <c:v>105.21945635595773</c:v>
                </c:pt>
                <c:pt idx="248">
                  <c:v>105.21914422905412</c:v>
                </c:pt>
                <c:pt idx="249">
                  <c:v>105.218846129233</c:v>
                </c:pt>
                <c:pt idx="250">
                  <c:v>105.21856142701171</c:v>
                </c:pt>
                <c:pt idx="251">
                  <c:v>105.21828952107748</c:v>
                </c:pt>
                <c:pt idx="252">
                  <c:v>105.21802983703365</c:v>
                </c:pt>
                <c:pt idx="253">
                  <c:v>105.21778182620112</c:v>
                </c:pt>
                <c:pt idx="254">
                  <c:v>105.21754496447285</c:v>
                </c:pt>
                <c:pt idx="255">
                  <c:v>105.21731875121846</c:v>
                </c:pt>
                <c:pt idx="256">
                  <c:v>105.2171027082378</c:v>
                </c:pt>
                <c:pt idx="257">
                  <c:v>105.21689637876005</c:v>
                </c:pt>
                <c:pt idx="258">
                  <c:v>105.21669932648734</c:v>
                </c:pt>
                <c:pt idx="259">
                  <c:v>105.21651113468117</c:v>
                </c:pt>
                <c:pt idx="260">
                  <c:v>105.21633140528866</c:v>
                </c:pt>
                <c:pt idx="261">
                  <c:v>105.21615975810769</c:v>
                </c:pt>
                <c:pt idx="262">
                  <c:v>105.2159958299893</c:v>
                </c:pt>
                <c:pt idx="263">
                  <c:v>105.21583927407521</c:v>
                </c:pt>
                <c:pt idx="264">
                  <c:v>105.21568975906948</c:v>
                </c:pt>
                <c:pt idx="265">
                  <c:v>105.21554696854233</c:v>
                </c:pt>
                <c:pt idx="266">
                  <c:v>105.21541060026479</c:v>
                </c:pt>
                <c:pt idx="267">
                  <c:v>105.21528036557339</c:v>
                </c:pt>
                <c:pt idx="268">
                  <c:v>105.21515598876286</c:v>
                </c:pt>
                <c:pt idx="269">
                  <c:v>105.21503720650573</c:v>
                </c:pt>
                <c:pt idx="270">
                  <c:v>105.21492376729799</c:v>
                </c:pt>
                <c:pt idx="271">
                  <c:v>105.21481543092955</c:v>
                </c:pt>
                <c:pt idx="272">
                  <c:v>105.21471196797799</c:v>
                </c:pt>
                <c:pt idx="273">
                  <c:v>105.21461315932542</c:v>
                </c:pt>
                <c:pt idx="274">
                  <c:v>105.21451879569619</c:v>
                </c:pt>
                <c:pt idx="275">
                  <c:v>105.21442867721578</c:v>
                </c:pt>
                <c:pt idx="276">
                  <c:v>105.2143426129895</c:v>
                </c:pt>
                <c:pt idx="277">
                  <c:v>105.21426042069926</c:v>
                </c:pt>
                <c:pt idx="278">
                  <c:v>105.2141819262194</c:v>
                </c:pt>
                <c:pt idx="279">
                  <c:v>105.21410696324867</c:v>
                </c:pt>
                <c:pt idx="280">
                  <c:v>105.21403537295951</c:v>
                </c:pt>
                <c:pt idx="281">
                  <c:v>105.2139670036625</c:v>
                </c:pt>
                <c:pt idx="282">
                  <c:v>105.21390171048597</c:v>
                </c:pt>
                <c:pt idx="283">
                  <c:v>105.21383935507011</c:v>
                </c:pt>
                <c:pt idx="284">
                  <c:v>105.21377980527438</c:v>
                </c:pt>
                <c:pt idx="285">
                  <c:v>105.21372293489887</c:v>
                </c:pt>
                <c:pt idx="286">
                  <c:v>105.21366862341658</c:v>
                </c:pt>
                <c:pt idx="287">
                  <c:v>105.21361675571973</c:v>
                </c:pt>
                <c:pt idx="288">
                  <c:v>105.21356722187537</c:v>
                </c:pt>
                <c:pt idx="289">
                  <c:v>105.21351991689397</c:v>
                </c:pt>
                <c:pt idx="290">
                  <c:v>105.2134747405064</c:v>
                </c:pt>
                <c:pt idx="291">
                  <c:v>105.21343159695247</c:v>
                </c:pt>
                <c:pt idx="292">
                  <c:v>105.21339039477823</c:v>
                </c:pt>
                <c:pt idx="293">
                  <c:v>105.21335104664253</c:v>
                </c:pt>
                <c:pt idx="294">
                  <c:v>105.21331346913178</c:v>
                </c:pt>
                <c:pt idx="295">
                  <c:v>105.21327758258406</c:v>
                </c:pt>
                <c:pt idx="296">
                  <c:v>105.2132433109203</c:v>
                </c:pt>
                <c:pt idx="297">
                  <c:v>105.21321058148304</c:v>
                </c:pt>
                <c:pt idx="298">
                  <c:v>105.21317932488279</c:v>
                </c:pt>
                <c:pt idx="299">
                  <c:v>105.21314947485125</c:v>
                </c:pt>
                <c:pt idx="300">
                  <c:v>105.21312096810095</c:v>
                </c:pt>
                <c:pt idx="301">
                  <c:v>105.21309374419113</c:v>
                </c:pt>
                <c:pt idx="302">
                  <c:v>105.21306774539977</c:v>
                </c:pt>
                <c:pt idx="303">
                  <c:v>105.21304291660149</c:v>
                </c:pt>
                <c:pt idx="304">
                  <c:v>105.21301920515069</c:v>
                </c:pt>
                <c:pt idx="305">
                  <c:v>105.21299656077016</c:v>
                </c:pt>
                <c:pt idx="306">
                  <c:v>105.21297493544438</c:v>
                </c:pt>
                <c:pt idx="307">
                  <c:v>105.21295428331804</c:v>
                </c:pt>
                <c:pt idx="308">
                  <c:v>105.21293456059885</c:v>
                </c:pt>
                <c:pt idx="309">
                  <c:v>105.21291572546467</c:v>
                </c:pt>
                <c:pt idx="310">
                  <c:v>105.2128977379749</c:v>
                </c:pt>
                <c:pt idx="311">
                  <c:v>105.21288055998596</c:v>
                </c:pt>
                <c:pt idx="312">
                  <c:v>105.21286415507036</c:v>
                </c:pt>
                <c:pt idx="313">
                  <c:v>105.2128484884399</c:v>
                </c:pt>
                <c:pt idx="314">
                  <c:v>105.21283352687121</c:v>
                </c:pt>
                <c:pt idx="315">
                  <c:v>105.21281923863584</c:v>
                </c:pt>
                <c:pt idx="316">
                  <c:v>105.21280559343305</c:v>
                </c:pt>
                <c:pt idx="317">
                  <c:v>105.21279256232563</c:v>
                </c:pt>
                <c:pt idx="318">
                  <c:v>105.21278011767814</c:v>
                </c:pt>
                <c:pt idx="319">
                  <c:v>105.21276823309879</c:v>
                </c:pt>
                <c:pt idx="320">
                  <c:v>105.21275688338319</c:v>
                </c:pt>
                <c:pt idx="321">
                  <c:v>105.21274604446127</c:v>
                </c:pt>
                <c:pt idx="322">
                  <c:v>105.21273569334598</c:v>
                </c:pt>
                <c:pt idx="323">
                  <c:v>105.21272580808457</c:v>
                </c:pt>
                <c:pt idx="324">
                  <c:v>105.21271636771226</c:v>
                </c:pt>
                <c:pt idx="325">
                  <c:v>105.21270735220747</c:v>
                </c:pt>
                <c:pt idx="326">
                  <c:v>105.21269874244977</c:v>
                </c:pt>
                <c:pt idx="327">
                  <c:v>105.21269052017911</c:v>
                </c:pt>
                <c:pt idx="328">
                  <c:v>105.21268266795704</c:v>
                </c:pt>
                <c:pt idx="329">
                  <c:v>105.21267516912991</c:v>
                </c:pt>
                <c:pt idx="330">
                  <c:v>105.21266800779351</c:v>
                </c:pt>
                <c:pt idx="331">
                  <c:v>105.21266116875937</c:v>
                </c:pt>
                <c:pt idx="332">
                  <c:v>105.21265463752228</c:v>
                </c:pt>
                <c:pt idx="333">
                  <c:v>105.21264840023022</c:v>
                </c:pt>
                <c:pt idx="334">
                  <c:v>105.21264244365423</c:v>
                </c:pt>
                <c:pt idx="335">
                  <c:v>105.21263675516056</c:v>
                </c:pt>
                <c:pt idx="336">
                  <c:v>105.21263132268446</c:v>
                </c:pt>
                <c:pt idx="337">
                  <c:v>105.21262613470363</c:v>
                </c:pt>
                <c:pt idx="338">
                  <c:v>105.21262118021463</c:v>
                </c:pt>
                <c:pt idx="339">
                  <c:v>105.21261644870907</c:v>
                </c:pt>
                <c:pt idx="340">
                  <c:v>105.21261193015152</c:v>
                </c:pt>
                <c:pt idx="341">
                  <c:v>105.21260761495824</c:v>
                </c:pt>
                <c:pt idx="342">
                  <c:v>105.21260349397666</c:v>
                </c:pt>
                <c:pt idx="343">
                  <c:v>105.2125995584661</c:v>
                </c:pt>
                <c:pt idx="344">
                  <c:v>105.21259580007936</c:v>
                </c:pt>
                <c:pt idx="345">
                  <c:v>105.21259221084485</c:v>
                </c:pt>
                <c:pt idx="346">
                  <c:v>105.21258878314978</c:v>
                </c:pt>
                <c:pt idx="347">
                  <c:v>105.21258550972384</c:v>
                </c:pt>
                <c:pt idx="348">
                  <c:v>105.21258238362404</c:v>
                </c:pt>
                <c:pt idx="349">
                  <c:v>105.2125793982198</c:v>
                </c:pt>
                <c:pt idx="350">
                  <c:v>105.212576547179</c:v>
                </c:pt>
                <c:pt idx="351">
                  <c:v>105.21257382445441</c:v>
                </c:pt>
                <c:pt idx="352">
                  <c:v>105.212571224271</c:v>
                </c:pt>
                <c:pt idx="353">
                  <c:v>105.21256874111366</c:v>
                </c:pt>
                <c:pt idx="354">
                  <c:v>105.21256636971549</c:v>
                </c:pt>
                <c:pt idx="355">
                  <c:v>105.21256410504668</c:v>
                </c:pt>
                <c:pt idx="356">
                  <c:v>105.21256194230358</c:v>
                </c:pt>
                <c:pt idx="357">
                  <c:v>105.21255987689898</c:v>
                </c:pt>
                <c:pt idx="358">
                  <c:v>105.21255790445193</c:v>
                </c:pt>
                <c:pt idx="359">
                  <c:v>105.21255602077881</c:v>
                </c:pt>
                <c:pt idx="360">
                  <c:v>105.2125542218842</c:v>
                </c:pt>
                <c:pt idx="361">
                  <c:v>105.21255250395255</c:v>
                </c:pt>
                <c:pt idx="362">
                  <c:v>105.21255086333983</c:v>
                </c:pt>
                <c:pt idx="363">
                  <c:v>105.21254929656629</c:v>
                </c:pt>
                <c:pt idx="364">
                  <c:v>105.21254780030866</c:v>
                </c:pt>
                <c:pt idx="365">
                  <c:v>105.21254637139324</c:v>
                </c:pt>
                <c:pt idx="366">
                  <c:v>105.21254500678913</c:v>
                </c:pt>
                <c:pt idx="367">
                  <c:v>105.21254370360199</c:v>
                </c:pt>
                <c:pt idx="368">
                  <c:v>105.21254245906754</c:v>
                </c:pt>
                <c:pt idx="369">
                  <c:v>105.21254127054596</c:v>
                </c:pt>
                <c:pt idx="370">
                  <c:v>105.21254013551646</c:v>
                </c:pt>
                <c:pt idx="371">
                  <c:v>105.21253905157141</c:v>
                </c:pt>
                <c:pt idx="372">
                  <c:v>105.21253801641166</c:v>
                </c:pt>
                <c:pt idx="373">
                  <c:v>105.21253702784152</c:v>
                </c:pt>
                <c:pt idx="374">
                  <c:v>105.21253608376419</c:v>
                </c:pt>
                <c:pt idx="375">
                  <c:v>105.21253518217713</c:v>
                </c:pt>
                <c:pt idx="376">
                  <c:v>105.21253432116796</c:v>
                </c:pt>
                <c:pt idx="377">
                  <c:v>105.21253349891047</c:v>
                </c:pt>
                <c:pt idx="378">
                  <c:v>105.21253271366051</c:v>
                </c:pt>
                <c:pt idx="379">
                  <c:v>105.21253196375247</c:v>
                </c:pt>
                <c:pt idx="380">
                  <c:v>105.21253124759576</c:v>
                </c:pt>
                <c:pt idx="381">
                  <c:v>105.21253056367135</c:v>
                </c:pt>
                <c:pt idx="382">
                  <c:v>105.21252991052839</c:v>
                </c:pt>
                <c:pt idx="383">
                  <c:v>105.21252928678172</c:v>
                </c:pt>
                <c:pt idx="384">
                  <c:v>105.21252869110805</c:v>
                </c:pt>
                <c:pt idx="385">
                  <c:v>105.21252812224421</c:v>
                </c:pt>
                <c:pt idx="386">
                  <c:v>105.2125275789833</c:v>
                </c:pt>
                <c:pt idx="387">
                  <c:v>105.21252706017314</c:v>
                </c:pt>
                <c:pt idx="388">
                  <c:v>105.21252656471317</c:v>
                </c:pt>
                <c:pt idx="389">
                  <c:v>105.21252609155249</c:v>
                </c:pt>
                <c:pt idx="390">
                  <c:v>105.21252563968758</c:v>
                </c:pt>
                <c:pt idx="391">
                  <c:v>105.21252520815985</c:v>
                </c:pt>
                <c:pt idx="392">
                  <c:v>105.21252479605408</c:v>
                </c:pt>
                <c:pt idx="393">
                  <c:v>105.21252440249609</c:v>
                </c:pt>
                <c:pt idx="394">
                  <c:v>105.21252402665097</c:v>
                </c:pt>
                <c:pt idx="395">
                  <c:v>105.21252366772175</c:v>
                </c:pt>
                <c:pt idx="396">
                  <c:v>105.21252332494694</c:v>
                </c:pt>
                <c:pt idx="397">
                  <c:v>105.21252299759952</c:v>
                </c:pt>
                <c:pt idx="398">
                  <c:v>105.2125226849852</c:v>
                </c:pt>
                <c:pt idx="399">
                  <c:v>105.2125223864407</c:v>
                </c:pt>
                <c:pt idx="400">
                  <c:v>105.21252210133298</c:v>
                </c:pt>
                <c:pt idx="401">
                  <c:v>105.2125218290572</c:v>
                </c:pt>
                <c:pt idx="402">
                  <c:v>105.21252156903583</c:v>
                </c:pt>
                <c:pt idx="403">
                  <c:v>105.2125213207173</c:v>
                </c:pt>
                <c:pt idx="404">
                  <c:v>105.21252108357498</c:v>
                </c:pt>
                <c:pt idx="405">
                  <c:v>105.21252085710574</c:v>
                </c:pt>
                <c:pt idx="406">
                  <c:v>105.21252064082935</c:v>
                </c:pt>
                <c:pt idx="407">
                  <c:v>105.21252043428696</c:v>
                </c:pt>
                <c:pt idx="408">
                  <c:v>105.21252023704054</c:v>
                </c:pt>
                <c:pt idx="409">
                  <c:v>105.21252004867162</c:v>
                </c:pt>
                <c:pt idx="410">
                  <c:v>105.21251986878067</c:v>
                </c:pt>
                <c:pt idx="411">
                  <c:v>105.21251969698623</c:v>
                </c:pt>
                <c:pt idx="412">
                  <c:v>105.21251953292371</c:v>
                </c:pt>
                <c:pt idx="413">
                  <c:v>105.21251937624525</c:v>
                </c:pt>
                <c:pt idx="414">
                  <c:v>105.21251922661848</c:v>
                </c:pt>
                <c:pt idx="415">
                  <c:v>105.21251908372605</c:v>
                </c:pt>
                <c:pt idx="416">
                  <c:v>105.21251894726474</c:v>
                </c:pt>
                <c:pt idx="417">
                  <c:v>105.21251881694528</c:v>
                </c:pt>
                <c:pt idx="418">
                  <c:v>105.21251869249114</c:v>
                </c:pt>
                <c:pt idx="419">
                  <c:v>105.21251857363833</c:v>
                </c:pt>
                <c:pt idx="420">
                  <c:v>105.21251846013486</c:v>
                </c:pt>
                <c:pt idx="421">
                  <c:v>105.21251835173977</c:v>
                </c:pt>
                <c:pt idx="422">
                  <c:v>105.21251824822332</c:v>
                </c:pt>
                <c:pt idx="423">
                  <c:v>105.21251814936588</c:v>
                </c:pt>
                <c:pt idx="424">
                  <c:v>105.21251805495773</c:v>
                </c:pt>
                <c:pt idx="425">
                  <c:v>105.21251796479868</c:v>
                </c:pt>
                <c:pt idx="426">
                  <c:v>105.21251787869743</c:v>
                </c:pt>
                <c:pt idx="427">
                  <c:v>105.21251779647133</c:v>
                </c:pt>
                <c:pt idx="428">
                  <c:v>105.2125177179461</c:v>
                </c:pt>
                <c:pt idx="429">
                  <c:v>105.21251764295506</c:v>
                </c:pt>
                <c:pt idx="430">
                  <c:v>105.21251757133912</c:v>
                </c:pt>
                <c:pt idx="431">
                  <c:v>105.21251750294653</c:v>
                </c:pt>
                <c:pt idx="432">
                  <c:v>105.21251743763202</c:v>
                </c:pt>
                <c:pt idx="433">
                  <c:v>105.21251737525718</c:v>
                </c:pt>
                <c:pt idx="434">
                  <c:v>105.21251731568961</c:v>
                </c:pt>
                <c:pt idx="435">
                  <c:v>105.21251725880308</c:v>
                </c:pt>
                <c:pt idx="436">
                  <c:v>105.21251720447687</c:v>
                </c:pt>
                <c:pt idx="437">
                  <c:v>105.21251715259572</c:v>
                </c:pt>
                <c:pt idx="438">
                  <c:v>105.21251710304966</c:v>
                </c:pt>
                <c:pt idx="439">
                  <c:v>105.21251705573349</c:v>
                </c:pt>
                <c:pt idx="440">
                  <c:v>105.21251701054686</c:v>
                </c:pt>
                <c:pt idx="441">
                  <c:v>105.21251696739398</c:v>
                </c:pt>
                <c:pt idx="442">
                  <c:v>105.21251692618343</c:v>
                </c:pt>
                <c:pt idx="443">
                  <c:v>105.2125168868275</c:v>
                </c:pt>
                <c:pt idx="444">
                  <c:v>105.21251684924292</c:v>
                </c:pt>
                <c:pt idx="445">
                  <c:v>105.21251681334995</c:v>
                </c:pt>
                <c:pt idx="446">
                  <c:v>105.21251677907242</c:v>
                </c:pt>
                <c:pt idx="447">
                  <c:v>105.2125167463376</c:v>
                </c:pt>
                <c:pt idx="448">
                  <c:v>105.21251671507611</c:v>
                </c:pt>
                <c:pt idx="449">
                  <c:v>105.21251668522166</c:v>
                </c:pt>
                <c:pt idx="450">
                  <c:v>105.2125166567108</c:v>
                </c:pt>
                <c:pt idx="451">
                  <c:v>105.21251662948322</c:v>
                </c:pt>
                <c:pt idx="452">
                  <c:v>105.21251660348108</c:v>
                </c:pt>
                <c:pt idx="453">
                  <c:v>105.21251657864921</c:v>
                </c:pt>
                <c:pt idx="454">
                  <c:v>105.21251655493494</c:v>
                </c:pt>
                <c:pt idx="455">
                  <c:v>105.21251653228802</c:v>
                </c:pt>
                <c:pt idx="456">
                  <c:v>105.21251651066032</c:v>
                </c:pt>
                <c:pt idx="457">
                  <c:v>105.21251649000607</c:v>
                </c:pt>
                <c:pt idx="458">
                  <c:v>105.21251647028144</c:v>
                </c:pt>
                <c:pt idx="459">
                  <c:v>105.21251645144449</c:v>
                </c:pt>
                <c:pt idx="460">
                  <c:v>105.21251643345536</c:v>
                </c:pt>
                <c:pt idx="461">
                  <c:v>105.21251641627597</c:v>
                </c:pt>
                <c:pt idx="462">
                  <c:v>105.21251639986968</c:v>
                </c:pt>
                <c:pt idx="463">
                  <c:v>105.21251638420182</c:v>
                </c:pt>
                <c:pt idx="464">
                  <c:v>105.2125163692391</c:v>
                </c:pt>
                <c:pt idx="465">
                  <c:v>105.21251635494991</c:v>
                </c:pt>
                <c:pt idx="466">
                  <c:v>105.21251634130374</c:v>
                </c:pt>
                <c:pt idx="467">
                  <c:v>105.21251632827175</c:v>
                </c:pt>
                <c:pt idx="468">
                  <c:v>105.21251631582635</c:v>
                </c:pt>
                <c:pt idx="469">
                  <c:v>105.21251630394111</c:v>
                </c:pt>
                <c:pt idx="470">
                  <c:v>105.21251629259072</c:v>
                </c:pt>
                <c:pt idx="471">
                  <c:v>105.21251628175122</c:v>
                </c:pt>
                <c:pt idx="472">
                  <c:v>105.21251627139954</c:v>
                </c:pt>
                <c:pt idx="473">
                  <c:v>105.2125162615138</c:v>
                </c:pt>
                <c:pt idx="474">
                  <c:v>105.21251625207299</c:v>
                </c:pt>
                <c:pt idx="475">
                  <c:v>105.21251624305708</c:v>
                </c:pt>
                <c:pt idx="476">
                  <c:v>105.21251623444691</c:v>
                </c:pt>
                <c:pt idx="477">
                  <c:v>105.21251622622427</c:v>
                </c:pt>
                <c:pt idx="478">
                  <c:v>105.21251621837179</c:v>
                </c:pt>
                <c:pt idx="479">
                  <c:v>105.21251621087268</c:v>
                </c:pt>
                <c:pt idx="480">
                  <c:v>105.2125162037111</c:v>
                </c:pt>
                <c:pt idx="481">
                  <c:v>105.21251619687185</c:v>
                </c:pt>
                <c:pt idx="482">
                  <c:v>105.21251619034039</c:v>
                </c:pt>
                <c:pt idx="483">
                  <c:v>105.21251618410291</c:v>
                </c:pt>
                <c:pt idx="484">
                  <c:v>105.21251617814612</c:v>
                </c:pt>
                <c:pt idx="485">
                  <c:v>105.21251617245741</c:v>
                </c:pt>
                <c:pt idx="486">
                  <c:v>105.21251616702486</c:v>
                </c:pt>
                <c:pt idx="487">
                  <c:v>105.21251616183679</c:v>
                </c:pt>
                <c:pt idx="488">
                  <c:v>105.21251615688209</c:v>
                </c:pt>
                <c:pt idx="489">
                  <c:v>105.21251615215051</c:v>
                </c:pt>
                <c:pt idx="490">
                  <c:v>105.21251614763182</c:v>
                </c:pt>
                <c:pt idx="491">
                  <c:v>105.21251614331653</c:v>
                </c:pt>
                <c:pt idx="492">
                  <c:v>105.21251613919551</c:v>
                </c:pt>
                <c:pt idx="493">
                  <c:v>105.21251613525989</c:v>
                </c:pt>
                <c:pt idx="494">
                  <c:v>105.21251613150143</c:v>
                </c:pt>
                <c:pt idx="495">
                  <c:v>105.21251612791215</c:v>
                </c:pt>
                <c:pt idx="496">
                  <c:v>105.21251612448438</c:v>
                </c:pt>
                <c:pt idx="497">
                  <c:v>105.21251612121097</c:v>
                </c:pt>
                <c:pt idx="498">
                  <c:v>105.21251611808481</c:v>
                </c:pt>
                <c:pt idx="499">
                  <c:v>105.21251611509932</c:v>
                </c:pt>
                <c:pt idx="500">
                  <c:v>105.21251611224824</c:v>
                </c:pt>
                <c:pt idx="501">
                  <c:v>105.21251610952548</c:v>
                </c:pt>
                <c:pt idx="502">
                  <c:v>105.21251610692528</c:v>
                </c:pt>
                <c:pt idx="503">
                  <c:v>105.21251610444209</c:v>
                </c:pt>
                <c:pt idx="504">
                  <c:v>105.21251610207065</c:v>
                </c:pt>
                <c:pt idx="505">
                  <c:v>105.21251609980597</c:v>
                </c:pt>
                <c:pt idx="506">
                  <c:v>105.2125160976432</c:v>
                </c:pt>
                <c:pt idx="507">
                  <c:v>105.21251609557778</c:v>
                </c:pt>
                <c:pt idx="508">
                  <c:v>105.21251609360532</c:v>
                </c:pt>
                <c:pt idx="509">
                  <c:v>105.21251609172162</c:v>
                </c:pt>
                <c:pt idx="510">
                  <c:v>105.21251608992272</c:v>
                </c:pt>
                <c:pt idx="511">
                  <c:v>105.21251608820477</c:v>
                </c:pt>
                <c:pt idx="512">
                  <c:v>105.21251608656411</c:v>
                </c:pt>
                <c:pt idx="513">
                  <c:v>105.21251608499736</c:v>
                </c:pt>
                <c:pt idx="514">
                  <c:v>105.2125160835011</c:v>
                </c:pt>
                <c:pt idx="515">
                  <c:v>105.21251608207217</c:v>
                </c:pt>
                <c:pt idx="516">
                  <c:v>105.2125160807075</c:v>
                </c:pt>
                <c:pt idx="517">
                  <c:v>105.21251607940435</c:v>
                </c:pt>
                <c:pt idx="518">
                  <c:v>105.21251607815977</c:v>
                </c:pt>
                <c:pt idx="519">
                  <c:v>105.2125160769713</c:v>
                </c:pt>
                <c:pt idx="520">
                  <c:v>105.21251607583625</c:v>
                </c:pt>
                <c:pt idx="521">
                  <c:v>105.2125160747523</c:v>
                </c:pt>
                <c:pt idx="522">
                  <c:v>105.21251607371715</c:v>
                </c:pt>
                <c:pt idx="523">
                  <c:v>105.21251607272852</c:v>
                </c:pt>
                <c:pt idx="524">
                  <c:v>105.21251607178449</c:v>
                </c:pt>
                <c:pt idx="525">
                  <c:v>105.2125160708829</c:v>
                </c:pt>
                <c:pt idx="526">
                  <c:v>105.21251607002188</c:v>
                </c:pt>
                <c:pt idx="527">
                  <c:v>105.21251606919962</c:v>
                </c:pt>
                <c:pt idx="528">
                  <c:v>105.21251606841437</c:v>
                </c:pt>
                <c:pt idx="529">
                  <c:v>105.21251606766447</c:v>
                </c:pt>
                <c:pt idx="530">
                  <c:v>105.21251606694831</c:v>
                </c:pt>
                <c:pt idx="531">
                  <c:v>105.21251606626437</c:v>
                </c:pt>
                <c:pt idx="532">
                  <c:v>105.21251606561123</c:v>
                </c:pt>
                <c:pt idx="533">
                  <c:v>105.2125160649875</c:v>
                </c:pt>
                <c:pt idx="534">
                  <c:v>105.21251606439181</c:v>
                </c:pt>
                <c:pt idx="535">
                  <c:v>105.21251606382295</c:v>
                </c:pt>
                <c:pt idx="536">
                  <c:v>105.21251606327968</c:v>
                </c:pt>
                <c:pt idx="537">
                  <c:v>105.21251606276087</c:v>
                </c:pt>
                <c:pt idx="538">
                  <c:v>105.21251606226541</c:v>
                </c:pt>
                <c:pt idx="539">
                  <c:v>105.21251606179226</c:v>
                </c:pt>
                <c:pt idx="540">
                  <c:v>105.21251606134032</c:v>
                </c:pt>
                <c:pt idx="541">
                  <c:v>105.2125160609088</c:v>
                </c:pt>
              </c:numCache>
            </c:numRef>
          </c:yVal>
          <c:smooth val="1"/>
          <c:extLst>
            <c:ext xmlns:c16="http://schemas.microsoft.com/office/drawing/2014/chart" uri="{C3380CC4-5D6E-409C-BE32-E72D297353CC}">
              <c16:uniqueId val="{00000000-1078-49B4-8165-7702EA6C4FD0}"/>
            </c:ext>
          </c:extLst>
        </c:ser>
        <c:dLbls>
          <c:showLegendKey val="0"/>
          <c:showVal val="0"/>
          <c:showCatName val="0"/>
          <c:showSerName val="0"/>
          <c:showPercent val="0"/>
          <c:showBubbleSize val="0"/>
        </c:dLbls>
        <c:axId val="317502208"/>
        <c:axId val="317504128"/>
      </c:scatterChart>
      <c:scatterChart>
        <c:scatterStyle val="smoothMarker"/>
        <c:varyColors val="0"/>
        <c:ser>
          <c:idx val="1"/>
          <c:order val="1"/>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CCM_Loop_Modeling_non_isolated!$AU$19:$AU$560</c:f>
              <c:numCache>
                <c:formatCode>General</c:formatCode>
                <c:ptCount val="542"/>
                <c:pt idx="0">
                  <c:v>4.8433252741922832</c:v>
                </c:pt>
                <c:pt idx="1">
                  <c:v>4.955571263941124</c:v>
                </c:pt>
                <c:pt idx="2">
                  <c:v>5.0703926502497376</c:v>
                </c:pt>
                <c:pt idx="3">
                  <c:v>5.1878466211922571</c:v>
                </c:pt>
                <c:pt idx="4">
                  <c:v>5.3079915009137171</c:v>
                </c:pt>
                <c:pt idx="5">
                  <c:v>5.4308867624905712</c:v>
                </c:pt>
                <c:pt idx="6">
                  <c:v>5.5565930401697781</c:v>
                </c:pt>
                <c:pt idx="7">
                  <c:v>5.6851721409125453</c:v>
                </c:pt>
                <c:pt idx="8">
                  <c:v>5.8166870551632721</c:v>
                </c:pt>
                <c:pt idx="9">
                  <c:v>5.9512019667581662</c:v>
                </c:pt>
                <c:pt idx="10">
                  <c:v>6.0887822618829039</c:v>
                </c:pt>
                <c:pt idx="11">
                  <c:v>6.2294945369827071</c:v>
                </c:pt>
                <c:pt idx="12">
                  <c:v>6.3734066055192908</c:v>
                </c:pt>
                <c:pt idx="13">
                  <c:v>6.5205875034672642</c:v>
                </c:pt>
                <c:pt idx="14">
                  <c:v>6.6711074934281287</c:v>
                </c:pt>
                <c:pt idx="15">
                  <c:v>6.8250380672405395</c:v>
                </c:pt>
                <c:pt idx="16">
                  <c:v>6.9824519469512358</c:v>
                </c:pt>
                <c:pt idx="17">
                  <c:v>7.1434230840054385</c:v>
                </c:pt>
                <c:pt idx="18">
                  <c:v>7.3080266565075043</c:v>
                </c:pt>
                <c:pt idx="19">
                  <c:v>7.4763390643925414</c:v>
                </c:pt>
                <c:pt idx="20">
                  <c:v>7.6484379223397019</c:v>
                </c:pt>
                <c:pt idx="21">
                  <c:v>7.8244020502508844</c:v>
                </c:pt>
                <c:pt idx="22">
                  <c:v>8.0043114611053436</c:v>
                </c:pt>
                <c:pt idx="23">
                  <c:v>8.1882473459931653</c:v>
                </c:pt>
                <c:pt idx="24">
                  <c:v>8.3762920561179985</c:v>
                </c:pt>
                <c:pt idx="25">
                  <c:v>8.5685290815504658</c:v>
                </c:pt>
                <c:pt idx="26">
                  <c:v>8.7650430265002406</c:v>
                </c:pt>
                <c:pt idx="27">
                  <c:v>8.9659195808664727</c:v>
                </c:pt>
                <c:pt idx="28">
                  <c:v>9.1712454878118841</c:v>
                </c:pt>
                <c:pt idx="29">
                  <c:v>9.3811085070963021</c:v>
                </c:pt>
                <c:pt idx="30">
                  <c:v>9.5955973738944671</c:v>
                </c:pt>
                <c:pt idx="31">
                  <c:v>9.8148017528081244</c:v>
                </c:pt>
                <c:pt idx="32">
                  <c:v>10.038812186775363</c:v>
                </c:pt>
                <c:pt idx="33">
                  <c:v>10.267720040566255</c:v>
                </c:pt>
                <c:pt idx="34">
                  <c:v>10.501617438544026</c:v>
                </c:pt>
                <c:pt idx="35">
                  <c:v>10.740597196360916</c:v>
                </c:pt>
                <c:pt idx="36">
                  <c:v>10.984752746248121</c:v>
                </c:pt>
                <c:pt idx="37">
                  <c:v>11.234178055549062</c:v>
                </c:pt>
                <c:pt idx="38">
                  <c:v>11.488967538141164</c:v>
                </c:pt>
                <c:pt idx="39">
                  <c:v>11.749215958379102</c:v>
                </c:pt>
                <c:pt idx="40">
                  <c:v>12.015018327191227</c:v>
                </c:pt>
                <c:pt idx="41">
                  <c:v>12.286469789956612</c:v>
                </c:pt>
                <c:pt idx="42">
                  <c:v>12.563665505785409</c:v>
                </c:pt>
                <c:pt idx="43">
                  <c:v>12.846700517829328</c:v>
                </c:pt>
                <c:pt idx="44">
                  <c:v>13.135669614248059</c:v>
                </c:pt>
                <c:pt idx="45">
                  <c:v>13.430667179466367</c:v>
                </c:pt>
                <c:pt idx="46">
                  <c:v>13.731787035360329</c:v>
                </c:pt>
                <c:pt idx="47">
                  <c:v>14.039122272029392</c:v>
                </c:pt>
                <c:pt idx="48">
                  <c:v>14.352765067819236</c:v>
                </c:pt>
                <c:pt idx="49">
                  <c:v>14.672806498287439</c:v>
                </c:pt>
                <c:pt idx="50">
                  <c:v>14.999336333823692</c:v>
                </c:pt>
                <c:pt idx="51">
                  <c:v>15.332442825667689</c:v>
                </c:pt>
                <c:pt idx="52">
                  <c:v>15.6722124801028</c:v>
                </c:pt>
                <c:pt idx="53">
                  <c:v>16.018729820645053</c:v>
                </c:pt>
                <c:pt idx="54">
                  <c:v>16.37207713809417</c:v>
                </c:pt>
                <c:pt idx="55">
                  <c:v>16.732334228365772</c:v>
                </c:pt>
                <c:pt idx="56">
                  <c:v>17.09957811809004</c:v>
                </c:pt>
                <c:pt idx="57">
                  <c:v>17.473882778024478</c:v>
                </c:pt>
                <c:pt idx="58">
                  <c:v>17.855318824411874</c:v>
                </c:pt>
                <c:pt idx="59">
                  <c:v>18.243953208493785</c:v>
                </c:pt>
                <c:pt idx="60">
                  <c:v>18.63984889448875</c:v>
                </c:pt>
                <c:pt idx="61">
                  <c:v>19.043064526441192</c:v>
                </c:pt>
                <c:pt idx="62">
                  <c:v>19.453654084462627</c:v>
                </c:pt>
                <c:pt idx="63">
                  <c:v>19.871666531001988</c:v>
                </c:pt>
                <c:pt idx="64">
                  <c:v>20.297145447912214</c:v>
                </c:pt>
                <c:pt idx="65">
                  <c:v>20.730128665214522</c:v>
                </c:pt>
                <c:pt idx="66">
                  <c:v>21.170647882606314</c:v>
                </c:pt>
                <c:pt idx="67">
                  <c:v>21.618728284907721</c:v>
                </c:pt>
                <c:pt idx="68">
                  <c:v>22.074388152799816</c:v>
                </c:pt>
                <c:pt idx="69">
                  <c:v>22.537638470366563</c:v>
                </c:pt>
                <c:pt idx="70">
                  <c:v>23.008482531122141</c:v>
                </c:pt>
                <c:pt idx="71">
                  <c:v>23.486915544367466</c:v>
                </c:pt>
                <c:pt idx="72">
                  <c:v>23.972924243892216</c:v>
                </c:pt>
                <c:pt idx="73">
                  <c:v>24.466486501202514</c:v>
                </c:pt>
                <c:pt idx="74">
                  <c:v>24.967570945619833</c:v>
                </c:pt>
                <c:pt idx="75">
                  <c:v>25.476136593750244</c:v>
                </c:pt>
                <c:pt idx="76">
                  <c:v>25.992132490971901</c:v>
                </c:pt>
                <c:pt idx="77">
                  <c:v>26.515497367726965</c:v>
                </c:pt>
                <c:pt idx="78">
                  <c:v>27.046159313520327</c:v>
                </c:pt>
                <c:pt idx="79">
                  <c:v>27.584035471635591</c:v>
                </c:pt>
                <c:pt idx="80">
                  <c:v>28.129031757653181</c:v>
                </c:pt>
                <c:pt idx="81">
                  <c:v>28.681042604919849</c:v>
                </c:pt>
                <c:pt idx="82">
                  <c:v>29.239950740141587</c:v>
                </c:pt>
                <c:pt idx="83">
                  <c:v>29.805626992269428</c:v>
                </c:pt>
                <c:pt idx="84">
                  <c:v>30.377930137815056</c:v>
                </c:pt>
                <c:pt idx="85">
                  <c:v>30.956706785650699</c:v>
                </c:pt>
                <c:pt idx="86">
                  <c:v>31.541791304246015</c:v>
                </c:pt>
                <c:pt idx="87">
                  <c:v>32.133005794124969</c:v>
                </c:pt>
                <c:pt idx="88">
                  <c:v>32.730160108143188</c:v>
                </c:pt>
                <c:pt idx="89">
                  <c:v>33.333051921935358</c:v>
                </c:pt>
                <c:pt idx="90">
                  <c:v>33.941466856600208</c:v>
                </c:pt>
                <c:pt idx="91">
                  <c:v>34.555178655369126</c:v>
                </c:pt>
                <c:pt idx="92">
                  <c:v>35.173949415629899</c:v>
                </c:pt>
                <c:pt idx="93">
                  <c:v>35.797529877273718</c:v>
                </c:pt>
                <c:pt idx="94">
                  <c:v>36.425659767897137</c:v>
                </c:pt>
                <c:pt idx="95">
                  <c:v>37.058068204911876</c:v>
                </c:pt>
                <c:pt idx="96">
                  <c:v>37.69447415412337</c:v>
                </c:pt>
                <c:pt idx="97">
                  <c:v>38.334586943823211</c:v>
                </c:pt>
                <c:pt idx="98">
                  <c:v>38.978106832909702</c:v>
                </c:pt>
                <c:pt idx="99">
                  <c:v>39.624725631018819</c:v>
                </c:pt>
                <c:pt idx="100">
                  <c:v>40.27412736811651</c:v>
                </c:pt>
                <c:pt idx="101">
                  <c:v>40.925989010483413</c:v>
                </c:pt>
                <c:pt idx="102">
                  <c:v>41.57998121952425</c:v>
                </c:pt>
                <c:pt idx="103">
                  <c:v>42.23576914935925</c:v>
                </c:pt>
                <c:pt idx="104">
                  <c:v>42.893013278721163</c:v>
                </c:pt>
                <c:pt idx="105">
                  <c:v>43.551370272287656</c:v>
                </c:pt>
                <c:pt idx="106">
                  <c:v>44.210493866238259</c:v>
                </c:pt>
                <c:pt idx="107">
                  <c:v>44.870035772536895</c:v>
                </c:pt>
                <c:pt idx="108">
                  <c:v>45.529646596225412</c:v>
                </c:pt>
                <c:pt idx="109">
                  <c:v>46.188976759855478</c:v>
                </c:pt>
                <c:pt idx="110">
                  <c:v>46.847677429095391</c:v>
                </c:pt>
                <c:pt idx="111">
                  <c:v>47.505401433544215</c:v>
                </c:pt>
                <c:pt idx="112">
                  <c:v>48.161804176836029</c:v>
                </c:pt>
                <c:pt idx="113">
                  <c:v>48.816544530248514</c:v>
                </c:pt>
                <c:pt idx="114">
                  <c:v>49.469285704219203</c:v>
                </c:pt>
                <c:pt idx="115">
                  <c:v>50.119696092446929</c:v>
                </c:pt>
                <c:pt idx="116">
                  <c:v>50.767450083561791</c:v>
                </c:pt>
                <c:pt idx="117">
                  <c:v>51.412228835726971</c:v>
                </c:pt>
                <c:pt idx="118">
                  <c:v>52.053721009953918</c:v>
                </c:pt>
                <c:pt idx="119">
                  <c:v>52.691623458375275</c:v>
                </c:pt>
                <c:pt idx="120">
                  <c:v>53.325641864202879</c:v>
                </c:pt>
                <c:pt idx="121">
                  <c:v>53.955491330616752</c:v>
                </c:pt>
                <c:pt idx="122">
                  <c:v>54.580896916359279</c:v>
                </c:pt>
                <c:pt idx="123">
                  <c:v>55.201594116336118</c:v>
                </c:pt>
                <c:pt idx="124">
                  <c:v>55.817329286063298</c:v>
                </c:pt>
                <c:pt idx="125">
                  <c:v>56.427860009317648</c:v>
                </c:pt>
                <c:pt idx="126">
                  <c:v>57.032955408854463</c:v>
                </c:pt>
                <c:pt idx="127">
                  <c:v>57.632396400540074</c:v>
                </c:pt>
                <c:pt idx="128">
                  <c:v>58.225975891690624</c:v>
                </c:pt>
                <c:pt idx="129">
                  <c:v>58.813498924849462</c:v>
                </c:pt>
                <c:pt idx="130">
                  <c:v>59.394782768590055</c:v>
                </c:pt>
                <c:pt idx="131">
                  <c:v>59.969656957303705</c:v>
                </c:pt>
                <c:pt idx="132">
                  <c:v>60.537963282202782</c:v>
                </c:pt>
                <c:pt idx="133">
                  <c:v>61.099555736059855</c:v>
                </c:pt>
                <c:pt idx="134">
                  <c:v>61.654300414388807</c:v>
                </c:pt>
                <c:pt idx="135">
                  <c:v>62.202075375961307</c:v>
                </c:pt>
                <c:pt idx="136">
                  <c:v>62.742770465680216</c:v>
                </c:pt>
                <c:pt idx="137">
                  <c:v>63.276287102919817</c:v>
                </c:pt>
                <c:pt idx="138">
                  <c:v>63.802538038482332</c:v>
                </c:pt>
                <c:pt idx="139">
                  <c:v>64.321447083367659</c:v>
                </c:pt>
                <c:pt idx="140">
                  <c:v>64.83294881249337</c:v>
                </c:pt>
                <c:pt idx="141">
                  <c:v>65.336988246497199</c:v>
                </c:pt>
                <c:pt idx="142">
                  <c:v>65.833520514653614</c:v>
                </c:pt>
                <c:pt idx="143">
                  <c:v>66.322510501857124</c:v>
                </c:pt>
                <c:pt idx="144">
                  <c:v>66.803932482505886</c:v>
                </c:pt>
                <c:pt idx="145">
                  <c:v>67.277769743985459</c:v>
                </c:pt>
                <c:pt idx="146">
                  <c:v>67.744014202316407</c:v>
                </c:pt>
                <c:pt idx="147">
                  <c:v>68.20266601237131</c:v>
                </c:pt>
                <c:pt idx="148">
                  <c:v>68.653733174906478</c:v>
                </c:pt>
                <c:pt idx="149">
                  <c:v>69.097231142488425</c:v>
                </c:pt>
                <c:pt idx="150">
                  <c:v>69.533182426230368</c:v>
                </c:pt>
                <c:pt idx="151">
                  <c:v>69.961616205081228</c:v>
                </c:pt>
                <c:pt idx="152">
                  <c:v>70.382567939246158</c:v>
                </c:pt>
                <c:pt idx="153">
                  <c:v>70.796078989155035</c:v>
                </c:pt>
                <c:pt idx="154">
                  <c:v>71.202196241233722</c:v>
                </c:pt>
                <c:pt idx="155">
                  <c:v>71.600971741584004</c:v>
                </c:pt>
                <c:pt idx="156">
                  <c:v>71.992462338527602</c:v>
                </c:pt>
                <c:pt idx="157">
                  <c:v>72.376729334835147</c:v>
                </c:pt>
                <c:pt idx="158">
                  <c:v>72.753838150326558</c:v>
                </c:pt>
                <c:pt idx="159">
                  <c:v>73.12385799540796</c:v>
                </c:pt>
                <c:pt idx="160">
                  <c:v>73.486861555998075</c:v>
                </c:pt>
                <c:pt idx="161">
                  <c:v>73.842924690187274</c:v>
                </c:pt>
                <c:pt idx="162">
                  <c:v>74.192126136880717</c:v>
                </c:pt>
                <c:pt idx="163">
                  <c:v>74.534547236583933</c:v>
                </c:pt>
                <c:pt idx="164">
                  <c:v>74.87027166441257</c:v>
                </c:pt>
                <c:pt idx="165">
                  <c:v>75.199385175334783</c:v>
                </c:pt>
                <c:pt idx="166">
                  <c:v>75.521975361589767</c:v>
                </c:pt>
                <c:pt idx="167">
                  <c:v>75.838131422169639</c:v>
                </c:pt>
                <c:pt idx="168">
                  <c:v>76.147943944202424</c:v>
                </c:pt>
                <c:pt idx="169">
                  <c:v>76.45150469602882</c:v>
                </c:pt>
                <c:pt idx="170">
                  <c:v>76.748906431729083</c:v>
                </c:pt>
                <c:pt idx="171">
                  <c:v>77.04024270682585</c:v>
                </c:pt>
                <c:pt idx="172">
                  <c:v>77.325607704857191</c:v>
                </c:pt>
                <c:pt idx="173">
                  <c:v>77.605096074501361</c:v>
                </c:pt>
                <c:pt idx="174">
                  <c:v>77.878802776906255</c:v>
                </c:pt>
                <c:pt idx="175">
                  <c:v>78.146822942874309</c:v>
                </c:pt>
                <c:pt idx="176">
                  <c:v>78.409251739534596</c:v>
                </c:pt>
                <c:pt idx="177">
                  <c:v>78.666184246133639</c:v>
                </c:pt>
                <c:pt idx="178">
                  <c:v>78.917715338569963</c:v>
                </c:pt>
                <c:pt idx="179">
                  <c:v>79.163939582296422</c:v>
                </c:pt>
                <c:pt idx="180">
                  <c:v>79.404951133216244</c:v>
                </c:pt>
                <c:pt idx="181">
                  <c:v>79.64084364620193</c:v>
                </c:pt>
                <c:pt idx="182">
                  <c:v>79.871710190869109</c:v>
                </c:pt>
                <c:pt idx="183">
                  <c:v>80.097643174247509</c:v>
                </c:pt>
                <c:pt idx="184">
                  <c:v>80.31873426999357</c:v>
                </c:pt>
                <c:pt idx="185">
                  <c:v>80.535074353802088</c:v>
                </c:pt>
                <c:pt idx="186">
                  <c:v>80.746753444681985</c:v>
                </c:pt>
                <c:pt idx="187">
                  <c:v>80.953860651770043</c:v>
                </c:pt>
                <c:pt idx="188">
                  <c:v>81.156484126369747</c:v>
                </c:pt>
                <c:pt idx="189">
                  <c:v>81.35471101891082</c:v>
                </c:pt>
                <c:pt idx="190">
                  <c:v>81.548627440537246</c:v>
                </c:pt>
                <c:pt idx="191">
                  <c:v>81.738318429044213</c:v>
                </c:pt>
                <c:pt idx="192">
                  <c:v>81.923867918892626</c:v>
                </c:pt>
                <c:pt idx="193">
                  <c:v>82.105358715045185</c:v>
                </c:pt>
                <c:pt idx="194">
                  <c:v>82.282872470377484</c:v>
                </c:pt>
                <c:pt idx="195">
                  <c:v>82.456489666427359</c:v>
                </c:pt>
                <c:pt idx="196">
                  <c:v>82.626289597261206</c:v>
                </c:pt>
                <c:pt idx="197">
                  <c:v>82.79235035624194</c:v>
                </c:pt>
                <c:pt idx="198">
                  <c:v>82.954748825497646</c:v>
                </c:pt>
                <c:pt idx="199">
                  <c:v>83.113560667898753</c:v>
                </c:pt>
                <c:pt idx="200">
                  <c:v>83.268860321361245</c:v>
                </c:pt>
                <c:pt idx="201">
                  <c:v>83.420720995304976</c:v>
                </c:pt>
                <c:pt idx="202">
                  <c:v>83.569214669103189</c:v>
                </c:pt>
                <c:pt idx="203">
                  <c:v>83.714412092370679</c:v>
                </c:pt>
                <c:pt idx="204">
                  <c:v>83.856382786945517</c:v>
                </c:pt>
                <c:pt idx="205">
                  <c:v>83.995195050427498</c:v>
                </c:pt>
                <c:pt idx="206">
                  <c:v>84.130915961145575</c:v>
                </c:pt>
                <c:pt idx="207">
                  <c:v>84.263611384433347</c:v>
                </c:pt>
                <c:pt idx="208">
                  <c:v>84.393345980098701</c:v>
                </c:pt>
                <c:pt idx="209">
                  <c:v>84.520183210982452</c:v>
                </c:pt>
                <c:pt idx="210">
                  <c:v>84.644185352504934</c:v>
                </c:pt>
                <c:pt idx="211">
                  <c:v>84.765413503108206</c:v>
                </c:pt>
                <c:pt idx="212">
                  <c:v>84.883927595505796</c:v>
                </c:pt>
                <c:pt idx="213">
                  <c:v>84.999786408658892</c:v>
                </c:pt>
                <c:pt idx="214">
                  <c:v>85.113047580402167</c:v>
                </c:pt>
                <c:pt idx="215">
                  <c:v>85.223767620648502</c:v>
                </c:pt>
                <c:pt idx="216">
                  <c:v>85.332001925106212</c:v>
                </c:pt>
                <c:pt idx="217">
                  <c:v>85.437804789446957</c:v>
                </c:pt>
                <c:pt idx="218">
                  <c:v>85.541229423866653</c:v>
                </c:pt>
                <c:pt idx="219">
                  <c:v>85.642327967986688</c:v>
                </c:pt>
                <c:pt idx="220">
                  <c:v>85.741151506044929</c:v>
                </c:pt>
                <c:pt idx="221">
                  <c:v>85.837750082331624</c:v>
                </c:pt>
                <c:pt idx="222">
                  <c:v>85.932172716826983</c:v>
                </c:pt>
                <c:pt idx="223">
                  <c:v>86.024467421000864</c:v>
                </c:pt>
                <c:pt idx="224">
                  <c:v>86.114681213738606</c:v>
                </c:pt>
                <c:pt idx="225">
                  <c:v>86.202860137359991</c:v>
                </c:pt>
                <c:pt idx="226">
                  <c:v>86.289049273698765</c:v>
                </c:pt>
                <c:pt idx="227">
                  <c:v>86.373292760215932</c:v>
                </c:pt>
                <c:pt idx="228">
                  <c:v>86.455633806119266</c:v>
                </c:pt>
                <c:pt idx="229">
                  <c:v>86.536114708466613</c:v>
                </c:pt>
                <c:pt idx="230">
                  <c:v>86.614776868229072</c:v>
                </c:pt>
                <c:pt idx="231">
                  <c:v>86.691660806295701</c:v>
                </c:pt>
                <c:pt idx="232">
                  <c:v>86.766806179400305</c:v>
                </c:pt>
                <c:pt idx="233">
                  <c:v>86.840251795954188</c:v>
                </c:pt>
                <c:pt idx="234">
                  <c:v>86.912035631769314</c:v>
                </c:pt>
                <c:pt idx="235">
                  <c:v>86.982194845658796</c:v>
                </c:pt>
                <c:pt idx="236">
                  <c:v>87.050765794901523</c:v>
                </c:pt>
                <c:pt idx="237">
                  <c:v>87.117784050560132</c:v>
                </c:pt>
                <c:pt idx="238">
                  <c:v>87.183284412643133</c:v>
                </c:pt>
                <c:pt idx="239">
                  <c:v>87.247300925100518</c:v>
                </c:pt>
                <c:pt idx="240">
                  <c:v>87.309866890646745</c:v>
                </c:pt>
                <c:pt idx="241">
                  <c:v>87.371014885403042</c:v>
                </c:pt>
                <c:pt idx="242">
                  <c:v>87.430776773353259</c:v>
                </c:pt>
                <c:pt idx="243">
                  <c:v>87.489183720607812</c:v>
                </c:pt>
                <c:pt idx="244">
                  <c:v>87.546266209471369</c:v>
                </c:pt>
                <c:pt idx="245">
                  <c:v>87.602054052310038</c:v>
                </c:pt>
                <c:pt idx="246">
                  <c:v>87.656576405214992</c:v>
                </c:pt>
                <c:pt idx="247">
                  <c:v>87.709861781459793</c:v>
                </c:pt>
                <c:pt idx="248">
                  <c:v>87.761938064749145</c:v>
                </c:pt>
                <c:pt idx="249">
                  <c:v>87.812832522257636</c:v>
                </c:pt>
                <c:pt idx="250">
                  <c:v>87.862571817456882</c:v>
                </c:pt>
                <c:pt idx="251">
                  <c:v>87.911182022730728</c:v>
                </c:pt>
                <c:pt idx="252">
                  <c:v>87.958688631777662</c:v>
                </c:pt>
                <c:pt idx="253">
                  <c:v>88.00511657180067</c:v>
                </c:pt>
                <c:pt idx="254">
                  <c:v>88.050490215484601</c:v>
                </c:pt>
                <c:pt idx="255">
                  <c:v>88.094833392761856</c:v>
                </c:pt>
                <c:pt idx="256">
                  <c:v>88.138169402366813</c:v>
                </c:pt>
                <c:pt idx="257">
                  <c:v>88.18052102318029</c:v>
                </c:pt>
                <c:pt idx="258">
                  <c:v>88.221910525365516</c:v>
                </c:pt>
                <c:pt idx="259">
                  <c:v>88.262359681296644</c:v>
                </c:pt>
                <c:pt idx="260">
                  <c:v>88.301889776281854</c:v>
                </c:pt>
                <c:pt idx="261">
                  <c:v>88.340521619082594</c:v>
                </c:pt>
                <c:pt idx="262">
                  <c:v>88.378275552231159</c:v>
                </c:pt>
                <c:pt idx="263">
                  <c:v>88.415171462148578</c:v>
                </c:pt>
                <c:pt idx="264">
                  <c:v>88.451228789064984</c:v>
                </c:pt>
                <c:pt idx="265">
                  <c:v>88.48646653674497</c:v>
                </c:pt>
                <c:pt idx="266">
                  <c:v>88.520903282020086</c:v>
                </c:pt>
                <c:pt idx="267">
                  <c:v>88.554557184131227</c:v>
                </c:pt>
                <c:pt idx="268">
                  <c:v>88.587445993883279</c:v>
                </c:pt>
                <c:pt idx="269">
                  <c:v>88.619587062614684</c:v>
                </c:pt>
                <c:pt idx="270">
                  <c:v>88.650997350984653</c:v>
                </c:pt>
                <c:pt idx="271">
                  <c:v>88.68169343758079</c:v>
                </c:pt>
                <c:pt idx="272">
                  <c:v>88.71169152734943</c:v>
                </c:pt>
                <c:pt idx="273">
                  <c:v>88.741007459852312</c:v>
                </c:pt>
                <c:pt idx="274">
                  <c:v>88.769656717351381</c:v>
                </c:pt>
                <c:pt idx="275">
                  <c:v>88.797654432725224</c:v>
                </c:pt>
                <c:pt idx="276">
                  <c:v>88.825015397219829</c:v>
                </c:pt>
                <c:pt idx="277">
                  <c:v>88.851754068036115</c:v>
                </c:pt>
                <c:pt idx="278">
                  <c:v>88.877884575757591</c:v>
                </c:pt>
                <c:pt idx="279">
                  <c:v>88.903420731620457</c:v>
                </c:pt>
                <c:pt idx="280">
                  <c:v>88.928376034629281</c:v>
                </c:pt>
                <c:pt idx="281">
                  <c:v>88.952763678520981</c:v>
                </c:pt>
                <c:pt idx="282">
                  <c:v>88.976596558579686</c:v>
                </c:pt>
                <c:pt idx="283">
                  <c:v>88.999887278305522</c:v>
                </c:pt>
                <c:pt idx="284">
                  <c:v>89.022648155939791</c:v>
                </c:pt>
                <c:pt idx="285">
                  <c:v>89.044891230849572</c:v>
                </c:pt>
                <c:pt idx="286">
                  <c:v>89.066628269773972</c:v>
                </c:pt>
                <c:pt idx="287">
                  <c:v>89.087870772935233</c:v>
                </c:pt>
                <c:pt idx="288">
                  <c:v>89.108629980016858</c:v>
                </c:pt>
                <c:pt idx="289">
                  <c:v>89.128916876011687</c:v>
                </c:pt>
                <c:pt idx="290">
                  <c:v>89.148742196942166</c:v>
                </c:pt>
                <c:pt idx="291">
                  <c:v>89.168116435455843</c:v>
                </c:pt>
                <c:pt idx="292">
                  <c:v>89.187049846297953</c:v>
                </c:pt>
                <c:pt idx="293">
                  <c:v>89.205552451664232</c:v>
                </c:pt>
                <c:pt idx="294">
                  <c:v>89.22363404643572</c:v>
                </c:pt>
                <c:pt idx="295">
                  <c:v>89.241304203298654</c:v>
                </c:pt>
                <c:pt idx="296">
                  <c:v>89.258572277751185</c:v>
                </c:pt>
                <c:pt idx="297">
                  <c:v>89.275447412999711</c:v>
                </c:pt>
                <c:pt idx="298">
                  <c:v>89.291938544746756</c:v>
                </c:pt>
                <c:pt idx="299">
                  <c:v>89.308054405872952</c:v>
                </c:pt>
                <c:pt idx="300">
                  <c:v>89.32380353101523</c:v>
                </c:pt>
                <c:pt idx="301">
                  <c:v>89.339194261043232</c:v>
                </c:pt>
                <c:pt idx="302">
                  <c:v>89.354234747436308</c:v>
                </c:pt>
                <c:pt idx="303">
                  <c:v>89.368932956563228</c:v>
                </c:pt>
                <c:pt idx="304">
                  <c:v>89.383296673866411</c:v>
                </c:pt>
                <c:pt idx="305">
                  <c:v>89.397333507952951</c:v>
                </c:pt>
                <c:pt idx="306">
                  <c:v>89.411050894594311</c:v>
                </c:pt>
                <c:pt idx="307">
                  <c:v>89.424456100636704</c:v>
                </c:pt>
                <c:pt idx="308">
                  <c:v>89.437556227824075</c:v>
                </c:pt>
                <c:pt idx="309">
                  <c:v>89.450358216535506</c:v>
                </c:pt>
                <c:pt idx="310">
                  <c:v>89.462868849438877</c:v>
                </c:pt>
                <c:pt idx="311">
                  <c:v>89.475094755062827</c:v>
                </c:pt>
                <c:pt idx="312">
                  <c:v>89.4870424112884</c:v>
                </c:pt>
                <c:pt idx="313">
                  <c:v>89.498718148762549</c:v>
                </c:pt>
                <c:pt idx="314">
                  <c:v>89.510128154234749</c:v>
                </c:pt>
                <c:pt idx="315">
                  <c:v>89.521278473818924</c:v>
                </c:pt>
                <c:pt idx="316">
                  <c:v>89.53217501618181</c:v>
                </c:pt>
                <c:pt idx="317">
                  <c:v>89.542823555659652</c:v>
                </c:pt>
                <c:pt idx="318">
                  <c:v>89.553229735304882</c:v>
                </c:pt>
                <c:pt idx="319">
                  <c:v>89.563399069863962</c:v>
                </c:pt>
                <c:pt idx="320">
                  <c:v>89.573336948688365</c:v>
                </c:pt>
                <c:pt idx="321">
                  <c:v>89.583048638579825</c:v>
                </c:pt>
                <c:pt idx="322">
                  <c:v>89.592539286571409</c:v>
                </c:pt>
                <c:pt idx="323">
                  <c:v>89.601813922645874</c:v>
                </c:pt>
                <c:pt idx="324">
                  <c:v>89.610877462392764</c:v>
                </c:pt>
                <c:pt idx="325">
                  <c:v>89.619734709605339</c:v>
                </c:pt>
                <c:pt idx="326">
                  <c:v>89.628390358819004</c:v>
                </c:pt>
                <c:pt idx="327">
                  <c:v>89.636848997792328</c:v>
                </c:pt>
                <c:pt idx="328">
                  <c:v>89.645115109931979</c:v>
                </c:pt>
                <c:pt idx="329">
                  <c:v>89.653193076662774</c:v>
                </c:pt>
                <c:pt idx="330">
                  <c:v>89.661087179744371</c:v>
                </c:pt>
                <c:pt idx="331">
                  <c:v>89.668801603535172</c:v>
                </c:pt>
                <c:pt idx="332">
                  <c:v>89.676340437205326</c:v>
                </c:pt>
                <c:pt idx="333">
                  <c:v>89.68370767689953</c:v>
                </c:pt>
                <c:pt idx="334">
                  <c:v>89.690907227850744</c:v>
                </c:pt>
                <c:pt idx="335">
                  <c:v>89.697942906446244</c:v>
                </c:pt>
                <c:pt idx="336">
                  <c:v>89.704818442246776</c:v>
                </c:pt>
                <c:pt idx="337">
                  <c:v>89.711537479959858</c:v>
                </c:pt>
                <c:pt idx="338">
                  <c:v>89.718103581368624</c:v>
                </c:pt>
                <c:pt idx="339">
                  <c:v>89.724520227216672</c:v>
                </c:pt>
                <c:pt idx="340">
                  <c:v>89.73079081905037</c:v>
                </c:pt>
                <c:pt idx="341">
                  <c:v>89.736918681019318</c:v>
                </c:pt>
                <c:pt idx="342">
                  <c:v>89.742907061635947</c:v>
                </c:pt>
                <c:pt idx="343">
                  <c:v>89.748759135495305</c:v>
                </c:pt>
                <c:pt idx="344">
                  <c:v>89.754478004955743</c:v>
                </c:pt>
                <c:pt idx="345">
                  <c:v>89.760066701781483</c:v>
                </c:pt>
                <c:pt idx="346">
                  <c:v>89.765528188747922</c:v>
                </c:pt>
                <c:pt idx="347">
                  <c:v>89.770865361210525</c:v>
                </c:pt>
                <c:pt idx="348">
                  <c:v>89.77608104863809</c:v>
                </c:pt>
                <c:pt idx="349">
                  <c:v>89.781178016111141</c:v>
                </c:pt>
                <c:pt idx="350">
                  <c:v>89.786158965786441</c:v>
                </c:pt>
                <c:pt idx="351">
                  <c:v>89.791026538328126</c:v>
                </c:pt>
                <c:pt idx="352">
                  <c:v>89.795783314306348</c:v>
                </c:pt>
                <c:pt idx="353">
                  <c:v>89.800431815564281</c:v>
                </c:pt>
                <c:pt idx="354">
                  <c:v>89.80497450655389</c:v>
                </c:pt>
                <c:pt idx="355">
                  <c:v>89.809413795641476</c:v>
                </c:pt>
                <c:pt idx="356">
                  <c:v>89.813752036383562</c:v>
                </c:pt>
                <c:pt idx="357">
                  <c:v>89.817991528773717</c:v>
                </c:pt>
                <c:pt idx="358">
                  <c:v>89.822134520461162</c:v>
                </c:pt>
                <c:pt idx="359">
                  <c:v>89.826183207941497</c:v>
                </c:pt>
                <c:pt idx="360">
                  <c:v>89.8301397377206</c:v>
                </c:pt>
                <c:pt idx="361">
                  <c:v>89.834006207451935</c:v>
                </c:pt>
                <c:pt idx="362">
                  <c:v>89.837784667047956</c:v>
                </c:pt>
                <c:pt idx="363">
                  <c:v>89.841477119766424</c:v>
                </c:pt>
                <c:pt idx="364">
                  <c:v>89.845085523271919</c:v>
                </c:pt>
                <c:pt idx="365">
                  <c:v>89.848611790673161</c:v>
                </c:pt>
                <c:pt idx="366">
                  <c:v>89.852057791536879</c:v>
                </c:pt>
                <c:pt idx="367">
                  <c:v>89.855425352878584</c:v>
                </c:pt>
                <c:pt idx="368">
                  <c:v>89.858716260130748</c:v>
                </c:pt>
                <c:pt idx="369">
                  <c:v>89.861932258089041</c:v>
                </c:pt>
                <c:pt idx="370">
                  <c:v>89.865075051837053</c:v>
                </c:pt>
                <c:pt idx="371">
                  <c:v>89.868146307649951</c:v>
                </c:pt>
                <c:pt idx="372">
                  <c:v>89.871147653877543</c:v>
                </c:pt>
                <c:pt idx="373">
                  <c:v>89.874080681807456</c:v>
                </c:pt>
                <c:pt idx="374">
                  <c:v>89.87694694650834</c:v>
                </c:pt>
                <c:pt idx="375">
                  <c:v>89.879747967654325</c:v>
                </c:pt>
                <c:pt idx="376">
                  <c:v>89.882485230330261</c:v>
                </c:pt>
                <c:pt idx="377">
                  <c:v>89.885160185819061</c:v>
                </c:pt>
                <c:pt idx="378">
                  <c:v>89.887774252370875</c:v>
                </c:pt>
                <c:pt idx="379">
                  <c:v>89.890328815954803</c:v>
                </c:pt>
                <c:pt idx="380">
                  <c:v>89.892825230993651</c:v>
                </c:pt>
                <c:pt idx="381">
                  <c:v>89.895264821081781</c:v>
                </c:pt>
                <c:pt idx="382">
                  <c:v>89.897648879686727</c:v>
                </c:pt>
                <c:pt idx="383">
                  <c:v>89.899978670834884</c:v>
                </c:pt>
                <c:pt idx="384">
                  <c:v>89.902255429781519</c:v>
                </c:pt>
                <c:pt idx="385">
                  <c:v>89.904480363665598</c:v>
                </c:pt>
                <c:pt idx="386">
                  <c:v>89.906654652149655</c:v>
                </c:pt>
                <c:pt idx="387">
                  <c:v>89.908779448045152</c:v>
                </c:pt>
                <c:pt idx="388">
                  <c:v>89.910855877923623</c:v>
                </c:pt>
                <c:pt idx="389">
                  <c:v>89.912885042713839</c:v>
                </c:pt>
                <c:pt idx="390">
                  <c:v>89.914868018285432</c:v>
                </c:pt>
                <c:pt idx="391">
                  <c:v>89.916805856019323</c:v>
                </c:pt>
                <c:pt idx="392">
                  <c:v>89.918699583364969</c:v>
                </c:pt>
                <c:pt idx="393">
                  <c:v>89.920550204385123</c:v>
                </c:pt>
                <c:pt idx="394">
                  <c:v>89.922358700288072</c:v>
                </c:pt>
                <c:pt idx="395">
                  <c:v>89.924126029947885</c:v>
                </c:pt>
                <c:pt idx="396">
                  <c:v>89.925853130412662</c:v>
                </c:pt>
                <c:pt idx="397">
                  <c:v>89.927540917401359</c:v>
                </c:pt>
                <c:pt idx="398">
                  <c:v>89.929190285789289</c:v>
                </c:pt>
                <c:pt idx="399">
                  <c:v>89.930802110082439</c:v>
                </c:pt>
                <c:pt idx="400">
                  <c:v>89.932377244881181</c:v>
                </c:pt>
                <c:pt idx="401">
                  <c:v>89.933916525333302</c:v>
                </c:pt>
                <c:pt idx="402">
                  <c:v>89.935420767576773</c:v>
                </c:pt>
                <c:pt idx="403">
                  <c:v>89.936890769172464</c:v>
                </c:pt>
                <c:pt idx="404">
                  <c:v>89.938327309526898</c:v>
                </c:pt>
                <c:pt idx="405">
                  <c:v>89.939731150305605</c:v>
                </c:pt>
                <c:pt idx="406">
                  <c:v>89.941103035836775</c:v>
                </c:pt>
                <c:pt idx="407">
                  <c:v>89.942443693505965</c:v>
                </c:pt>
                <c:pt idx="408">
                  <c:v>89.943753834141773</c:v>
                </c:pt>
                <c:pt idx="409">
                  <c:v>89.94503415239258</c:v>
                </c:pt>
                <c:pt idx="410">
                  <c:v>89.946285327095012</c:v>
                </c:pt>
                <c:pt idx="411">
                  <c:v>89.947508021633638</c:v>
                </c:pt>
                <c:pt idx="412">
                  <c:v>89.948702884292828</c:v>
                </c:pt>
                <c:pt idx="413">
                  <c:v>89.949870548600444</c:v>
                </c:pt>
                <c:pt idx="414">
                  <c:v>89.951011633663654</c:v>
                </c:pt>
                <c:pt idx="415">
                  <c:v>89.952126744497264</c:v>
                </c:pt>
                <c:pt idx="416">
                  <c:v>89.953216472344408</c:v>
                </c:pt>
                <c:pt idx="417">
                  <c:v>89.954281394990048</c:v>
                </c:pt>
                <c:pt idx="418">
                  <c:v>89.955322077067308</c:v>
                </c:pt>
                <c:pt idx="419">
                  <c:v>89.956339070356904</c:v>
                </c:pt>
                <c:pt idx="420">
                  <c:v>89.957332914079515</c:v>
                </c:pt>
                <c:pt idx="421">
                  <c:v>89.958304135181891</c:v>
                </c:pt>
                <c:pt idx="422">
                  <c:v>89.959253248616065</c:v>
                </c:pt>
                <c:pt idx="423">
                  <c:v>89.960180757612449</c:v>
                </c:pt>
                <c:pt idx="424">
                  <c:v>89.961087153946664</c:v>
                </c:pt>
                <c:pt idx="425">
                  <c:v>89.961972918200203</c:v>
                </c:pt>
                <c:pt idx="426">
                  <c:v>89.962838520015339</c:v>
                </c:pt>
                <c:pt idx="427">
                  <c:v>89.963684418343988</c:v>
                </c:pt>
                <c:pt idx="428">
                  <c:v>89.964511061691184</c:v>
                </c:pt>
                <c:pt idx="429">
                  <c:v>89.965318888352812</c:v>
                </c:pt>
                <c:pt idx="430">
                  <c:v>89.966108326647941</c:v>
                </c:pt>
                <c:pt idx="431">
                  <c:v>89.966879795146042</c:v>
                </c:pt>
                <c:pt idx="432">
                  <c:v>89.967633702888776</c:v>
                </c:pt>
                <c:pt idx="433">
                  <c:v>89.968370449606965</c:v>
                </c:pt>
                <c:pt idx="434">
                  <c:v>89.969090425932521</c:v>
                </c:pt>
                <c:pt idx="435">
                  <c:v>89.96979401360548</c:v>
                </c:pt>
                <c:pt idx="436">
                  <c:v>89.970481585676509</c:v>
                </c:pt>
                <c:pt idx="437">
                  <c:v>89.971153506704624</c:v>
                </c:pt>
                <c:pt idx="438">
                  <c:v>89.971810132950509</c:v>
                </c:pt>
                <c:pt idx="439">
                  <c:v>89.972451812565382</c:v>
                </c:pt>
                <c:pt idx="440">
                  <c:v>89.973078885775664</c:v>
                </c:pt>
                <c:pt idx="441">
                  <c:v>89.973691685063244</c:v>
                </c:pt>
                <c:pt idx="442">
                  <c:v>89.974290535341851</c:v>
                </c:pt>
                <c:pt idx="443">
                  <c:v>89.974875754129314</c:v>
                </c:pt>
                <c:pt idx="444">
                  <c:v>89.975447651715896</c:v>
                </c:pt>
                <c:pt idx="445">
                  <c:v>89.976006531328807</c:v>
                </c:pt>
                <c:pt idx="446">
                  <c:v>89.976552689292987</c:v>
                </c:pt>
                <c:pt idx="447">
                  <c:v>89.977086415188211</c:v>
                </c:pt>
                <c:pt idx="448">
                  <c:v>89.977607992002675</c:v>
                </c:pt>
                <c:pt idx="449">
                  <c:v>89.978117696282936</c:v>
                </c:pt>
                <c:pt idx="450">
                  <c:v>89.978615798280615</c:v>
                </c:pt>
                <c:pt idx="451">
                  <c:v>89.979102562095733</c:v>
                </c:pt>
                <c:pt idx="452">
                  <c:v>89.979578245816569</c:v>
                </c:pt>
                <c:pt idx="453">
                  <c:v>89.980043101656719</c:v>
                </c:pt>
                <c:pt idx="454">
                  <c:v>89.980497376088607</c:v>
                </c:pt>
                <c:pt idx="455">
                  <c:v>89.980941309974355</c:v>
                </c:pt>
                <c:pt idx="456">
                  <c:v>89.981375138693366</c:v>
                </c:pt>
                <c:pt idx="457">
                  <c:v>89.981799092267167</c:v>
                </c:pt>
                <c:pt idx="458">
                  <c:v>89.982213395481367</c:v>
                </c:pt>
                <c:pt idx="459">
                  <c:v>89.982618268004828</c:v>
                </c:pt>
                <c:pt idx="460">
                  <c:v>89.983013924506196</c:v>
                </c:pt>
                <c:pt idx="461">
                  <c:v>89.9834005747676</c:v>
                </c:pt>
                <c:pt idx="462">
                  <c:v>89.983778423795997</c:v>
                </c:pt>
                <c:pt idx="463">
                  <c:v>89.984147671931822</c:v>
                </c:pt>
                <c:pt idx="464">
                  <c:v>89.984508514955181</c:v>
                </c:pt>
                <c:pt idx="465">
                  <c:v>89.984861144189722</c:v>
                </c:pt>
                <c:pt idx="466">
                  <c:v>89.985205746604009</c:v>
                </c:pt>
                <c:pt idx="467">
                  <c:v>89.98554250491074</c:v>
                </c:pt>
                <c:pt idx="468">
                  <c:v>89.98587159766349</c:v>
                </c:pt>
                <c:pt idx="469">
                  <c:v>89.986193199351519</c:v>
                </c:pt>
                <c:pt idx="470">
                  <c:v>89.986507480492236</c:v>
                </c:pt>
                <c:pt idx="471">
                  <c:v>89.98681460772157</c:v>
                </c:pt>
                <c:pt idx="472">
                  <c:v>89.987114743882373</c:v>
                </c:pt>
                <c:pt idx="473">
                  <c:v>89.987408048110751</c:v>
                </c:pt>
                <c:pt idx="474">
                  <c:v>89.987694675920423</c:v>
                </c:pt>
                <c:pt idx="475">
                  <c:v>89.987974779285196</c:v>
                </c:pt>
                <c:pt idx="476">
                  <c:v>89.988248506719515</c:v>
                </c:pt>
                <c:pt idx="477">
                  <c:v>89.988516003357248</c:v>
                </c:pt>
                <c:pt idx="478">
                  <c:v>89.988777411028622</c:v>
                </c:pt>
                <c:pt idx="479">
                  <c:v>89.989032868335357</c:v>
                </c:pt>
                <c:pt idx="480">
                  <c:v>89.989282510724294</c:v>
                </c:pt>
                <c:pt idx="481">
                  <c:v>89.989526470559099</c:v>
                </c:pt>
                <c:pt idx="482">
                  <c:v>89.989764877190439</c:v>
                </c:pt>
                <c:pt idx="483">
                  <c:v>89.989997857024662</c:v>
                </c:pt>
                <c:pt idx="484">
                  <c:v>89.990225533590703</c:v>
                </c:pt>
                <c:pt idx="485">
                  <c:v>89.99044802760568</c:v>
                </c:pt>
                <c:pt idx="486">
                  <c:v>89.99066545703883</c:v>
                </c:pt>
                <c:pt idx="487">
                  <c:v>89.990877937174105</c:v>
                </c:pt>
                <c:pt idx="488">
                  <c:v>89.991085580671253</c:v>
                </c:pt>
                <c:pt idx="489">
                  <c:v>89.991288497625575</c:v>
                </c:pt>
                <c:pt idx="490">
                  <c:v>89.991486795626315</c:v>
                </c:pt>
                <c:pt idx="491">
                  <c:v>89.991680579813689</c:v>
                </c:pt>
                <c:pt idx="492">
                  <c:v>89.991869952934593</c:v>
                </c:pt>
                <c:pt idx="493">
                  <c:v>89.992055015397156</c:v>
                </c:pt>
                <c:pt idx="494">
                  <c:v>89.992235865323934</c:v>
                </c:pt>
                <c:pt idx="495">
                  <c:v>89.992412598603948</c:v>
                </c:pt>
                <c:pt idx="496">
                  <c:v>89.99258530894349</c:v>
                </c:pt>
                <c:pt idx="497">
                  <c:v>89.99275408791587</c:v>
                </c:pt>
                <c:pt idx="498">
                  <c:v>89.992919025009911</c:v>
                </c:pt>
                <c:pt idx="499">
                  <c:v>89.993080207677451</c:v>
                </c:pt>
                <c:pt idx="500">
                  <c:v>89.993237721379643</c:v>
                </c:pt>
                <c:pt idx="501">
                  <c:v>89.993391649632329</c:v>
                </c:pt>
                <c:pt idx="502">
                  <c:v>89.99354207405031</c:v>
                </c:pt>
                <c:pt idx="503">
                  <c:v>89.993689074390588</c:v>
                </c:pt>
                <c:pt idx="504">
                  <c:v>89.993832728594668</c:v>
                </c:pt>
                <c:pt idx="505">
                  <c:v>89.993973112829934</c:v>
                </c:pt>
                <c:pt idx="506">
                  <c:v>89.994110301529915</c:v>
                </c:pt>
                <c:pt idx="507">
                  <c:v>89.994244367433922</c:v>
                </c:pt>
                <c:pt idx="508">
                  <c:v>89.994375381625446</c:v>
                </c:pt>
                <c:pt idx="509">
                  <c:v>89.994503413569916</c:v>
                </c:pt>
                <c:pt idx="510">
                  <c:v>89.994628531151562</c:v>
                </c:pt>
                <c:pt idx="511">
                  <c:v>89.994750800709411</c:v>
                </c:pt>
                <c:pt idx="512">
                  <c:v>89.994870287072388</c:v>
                </c:pt>
                <c:pt idx="513">
                  <c:v>89.994987053593704</c:v>
                </c:pt>
                <c:pt idx="514">
                  <c:v>89.995101162184554</c:v>
                </c:pt>
                <c:pt idx="515">
                  <c:v>89.995212673346799</c:v>
                </c:pt>
                <c:pt idx="516">
                  <c:v>89.995321646205127</c:v>
                </c:pt>
                <c:pt idx="517">
                  <c:v>89.995428138538401</c:v>
                </c:pt>
                <c:pt idx="518">
                  <c:v>89.995532206810239</c:v>
                </c:pt>
                <c:pt idx="519">
                  <c:v>89.995633906199032</c:v>
                </c:pt>
                <c:pt idx="520">
                  <c:v>89.995733290627143</c:v>
                </c:pt>
                <c:pt idx="521">
                  <c:v>89.995830412789502</c:v>
                </c:pt>
                <c:pt idx="522">
                  <c:v>89.995925324181556</c:v>
                </c:pt>
                <c:pt idx="523">
                  <c:v>89.996018075126571</c:v>
                </c:pt>
                <c:pt idx="524">
                  <c:v>89.996108714802361</c:v>
                </c:pt>
                <c:pt idx="525">
                  <c:v>89.996197291267251</c:v>
                </c:pt>
                <c:pt idx="526">
                  <c:v>89.996283851485657</c:v>
                </c:pt>
                <c:pt idx="527">
                  <c:v>89.996368441352956</c:v>
                </c:pt>
                <c:pt idx="528">
                  <c:v>89.9964511057198</c:v>
                </c:pt>
                <c:pt idx="529">
                  <c:v>89.996531888415959</c:v>
                </c:pt>
                <c:pt idx="530">
                  <c:v>89.996610832273461</c:v>
                </c:pt>
                <c:pt idx="531">
                  <c:v>89.996687979149399</c:v>
                </c:pt>
                <c:pt idx="532">
                  <c:v>89.996763369948042</c:v>
                </c:pt>
                <c:pt idx="533">
                  <c:v>89.996837044642604</c:v>
                </c:pt>
                <c:pt idx="534">
                  <c:v>89.996909042296394</c:v>
                </c:pt>
                <c:pt idx="535">
                  <c:v>89.996979401083507</c:v>
                </c:pt>
                <c:pt idx="536">
                  <c:v>89.997048158309099</c:v>
                </c:pt>
                <c:pt idx="537">
                  <c:v>89.997115350429169</c:v>
                </c:pt>
                <c:pt idx="538">
                  <c:v>89.997181013069863</c:v>
                </c:pt>
                <c:pt idx="539">
                  <c:v>89.997245181046381</c:v>
                </c:pt>
                <c:pt idx="540">
                  <c:v>89.997307888381442</c:v>
                </c:pt>
                <c:pt idx="541">
                  <c:v>89.997369168323289</c:v>
                </c:pt>
              </c:numCache>
            </c:numRef>
          </c:yVal>
          <c:smooth val="1"/>
          <c:extLst>
            <c:ext xmlns:c16="http://schemas.microsoft.com/office/drawing/2014/chart" uri="{C3380CC4-5D6E-409C-BE32-E72D297353CC}">
              <c16:uniqueId val="{00000001-1078-49B4-8165-7702EA6C4FD0}"/>
            </c:ext>
          </c:extLst>
        </c:ser>
        <c:dLbls>
          <c:showLegendKey val="0"/>
          <c:showVal val="0"/>
          <c:showCatName val="0"/>
          <c:showSerName val="0"/>
          <c:showPercent val="0"/>
          <c:showBubbleSize val="0"/>
        </c:dLbls>
        <c:axId val="317511936"/>
        <c:axId val="317510400"/>
      </c:scatterChart>
      <c:valAx>
        <c:axId val="317502208"/>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17504128"/>
        <c:crosses val="autoZero"/>
        <c:crossBetween val="midCat"/>
      </c:valAx>
      <c:valAx>
        <c:axId val="317504128"/>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17502208"/>
        <c:crosses val="autoZero"/>
        <c:crossBetween val="midCat"/>
        <c:majorUnit val="20"/>
        <c:minorUnit val="10"/>
      </c:valAx>
      <c:valAx>
        <c:axId val="317510400"/>
        <c:scaling>
          <c:orientation val="minMax"/>
          <c:max val="180"/>
          <c:min val="-180"/>
        </c:scaling>
        <c:delete val="0"/>
        <c:axPos val="r"/>
        <c:numFmt formatCode="General" sourceLinked="1"/>
        <c:majorTickMark val="out"/>
        <c:minorTickMark val="none"/>
        <c:tickLblPos val="nextTo"/>
        <c:crossAx val="317511936"/>
        <c:crosses val="max"/>
        <c:crossBetween val="midCat"/>
        <c:majorUnit val="90"/>
        <c:minorUnit val="45"/>
      </c:valAx>
      <c:valAx>
        <c:axId val="317511936"/>
        <c:scaling>
          <c:logBase val="10"/>
          <c:orientation val="minMax"/>
        </c:scaling>
        <c:delete val="1"/>
        <c:axPos val="b"/>
        <c:numFmt formatCode="0.00" sourceLinked="1"/>
        <c:majorTickMark val="out"/>
        <c:minorTickMark val="none"/>
        <c:tickLblPos val="nextTo"/>
        <c:crossAx val="317510400"/>
        <c:crosses val="autoZero"/>
        <c:crossBetween val="midCat"/>
      </c:valAx>
    </c:plotArea>
    <c:legend>
      <c:legendPos val="r"/>
      <c:layout>
        <c:manualLayout>
          <c:xMode val="edge"/>
          <c:yMode val="edge"/>
          <c:x val="0.79880558209512509"/>
          <c:y val="0.14321997959862004"/>
          <c:w val="0.13485048155591431"/>
          <c:h val="0.10528624969913696"/>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Control Loop Transfer Function</a:t>
            </a:r>
          </a:p>
        </c:rich>
      </c:tx>
      <c:overlay val="0"/>
    </c:title>
    <c:autoTitleDeleted val="0"/>
    <c:plotArea>
      <c:layout/>
      <c:scatterChart>
        <c:scatterStyle val="smoothMarker"/>
        <c:varyColors val="0"/>
        <c:ser>
          <c:idx val="0"/>
          <c:order val="0"/>
          <c:tx>
            <c:v>Gain (dB)</c:v>
          </c:tx>
          <c:spPr>
            <a:ln w="38100">
              <a:solidFill>
                <a:srgbClr val="FF0000"/>
              </a:solidFill>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CCM_Loop_Modeling_non_isolated!$AW$19:$AW$560</c:f>
              <c:numCache>
                <c:formatCode>0.000</c:formatCode>
                <c:ptCount val="542"/>
                <c:pt idx="0">
                  <c:v>151.4939672709919</c:v>
                </c:pt>
                <c:pt idx="1">
                  <c:v>151.29541970306815</c:v>
                </c:pt>
                <c:pt idx="2">
                  <c:v>151.09694006126958</c:v>
                </c:pt>
                <c:pt idx="3">
                  <c:v>150.89853149662036</c:v>
                </c:pt>
                <c:pt idx="4">
                  <c:v>150.70019730386056</c:v>
                </c:pt>
                <c:pt idx="5">
                  <c:v>150.50194092776633</c:v>
                </c:pt>
                <c:pt idx="6">
                  <c:v>150.30376596972548</c:v>
                </c:pt>
                <c:pt idx="7">
                  <c:v>150.10567619457578</c:v>
                </c:pt>
                <c:pt idx="8">
                  <c:v>149.90767553771596</c:v>
                </c:pt>
                <c:pt idx="9">
                  <c:v>149.70976811249639</c:v>
                </c:pt>
                <c:pt idx="10">
                  <c:v>149.51195821789685</c:v>
                </c:pt>
                <c:pt idx="11">
                  <c:v>149.31425034650161</c:v>
                </c:pt>
                <c:pt idx="12">
                  <c:v>149.11664919277786</c:v>
                </c:pt>
                <c:pt idx="13">
                  <c:v>148.91915966166539</c:v>
                </c:pt>
                <c:pt idx="14">
                  <c:v>148.72178687748729</c:v>
                </c:pt>
                <c:pt idx="15">
                  <c:v>148.52453619318564</c:v>
                </c:pt>
                <c:pt idx="16">
                  <c:v>148.32741319989219</c:v>
                </c:pt>
                <c:pt idx="17">
                  <c:v>148.13042373683928</c:v>
                </c:pt>
                <c:pt idx="18">
                  <c:v>147.93357390161677</c:v>
                </c:pt>
                <c:pt idx="19">
                  <c:v>147.73687006078219</c:v>
                </c:pt>
                <c:pt idx="20">
                  <c:v>147.54031886082717</c:v>
                </c:pt>
                <c:pt idx="21">
                  <c:v>147.3439272395058</c:v>
                </c:pt>
                <c:pt idx="22">
                  <c:v>147.14770243752841</c:v>
                </c:pt>
                <c:pt idx="23">
                  <c:v>146.95165201062127</c:v>
                </c:pt>
                <c:pt idx="24">
                  <c:v>146.75578384195654</c:v>
                </c:pt>
                <c:pt idx="25">
                  <c:v>146.56010615494915</c:v>
                </c:pt>
                <c:pt idx="26">
                  <c:v>146.36462752642319</c:v>
                </c:pt>
                <c:pt idx="27">
                  <c:v>146.16935690014108</c:v>
                </c:pt>
                <c:pt idx="28">
                  <c:v>145.97430360069399</c:v>
                </c:pt>
                <c:pt idx="29">
                  <c:v>145.77947734774523</c:v>
                </c:pt>
                <c:pt idx="30">
                  <c:v>145.58488827061882</c:v>
                </c:pt>
                <c:pt idx="31">
                  <c:v>145.39054692322208</c:v>
                </c:pt>
                <c:pt idx="32">
                  <c:v>145.19646429928915</c:v>
                </c:pt>
                <c:pt idx="33">
                  <c:v>145.00265184792875</c:v>
                </c:pt>
                <c:pt idx="34">
                  <c:v>144.8091214894568</c:v>
                </c:pt>
                <c:pt idx="35">
                  <c:v>144.61588563149192</c:v>
                </c:pt>
                <c:pt idx="36">
                  <c:v>144.422957185287</c:v>
                </c:pt>
                <c:pt idx="37">
                  <c:v>144.23034958226754</c:v>
                </c:pt>
                <c:pt idx="38">
                  <c:v>144.03807679074106</c:v>
                </c:pt>
                <c:pt idx="39">
                  <c:v>143.84615333274004</c:v>
                </c:pt>
                <c:pt idx="40">
                  <c:v>143.65459430095487</c:v>
                </c:pt>
                <c:pt idx="41">
                  <c:v>143.46341537570726</c:v>
                </c:pt>
                <c:pt idx="42">
                  <c:v>143.27263284190937</c:v>
                </c:pt>
                <c:pt idx="43">
                  <c:v>143.08226360595023</c:v>
                </c:pt>
                <c:pt idx="44">
                  <c:v>142.89232521244207</c:v>
                </c:pt>
                <c:pt idx="45">
                  <c:v>142.70283586075257</c:v>
                </c:pt>
                <c:pt idx="46">
                  <c:v>142.51381442124594</c:v>
                </c:pt>
                <c:pt idx="47">
                  <c:v>142.32528045114381</c:v>
                </c:pt>
                <c:pt idx="48">
                  <c:v>142.13725420991176</c:v>
                </c:pt>
                <c:pt idx="49">
                  <c:v>141.94975667407112</c:v>
                </c:pt>
                <c:pt idx="50">
                  <c:v>141.76280955132307</c:v>
                </c:pt>
                <c:pt idx="51">
                  <c:v>141.57643529386999</c:v>
                </c:pt>
                <c:pt idx="52">
                  <c:v>141.39065711080477</c:v>
                </c:pt>
                <c:pt idx="53">
                  <c:v>141.20549897943408</c:v>
                </c:pt>
                <c:pt idx="54">
                  <c:v>141.02098565539302</c:v>
                </c:pt>
                <c:pt idx="55">
                  <c:v>140.83714268139713</c:v>
                </c:pt>
                <c:pt idx="56">
                  <c:v>140.65399639447341</c:v>
                </c:pt>
                <c:pt idx="57">
                  <c:v>140.47157393150053</c:v>
                </c:pt>
                <c:pt idx="58">
                  <c:v>140.28990323288386</c:v>
                </c:pt>
                <c:pt idx="59">
                  <c:v>140.1090130441805</c:v>
                </c:pt>
                <c:pt idx="60">
                  <c:v>139.92893291548543</c:v>
                </c:pt>
                <c:pt idx="61">
                  <c:v>139.74969319838283</c:v>
                </c:pt>
                <c:pt idx="62">
                  <c:v>139.57132504026197</c:v>
                </c:pt>
                <c:pt idx="63">
                  <c:v>139.39386037579351</c:v>
                </c:pt>
                <c:pt idx="64">
                  <c:v>139.21733191535901</c:v>
                </c:pt>
                <c:pt idx="65">
                  <c:v>139.04177313022575</c:v>
                </c:pt>
                <c:pt idx="66">
                  <c:v>138.86721823426055</c:v>
                </c:pt>
                <c:pt idx="67">
                  <c:v>138.69370216197686</c:v>
                </c:pt>
                <c:pt idx="68">
                  <c:v>138.52126054271628</c:v>
                </c:pt>
                <c:pt idx="69">
                  <c:v>138.34992967077125</c:v>
                </c:pt>
                <c:pt idx="70">
                  <c:v>138.17974647126687</c:v>
                </c:pt>
                <c:pt idx="71">
                  <c:v>138.01074846162913</c:v>
                </c:pt>
                <c:pt idx="72">
                  <c:v>137.84297370848739</c:v>
                </c:pt>
                <c:pt idx="73">
                  <c:v>137.67646077987115</c:v>
                </c:pt>
                <c:pt idx="74">
                  <c:v>137.51124869258814</c:v>
                </c:pt>
                <c:pt idx="75">
                  <c:v>137.34737685469216</c:v>
                </c:pt>
                <c:pt idx="76">
                  <c:v>137.18488500298048</c:v>
                </c:pt>
                <c:pt idx="77">
                  <c:v>137.02381313548858</c:v>
                </c:pt>
                <c:pt idx="78">
                  <c:v>136.86420143899014</c:v>
                </c:pt>
                <c:pt idx="79">
                  <c:v>136.70609021154405</c:v>
                </c:pt>
                <c:pt idx="80">
                  <c:v>136.54951978017584</c:v>
                </c:pt>
                <c:pt idx="81">
                  <c:v>136.394530413822</c:v>
                </c:pt>
                <c:pt idx="82">
                  <c:v>136.24116223171566</c:v>
                </c:pt>
                <c:pt idx="83">
                  <c:v>136.08945510744033</c:v>
                </c:pt>
                <c:pt idx="84">
                  <c:v>135.93944856892904</c:v>
                </c:pt>
                <c:pt idx="85">
                  <c:v>135.79118169473978</c:v>
                </c:pt>
                <c:pt idx="86">
                  <c:v>135.64469300698994</c:v>
                </c:pt>
                <c:pt idx="87">
                  <c:v>135.50002036138667</c:v>
                </c:pt>
                <c:pt idx="88">
                  <c:v>135.35720083483952</c:v>
                </c:pt>
                <c:pt idx="89">
                  <c:v>135.21627061119608</c:v>
                </c:pt>
                <c:pt idx="90">
                  <c:v>135.07726486568293</c:v>
                </c:pt>
                <c:pt idx="91">
                  <c:v>134.94021764868486</c:v>
                </c:pt>
                <c:pt idx="92">
                  <c:v>134.80516176953077</c:v>
                </c:pt>
                <c:pt idx="93">
                  <c:v>134.67212868098989</c:v>
                </c:pt>
                <c:pt idx="94">
                  <c:v>134.54114836521177</c:v>
                </c:pt>
                <c:pt idx="95">
                  <c:v>134.41224922186308</c:v>
                </c:pt>
                <c:pt idx="96">
                  <c:v>134.28545795922867</c:v>
                </c:pt>
                <c:pt idx="97">
                  <c:v>134.16079948905011</c:v>
                </c:pt>
                <c:pt idx="98">
                  <c:v>134.03829682586931</c:v>
                </c:pt>
                <c:pt idx="99">
                  <c:v>133.91797099163477</c:v>
                </c:pt>
                <c:pt idx="100">
                  <c:v>133.79984092630283</c:v>
                </c:pt>
                <c:pt idx="101">
                  <c:v>133.68392340513515</c:v>
                </c:pt>
                <c:pt idx="102">
                  <c:v>133.57023296335254</c:v>
                </c:pt>
                <c:pt idx="103">
                  <c:v>133.45878182875447</c:v>
                </c:pt>
                <c:pt idx="104">
                  <c:v>133.34957986285201</c:v>
                </c:pt>
                <c:pt idx="105">
                  <c:v>133.24263451099836</c:v>
                </c:pt>
                <c:pt idx="106">
                  <c:v>133.13795076192201</c:v>
                </c:pt>
                <c:pt idx="107">
                  <c:v>133.03553111699023</c:v>
                </c:pt>
                <c:pt idx="108">
                  <c:v>132.93537556944332</c:v>
                </c:pt>
                <c:pt idx="109">
                  <c:v>132.83748159374926</c:v>
                </c:pt>
                <c:pt idx="110">
                  <c:v>132.74184414513928</c:v>
                </c:pt>
                <c:pt idx="111">
                  <c:v>132.64845566928921</c:v>
                </c:pt>
                <c:pt idx="112">
                  <c:v>132.55730612201953</c:v>
                </c:pt>
                <c:pt idx="113">
                  <c:v>132.46838299879767</c:v>
                </c:pt>
                <c:pt idx="114">
                  <c:v>132.38167137373659</c:v>
                </c:pt>
                <c:pt idx="115">
                  <c:v>132.2971539477023</c:v>
                </c:pt>
                <c:pt idx="116">
                  <c:v>132.21481110506454</c:v>
                </c:pt>
                <c:pt idx="117">
                  <c:v>132.13462097855566</c:v>
                </c:pt>
                <c:pt idx="118">
                  <c:v>132.05655952163843</c:v>
                </c:pt>
                <c:pt idx="119">
                  <c:v>131.98060058773095</c:v>
                </c:pt>
                <c:pt idx="120">
                  <c:v>131.90671601558972</c:v>
                </c:pt>
                <c:pt idx="121">
                  <c:v>131.83487572011796</c:v>
                </c:pt>
                <c:pt idx="122">
                  <c:v>131.76504778783874</c:v>
                </c:pt>
                <c:pt idx="123">
                  <c:v>131.69719857625586</c:v>
                </c:pt>
                <c:pt idx="124">
                  <c:v>131.63129281631848</c:v>
                </c:pt>
                <c:pt idx="125">
                  <c:v>131.56729371720769</c:v>
                </c:pt>
                <c:pt idx="126">
                  <c:v>131.50516307267307</c:v>
                </c:pt>
                <c:pt idx="127">
                  <c:v>131.4448613681657</c:v>
                </c:pt>
                <c:pt idx="128">
                  <c:v>131.38634788804052</c:v>
                </c:pt>
                <c:pt idx="129">
                  <c:v>131.32958082213216</c:v>
                </c:pt>
                <c:pt idx="130">
                  <c:v>131.2745173710488</c:v>
                </c:pt>
                <c:pt idx="131">
                  <c:v>131.22111384956648</c:v>
                </c:pt>
                <c:pt idx="132">
                  <c:v>131.16932578755959</c:v>
                </c:pt>
                <c:pt idx="133">
                  <c:v>131.11910802794662</c:v>
                </c:pt>
                <c:pt idx="134">
                  <c:v>131.07041482118603</c:v>
                </c:pt>
                <c:pt idx="135">
                  <c:v>131.0231999159077</c:v>
                </c:pt>
                <c:pt idx="136">
                  <c:v>130.97741664532123</c:v>
                </c:pt>
                <c:pt idx="137">
                  <c:v>130.93301800909356</c:v>
                </c:pt>
                <c:pt idx="138">
                  <c:v>130.88995675044029</c:v>
                </c:pt>
                <c:pt idx="139">
                  <c:v>130.8481854282299</c:v>
                </c:pt>
                <c:pt idx="140">
                  <c:v>130.80765648394365</c:v>
                </c:pt>
                <c:pt idx="141">
                  <c:v>130.76832230338442</c:v>
                </c:pt>
                <c:pt idx="142">
                  <c:v>130.73013527307057</c:v>
                </c:pt>
                <c:pt idx="143">
                  <c:v>130.69304783129107</c:v>
                </c:pt>
                <c:pt idx="144">
                  <c:v>130.6570125138382</c:v>
                </c:pt>
                <c:pt idx="145">
                  <c:v>130.62198199446524</c:v>
                </c:pt>
                <c:pt idx="146">
                  <c:v>130.58790912015192</c:v>
                </c:pt>
                <c:pt idx="147">
                  <c:v>130.55474694128668</c:v>
                </c:pt>
                <c:pt idx="148">
                  <c:v>130.52244873689884</c:v>
                </c:pt>
                <c:pt idx="149">
                  <c:v>130.49096803509761</c:v>
                </c:pt>
                <c:pt idx="150">
                  <c:v>130.46025862889303</c:v>
                </c:pt>
                <c:pt idx="151">
                  <c:v>130.43027458758974</c:v>
                </c:pt>
                <c:pt idx="152">
                  <c:v>130.40097026395856</c:v>
                </c:pt>
                <c:pt idx="153">
                  <c:v>130.37230029740203</c:v>
                </c:pt>
                <c:pt idx="154">
                  <c:v>130.34421961333931</c:v>
                </c:pt>
                <c:pt idx="155">
                  <c:v>130.31668341904236</c:v>
                </c:pt>
                <c:pt idx="156">
                  <c:v>130.28964719616135</c:v>
                </c:pt>
                <c:pt idx="157">
                  <c:v>130.26306669018172</c:v>
                </c:pt>
                <c:pt idx="158">
                  <c:v>130.23689789705577</c:v>
                </c:pt>
                <c:pt idx="159">
                  <c:v>130.21109704725683</c:v>
                </c:pt>
                <c:pt idx="160">
                  <c:v>130.18562058750132</c:v>
                </c:pt>
                <c:pt idx="161">
                  <c:v>130.16042516038672</c:v>
                </c:pt>
                <c:pt idx="162">
                  <c:v>130.13546758219175</c:v>
                </c:pt>
                <c:pt idx="163">
                  <c:v>130.11070481908493</c:v>
                </c:pt>
                <c:pt idx="164">
                  <c:v>130.08609396198577</c:v>
                </c:pt>
                <c:pt idx="165">
                  <c:v>130.06159220032461</c:v>
                </c:pt>
                <c:pt idx="166">
                  <c:v>130.03715679494226</c:v>
                </c:pt>
                <c:pt idx="167">
                  <c:v>130.01274505037264</c:v>
                </c:pt>
                <c:pt idx="168">
                  <c:v>129.98831428675044</c:v>
                </c:pt>
                <c:pt idx="169">
                  <c:v>129.96382181158484</c:v>
                </c:pt>
                <c:pt idx="170">
                  <c:v>129.9392248916397</c:v>
                </c:pt>
                <c:pt idx="171">
                  <c:v>129.91448072516323</c:v>
                </c:pt>
                <c:pt idx="172">
                  <c:v>129.88954641470636</c:v>
                </c:pt>
                <c:pt idx="173">
                  <c:v>129.86437894077517</c:v>
                </c:pt>
                <c:pt idx="174">
                  <c:v>129.8389351365565</c:v>
                </c:pt>
                <c:pt idx="175">
                  <c:v>129.81317166396531</c:v>
                </c:pt>
                <c:pt idx="176">
                  <c:v>129.78704499125459</c:v>
                </c:pt>
                <c:pt idx="177">
                  <c:v>129.76051137243667</c:v>
                </c:pt>
                <c:pt idx="178">
                  <c:v>129.73352682876072</c:v>
                </c:pt>
                <c:pt idx="179">
                  <c:v>129.70604713249469</c:v>
                </c:pt>
                <c:pt idx="180">
                  <c:v>129.67802779325777</c:v>
                </c:pt>
                <c:pt idx="181">
                  <c:v>129.64942404715009</c:v>
                </c:pt>
                <c:pt idx="182">
                  <c:v>129.62019084892393</c:v>
                </c:pt>
                <c:pt idx="183">
                  <c:v>129.59028286743941</c:v>
                </c:pt>
                <c:pt idx="184">
                  <c:v>129.55965448464184</c:v>
                </c:pt>
                <c:pt idx="185">
                  <c:v>129.52825979829433</c:v>
                </c:pt>
                <c:pt idx="186">
                  <c:v>129.49605262869133</c:v>
                </c:pt>
                <c:pt idx="187">
                  <c:v>129.46298652957211</c:v>
                </c:pt>
                <c:pt idx="188">
                  <c:v>129.4290148034363</c:v>
                </c:pt>
                <c:pt idx="189">
                  <c:v>129.39409052145993</c:v>
                </c:pt>
                <c:pt idx="190">
                  <c:v>129.35816654818331</c:v>
                </c:pt>
                <c:pt idx="191">
                  <c:v>129.3211955711337</c:v>
                </c:pt>
                <c:pt idx="192">
                  <c:v>129.28313013551639</c:v>
                </c:pt>
                <c:pt idx="193">
                  <c:v>129.24392268408778</c:v>
                </c:pt>
                <c:pt idx="194">
                  <c:v>129.20352560229412</c:v>
                </c:pt>
                <c:pt idx="195">
                  <c:v>129.16189126873013</c:v>
                </c:pt>
                <c:pt idx="196">
                  <c:v>129.1189721109341</c:v>
                </c:pt>
                <c:pt idx="197">
                  <c:v>129.07472066650314</c:v>
                </c:pt>
                <c:pt idx="198">
                  <c:v>129.02908964946835</c:v>
                </c:pt>
                <c:pt idx="199">
                  <c:v>128.98203202182634</c:v>
                </c:pt>
                <c:pt idx="200">
                  <c:v>128.93350107007845</c:v>
                </c:pt>
                <c:pt idx="201">
                  <c:v>128.88345048657922</c:v>
                </c:pt>
                <c:pt idx="202">
                  <c:v>128.83183445544594</c:v>
                </c:pt>
                <c:pt idx="203">
                  <c:v>128.77860774272708</c:v>
                </c:pt>
                <c:pt idx="204">
                  <c:v>128.72372579047703</c:v>
                </c:pt>
                <c:pt idx="205">
                  <c:v>128.66714481432768</c:v>
                </c:pt>
                <c:pt idx="206">
                  <c:v>128.60882190409788</c:v>
                </c:pt>
                <c:pt idx="207">
                  <c:v>128.5487151269262</c:v>
                </c:pt>
                <c:pt idx="208">
                  <c:v>128.48678363236633</c:v>
                </c:pt>
                <c:pt idx="209">
                  <c:v>128.42298775883458</c:v>
                </c:pt>
                <c:pt idx="210">
                  <c:v>128.35728914075642</c:v>
                </c:pt>
                <c:pt idx="211">
                  <c:v>128.28965081572181</c:v>
                </c:pt>
                <c:pt idx="212">
                  <c:v>128.22003733092373</c:v>
                </c:pt>
                <c:pt idx="213">
                  <c:v>128.14841484813047</c:v>
                </c:pt>
                <c:pt idx="214">
                  <c:v>128.0747512464205</c:v>
                </c:pt>
                <c:pt idx="215">
                  <c:v>127.99901622189887</c:v>
                </c:pt>
                <c:pt idx="216">
                  <c:v>127.92118138361032</c:v>
                </c:pt>
                <c:pt idx="217">
                  <c:v>127.84122034487223</c:v>
                </c:pt>
                <c:pt idx="218">
                  <c:v>127.75910880926301</c:v>
                </c:pt>
                <c:pt idx="219">
                  <c:v>127.67482465053034</c:v>
                </c:pt>
                <c:pt idx="220">
                  <c:v>127.58834798571621</c:v>
                </c:pt>
                <c:pt idx="221">
                  <c:v>127.49966124083991</c:v>
                </c:pt>
                <c:pt idx="222">
                  <c:v>127.4087492085358</c:v>
                </c:pt>
                <c:pt idx="223">
                  <c:v>127.31559909710018</c:v>
                </c:pt>
                <c:pt idx="224">
                  <c:v>127.22020057047675</c:v>
                </c:pt>
                <c:pt idx="225">
                  <c:v>127.12254577878157</c:v>
                </c:pt>
                <c:pt idx="226">
                  <c:v>127.02262937905371</c:v>
                </c:pt>
                <c:pt idx="227">
                  <c:v>126.92044854600499</c:v>
                </c:pt>
                <c:pt idx="228">
                  <c:v>126.81600297263117</c:v>
                </c:pt>
                <c:pt idx="229">
                  <c:v>126.70929486063838</c:v>
                </c:pt>
                <c:pt idx="230">
                  <c:v>126.60032890073778</c:v>
                </c:pt>
                <c:pt idx="231">
                  <c:v>126.48911224294358</c:v>
                </c:pt>
                <c:pt idx="232">
                  <c:v>126.37565445710945</c:v>
                </c:pt>
                <c:pt idx="233">
                  <c:v>126.2599674840186</c:v>
                </c:pt>
                <c:pt idx="234">
                  <c:v>126.1420655774248</c:v>
                </c:pt>
                <c:pt idx="235">
                  <c:v>126.0219652375212</c:v>
                </c:pt>
                <c:pt idx="236">
                  <c:v>125.89968513637575</c:v>
                </c:pt>
                <c:pt idx="237">
                  <c:v>125.77524603593898</c:v>
                </c:pt>
                <c:pt idx="238">
                  <c:v>125.64867069927553</c:v>
                </c:pt>
                <c:pt idx="239">
                  <c:v>125.51998379571921</c:v>
                </c:pt>
                <c:pt idx="240">
                  <c:v>125.38921180068009</c:v>
                </c:pt>
                <c:pt idx="241">
                  <c:v>125.25638289085686</c:v>
                </c:pt>
                <c:pt idx="242">
                  <c:v>125.12152683562493</c:v>
                </c:pt>
                <c:pt idx="243">
                  <c:v>124.9846748853691</c:v>
                </c:pt>
                <c:pt idx="244">
                  <c:v>124.84585965753254</c:v>
                </c:pt>
                <c:pt idx="245">
                  <c:v>124.70511502113411</c:v>
                </c:pt>
                <c:pt idx="246">
                  <c:v>124.5624759804919</c:v>
                </c:pt>
                <c:pt idx="247">
                  <c:v>124.41797855885888</c:v>
                </c:pt>
                <c:pt idx="248">
                  <c:v>124.27165968264335</c:v>
                </c:pt>
                <c:pt idx="249">
                  <c:v>124.12355706685062</c:v>
                </c:pt>
                <c:pt idx="250">
                  <c:v>123.97370910233485</c:v>
                </c:pt>
                <c:pt idx="251">
                  <c:v>123.82215474540487</c:v>
                </c:pt>
                <c:pt idx="252">
                  <c:v>123.66893341027692</c:v>
                </c:pt>
                <c:pt idx="253">
                  <c:v>123.51408486481654</c:v>
                </c:pt>
                <c:pt idx="254">
                  <c:v>123.35764912995764</c:v>
                </c:pt>
                <c:pt idx="255">
                  <c:v>123.19966638313514</c:v>
                </c:pt>
                <c:pt idx="256">
                  <c:v>123.04017686601439</c:v>
                </c:pt>
                <c:pt idx="257">
                  <c:v>122.87922079674864</c:v>
                </c:pt>
                <c:pt idx="258">
                  <c:v>122.71683828694796</c:v>
                </c:pt>
                <c:pt idx="259">
                  <c:v>122.55306926349446</c:v>
                </c:pt>
                <c:pt idx="260">
                  <c:v>122.38795339529258</c:v>
                </c:pt>
                <c:pt idx="261">
                  <c:v>122.22153002500346</c:v>
                </c:pt>
                <c:pt idx="262">
                  <c:v>122.05383810577246</c:v>
                </c:pt>
                <c:pt idx="263">
                  <c:v>121.88491614292283</c:v>
                </c:pt>
                <c:pt idx="264">
                  <c:v>121.71480214055623</c:v>
                </c:pt>
                <c:pt idx="265">
                  <c:v>121.54353355297354</c:v>
                </c:pt>
                <c:pt idx="266">
                  <c:v>121.37114724080172</c:v>
                </c:pt>
                <c:pt idx="267">
                  <c:v>121.19767943169276</c:v>
                </c:pt>
                <c:pt idx="268">
                  <c:v>121.02316568543971</c:v>
                </c:pt>
                <c:pt idx="269">
                  <c:v>120.8476408633406</c:v>
                </c:pt>
                <c:pt idx="270">
                  <c:v>120.67113910162814</c:v>
                </c:pt>
                <c:pt idx="271">
                  <c:v>120.4936937887723</c:v>
                </c:pt>
                <c:pt idx="272">
                  <c:v>120.31533754645658</c:v>
                </c:pt>
                <c:pt idx="273">
                  <c:v>120.136102214023</c:v>
                </c:pt>
                <c:pt idx="274">
                  <c:v>119.95601883617775</c:v>
                </c:pt>
                <c:pt idx="275">
                  <c:v>119.77511765374996</c:v>
                </c:pt>
                <c:pt idx="276">
                  <c:v>119.59342809729461</c:v>
                </c:pt>
                <c:pt idx="277">
                  <c:v>119.41097878333464</c:v>
                </c:pt>
                <c:pt idx="278">
                  <c:v>119.2277975130412</c:v>
                </c:pt>
                <c:pt idx="279">
                  <c:v>119.04391127315301</c:v>
                </c:pt>
                <c:pt idx="280">
                  <c:v>118.85934623894549</c:v>
                </c:pt>
                <c:pt idx="281">
                  <c:v>118.67412777906355</c:v>
                </c:pt>
                <c:pt idx="282">
                  <c:v>118.48828046204045</c:v>
                </c:pt>
                <c:pt idx="283">
                  <c:v>118.30182806433322</c:v>
                </c:pt>
                <c:pt idx="284">
                  <c:v>118.11479357971166</c:v>
                </c:pt>
                <c:pt idx="285">
                  <c:v>117.92719922984779</c:v>
                </c:pt>
                <c:pt idx="286">
                  <c:v>117.73906647595931</c:v>
                </c:pt>
                <c:pt idx="287">
                  <c:v>117.55041603137116</c:v>
                </c:pt>
                <c:pt idx="288">
                  <c:v>117.36126787486486</c:v>
                </c:pt>
                <c:pt idx="289">
                  <c:v>117.17164126469798</c:v>
                </c:pt>
                <c:pt idx="290">
                  <c:v>116.98155475317745</c:v>
                </c:pt>
                <c:pt idx="291">
                  <c:v>116.79102620168692</c:v>
                </c:pt>
                <c:pt idx="292">
                  <c:v>116.60007279606882</c:v>
                </c:pt>
                <c:pt idx="293">
                  <c:v>116.40871106227266</c:v>
                </c:pt>
                <c:pt idx="294">
                  <c:v>116.21695688218807</c:v>
                </c:pt>
                <c:pt idx="295">
                  <c:v>116.02482550958811</c:v>
                </c:pt>
                <c:pt idx="296">
                  <c:v>115.83233158611318</c:v>
                </c:pt>
                <c:pt idx="297">
                  <c:v>115.63948915723347</c:v>
                </c:pt>
                <c:pt idx="298">
                  <c:v>115.44631168813515</c:v>
                </c:pt>
                <c:pt idx="299">
                  <c:v>115.25281207947697</c:v>
                </c:pt>
                <c:pt idx="300">
                  <c:v>115.05900268297358</c:v>
                </c:pt>
                <c:pt idx="301">
                  <c:v>114.86489531676327</c:v>
                </c:pt>
                <c:pt idx="302">
                  <c:v>114.6705012805248</c:v>
                </c:pt>
                <c:pt idx="303">
                  <c:v>114.4758313703109</c:v>
                </c:pt>
                <c:pt idx="304">
                  <c:v>114.28089589306971</c:v>
                </c:pt>
                <c:pt idx="305">
                  <c:v>114.08570468083072</c:v>
                </c:pt>
                <c:pt idx="306">
                  <c:v>113.89026710453207</c:v>
                </c:pt>
                <c:pt idx="307">
                  <c:v>113.69459208747378</c:v>
                </c:pt>
                <c:pt idx="308">
                  <c:v>113.49868811837887</c:v>
                </c:pt>
                <c:pt idx="309">
                  <c:v>113.30256326405103</c:v>
                </c:pt>
                <c:pt idx="310">
                  <c:v>113.1062251816187</c:v>
                </c:pt>
                <c:pt idx="311">
                  <c:v>112.90968113035669</c:v>
                </c:pt>
                <c:pt idx="312">
                  <c:v>112.71293798307937</c:v>
                </c:pt>
                <c:pt idx="313">
                  <c:v>112.51600223710183</c:v>
                </c:pt>
                <c:pt idx="314">
                  <c:v>112.31888002476437</c:v>
                </c:pt>
                <c:pt idx="315">
                  <c:v>112.12157712352189</c:v>
                </c:pt>
                <c:pt idx="316">
                  <c:v>111.92409896559602</c:v>
                </c:pt>
                <c:pt idx="317">
                  <c:v>111.72645064719273</c:v>
                </c:pt>
                <c:pt idx="318">
                  <c:v>111.52863693728696</c:v>
                </c:pt>
                <c:pt idx="319">
                  <c:v>111.33066228597984</c:v>
                </c:pt>
                <c:pt idx="320">
                  <c:v>111.13253083243029</c:v>
                </c:pt>
                <c:pt idx="321">
                  <c:v>110.93424641236966</c:v>
                </c:pt>
                <c:pt idx="322">
                  <c:v>110.73581256520319</c:v>
                </c:pt>
                <c:pt idx="323">
                  <c:v>110.5372325407069</c:v>
                </c:pt>
                <c:pt idx="324">
                  <c:v>110.33850930532766</c:v>
                </c:pt>
                <c:pt idx="325">
                  <c:v>110.13964554809465</c:v>
                </c:pt>
                <c:pt idx="326">
                  <c:v>109.94064368615247</c:v>
                </c:pt>
                <c:pt idx="327">
                  <c:v>109.74150586992496</c:v>
                </c:pt>
                <c:pt idx="328">
                  <c:v>109.54223398792186</c:v>
                </c:pt>
                <c:pt idx="329">
                  <c:v>109.34282967119805</c:v>
                </c:pt>
                <c:pt idx="330">
                  <c:v>109.14329429748049</c:v>
                </c:pt>
                <c:pt idx="331">
                  <c:v>108.94362899497327</c:v>
                </c:pt>
                <c:pt idx="332">
                  <c:v>108.74383464585645</c:v>
                </c:pt>
                <c:pt idx="333">
                  <c:v>108.54391188949363</c:v>
                </c:pt>
                <c:pt idx="334">
                  <c:v>108.34386112536239</c:v>
                </c:pt>
                <c:pt idx="335">
                  <c:v>108.14368251572704</c:v>
                </c:pt>
                <c:pt idx="336">
                  <c:v>107.94337598807047</c:v>
                </c:pt>
                <c:pt idx="337">
                  <c:v>107.74294123730368</c:v>
                </c:pt>
                <c:pt idx="338">
                  <c:v>107.54237772777486</c:v>
                </c:pt>
                <c:pt idx="339">
                  <c:v>107.3416846950994</c:v>
                </c:pt>
                <c:pt idx="340">
                  <c:v>107.14086114783461</c:v>
                </c:pt>
                <c:pt idx="341">
                  <c:v>106.93990586902403</c:v>
                </c:pt>
                <c:pt idx="342">
                  <c:v>106.73881741763856</c:v>
                </c:pt>
                <c:pt idx="343">
                  <c:v>106.53759412994305</c:v>
                </c:pt>
                <c:pt idx="344">
                  <c:v>106.3362341208216</c:v>
                </c:pt>
                <c:pt idx="345">
                  <c:v>106.13473528509033</c:v>
                </c:pt>
                <c:pt idx="346">
                  <c:v>105.9330952988382</c:v>
                </c:pt>
                <c:pt idx="347">
                  <c:v>105.73131162083165</c:v>
                </c:pt>
                <c:pt idx="348">
                  <c:v>105.52938149402462</c:v>
                </c:pt>
                <c:pt idx="349">
                  <c:v>105.3273019472183</c:v>
                </c:pt>
                <c:pt idx="350">
                  <c:v>105.12506979691757</c:v>
                </c:pt>
                <c:pt idx="351">
                  <c:v>104.92268164943495</c:v>
                </c:pt>
                <c:pt idx="352">
                  <c:v>104.72013390329538</c:v>
                </c:pt>
                <c:pt idx="353">
                  <c:v>104.51742275200081</c:v>
                </c:pt>
                <c:pt idx="354">
                  <c:v>104.31454418721322</c:v>
                </c:pt>
                <c:pt idx="355">
                  <c:v>104.11149400242562</c:v>
                </c:pt>
                <c:pt idx="356">
                  <c:v>103.90826779718554</c:v>
                </c:pt>
                <c:pt idx="357">
                  <c:v>103.70486098194945</c:v>
                </c:pt>
                <c:pt idx="358">
                  <c:v>103.50126878364131</c:v>
                </c:pt>
                <c:pt idx="359">
                  <c:v>103.29748625200199</c:v>
                </c:pt>
                <c:pt idx="360">
                  <c:v>103.09350826681188</c:v>
                </c:pt>
                <c:pt idx="361">
                  <c:v>102.88932954608063</c:v>
                </c:pt>
                <c:pt idx="362">
                  <c:v>102.68494465529741</c:v>
                </c:pt>
                <c:pt idx="363">
                  <c:v>102.48034801784216</c:v>
                </c:pt>
                <c:pt idx="364">
                  <c:v>102.27553392665912</c:v>
                </c:pt>
                <c:pt idx="365">
                  <c:v>102.07049655730182</c:v>
                </c:pt>
                <c:pt idx="366">
                  <c:v>101.86522998245722</c:v>
                </c:pt>
                <c:pt idx="367">
                  <c:v>101.65972818806439</c:v>
                </c:pt>
                <c:pt idx="368">
                  <c:v>101.45398509114071</c:v>
                </c:pt>
                <c:pt idx="369">
                  <c:v>101.24799455943432</c:v>
                </c:pt>
                <c:pt idx="370">
                  <c:v>101.04175043302023</c:v>
                </c:pt>
                <c:pt idx="371">
                  <c:v>100.83524654795707</c:v>
                </c:pt>
                <c:pt idx="372">
                  <c:v>100.62847676212283</c:v>
                </c:pt>
                <c:pt idx="373">
                  <c:v>100.42143498334353</c:v>
                </c:pt>
                <c:pt idx="374">
                  <c:v>100.21411519992527</c:v>
                </c:pt>
                <c:pt idx="375">
                  <c:v>100.00651151369715</c:v>
                </c:pt>
                <c:pt idx="376">
                  <c:v>99.798618175663094</c:v>
                </c:pt>
                <c:pt idx="377">
                  <c:v>99.590429624354499</c:v>
                </c:pt>
                <c:pt idx="378">
                  <c:v>99.381940526963291</c:v>
                </c:pt>
                <c:pt idx="379">
                  <c:v>99.173145823323438</c:v>
                </c:pt>
                <c:pt idx="380">
                  <c:v>98.964040772794434</c:v>
                </c:pt>
                <c:pt idx="381">
                  <c:v>98.754621004081926</c:v>
                </c:pt>
                <c:pt idx="382">
                  <c:v>98.544882568010593</c:v>
                </c:pt>
                <c:pt idx="383">
                  <c:v>98.334821993245896</c:v>
                </c:pt>
                <c:pt idx="384">
                  <c:v>98.124436344928625</c:v>
                </c:pt>
                <c:pt idx="385">
                  <c:v>97.913723286168334</c:v>
                </c:pt>
                <c:pt idx="386">
                  <c:v>97.702681142302083</c:v>
                </c:pt>
                <c:pt idx="387">
                  <c:v>97.491308967799625</c:v>
                </c:pt>
                <c:pt idx="388">
                  <c:v>97.279606615654401</c:v>
                </c:pt>
                <c:pt idx="389">
                  <c:v>97.067574809068645</c:v>
                </c:pt>
                <c:pt idx="390">
                  <c:v>96.855215215195201</c:v>
                </c:pt>
                <c:pt idx="391">
                  <c:v>96.642530520661012</c:v>
                </c:pt>
                <c:pt idx="392">
                  <c:v>96.429524508554977</c:v>
                </c:pt>
                <c:pt idx="393">
                  <c:v>96.216202136515747</c:v>
                </c:pt>
                <c:pt idx="394">
                  <c:v>96.00256961551699</c:v>
                </c:pt>
                <c:pt idx="395">
                  <c:v>95.788634488898992</c:v>
                </c:pt>
                <c:pt idx="396">
                  <c:v>95.574405711156231</c:v>
                </c:pt>
                <c:pt idx="397">
                  <c:v>95.359893725950386</c:v>
                </c:pt>
                <c:pt idx="398">
                  <c:v>95.145110542778525</c:v>
                </c:pt>
                <c:pt idx="399">
                  <c:v>94.930069811693414</c:v>
                </c:pt>
                <c:pt idx="400">
                  <c:v>94.714786895443751</c:v>
                </c:pt>
                <c:pt idx="401">
                  <c:v>94.499278938374403</c:v>
                </c:pt>
                <c:pt idx="402">
                  <c:v>94.283564931412769</c:v>
                </c:pt>
                <c:pt idx="403">
                  <c:v>94.067665772452926</c:v>
                </c:pt>
                <c:pt idx="404">
                  <c:v>93.851604321446459</c:v>
                </c:pt>
                <c:pt idx="405">
                  <c:v>93.63540544951492</c:v>
                </c:pt>
                <c:pt idx="406">
                  <c:v>93.419096081413073</c:v>
                </c:pt>
                <c:pt idx="407">
                  <c:v>93.202705230694789</c:v>
                </c:pt>
                <c:pt idx="408">
                  <c:v>92.986264026969678</c:v>
                </c:pt>
                <c:pt idx="409">
                  <c:v>92.769805734680602</c:v>
                </c:pt>
                <c:pt idx="410">
                  <c:v>92.553365762888319</c:v>
                </c:pt>
                <c:pt idx="411">
                  <c:v>92.336981665612257</c:v>
                </c:pt>
                <c:pt idx="412">
                  <c:v>92.120693132349146</c:v>
                </c:pt>
                <c:pt idx="413">
                  <c:v>91.904541968475996</c:v>
                </c:pt>
                <c:pt idx="414">
                  <c:v>91.688572065327321</c:v>
                </c:pt>
                <c:pt idx="415">
                  <c:v>91.472829359838101</c:v>
                </c:pt>
                <c:pt idx="416">
                  <c:v>91.257361783738332</c:v>
                </c:pt>
                <c:pt idx="417">
                  <c:v>91.042219202393269</c:v>
                </c:pt>
                <c:pt idx="418">
                  <c:v>90.827453343482475</c:v>
                </c:pt>
                <c:pt idx="419">
                  <c:v>90.613117715819484</c:v>
                </c:pt>
                <c:pt idx="420">
                  <c:v>90.399267518713131</c:v>
                </c:pt>
                <c:pt idx="421">
                  <c:v>90.185959542367456</c:v>
                </c:pt>
                <c:pt idx="422">
                  <c:v>89.973252059911204</c:v>
                </c:pt>
                <c:pt idx="423">
                  <c:v>89.761204711725142</c:v>
                </c:pt>
                <c:pt idx="424">
                  <c:v>89.549878382813901</c:v>
                </c:pt>
                <c:pt idx="425">
                  <c:v>89.339335074024262</c:v>
                </c:pt>
                <c:pt idx="426">
                  <c:v>89.129637767963828</c:v>
                </c:pt>
                <c:pt idx="427">
                  <c:v>88.920850290508241</c:v>
                </c:pt>
                <c:pt idx="428">
                  <c:v>88.713037168804846</c:v>
                </c:pt>
                <c:pt idx="429">
                  <c:v>88.506263486683423</c:v>
                </c:pt>
                <c:pt idx="430">
                  <c:v>88.300594738384916</c:v>
                </c:pt>
                <c:pt idx="431">
                  <c:v>88.096096681485164</c:v>
                </c:pt>
                <c:pt idx="432">
                  <c:v>87.892835189861842</c:v>
                </c:pt>
                <c:pt idx="433">
                  <c:v>87.690876107502248</c:v>
                </c:pt>
                <c:pt idx="434">
                  <c:v>87.490285103887842</c:v>
                </c:pt>
                <c:pt idx="435">
                  <c:v>87.291127531627396</c:v>
                </c:pt>
                <c:pt idx="436">
                  <c:v>87.093468286928783</c:v>
                </c:pt>
                <c:pt idx="437">
                  <c:v>86.8973716734221</c:v>
                </c:pt>
                <c:pt idx="438">
                  <c:v>86.702901269760815</c:v>
                </c:pt>
                <c:pt idx="439">
                  <c:v>86.510119801339002</c:v>
                </c:pt>
                <c:pt idx="440">
                  <c:v>86.319089016382634</c:v>
                </c:pt>
                <c:pt idx="441">
                  <c:v>86.129869566585384</c:v>
                </c:pt>
                <c:pt idx="442">
                  <c:v>85.942520892386312</c:v>
                </c:pt>
                <c:pt idx="443">
                  <c:v>85.757101112915706</c:v>
                </c:pt>
                <c:pt idx="444">
                  <c:v>85.57366692057218</c:v>
                </c:pt>
                <c:pt idx="445">
                  <c:v>85.392273480142421</c:v>
                </c:pt>
                <c:pt idx="446">
                  <c:v>85.212974332333459</c:v>
                </c:pt>
                <c:pt idx="447">
                  <c:v>85.035821301556908</c:v>
                </c:pt>
                <c:pt idx="448">
                  <c:v>84.860864407781932</c:v>
                </c:pt>
                <c:pt idx="449">
                  <c:v>84.688151782272328</c:v>
                </c:pt>
                <c:pt idx="450">
                  <c:v>84.517729587017939</c:v>
                </c:pt>
                <c:pt idx="451">
                  <c:v>84.34964193769288</c:v>
                </c:pt>
                <c:pt idx="452">
                  <c:v>84.183930829989308</c:v>
                </c:pt>
                <c:pt idx="453">
                  <c:v>84.020636069212713</c:v>
                </c:pt>
                <c:pt idx="454">
                  <c:v>83.859795203059633</c:v>
                </c:pt>
                <c:pt idx="455">
                  <c:v>83.701443457547327</c:v>
                </c:pt>
                <c:pt idx="456">
                  <c:v>83.545613676109326</c:v>
                </c:pt>
                <c:pt idx="457">
                  <c:v>83.392336261925223</c:v>
                </c:pt>
                <c:pt idx="458">
                  <c:v>83.241639123602368</c:v>
                </c:pt>
                <c:pt idx="459">
                  <c:v>83.093547624378616</c:v>
                </c:pt>
                <c:pt idx="460">
                  <c:v>82.948084535060232</c:v>
                </c:pt>
                <c:pt idx="461">
                  <c:v>82.805269990954784</c:v>
                </c:pt>
                <c:pt idx="462">
                  <c:v>82.665121453092411</c:v>
                </c:pt>
                <c:pt idx="463">
                  <c:v>82.527653674060957</c:v>
                </c:pt>
                <c:pt idx="464">
                  <c:v>82.392878668798687</c:v>
                </c:pt>
                <c:pt idx="465">
                  <c:v>82.260805690704316</c:v>
                </c:pt>
                <c:pt idx="466">
                  <c:v>82.131441213421141</c:v>
                </c:pt>
                <c:pt idx="467">
                  <c:v>82.004788918650334</c:v>
                </c:pt>
                <c:pt idx="468">
                  <c:v>81.880849690325988</c:v>
                </c:pt>
                <c:pt idx="469">
                  <c:v>81.75962161545965</c:v>
                </c:pt>
                <c:pt idx="470">
                  <c:v>81.641099991924875</c:v>
                </c:pt>
                <c:pt idx="471">
                  <c:v>81.525277343406444</c:v>
                </c:pt>
                <c:pt idx="472">
                  <c:v>81.412143441687277</c:v>
                </c:pt>
                <c:pt idx="473">
                  <c:v>81.301685336384324</c:v>
                </c:pt>
                <c:pt idx="474">
                  <c:v>81.193887392181395</c:v>
                </c:pt>
                <c:pt idx="475">
                  <c:v>81.088731333539044</c:v>
                </c:pt>
                <c:pt idx="476">
                  <c:v>80.986196296786218</c:v>
                </c:pt>
                <c:pt idx="477">
                  <c:v>80.886258889432298</c:v>
                </c:pt>
                <c:pt idx="478">
                  <c:v>80.788893256458834</c:v>
                </c:pt>
                <c:pt idx="479">
                  <c:v>80.69407115328687</c:v>
                </c:pt>
                <c:pt idx="480">
                  <c:v>80.601762025045431</c:v>
                </c:pt>
                <c:pt idx="481">
                  <c:v>80.511933091704265</c:v>
                </c:pt>
                <c:pt idx="482">
                  <c:v>80.424549438578509</c:v>
                </c:pt>
                <c:pt idx="483">
                  <c:v>80.339574111663055</c:v>
                </c:pt>
                <c:pt idx="484">
                  <c:v>80.256968217208566</c:v>
                </c:pt>
                <c:pt idx="485">
                  <c:v>80.176691024920558</c:v>
                </c:pt>
                <c:pt idx="486">
                  <c:v>80.098700074131585</c:v>
                </c:pt>
                <c:pt idx="487">
                  <c:v>80.022951282281255</c:v>
                </c:pt>
                <c:pt idx="488">
                  <c:v>79.949399055029218</c:v>
                </c:pt>
                <c:pt idx="489">
                  <c:v>79.877996397322605</c:v>
                </c:pt>
                <c:pt idx="490">
                  <c:v>79.808695024746086</c:v>
                </c:pt>
                <c:pt idx="491">
                  <c:v>79.741445474502598</c:v>
                </c:pt>
                <c:pt idx="492">
                  <c:v>79.676197215384349</c:v>
                </c:pt>
                <c:pt idx="493">
                  <c:v>79.612898756129397</c:v>
                </c:pt>
                <c:pt idx="494">
                  <c:v>79.551497751590091</c:v>
                </c:pt>
                <c:pt idx="495">
                  <c:v>79.491941106174821</c:v>
                </c:pt>
                <c:pt idx="496">
                  <c:v>79.434175074070282</c:v>
                </c:pt>
                <c:pt idx="497">
                  <c:v>79.378145355795084</c:v>
                </c:pt>
                <c:pt idx="498">
                  <c:v>79.323797190682114</c:v>
                </c:pt>
                <c:pt idx="499">
                  <c:v>79.271075444938063</c:v>
                </c:pt>
                <c:pt idx="500">
                  <c:v>79.219924694976555</c:v>
                </c:pt>
                <c:pt idx="501">
                  <c:v>79.170289305771576</c:v>
                </c:pt>
                <c:pt idx="502">
                  <c:v>79.122113504028249</c:v>
                </c:pt>
                <c:pt idx="503">
                  <c:v>79.075341446014448</c:v>
                </c:pt>
                <c:pt idx="504">
                  <c:v>79.029917279945266</c:v>
                </c:pt>
                <c:pt idx="505">
                  <c:v>78.985785202853847</c:v>
                </c:pt>
                <c:pt idx="506">
                  <c:v>78.942889511928556</c:v>
                </c:pt>
                <c:pt idx="507">
                  <c:v>78.901174650331399</c:v>
                </c:pt>
                <c:pt idx="508">
                  <c:v>78.860585247552734</c:v>
                </c:pt>
                <c:pt idx="509">
                  <c:v>78.821066154389399</c:v>
                </c:pt>
                <c:pt idx="510">
                  <c:v>78.782562472664196</c:v>
                </c:pt>
                <c:pt idx="511">
                  <c:v>78.745019579833468</c:v>
                </c:pt>
                <c:pt idx="512">
                  <c:v>78.708383148652885</c:v>
                </c:pt>
                <c:pt idx="513">
                  <c:v>78.672599162094997</c:v>
                </c:pt>
                <c:pt idx="514">
                  <c:v>78.63761392372966</c:v>
                </c:pt>
                <c:pt idx="515">
                  <c:v>78.603374063797304</c:v>
                </c:pt>
                <c:pt idx="516">
                  <c:v>78.569826541216571</c:v>
                </c:pt>
                <c:pt idx="517">
                  <c:v>78.536918641782748</c:v>
                </c:pt>
                <c:pt idx="518">
                  <c:v>78.504597972820008</c:v>
                </c:pt>
                <c:pt idx="519">
                  <c:v>78.472812454563609</c:v>
                </c:pt>
                <c:pt idx="520">
                  <c:v>78.441510308548104</c:v>
                </c:pt>
                <c:pt idx="521">
                  <c:v>78.410640043290385</c:v>
                </c:pt>
                <c:pt idx="522">
                  <c:v>78.380150437553652</c:v>
                </c:pt>
                <c:pt idx="523">
                  <c:v>78.349990521486291</c:v>
                </c:pt>
                <c:pt idx="524">
                  <c:v>78.320109555929491</c:v>
                </c:pt>
                <c:pt idx="525">
                  <c:v>78.290457010187581</c:v>
                </c:pt>
                <c:pt idx="526">
                  <c:v>78.260982538562374</c:v>
                </c:pt>
                <c:pt idx="527">
                  <c:v>78.231635955943347</c:v>
                </c:pt>
                <c:pt idx="528">
                  <c:v>78.202367212755689</c:v>
                </c:pt>
                <c:pt idx="529">
                  <c:v>78.173126369560777</c:v>
                </c:pt>
                <c:pt idx="530">
                  <c:v>78.143863571608151</c:v>
                </c:pt>
                <c:pt idx="531">
                  <c:v>78.114529023635541</c:v>
                </c:pt>
                <c:pt idx="532">
                  <c:v>78.085072965213016</c:v>
                </c:pt>
                <c:pt idx="533">
                  <c:v>78.055445646927396</c:v>
                </c:pt>
                <c:pt idx="534">
                  <c:v>78.025597307701531</c:v>
                </c:pt>
                <c:pt idx="535">
                  <c:v>77.995478153542251</c:v>
                </c:pt>
                <c:pt idx="536">
                  <c:v>77.96503833800935</c:v>
                </c:pt>
                <c:pt idx="537">
                  <c:v>77.934227944695365</c:v>
                </c:pt>
                <c:pt idx="538">
                  <c:v>77.902996972004345</c:v>
                </c:pt>
                <c:pt idx="539">
                  <c:v>77.871295320513298</c:v>
                </c:pt>
                <c:pt idx="540">
                  <c:v>77.83907278319667</c:v>
                </c:pt>
                <c:pt idx="541">
                  <c:v>77.806279038789569</c:v>
                </c:pt>
              </c:numCache>
            </c:numRef>
          </c:yVal>
          <c:smooth val="1"/>
          <c:extLst>
            <c:ext xmlns:c16="http://schemas.microsoft.com/office/drawing/2014/chart" uri="{C3380CC4-5D6E-409C-BE32-E72D297353CC}">
              <c16:uniqueId val="{00000000-CBA6-42F6-B155-315D5BF5FD74}"/>
            </c:ext>
          </c:extLst>
        </c:ser>
        <c:dLbls>
          <c:showLegendKey val="0"/>
          <c:showVal val="0"/>
          <c:showCatName val="0"/>
          <c:showSerName val="0"/>
          <c:showPercent val="0"/>
          <c:showBubbleSize val="0"/>
        </c:dLbls>
        <c:axId val="319315968"/>
        <c:axId val="319317888"/>
      </c:scatterChart>
      <c:scatterChart>
        <c:scatterStyle val="smoothMarker"/>
        <c:varyColors val="0"/>
        <c:ser>
          <c:idx val="1"/>
          <c:order val="1"/>
          <c:tx>
            <c:v>Phase (deg)</c:v>
          </c:tx>
          <c:spPr>
            <a:ln w="38100">
              <a:solidFill>
                <a:schemeClr val="tx1">
                  <a:lumMod val="95000"/>
                  <a:lumOff val="5000"/>
                </a:schemeClr>
              </a:solidFill>
              <a:prstDash val="sysDash"/>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CCM_Loop_Modeling_non_isolated!$AX$19:$AX$560</c:f>
              <c:numCache>
                <c:formatCode>General</c:formatCode>
                <c:ptCount val="542"/>
                <c:pt idx="0">
                  <c:v>4.5223999572878171</c:v>
                </c:pt>
                <c:pt idx="1">
                  <c:v>4.6271707898785142</c:v>
                </c:pt>
                <c:pt idx="2">
                  <c:v>4.7343429112483548</c:v>
                </c:pt>
                <c:pt idx="3">
                  <c:v>4.8439694547667242</c:v>
                </c:pt>
                <c:pt idx="4">
                  <c:v>4.95610459548399</c:v>
                </c:pt>
                <c:pt idx="5">
                  <c:v>5.0708035607974109</c:v>
                </c:pt>
                <c:pt idx="6">
                  <c:v>5.1881226404446839</c:v>
                </c:pt>
                <c:pt idx="7">
                  <c:v>5.3081191957503702</c:v>
                </c:pt>
                <c:pt idx="8">
                  <c:v>5.4308516680442009</c:v>
                </c:pt>
                <c:pt idx="9">
                  <c:v>5.5563795861646241</c:v>
                </c:pt>
                <c:pt idx="10">
                  <c:v>5.684763572955859</c:v>
                </c:pt>
                <c:pt idx="11">
                  <c:v>5.8160653506604776</c:v>
                </c:pt>
                <c:pt idx="12">
                  <c:v>5.950347745100383</c:v>
                </c:pt>
                <c:pt idx="13">
                  <c:v>6.0876746885381774</c:v>
                </c:pt>
                <c:pt idx="14">
                  <c:v>6.228111221094724</c:v>
                </c:pt>
                <c:pt idx="15">
                  <c:v>6.3717234906011777</c:v>
                </c:pt>
                <c:pt idx="16">
                  <c:v>6.5185787507476114</c:v>
                </c:pt>
                <c:pt idx="17">
                  <c:v>6.6687453573862125</c:v>
                </c:pt>
                <c:pt idx="18">
                  <c:v>6.8222927628382228</c:v>
                </c:pt>
                <c:pt idx="19">
                  <c:v>6.9792915080433966</c:v>
                </c:pt>
                <c:pt idx="20">
                  <c:v>7.139813212381851</c:v>
                </c:pt>
                <c:pt idx="21">
                  <c:v>7.3039305609900129</c:v>
                </c:pt>
                <c:pt idx="22">
                  <c:v>7.4717172893795087</c:v>
                </c:pt>
                <c:pt idx="23">
                  <c:v>7.64324816516074</c:v>
                </c:pt>
                <c:pt idx="24">
                  <c:v>7.8185989666595042</c:v>
                </c:pt>
                <c:pt idx="25">
                  <c:v>7.9978464582063387</c:v>
                </c:pt>
                <c:pt idx="26">
                  <c:v>8.1810683618653304</c:v>
                </c:pt>
                <c:pt idx="27">
                  <c:v>8.3683433253595805</c:v>
                </c:pt>
                <c:pt idx="28">
                  <c:v>8.5597508859375235</c:v>
                </c:pt>
                <c:pt idx="29">
                  <c:v>8.7553714299134953</c:v>
                </c:pt>
                <c:pt idx="30">
                  <c:v>8.9552861476060048</c:v>
                </c:pt>
                <c:pt idx="31">
                  <c:v>9.159576983381081</c:v>
                </c:pt>
                <c:pt idx="32">
                  <c:v>9.3683265805029148</c:v>
                </c:pt>
                <c:pt idx="33">
                  <c:v>9.5816182204770772</c:v>
                </c:pt>
                <c:pt idx="34">
                  <c:v>9.7995357565655308</c:v>
                </c:pt>
                <c:pt idx="35">
                  <c:v>10.02216354113904</c:v>
                </c:pt>
                <c:pt idx="36">
                  <c:v>10.249586346524715</c:v>
                </c:pt>
                <c:pt idx="37">
                  <c:v>10.481889278996197</c:v>
                </c:pt>
                <c:pt idx="38">
                  <c:v>10.719157685548664</c:v>
                </c:pt>
                <c:pt idx="39">
                  <c:v>10.961477053090546</c:v>
                </c:pt>
                <c:pt idx="40">
                  <c:v>11.20893289968005</c:v>
                </c:pt>
                <c:pt idx="41">
                  <c:v>11.461610657432733</c:v>
                </c:pt>
                <c:pt idx="42">
                  <c:v>11.719595546719857</c:v>
                </c:pt>
                <c:pt idx="43">
                  <c:v>11.982972441282591</c:v>
                </c:pt>
                <c:pt idx="44">
                  <c:v>12.251825723884433</c:v>
                </c:pt>
                <c:pt idx="45">
                  <c:v>12.526239132135609</c:v>
                </c:pt>
                <c:pt idx="46">
                  <c:v>12.806295594123714</c:v>
                </c:pt>
                <c:pt idx="47">
                  <c:v>13.092077053505886</c:v>
                </c:pt>
                <c:pt idx="48">
                  <c:v>13.383664283725805</c:v>
                </c:pt>
                <c:pt idx="49">
                  <c:v>13.681136691041646</c:v>
                </c:pt>
                <c:pt idx="50">
                  <c:v>13.984572106078875</c:v>
                </c:pt>
                <c:pt idx="51">
                  <c:v>14.294046563642931</c:v>
                </c:pt>
                <c:pt idx="52">
                  <c:v>14.609634070573307</c:v>
                </c:pt>
                <c:pt idx="53">
                  <c:v>14.931406361449312</c:v>
                </c:pt>
                <c:pt idx="54">
                  <c:v>15.259432642017254</c:v>
                </c:pt>
                <c:pt idx="55">
                  <c:v>15.593779320251823</c:v>
                </c:pt>
                <c:pt idx="56">
                  <c:v>15.934509725035129</c:v>
                </c:pt>
                <c:pt idx="57">
                  <c:v>16.281683812499541</c:v>
                </c:pt>
                <c:pt idx="58">
                  <c:v>16.635357860159427</c:v>
                </c:pt>
                <c:pt idx="59">
                  <c:v>16.995584149043427</c:v>
                </c:pt>
                <c:pt idx="60">
                  <c:v>17.362410634129834</c:v>
                </c:pt>
                <c:pt idx="61">
                  <c:v>17.735880603490482</c:v>
                </c:pt>
                <c:pt idx="62">
                  <c:v>18.116032326660946</c:v>
                </c:pt>
                <c:pt idx="63">
                  <c:v>18.502898692871128</c:v>
                </c:pt>
                <c:pt idx="64">
                  <c:v>18.896506839900663</c:v>
                </c:pt>
                <c:pt idx="65">
                  <c:v>19.296877774457496</c:v>
                </c:pt>
                <c:pt idx="66">
                  <c:v>19.704025985122531</c:v>
                </c:pt>
                <c:pt idx="67">
                  <c:v>20.117959049053297</c:v>
                </c:pt>
                <c:pt idx="68">
                  <c:v>20.538677233795578</c:v>
                </c:pt>
                <c:pt idx="69">
                  <c:v>20.966173095713675</c:v>
                </c:pt>
                <c:pt idx="70">
                  <c:v>21.400431076716824</c:v>
                </c:pt>
                <c:pt idx="71">
                  <c:v>21.841427101123998</c:v>
                </c:pt>
                <c:pt idx="72">
                  <c:v>22.289128174680258</c:v>
                </c:pt>
                <c:pt idx="73">
                  <c:v>22.74349198790193</c:v>
                </c:pt>
                <c:pt idx="74">
                  <c:v>23.204466526094471</c:v>
                </c:pt>
                <c:pt idx="75">
                  <c:v>23.67198968853868</c:v>
                </c:pt>
                <c:pt idx="76">
                  <c:v>24.145988919491746</c:v>
                </c:pt>
                <c:pt idx="77">
                  <c:v>24.626380853786724</c:v>
                </c:pt>
                <c:pt idx="78">
                  <c:v>25.11307097993058</c:v>
                </c:pt>
                <c:pt idx="79">
                  <c:v>25.605953323709354</c:v>
                </c:pt>
                <c:pt idx="80">
                  <c:v>26.104910155384179</c:v>
                </c:pt>
                <c:pt idx="81">
                  <c:v>26.609811723624443</c:v>
                </c:pt>
                <c:pt idx="82">
                  <c:v>27.120516019350255</c:v>
                </c:pt>
                <c:pt idx="83">
                  <c:v>27.636868572651512</c:v>
                </c:pt>
                <c:pt idx="84">
                  <c:v>28.158702285919411</c:v>
                </c:pt>
                <c:pt idx="85">
                  <c:v>28.685837306244984</c:v>
                </c:pt>
                <c:pt idx="86">
                  <c:v>29.218080940036355</c:v>
                </c:pt>
                <c:pt idx="87">
                  <c:v>29.755227612637636</c:v>
                </c:pt>
                <c:pt idx="88">
                  <c:v>30.297058875550636</c:v>
                </c:pt>
                <c:pt idx="89">
                  <c:v>30.843343463609013</c:v>
                </c:pt>
                <c:pt idx="90">
                  <c:v>31.39383740417335</c:v>
                </c:pt>
                <c:pt idx="91">
                  <c:v>31.948284180095836</c:v>
                </c:pt>
                <c:pt idx="92">
                  <c:v>32.506414947826727</c:v>
                </c:pt>
                <c:pt idx="93">
                  <c:v>33.0679488116334</c:v>
                </c:pt>
                <c:pt idx="94">
                  <c:v>33.632593154467649</c:v>
                </c:pt>
                <c:pt idx="95">
                  <c:v>34.20004402553684</c:v>
                </c:pt>
                <c:pt idx="96">
                  <c:v>34.769986584144611</c:v>
                </c:pt>
                <c:pt idx="97">
                  <c:v>35.34209559885128</c:v>
                </c:pt>
                <c:pt idx="98">
                  <c:v>35.916036000473888</c:v>
                </c:pt>
                <c:pt idx="99">
                  <c:v>36.491463486915677</c:v>
                </c:pt>
                <c:pt idx="100">
                  <c:v>37.068025177281804</c:v>
                </c:pt>
                <c:pt idx="101">
                  <c:v>37.645360312223573</c:v>
                </c:pt>
                <c:pt idx="102">
                  <c:v>38.223100996950528</c:v>
                </c:pt>
                <c:pt idx="103">
                  <c:v>38.800872982879724</c:v>
                </c:pt>
                <c:pt idx="104">
                  <c:v>39.378296483458904</c:v>
                </c:pt>
                <c:pt idx="105">
                  <c:v>39.954987019304809</c:v>
                </c:pt>
                <c:pt idx="106">
                  <c:v>40.530556287460961</c:v>
                </c:pt>
                <c:pt idx="107">
                  <c:v>41.104613049293555</c:v>
                </c:pt>
                <c:pt idx="108">
                  <c:v>41.676764031327771</c:v>
                </c:pt>
                <c:pt idx="109">
                  <c:v>42.246614833171478</c:v>
                </c:pt>
                <c:pt idx="110">
                  <c:v>42.813770836584673</c:v>
                </c:pt>
                <c:pt idx="111">
                  <c:v>43.377838109750691</c:v>
                </c:pt>
                <c:pt idx="112">
                  <c:v>43.938424300858046</c:v>
                </c:pt>
                <c:pt idx="113">
                  <c:v>44.49513951523415</c:v>
                </c:pt>
                <c:pt idx="114">
                  <c:v>45.047597170464819</c:v>
                </c:pt>
                <c:pt idx="115">
                  <c:v>45.595414824212099</c:v>
                </c:pt>
                <c:pt idx="116">
                  <c:v>46.138214969745924</c:v>
                </c:pt>
                <c:pt idx="117">
                  <c:v>46.675625794595419</c:v>
                </c:pt>
                <c:pt idx="118">
                  <c:v>47.207281898140621</c:v>
                </c:pt>
                <c:pt idx="119">
                  <c:v>47.732824964435743</c:v>
                </c:pt>
                <c:pt idx="120">
                  <c:v>48.251904387040078</c:v>
                </c:pt>
                <c:pt idx="121">
                  <c:v>48.764177843153867</c:v>
                </c:pt>
                <c:pt idx="122">
                  <c:v>49.269311814891751</c:v>
                </c:pt>
                <c:pt idx="123">
                  <c:v>49.766982056055362</c:v>
                </c:pt>
                <c:pt idx="124">
                  <c:v>50.256874003310429</c:v>
                </c:pt>
                <c:pt idx="125">
                  <c:v>50.738683131194726</c:v>
                </c:pt>
                <c:pt idx="126">
                  <c:v>51.21211525089786</c:v>
                </c:pt>
                <c:pt idx="127">
                  <c:v>51.676886753240126</c:v>
                </c:pt>
                <c:pt idx="128">
                  <c:v>52.132724796728851</c:v>
                </c:pt>
                <c:pt idx="129">
                  <c:v>52.579367442015908</c:v>
                </c:pt>
                <c:pt idx="130">
                  <c:v>53.016563734442499</c:v>
                </c:pt>
                <c:pt idx="131">
                  <c:v>53.44407373673716</c:v>
                </c:pt>
                <c:pt idx="132">
                  <c:v>53.861668514207899</c:v>
                </c:pt>
                <c:pt idx="133">
                  <c:v>54.269130075068027</c:v>
                </c:pt>
                <c:pt idx="134">
                  <c:v>54.666251268732225</c:v>
                </c:pt>
                <c:pt idx="135">
                  <c:v>55.052835645106832</c:v>
                </c:pt>
                <c:pt idx="136">
                  <c:v>55.428697278043458</c:v>
                </c:pt>
                <c:pt idx="137">
                  <c:v>55.793660556214562</c:v>
                </c:pt>
                <c:pt idx="138">
                  <c:v>56.147559944725231</c:v>
                </c:pt>
                <c:pt idx="139">
                  <c:v>56.490239720824562</c:v>
                </c:pt>
                <c:pt idx="140">
                  <c:v>56.821553687037678</c:v>
                </c:pt>
                <c:pt idx="141">
                  <c:v>57.141364865038874</c:v>
                </c:pt>
                <c:pt idx="142">
                  <c:v>57.449545173498933</c:v>
                </c:pt>
                <c:pt idx="143">
                  <c:v>57.745975093069987</c:v>
                </c:pt>
                <c:pt idx="144">
                  <c:v>58.030543321565162</c:v>
                </c:pt>
                <c:pt idx="145">
                  <c:v>58.303146422264049</c:v>
                </c:pt>
                <c:pt idx="146">
                  <c:v>58.563688468153821</c:v>
                </c:pt>
                <c:pt idx="147">
                  <c:v>58.812080684768233</c:v>
                </c:pt>
                <c:pt idx="148">
                  <c:v>59.048241094134106</c:v>
                </c:pt>
                <c:pt idx="149">
                  <c:v>59.272094162188885</c:v>
                </c:pt>
                <c:pt idx="150">
                  <c:v>59.483570451870534</c:v>
                </c:pt>
                <c:pt idx="151">
                  <c:v>59.682606283927726</c:v>
                </c:pt>
                <c:pt idx="152">
                  <c:v>59.869143407338342</c:v>
                </c:pt>
                <c:pt idx="153">
                  <c:v>60.043128681079423</c:v>
                </c:pt>
                <c:pt idx="154">
                  <c:v>60.204513768833273</c:v>
                </c:pt>
                <c:pt idx="155">
                  <c:v>60.353254848081548</c:v>
                </c:pt>
                <c:pt idx="156">
                  <c:v>60.48931233489099</c:v>
                </c:pt>
                <c:pt idx="157">
                  <c:v>60.61265062557311</c:v>
                </c:pt>
                <c:pt idx="158">
                  <c:v>60.723237856267545</c:v>
                </c:pt>
                <c:pt idx="159">
                  <c:v>60.821045681385669</c:v>
                </c:pt>
                <c:pt idx="160">
                  <c:v>60.906049071739524</c:v>
                </c:pt>
                <c:pt idx="161">
                  <c:v>60.97822613307649</c:v>
                </c:pt>
                <c:pt idx="162">
                  <c:v>61.03755794564195</c:v>
                </c:pt>
                <c:pt idx="163">
                  <c:v>61.084028425300495</c:v>
                </c:pt>
                <c:pt idx="164">
                  <c:v>61.117624206662782</c:v>
                </c:pt>
                <c:pt idx="165">
                  <c:v>61.138334548579365</c:v>
                </c:pt>
                <c:pt idx="166">
                  <c:v>61.146151262289131</c:v>
                </c:pt>
                <c:pt idx="167">
                  <c:v>61.141068662431756</c:v>
                </c:pt>
                <c:pt idx="168">
                  <c:v>61.123083541069768</c:v>
                </c:pt>
                <c:pt idx="169">
                  <c:v>61.092195164788322</c:v>
                </c:pt>
                <c:pt idx="170">
                  <c:v>61.048405294875479</c:v>
                </c:pt>
                <c:pt idx="171">
                  <c:v>60.991718230520185</c:v>
                </c:pt>
                <c:pt idx="172">
                  <c:v>60.92214087488906</c:v>
                </c:pt>
                <c:pt idx="173">
                  <c:v>60.839682823880068</c:v>
                </c:pt>
                <c:pt idx="174">
                  <c:v>60.744356477270259</c:v>
                </c:pt>
                <c:pt idx="175">
                  <c:v>60.636177171903363</c:v>
                </c:pt>
                <c:pt idx="176">
                  <c:v>60.515163336477045</c:v>
                </c:pt>
                <c:pt idx="177">
                  <c:v>60.381336667410849</c:v>
                </c:pt>
                <c:pt idx="178">
                  <c:v>60.234722325176925</c:v>
                </c:pt>
                <c:pt idx="179">
                  <c:v>60.075349150383964</c:v>
                </c:pt>
                <c:pt idx="180">
                  <c:v>59.903249898799807</c:v>
                </c:pt>
                <c:pt idx="181">
                  <c:v>59.718461494387881</c:v>
                </c:pt>
                <c:pt idx="182">
                  <c:v>59.521025299315447</c:v>
                </c:pt>
                <c:pt idx="183">
                  <c:v>59.310987399768699</c:v>
                </c:pt>
                <c:pt idx="184">
                  <c:v>59.088398906280446</c:v>
                </c:pt>
                <c:pt idx="185">
                  <c:v>58.853316267132811</c:v>
                </c:pt>
                <c:pt idx="186">
                  <c:v>58.605801593265667</c:v>
                </c:pt>
                <c:pt idx="187">
                  <c:v>58.345922992962379</c:v>
                </c:pt>
                <c:pt idx="188">
                  <c:v>58.073754914436989</c:v>
                </c:pt>
                <c:pt idx="189">
                  <c:v>57.789378494296059</c:v>
                </c:pt>
                <c:pt idx="190">
                  <c:v>57.492881909681785</c:v>
                </c:pt>
                <c:pt idx="191">
                  <c:v>57.184360731755625</c:v>
                </c:pt>
                <c:pt idx="192">
                  <c:v>56.86391827802295</c:v>
                </c:pt>
                <c:pt idx="193">
                  <c:v>56.531665960849729</c:v>
                </c:pt>
                <c:pt idx="194">
                  <c:v>56.187723629379789</c:v>
                </c:pt>
                <c:pt idx="195">
                  <c:v>55.832219901931019</c:v>
                </c:pt>
                <c:pt idx="196">
                  <c:v>55.465292485818196</c:v>
                </c:pt>
                <c:pt idx="197">
                  <c:v>55.087088481460441</c:v>
                </c:pt>
                <c:pt idx="198">
                  <c:v>54.697764667529221</c:v>
                </c:pt>
                <c:pt idx="199">
                  <c:v>54.297487763840195</c:v>
                </c:pt>
                <c:pt idx="200">
                  <c:v>53.886434668646515</c:v>
                </c:pt>
                <c:pt idx="201">
                  <c:v>53.464792666985225</c:v>
                </c:pt>
                <c:pt idx="202">
                  <c:v>53.032759606748208</c:v>
                </c:pt>
                <c:pt idx="203">
                  <c:v>52.59054403920419</c:v>
                </c:pt>
                <c:pt idx="204">
                  <c:v>52.138365320798066</c:v>
                </c:pt>
                <c:pt idx="205">
                  <c:v>51.676453673176773</c:v>
                </c:pt>
                <c:pt idx="206">
                  <c:v>51.205050198579585</c:v>
                </c:pt>
                <c:pt idx="207">
                  <c:v>50.724406847933409</c:v>
                </c:pt>
                <c:pt idx="208">
                  <c:v>50.234786339265987</c:v>
                </c:pt>
                <c:pt idx="209">
                  <c:v>49.736462024347141</c:v>
                </c:pt>
                <c:pt idx="210">
                  <c:v>49.229717701812206</c:v>
                </c:pt>
                <c:pt idx="211">
                  <c:v>48.714847375412504</c:v>
                </c:pt>
                <c:pt idx="212">
                  <c:v>48.192154956454807</c:v>
                </c:pt>
                <c:pt idx="213">
                  <c:v>47.661953909945872</c:v>
                </c:pt>
                <c:pt idx="214">
                  <c:v>47.124566844453291</c:v>
                </c:pt>
                <c:pt idx="215">
                  <c:v>46.580325046185536</c:v>
                </c:pt>
                <c:pt idx="216">
                  <c:v>46.029567958332201</c:v>
                </c:pt>
                <c:pt idx="217">
                  <c:v>45.472642607236551</c:v>
                </c:pt>
                <c:pt idx="218">
                  <c:v>44.909902977508345</c:v>
                </c:pt>
                <c:pt idx="219">
                  <c:v>44.341709338717671</c:v>
                </c:pt>
                <c:pt idx="220">
                  <c:v>43.768427526835893</c:v>
                </c:pt>
                <c:pt idx="221">
                  <c:v>43.190428184074172</c:v>
                </c:pt>
                <c:pt idx="222">
                  <c:v>42.608085961249394</c:v>
                </c:pt>
                <c:pt idx="223">
                  <c:v>42.021778687225655</c:v>
                </c:pt>
                <c:pt idx="224">
                  <c:v>41.43188651036607</c:v>
                </c:pt>
                <c:pt idx="225">
                  <c:v>40.838791017256369</c:v>
                </c:pt>
                <c:pt idx="226">
                  <c:v>40.24287433423104</c:v>
                </c:pt>
                <c:pt idx="227">
                  <c:v>39.644518217442268</c:v>
                </c:pt>
                <c:pt idx="228">
                  <c:v>39.044103137346447</c:v>
                </c:pt>
                <c:pt idx="229">
                  <c:v>38.442007363544313</c:v>
                </c:pt>
                <c:pt idx="230">
                  <c:v>37.838606055925773</c:v>
                </c:pt>
                <c:pt idx="231">
                  <c:v>37.234270367971973</c:v>
                </c:pt>
                <c:pt idx="232">
                  <c:v>36.629366567933708</c:v>
                </c:pt>
                <c:pt idx="233">
                  <c:v>36.024255183394708</c:v>
                </c:pt>
                <c:pt idx="234">
                  <c:v>35.419290174437869</c:v>
                </c:pt>
                <c:pt idx="235">
                  <c:v>34.814818140319581</c:v>
                </c:pt>
                <c:pt idx="236">
                  <c:v>34.211177564145856</c:v>
                </c:pt>
                <c:pt idx="237">
                  <c:v>33.608698099641344</c:v>
                </c:pt>
                <c:pt idx="238">
                  <c:v>33.00769990360579</c:v>
                </c:pt>
                <c:pt idx="239">
                  <c:v>32.408493017181378</c:v>
                </c:pt>
                <c:pt idx="240">
                  <c:v>31.81137679852165</c:v>
                </c:pt>
                <c:pt idx="241">
                  <c:v>31.216639408926007</c:v>
                </c:pt>
                <c:pt idx="242">
                  <c:v>30.624557353978631</c:v>
                </c:pt>
                <c:pt idx="243">
                  <c:v>30.035395080693007</c:v>
                </c:pt>
                <c:pt idx="244">
                  <c:v>29.449404631149694</c:v>
                </c:pt>
                <c:pt idx="245">
                  <c:v>28.866825352618353</c:v>
                </c:pt>
                <c:pt idx="246">
                  <c:v>28.287883663676613</c:v>
                </c:pt>
                <c:pt idx="247">
                  <c:v>27.712792875402361</c:v>
                </c:pt>
                <c:pt idx="248">
                  <c:v>27.141753066294545</c:v>
                </c:pt>
                <c:pt idx="249">
                  <c:v>26.574951009219703</c:v>
                </c:pt>
                <c:pt idx="250">
                  <c:v>26.012560148338856</c:v>
                </c:pt>
                <c:pt idx="251">
                  <c:v>25.454740623692071</c:v>
                </c:pt>
                <c:pt idx="252">
                  <c:v>24.90163934086064</c:v>
                </c:pt>
                <c:pt idx="253">
                  <c:v>24.353390082934336</c:v>
                </c:pt>
                <c:pt idx="254">
                  <c:v>23.81011366185049</c:v>
                </c:pt>
                <c:pt idx="255">
                  <c:v>23.271918106048627</c:v>
                </c:pt>
                <c:pt idx="256">
                  <c:v>22.738898881313766</c:v>
                </c:pt>
                <c:pt idx="257">
                  <c:v>22.211139141632998</c:v>
                </c:pt>
                <c:pt idx="258">
                  <c:v>21.688710006890673</c:v>
                </c:pt>
                <c:pt idx="259">
                  <c:v>21.171670864248441</c:v>
                </c:pt>
                <c:pt idx="260">
                  <c:v>20.660069690109712</c:v>
                </c:pt>
                <c:pt idx="261">
                  <c:v>20.15394338965174</c:v>
                </c:pt>
                <c:pt idx="262">
                  <c:v>19.653318151002896</c:v>
                </c:pt>
                <c:pt idx="263">
                  <c:v>19.158209811266548</c:v>
                </c:pt>
                <c:pt idx="264">
                  <c:v>18.668624231725868</c:v>
                </c:pt>
                <c:pt idx="265">
                  <c:v>18.184557679710441</c:v>
                </c:pt>
                <c:pt idx="266">
                  <c:v>17.705997214760803</c:v>
                </c:pt>
                <c:pt idx="267">
                  <c:v>17.232921076891909</c:v>
                </c:pt>
                <c:pt idx="268">
                  <c:v>16.765299074918786</c:v>
                </c:pt>
                <c:pt idx="269">
                  <c:v>16.303092972981773</c:v>
                </c:pt>
                <c:pt idx="270">
                  <c:v>15.846256873570324</c:v>
                </c:pt>
                <c:pt idx="271">
                  <c:v>15.394737595513599</c:v>
                </c:pt>
                <c:pt idx="272">
                  <c:v>14.94847504557036</c:v>
                </c:pt>
                <c:pt idx="273">
                  <c:v>14.507402582401619</c:v>
                </c:pt>
                <c:pt idx="274">
                  <c:v>14.071447371867375</c:v>
                </c:pt>
                <c:pt idx="275">
                  <c:v>13.640530732730179</c:v>
                </c:pt>
                <c:pt idx="276">
                  <c:v>13.214568471984219</c:v>
                </c:pt>
                <c:pt idx="277">
                  <c:v>12.793471209160719</c:v>
                </c:pt>
                <c:pt idx="278">
                  <c:v>12.377144689077276</c:v>
                </c:pt>
                <c:pt idx="279">
                  <c:v>11.965490082614535</c:v>
                </c:pt>
                <c:pt idx="280">
                  <c:v>11.558404275203502</c:v>
                </c:pt>
                <c:pt idx="281">
                  <c:v>11.155780142804922</c:v>
                </c:pt>
                <c:pt idx="282">
                  <c:v>10.757506815244547</c:v>
                </c:pt>
                <c:pt idx="283">
                  <c:v>10.363469926852648</c:v>
                </c:pt>
                <c:pt idx="284">
                  <c:v>9.9735518544189237</c:v>
                </c:pt>
                <c:pt idx="285">
                  <c:v>9.5876319425429486</c:v>
                </c:pt>
                <c:pt idx="286">
                  <c:v>9.2055867165139507</c:v>
                </c:pt>
                <c:pt idx="287">
                  <c:v>8.8272900828997649</c:v>
                </c:pt>
                <c:pt idx="288">
                  <c:v>8.4526135180739654</c:v>
                </c:pt>
                <c:pt idx="289">
                  <c:v>8.081426244939319</c:v>
                </c:pt>
                <c:pt idx="290">
                  <c:v>7.7135953981424628</c:v>
                </c:pt>
                <c:pt idx="291">
                  <c:v>7.3489861780983325</c:v>
                </c:pt>
                <c:pt idx="292">
                  <c:v>6.9874619941646818</c:v>
                </c:pt>
                <c:pt idx="293">
                  <c:v>6.6288845973257695</c:v>
                </c:pt>
                <c:pt idx="294">
                  <c:v>6.2731142027551003</c:v>
                </c:pt>
                <c:pt idx="295">
                  <c:v>5.9200096026414268</c:v>
                </c:pt>
                <c:pt idx="296">
                  <c:v>5.5694282696650514</c:v>
                </c:pt>
                <c:pt idx="297">
                  <c:v>5.2212264515191924</c:v>
                </c:pt>
                <c:pt idx="298">
                  <c:v>4.8752592568726927</c:v>
                </c:pt>
                <c:pt idx="299">
                  <c:v>4.5313807331692475</c:v>
                </c:pt>
                <c:pt idx="300">
                  <c:v>4.1894439366587353</c:v>
                </c:pt>
                <c:pt idx="301">
                  <c:v>3.8493009950518129</c:v>
                </c:pt>
                <c:pt idx="302">
                  <c:v>3.5108031631856913</c:v>
                </c:pt>
                <c:pt idx="303">
                  <c:v>3.173800872083119</c:v>
                </c:pt>
                <c:pt idx="304">
                  <c:v>2.8381437717809344</c:v>
                </c:pt>
                <c:pt idx="305">
                  <c:v>2.5036807682983495</c:v>
                </c:pt>
                <c:pt idx="306">
                  <c:v>2.1702600551074291</c:v>
                </c:pt>
                <c:pt idx="307">
                  <c:v>1.8377291394612307</c:v>
                </c:pt>
                <c:pt idx="308">
                  <c:v>1.505934863928128</c:v>
                </c:pt>
                <c:pt idx="309">
                  <c:v>1.1747234234730226</c:v>
                </c:pt>
                <c:pt idx="310">
                  <c:v>0.84394037841856584</c:v>
                </c:pt>
                <c:pt idx="311">
                  <c:v>0.51343066361363277</c:v>
                </c:pt>
                <c:pt idx="312">
                  <c:v>0.18303859412776588</c:v>
                </c:pt>
                <c:pt idx="313">
                  <c:v>-0.14739213221387604</c:v>
                </c:pt>
                <c:pt idx="314">
                  <c:v>-0.47801843514852455</c:v>
                </c:pt>
                <c:pt idx="315">
                  <c:v>-0.80899785484371856</c:v>
                </c:pt>
                <c:pt idx="316">
                  <c:v>-1.1404885570187309</c:v>
                </c:pt>
                <c:pt idx="317">
                  <c:v>-1.4726493400250449</c:v>
                </c:pt>
                <c:pt idx="318">
                  <c:v>-1.8056396435970961</c:v>
                </c:pt>
                <c:pt idx="319">
                  <c:v>-2.1396195589850451</c:v>
                </c:pt>
                <c:pt idx="320">
                  <c:v>-2.4747498401859938</c:v>
                </c:pt>
                <c:pt idx="321">
                  <c:v>-2.8111919159873735</c:v>
                </c:pt>
                <c:pt idx="322">
                  <c:v>-3.1491079025409614</c:v>
                </c:pt>
                <c:pt idx="323">
                  <c:v>-3.4886606161818627</c:v>
                </c:pt>
                <c:pt idx="324">
                  <c:v>-3.8300135862085223</c:v>
                </c:pt>
                <c:pt idx="325">
                  <c:v>-4.1733310673340718</c:v>
                </c:pt>
                <c:pt idx="326">
                  <c:v>-4.5187780515193277</c:v>
                </c:pt>
                <c:pt idx="327">
                  <c:v>-4.8665202788932662</c:v>
                </c:pt>
                <c:pt idx="328">
                  <c:v>-5.2167242474592506</c:v>
                </c:pt>
                <c:pt idx="329">
                  <c:v>-5.5695572212844082</c:v>
                </c:pt>
                <c:pt idx="330">
                  <c:v>-5.9251872368562521</c:v>
                </c:pt>
                <c:pt idx="331">
                  <c:v>-6.2837831072901569</c:v>
                </c:pt>
                <c:pt idx="332">
                  <c:v>-6.6455144240567661</c:v>
                </c:pt>
                <c:pt idx="333">
                  <c:v>-7.0105515558929543</c:v>
                </c:pt>
                <c:pt idx="334">
                  <c:v>-7.3790656445480058</c:v>
                </c:pt>
                <c:pt idx="335">
                  <c:v>-7.7512285970054853</c:v>
                </c:pt>
                <c:pt idx="336">
                  <c:v>-8.1272130738090489</c:v>
                </c:pt>
                <c:pt idx="337">
                  <c:v>-8.50719247311069</c:v>
                </c:pt>
                <c:pt idx="338">
                  <c:v>-8.8913409100412952</c:v>
                </c:pt>
                <c:pt idx="339">
                  <c:v>-9.2798331909939211</c:v>
                </c:pt>
                <c:pt idx="340">
                  <c:v>-9.6728447823915733</c:v>
                </c:pt>
                <c:pt idx="341">
                  <c:v>-10.070551773501274</c:v>
                </c:pt>
                <c:pt idx="342">
                  <c:v>-10.473130832832416</c:v>
                </c:pt>
                <c:pt idx="343">
                  <c:v>-10.880759157649697</c:v>
                </c:pt>
                <c:pt idx="344">
                  <c:v>-11.293614416107081</c:v>
                </c:pt>
                <c:pt idx="345">
                  <c:v>-11.711874681498582</c:v>
                </c:pt>
                <c:pt idx="346">
                  <c:v>-12.135718358100741</c:v>
                </c:pt>
                <c:pt idx="347">
                  <c:v>-12.565324098065943</c:v>
                </c:pt>
                <c:pt idx="348">
                  <c:v>-13.00087070881291</c:v>
                </c:pt>
                <c:pt idx="349">
                  <c:v>-13.442537050338666</c:v>
                </c:pt>
                <c:pt idx="350">
                  <c:v>-13.890501921867903</c:v>
                </c:pt>
                <c:pt idx="351">
                  <c:v>-14.344943937237135</c:v>
                </c:pt>
                <c:pt idx="352">
                  <c:v>-14.806041388401216</c:v>
                </c:pt>
                <c:pt idx="353">
                  <c:v>-15.273972096434735</c:v>
                </c:pt>
                <c:pt idx="354">
                  <c:v>-15.748913249399918</c:v>
                </c:pt>
                <c:pt idx="355">
                  <c:v>-16.231041226432509</c:v>
                </c:pt>
                <c:pt idx="356">
                  <c:v>-16.720531407409137</c:v>
                </c:pt>
                <c:pt idx="357">
                  <c:v>-17.217557967542902</c:v>
                </c:pt>
                <c:pt idx="358">
                  <c:v>-17.722293656268342</c:v>
                </c:pt>
                <c:pt idx="359">
                  <c:v>-18.23490955977681</c:v>
                </c:pt>
                <c:pt idx="360">
                  <c:v>-18.755574846576437</c:v>
                </c:pt>
                <c:pt idx="361">
                  <c:v>-19.284456495469062</c:v>
                </c:pt>
                <c:pt idx="362">
                  <c:v>-19.821719005353664</c:v>
                </c:pt>
                <c:pt idx="363">
                  <c:v>-20.367524086301177</c:v>
                </c:pt>
                <c:pt idx="364">
                  <c:v>-20.92203033137347</c:v>
                </c:pt>
                <c:pt idx="365">
                  <c:v>-21.485392868709752</c:v>
                </c:pt>
                <c:pt idx="366">
                  <c:v>-22.057762993449426</c:v>
                </c:pt>
                <c:pt idx="367">
                  <c:v>-22.639287779123698</c:v>
                </c:pt>
                <c:pt idx="368">
                  <c:v>-23.230109668218681</c:v>
                </c:pt>
                <c:pt idx="369">
                  <c:v>-23.830366041692137</c:v>
                </c:pt>
                <c:pt idx="370">
                  <c:v>-24.440188767317618</c:v>
                </c:pt>
                <c:pt idx="371">
                  <c:v>-25.059703726835888</c:v>
                </c:pt>
                <c:pt idx="372">
                  <c:v>-25.689030322002385</c:v>
                </c:pt>
                <c:pt idx="373">
                  <c:v>-26.328280959757546</c:v>
                </c:pt>
                <c:pt idx="374">
                  <c:v>-26.977560516877649</c:v>
                </c:pt>
                <c:pt idx="375">
                  <c:v>-27.636965784625684</c:v>
                </c:pt>
                <c:pt idx="376">
                  <c:v>-28.3065848940875</c:v>
                </c:pt>
                <c:pt idx="377">
                  <c:v>-28.986496723059812</c:v>
                </c:pt>
                <c:pt idx="378">
                  <c:v>-29.676770285553356</c:v>
                </c:pt>
                <c:pt idx="379">
                  <c:v>-30.37746410518173</c:v>
                </c:pt>
                <c:pt idx="380">
                  <c:v>-31.0886255739299</c:v>
                </c:pt>
                <c:pt idx="381">
                  <c:v>-31.810290298026068</c:v>
                </c:pt>
                <c:pt idx="382">
                  <c:v>-32.542481432886476</c:v>
                </c:pt>
                <c:pt idx="383">
                  <c:v>-33.285209009359683</c:v>
                </c:pt>
                <c:pt idx="384">
                  <c:v>-34.038469253749902</c:v>
                </c:pt>
                <c:pt idx="385">
                  <c:v>-34.802243904374379</c:v>
                </c:pt>
                <c:pt idx="386">
                  <c:v>-35.576499527677832</c:v>
                </c:pt>
                <c:pt idx="387">
                  <c:v>-36.361186837199128</c:v>
                </c:pt>
                <c:pt idx="388">
                  <c:v>-37.156240018957632</c:v>
                </c:pt>
                <c:pt idx="389">
                  <c:v>-37.961576067091258</c:v>
                </c:pt>
                <c:pt idx="390">
                  <c:v>-38.777094133836293</c:v>
                </c:pt>
                <c:pt idx="391">
                  <c:v>-39.602674898187274</c:v>
                </c:pt>
                <c:pt idx="392">
                  <c:v>-40.438179957799115</c:v>
                </c:pt>
                <c:pt idx="393">
                  <c:v>-41.283451248907276</c:v>
                </c:pt>
                <c:pt idx="394">
                  <c:v>-42.138310499225632</c:v>
                </c:pt>
                <c:pt idx="395">
                  <c:v>-43.002558718934033</c:v>
                </c:pt>
                <c:pt idx="396">
                  <c:v>-43.875975734993737</c:v>
                </c:pt>
                <c:pt idx="397">
                  <c:v>-44.758319774106788</c:v>
                </c:pt>
                <c:pt idx="398">
                  <c:v>-45.649327099682097</c:v>
                </c:pt>
                <c:pt idx="399">
                  <c:v>-46.548711708165285</c:v>
                </c:pt>
                <c:pt idx="400">
                  <c:v>-47.45616509002906</c:v>
                </c:pt>
                <c:pt idx="401">
                  <c:v>-48.371356060624343</c:v>
                </c:pt>
                <c:pt idx="402">
                  <c:v>-49.293930665918978</c:v>
                </c:pt>
                <c:pt idx="403">
                  <c:v>-50.22351216793539</c:v>
                </c:pt>
                <c:pt idx="404">
                  <c:v>-51.159701114420038</c:v>
                </c:pt>
                <c:pt idx="405">
                  <c:v>-52.102075496934958</c:v>
                </c:pt>
                <c:pt idx="406">
                  <c:v>-53.050191001164279</c:v>
                </c:pt>
                <c:pt idx="407">
                  <c:v>-54.003581352779761</c:v>
                </c:pt>
                <c:pt idx="408">
                  <c:v>-54.961758761686539</c:v>
                </c:pt>
                <c:pt idx="409">
                  <c:v>-55.924214466916361</c:v>
                </c:pt>
                <c:pt idx="410">
                  <c:v>-56.890419383821921</c:v>
                </c:pt>
                <c:pt idx="411">
                  <c:v>-57.859824854563307</c:v>
                </c:pt>
                <c:pt idx="412">
                  <c:v>-58.831863502195851</c:v>
                </c:pt>
                <c:pt idx="413">
                  <c:v>-59.8059501879384</c:v>
                </c:pt>
                <c:pt idx="414">
                  <c:v>-60.781483070450889</c:v>
                </c:pt>
                <c:pt idx="415">
                  <c:v>-61.757844765191727</c:v>
                </c:pt>
                <c:pt idx="416">
                  <c:v>-62.734403601157922</c:v>
                </c:pt>
                <c:pt idx="417">
                  <c:v>-63.710514971526166</c:v>
                </c:pt>
                <c:pt idx="418">
                  <c:v>-64.685522773971073</c:v>
                </c:pt>
                <c:pt idx="419">
                  <c:v>-65.658760935679354</c:v>
                </c:pt>
                <c:pt idx="420">
                  <c:v>-66.629555017377555</c:v>
                </c:pt>
                <c:pt idx="421">
                  <c:v>-67.597223889997892</c:v>
                </c:pt>
                <c:pt idx="422">
                  <c:v>-68.561081476982139</c:v>
                </c:pt>
                <c:pt idx="423">
                  <c:v>-69.520438554631482</c:v>
                </c:pt>
                <c:pt idx="424">
                  <c:v>-70.474604602386265</c:v>
                </c:pt>
                <c:pt idx="425">
                  <c:v>-71.422889694448571</c:v>
                </c:pt>
                <c:pt idx="426">
                  <c:v>-72.364606423774021</c:v>
                </c:pt>
                <c:pt idx="427">
                  <c:v>-73.299071849117908</c:v>
                </c:pt>
                <c:pt idx="428">
                  <c:v>-74.225609455593315</c:v>
                </c:pt>
                <c:pt idx="429">
                  <c:v>-75.143551119007839</c:v>
                </c:pt>
                <c:pt idx="430">
                  <c:v>-76.052239064158925</c:v>
                </c:pt>
                <c:pt idx="431">
                  <c:v>-76.951027807253695</c:v>
                </c:pt>
                <c:pt idx="432">
                  <c:v>-77.839286072676003</c:v>
                </c:pt>
                <c:pt idx="433">
                  <c:v>-78.716398674465196</c:v>
                </c:pt>
                <c:pt idx="434">
                  <c:v>-79.581768353072178</c:v>
                </c:pt>
                <c:pt idx="435">
                  <c:v>-80.434817558241846</c:v>
                </c:pt>
                <c:pt idx="436">
                  <c:v>-81.27499016920811</c:v>
                </c:pt>
                <c:pt idx="437">
                  <c:v>-82.101753143787036</c:v>
                </c:pt>
                <c:pt idx="438">
                  <c:v>-82.914598088412191</c:v>
                </c:pt>
                <c:pt idx="439">
                  <c:v>-83.71304274164514</c:v>
                </c:pt>
                <c:pt idx="440">
                  <c:v>-84.496632364247731</c:v>
                </c:pt>
                <c:pt idx="441">
                  <c:v>-85.264941029480823</c:v>
                </c:pt>
                <c:pt idx="442">
                  <c:v>-86.017572807882004</c:v>
                </c:pt>
                <c:pt idx="443">
                  <c:v>-86.754162841429448</c:v>
                </c:pt>
                <c:pt idx="444">
                  <c:v>-87.474378302628779</c:v>
                </c:pt>
                <c:pt idx="445">
                  <c:v>-88.177919234720619</c:v>
                </c:pt>
                <c:pt idx="446">
                  <c:v>-88.864519269883417</c:v>
                </c:pt>
                <c:pt idx="447">
                  <c:v>-89.533946222957624</c:v>
                </c:pt>
                <c:pt idx="448">
                  <c:v>-90.18600255889811</c:v>
                </c:pt>
                <c:pt idx="449">
                  <c:v>-90.820525732825473</c:v>
                </c:pt>
                <c:pt idx="450">
                  <c:v>-91.437388402187267</c:v>
                </c:pt>
                <c:pt idx="451">
                  <c:v>-92.03649851121051</c:v>
                </c:pt>
                <c:pt idx="452">
                  <c:v>-92.617799248439596</c:v>
                </c:pt>
                <c:pt idx="453">
                  <c:v>-93.181268878793674</c:v>
                </c:pt>
                <c:pt idx="454">
                  <c:v>-93.726920452176074</c:v>
                </c:pt>
                <c:pt idx="455">
                  <c:v>-94.254801391266739</c:v>
                </c:pt>
                <c:pt idx="456">
                  <c:v>-94.764992961702376</c:v>
                </c:pt>
                <c:pt idx="457">
                  <c:v>-95.2576096284144</c:v>
                </c:pt>
                <c:pt idx="458">
                  <c:v>-95.732798302433253</c:v>
                </c:pt>
                <c:pt idx="459">
                  <c:v>-96.190737482988084</c:v>
                </c:pt>
                <c:pt idx="460">
                  <c:v>-96.631636300231946</c:v>
                </c:pt>
                <c:pt idx="461">
                  <c:v>-97.05573346439968</c:v>
                </c:pt>
                <c:pt idx="462">
                  <c:v>-97.463296127648889</c:v>
                </c:pt>
                <c:pt idx="463">
                  <c:v>-97.854618665254947</c:v>
                </c:pt>
                <c:pt idx="464">
                  <c:v>-98.230021383217505</c:v>
                </c:pt>
                <c:pt idx="465">
                  <c:v>-98.589849159674387</c:v>
                </c:pt>
                <c:pt idx="466">
                  <c:v>-98.934470027834649</c:v>
                </c:pt>
                <c:pt idx="467">
                  <c:v>-99.264273708390306</c:v>
                </c:pt>
                <c:pt idx="468">
                  <c:v>-99.579670099585073</c:v>
                </c:pt>
                <c:pt idx="469">
                  <c:v>-99.88108773326644</c:v>
                </c:pt>
                <c:pt idx="470">
                  <c:v>-100.16897220535311</c:v>
                </c:pt>
                <c:pt idx="471">
                  <c:v>-100.44378458917819</c:v>
                </c:pt>
                <c:pt idx="472">
                  <c:v>-100.70599984015168</c:v>
                </c:pt>
                <c:pt idx="473">
                  <c:v>-100.9561052000912</c:v>
                </c:pt>
                <c:pt idx="474">
                  <c:v>-101.19459860941687</c:v>
                </c:pt>
                <c:pt idx="475">
                  <c:v>-101.42198713517993</c:v>
                </c:pt>
                <c:pt idx="476">
                  <c:v>-101.63878542262061</c:v>
                </c:pt>
                <c:pt idx="477">
                  <c:v>-101.84551417759108</c:v>
                </c:pt>
                <c:pt idx="478">
                  <c:v>-102.04269868678597</c:v>
                </c:pt>
                <c:pt idx="479">
                  <c:v>-102.23086738225352</c:v>
                </c:pt>
                <c:pt idx="480">
                  <c:v>-102.41055045616397</c:v>
                </c:pt>
                <c:pt idx="481">
                  <c:v>-102.58227853124814</c:v>
                </c:pt>
                <c:pt idx="482">
                  <c:v>-102.7465813917462</c:v>
                </c:pt>
                <c:pt idx="483">
                  <c:v>-102.90398677908077</c:v>
                </c:pt>
                <c:pt idx="484">
                  <c:v>-103.05501925584538</c:v>
                </c:pt>
                <c:pt idx="485">
                  <c:v>-103.20019914104006</c:v>
                </c:pt>
                <c:pt idx="486">
                  <c:v>-103.34004151884639</c:v>
                </c:pt>
                <c:pt idx="487">
                  <c:v>-103.47505532257978</c:v>
                </c:pt>
                <c:pt idx="488">
                  <c:v>-103.6057424948193</c:v>
                </c:pt>
                <c:pt idx="489">
                  <c:v>-103.73259722410951</c:v>
                </c:pt>
                <c:pt idx="490">
                  <c:v>-103.8561052580223</c:v>
                </c:pt>
                <c:pt idx="491">
                  <c:v>-103.97674329181309</c:v>
                </c:pt>
                <c:pt idx="492">
                  <c:v>-104.09497843138413</c:v>
                </c:pt>
                <c:pt idx="493">
                  <c:v>-104.21126772877737</c:v>
                </c:pt>
                <c:pt idx="494">
                  <c:v>-104.32605778798145</c:v>
                </c:pt>
                <c:pt idx="495">
                  <c:v>-104.43978443844574</c:v>
                </c:pt>
                <c:pt idx="496">
                  <c:v>-104.55287247334441</c:v>
                </c:pt>
                <c:pt idx="497">
                  <c:v>-104.66573544934288</c:v>
                </c:pt>
                <c:pt idx="498">
                  <c:v>-104.77877554436182</c:v>
                </c:pt>
                <c:pt idx="499">
                  <c:v>-104.89238346964208</c:v>
                </c:pt>
                <c:pt idx="500">
                  <c:v>-105.00693843225463</c:v>
                </c:pt>
                <c:pt idx="501">
                  <c:v>-105.12280814408929</c:v>
                </c:pt>
                <c:pt idx="502">
                  <c:v>-105.24034887329375</c:v>
                </c:pt>
                <c:pt idx="503">
                  <c:v>-105.35990553409904</c:v>
                </c:pt>
                <c:pt idx="504">
                  <c:v>-105.48181181097554</c:v>
                </c:pt>
                <c:pt idx="505">
                  <c:v>-105.60639031311064</c:v>
                </c:pt>
                <c:pt idx="506">
                  <c:v>-105.73395275525087</c:v>
                </c:pt>
                <c:pt idx="507">
                  <c:v>-105.8648001610641</c:v>
                </c:pt>
                <c:pt idx="508">
                  <c:v>-105.99922308527579</c:v>
                </c:pt>
                <c:pt idx="509">
                  <c:v>-106.13750185097672</c:v>
                </c:pt>
                <c:pt idx="510">
                  <c:v>-106.27990679864239</c:v>
                </c:pt>
                <c:pt idx="511">
                  <c:v>-106.42669854356821</c:v>
                </c:pt>
                <c:pt idx="512">
                  <c:v>-106.57812823858917</c:v>
                </c:pt>
                <c:pt idx="513">
                  <c:v>-106.73443783913233</c:v>
                </c:pt>
                <c:pt idx="514">
                  <c:v>-106.89586036782633</c:v>
                </c:pt>
                <c:pt idx="515">
                  <c:v>-107.062620176076</c:v>
                </c:pt>
                <c:pt idx="516">
                  <c:v>-107.23493320018687</c:v>
                </c:pt>
                <c:pt idx="517">
                  <c:v>-107.41300720980978</c:v>
                </c:pt>
                <c:pt idx="518">
                  <c:v>-107.59704204664679</c:v>
                </c:pt>
                <c:pt idx="519">
                  <c:v>-107.78722985153449</c:v>
                </c:pt>
                <c:pt idx="520">
                  <c:v>-107.98375527819131</c:v>
                </c:pt>
                <c:pt idx="521">
                  <c:v>-108.18679569207519</c:v>
                </c:pt>
                <c:pt idx="522">
                  <c:v>-108.39652135295439</c:v>
                </c:pt>
                <c:pt idx="523">
                  <c:v>-108.61309557995403</c:v>
                </c:pt>
                <c:pt idx="524">
                  <c:v>-108.83667489797814</c:v>
                </c:pt>
                <c:pt idx="525">
                  <c:v>-109.06740916455486</c:v>
                </c:pt>
                <c:pt idx="526">
                  <c:v>-109.3054416762878</c:v>
                </c:pt>
                <c:pt idx="527">
                  <c:v>-109.55090925422888</c:v>
                </c:pt>
                <c:pt idx="528">
                  <c:v>-109.80394230761496</c:v>
                </c:pt>
                <c:pt idx="529">
                  <c:v>-110.06466487554488</c:v>
                </c:pt>
                <c:pt idx="530">
                  <c:v>-110.33319464628107</c:v>
                </c:pt>
                <c:pt idx="531">
                  <c:v>-110.60964295400311</c:v>
                </c:pt>
                <c:pt idx="532">
                  <c:v>-110.89411475294492</c:v>
                </c:pt>
                <c:pt idx="533">
                  <c:v>-111.18670856897779</c:v>
                </c:pt>
                <c:pt idx="534">
                  <c:v>-111.48751642882479</c:v>
                </c:pt>
                <c:pt idx="535">
                  <c:v>-111.79662376721024</c:v>
                </c:pt>
                <c:pt idx="536">
                  <c:v>-112.1141093123863</c:v>
                </c:pt>
                <c:pt idx="537">
                  <c:v>-112.44004495059629</c:v>
                </c:pt>
                <c:pt idx="538">
                  <c:v>-112.77449557017944</c:v>
                </c:pt>
                <c:pt idx="539">
                  <c:v>-113.11751888615136</c:v>
                </c:pt>
                <c:pt idx="540">
                  <c:v>-113.4691652462441</c:v>
                </c:pt>
                <c:pt idx="541">
                  <c:v>-113.82947741953019</c:v>
                </c:pt>
              </c:numCache>
            </c:numRef>
          </c:yVal>
          <c:smooth val="1"/>
          <c:extLst>
            <c:ext xmlns:c16="http://schemas.microsoft.com/office/drawing/2014/chart" uri="{C3380CC4-5D6E-409C-BE32-E72D297353CC}">
              <c16:uniqueId val="{00000001-CBA6-42F6-B155-315D5BF5FD74}"/>
            </c:ext>
          </c:extLst>
        </c:ser>
        <c:dLbls>
          <c:showLegendKey val="0"/>
          <c:showVal val="0"/>
          <c:showCatName val="0"/>
          <c:showSerName val="0"/>
          <c:showPercent val="0"/>
          <c:showBubbleSize val="0"/>
        </c:dLbls>
        <c:axId val="319325696"/>
        <c:axId val="319324160"/>
      </c:scatterChart>
      <c:valAx>
        <c:axId val="319315968"/>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19317888"/>
        <c:crosses val="autoZero"/>
        <c:crossBetween val="midCat"/>
      </c:valAx>
      <c:valAx>
        <c:axId val="319317888"/>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a:solidFill>
                  <a:srgbClr val="FF0000"/>
                </a:solidFill>
              </a:defRPr>
            </a:pPr>
            <a:endParaRPr lang="en-US"/>
          </a:p>
        </c:txPr>
        <c:crossAx val="319315968"/>
        <c:crosses val="autoZero"/>
        <c:crossBetween val="midCat"/>
        <c:majorUnit val="20"/>
        <c:minorUnit val="10"/>
      </c:valAx>
      <c:valAx>
        <c:axId val="319324160"/>
        <c:scaling>
          <c:orientation val="minMax"/>
          <c:max val="180"/>
          <c:min val="-180"/>
        </c:scaling>
        <c:delete val="0"/>
        <c:axPos val="r"/>
        <c:numFmt formatCode="General" sourceLinked="1"/>
        <c:majorTickMark val="out"/>
        <c:minorTickMark val="none"/>
        <c:tickLblPos val="nextTo"/>
        <c:txPr>
          <a:bodyPr/>
          <a:lstStyle/>
          <a:p>
            <a:pPr>
              <a:defRPr>
                <a:solidFill>
                  <a:schemeClr val="tx1">
                    <a:lumMod val="95000"/>
                    <a:lumOff val="5000"/>
                  </a:schemeClr>
                </a:solidFill>
              </a:defRPr>
            </a:pPr>
            <a:endParaRPr lang="en-US"/>
          </a:p>
        </c:txPr>
        <c:crossAx val="319325696"/>
        <c:crosses val="max"/>
        <c:crossBetween val="midCat"/>
        <c:majorUnit val="90"/>
        <c:minorUnit val="45"/>
      </c:valAx>
      <c:valAx>
        <c:axId val="319325696"/>
        <c:scaling>
          <c:logBase val="10"/>
          <c:orientation val="minMax"/>
        </c:scaling>
        <c:delete val="1"/>
        <c:axPos val="b"/>
        <c:numFmt formatCode="0.00" sourceLinked="1"/>
        <c:majorTickMark val="out"/>
        <c:minorTickMark val="none"/>
        <c:tickLblPos val="nextTo"/>
        <c:crossAx val="319324160"/>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CA71-40A5-840D-4E336F1AC19A}"/>
            </c:ext>
          </c:extLst>
        </c:ser>
        <c:dLbls>
          <c:showLegendKey val="0"/>
          <c:showVal val="0"/>
          <c:showCatName val="0"/>
          <c:showSerName val="0"/>
          <c:showPercent val="0"/>
          <c:showBubbleSize val="0"/>
        </c:dLbls>
        <c:axId val="319784064"/>
        <c:axId val="319785600"/>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CA71-40A5-840D-4E336F1AC19A}"/>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CA71-40A5-840D-4E336F1AC19A}"/>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CA71-40A5-840D-4E336F1AC19A}"/>
            </c:ext>
          </c:extLst>
        </c:ser>
        <c:dLbls>
          <c:showLegendKey val="0"/>
          <c:showVal val="0"/>
          <c:showCatName val="0"/>
          <c:showSerName val="0"/>
          <c:showPercent val="0"/>
          <c:showBubbleSize val="0"/>
        </c:dLbls>
        <c:axId val="319801984"/>
        <c:axId val="319800064"/>
      </c:scatterChart>
      <c:valAx>
        <c:axId val="319784064"/>
        <c:scaling>
          <c:orientation val="minMax"/>
        </c:scaling>
        <c:delete val="0"/>
        <c:axPos val="b"/>
        <c:majorGridlines/>
        <c:numFmt formatCode="General" sourceLinked="1"/>
        <c:majorTickMark val="out"/>
        <c:minorTickMark val="none"/>
        <c:tickLblPos val="nextTo"/>
        <c:crossAx val="319785600"/>
        <c:crosses val="autoZero"/>
        <c:crossBetween val="midCat"/>
        <c:majorUnit val="10"/>
      </c:valAx>
      <c:valAx>
        <c:axId val="319785600"/>
        <c:scaling>
          <c:orientation val="minMax"/>
          <c:max val="100"/>
          <c:min val="7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19784064"/>
        <c:crosses val="autoZero"/>
        <c:crossBetween val="midCat"/>
      </c:valAx>
      <c:valAx>
        <c:axId val="319800064"/>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19801984"/>
        <c:crosses val="max"/>
        <c:crossBetween val="midCat"/>
      </c:valAx>
      <c:valAx>
        <c:axId val="319801984"/>
        <c:scaling>
          <c:orientation val="minMax"/>
        </c:scaling>
        <c:delete val="1"/>
        <c:axPos val="b"/>
        <c:title>
          <c:tx>
            <c:rich>
              <a:bodyPr/>
              <a:lstStyle/>
              <a:p>
                <a:pPr>
                  <a:defRPr sz="1400"/>
                </a:pPr>
                <a:r>
                  <a:rPr lang="en-US" sz="1400" b="1" i="0" baseline="0">
                    <a:effectLst/>
                  </a:rPr>
                  <a:t>P</a:t>
                </a:r>
                <a:r>
                  <a:rPr lang="en-US" sz="1400" b="1" i="0" baseline="-25000">
                    <a:effectLst/>
                  </a:rPr>
                  <a:t>OUT</a:t>
                </a:r>
                <a:r>
                  <a:rPr lang="en-US" sz="1400" b="1" i="0" baseline="0">
                    <a:effectLst/>
                  </a:rPr>
                  <a:t> (W)</a:t>
                </a:r>
                <a:endParaRPr lang="en-US" sz="1400">
                  <a:effectLst/>
                </a:endParaRPr>
              </a:p>
            </c:rich>
          </c:tx>
          <c:overlay val="0"/>
        </c:title>
        <c:numFmt formatCode="General" sourceLinked="1"/>
        <c:majorTickMark val="out"/>
        <c:minorTickMark val="none"/>
        <c:tickLblPos val="nextTo"/>
        <c:crossAx val="319800064"/>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Eff_vs_IOUT!$CJ$7:$CJ$157</c:f>
              <c:numCache>
                <c:formatCode>General</c:formatCode>
                <c:ptCount val="151"/>
                <c:pt idx="0">
                  <c:v>0</c:v>
                </c:pt>
                <c:pt idx="1">
                  <c:v>26.976957300370348</c:v>
                </c:pt>
                <c:pt idx="2">
                  <c:v>38.262278408045049</c:v>
                </c:pt>
                <c:pt idx="3">
                  <c:v>45.049486106298318</c:v>
                </c:pt>
                <c:pt idx="4">
                  <c:v>49.712955027791871</c:v>
                </c:pt>
                <c:pt idx="5">
                  <c:v>53.168325646423867</c:v>
                </c:pt>
                <c:pt idx="6">
                  <c:v>55.858149966843506</c:v>
                </c:pt>
                <c:pt idx="7">
                  <c:v>58.026747287927861</c:v>
                </c:pt>
                <c:pt idx="8">
                  <c:v>59.821652899455614</c:v>
                </c:pt>
                <c:pt idx="9">
                  <c:v>61.337958676600671</c:v>
                </c:pt>
                <c:pt idx="10">
                  <c:v>62.640082503243669</c:v>
                </c:pt>
                <c:pt idx="11">
                  <c:v>63.7734148462728</c:v>
                </c:pt>
                <c:pt idx="12">
                  <c:v>64.770978003952848</c:v>
                </c:pt>
                <c:pt idx="13">
                  <c:v>65.657441740696314</c:v>
                </c:pt>
                <c:pt idx="14">
                  <c:v>66.451652775240007</c:v>
                </c:pt>
                <c:pt idx="15">
                  <c:v>67.168287358546635</c:v>
                </c:pt>
                <c:pt idx="16">
                  <c:v>67.81896495797119</c:v>
                </c:pt>
                <c:pt idx="17">
                  <c:v>68.413019092626982</c:v>
                </c:pt>
                <c:pt idx="18">
                  <c:v>68.95804341879429</c:v>
                </c:pt>
                <c:pt idx="19">
                  <c:v>69.460286583901905</c:v>
                </c:pt>
                <c:pt idx="20">
                  <c:v>69.924942949581038</c:v>
                </c:pt>
                <c:pt idx="21">
                  <c:v>70.356370134459851</c:v>
                </c:pt>
                <c:pt idx="22">
                  <c:v>70.758254179232623</c:v>
                </c:pt>
                <c:pt idx="23">
                  <c:v>70.95611874798044</c:v>
                </c:pt>
                <c:pt idx="24">
                  <c:v>71.102112325279094</c:v>
                </c:pt>
                <c:pt idx="25">
                  <c:v>71.236492441703732</c:v>
                </c:pt>
                <c:pt idx="26">
                  <c:v>71.360538019898073</c:v>
                </c:pt>
                <c:pt idx="27">
                  <c:v>71.475346861154222</c:v>
                </c:pt>
                <c:pt idx="28">
                  <c:v>71.581866612093677</c:v>
                </c:pt>
                <c:pt idx="29">
                  <c:v>71.680919588090575</c:v>
                </c:pt>
                <c:pt idx="30">
                  <c:v>71.773222829766951</c:v>
                </c:pt>
                <c:pt idx="31">
                  <c:v>71.859404427416621</c:v>
                </c:pt>
                <c:pt idx="32">
                  <c:v>71.940016899185835</c:v>
                </c:pt>
                <c:pt idx="33">
                  <c:v>72.015548225258286</c:v>
                </c:pt>
                <c:pt idx="34">
                  <c:v>72.086431003590704</c:v>
                </c:pt>
                <c:pt idx="35">
                  <c:v>72.153050089988596</c:v>
                </c:pt>
                <c:pt idx="36">
                  <c:v>72.215749007385881</c:v>
                </c:pt>
                <c:pt idx="37">
                  <c:v>72.274835349604132</c:v>
                </c:pt>
                <c:pt idx="38">
                  <c:v>72.330585358944674</c:v>
                </c:pt>
                <c:pt idx="39">
                  <c:v>72.383247821314626</c:v>
                </c:pt>
                <c:pt idx="40">
                  <c:v>72.433047394714009</c:v>
                </c:pt>
                <c:pt idx="41">
                  <c:v>72.480187464977618</c:v>
                </c:pt>
                <c:pt idx="42">
                  <c:v>72.524852605294569</c:v>
                </c:pt>
                <c:pt idx="43">
                  <c:v>72.567210702192725</c:v>
                </c:pt>
                <c:pt idx="44">
                  <c:v>72.607414799590558</c:v>
                </c:pt>
                <c:pt idx="45">
                  <c:v>72.645604703592554</c:v>
                </c:pt>
                <c:pt idx="46">
                  <c:v>72.681908383477776</c:v>
                </c:pt>
                <c:pt idx="47">
                  <c:v>72.716443198452069</c:v>
                </c:pt>
                <c:pt idx="48">
                  <c:v>72.749316974932327</c:v>
                </c:pt>
                <c:pt idx="49">
                  <c:v>72.780628955185307</c:v>
                </c:pt>
                <c:pt idx="50">
                  <c:v>72.810470634894799</c:v>
                </c:pt>
                <c:pt idx="51">
                  <c:v>72.838926504538705</c:v>
                </c:pt>
                <c:pt idx="52">
                  <c:v>72.866074707222211</c:v>
                </c:pt>
                <c:pt idx="53">
                  <c:v>72.891987623747724</c:v>
                </c:pt>
                <c:pt idx="54">
                  <c:v>72.916732394141732</c:v>
                </c:pt>
                <c:pt idx="55">
                  <c:v>72.940371383546676</c:v>
                </c:pt>
                <c:pt idx="56">
                  <c:v>72.962962599281056</c:v>
                </c:pt>
                <c:pt idx="57">
                  <c:v>72.984560064936517</c:v>
                </c:pt>
                <c:pt idx="58">
                  <c:v>73.005214156588366</c:v>
                </c:pt>
                <c:pt idx="59">
                  <c:v>73.024971905521269</c:v>
                </c:pt>
                <c:pt idx="60">
                  <c:v>73.043877271297717</c:v>
                </c:pt>
                <c:pt idx="61">
                  <c:v>73.061971388504347</c:v>
                </c:pt>
                <c:pt idx="62">
                  <c:v>73.07929279008934</c:v>
                </c:pt>
                <c:pt idx="63">
                  <c:v>73.095877609841821</c:v>
                </c:pt>
                <c:pt idx="64">
                  <c:v>73.111759766250756</c:v>
                </c:pt>
                <c:pt idx="65">
                  <c:v>73.126971129711166</c:v>
                </c:pt>
                <c:pt idx="66">
                  <c:v>73.14154167481118</c:v>
                </c:pt>
                <c:pt idx="67">
                  <c:v>73.155499619229985</c:v>
                </c:pt>
                <c:pt idx="68">
                  <c:v>73.168871550600528</c:v>
                </c:pt>
                <c:pt idx="69">
                  <c:v>73.181682542535953</c:v>
                </c:pt>
                <c:pt idx="70">
                  <c:v>73.193956260884889</c:v>
                </c:pt>
                <c:pt idx="71">
                  <c:v>73.205715061161698</c:v>
                </c:pt>
                <c:pt idx="72">
                  <c:v>73.216980077996013</c:v>
                </c:pt>
                <c:pt idx="73">
                  <c:v>73.22777130735308</c:v>
                </c:pt>
                <c:pt idx="74">
                  <c:v>73.238107682198034</c:v>
                </c:pt>
                <c:pt idx="75">
                  <c:v>73.248007142205822</c:v>
                </c:pt>
                <c:pt idx="76">
                  <c:v>73.257486698056368</c:v>
                </c:pt>
                <c:pt idx="77">
                  <c:v>73.266562490799387</c:v>
                </c:pt>
                <c:pt idx="78">
                  <c:v>73.275249846724464</c:v>
                </c:pt>
                <c:pt idx="79">
                  <c:v>73.283563328128395</c:v>
                </c:pt>
                <c:pt idx="80">
                  <c:v>73.291516780333168</c:v>
                </c:pt>
                <c:pt idx="81">
                  <c:v>73.299123375274078</c:v>
                </c:pt>
                <c:pt idx="82">
                  <c:v>73.306395651946005</c:v>
                </c:pt>
                <c:pt idx="83">
                  <c:v>73.313345553968972</c:v>
                </c:pt>
                <c:pt idx="84">
                  <c:v>73.319984464509886</c:v>
                </c:pt>
                <c:pt idx="85">
                  <c:v>73.326323238774478</c:v>
                </c:pt>
                <c:pt idx="86">
                  <c:v>73.332372234264966</c:v>
                </c:pt>
                <c:pt idx="87">
                  <c:v>73.33814133898025</c:v>
                </c:pt>
                <c:pt idx="88">
                  <c:v>73.343639997720231</c:v>
                </c:pt>
                <c:pt idx="89">
                  <c:v>73.348877236641272</c:v>
                </c:pt>
                <c:pt idx="90">
                  <c:v>73.353861686196936</c:v>
                </c:pt>
                <c:pt idx="91">
                  <c:v>73.358601602586589</c:v>
                </c:pt>
                <c:pt idx="92">
                  <c:v>73.363104887823724</c:v>
                </c:pt>
                <c:pt idx="93">
                  <c:v>73.367379108526919</c:v>
                </c:pt>
                <c:pt idx="94">
                  <c:v>73.371431513526744</c:v>
                </c:pt>
                <c:pt idx="95">
                  <c:v>73.375269050375252</c:v>
                </c:pt>
                <c:pt idx="96">
                  <c:v>73.378898380836674</c:v>
                </c:pt>
                <c:pt idx="97">
                  <c:v>73.382325895432231</c:v>
                </c:pt>
                <c:pt idx="98">
                  <c:v>73.385557727105436</c:v>
                </c:pt>
                <c:pt idx="99">
                  <c:v>73.388599764069596</c:v>
                </c:pt>
                <c:pt idx="100">
                  <c:v>73.391457661893966</c:v>
                </c:pt>
                <c:pt idx="101">
                  <c:v>73.394136854880514</c:v>
                </c:pt>
                <c:pt idx="102">
                  <c:v>73.396642566779605</c:v>
                </c:pt>
                <c:pt idx="103">
                  <c:v>73.398979820889053</c:v>
                </c:pt>
                <c:pt idx="104">
                  <c:v>73.401153449577166</c:v>
                </c:pt>
                <c:pt idx="105">
                  <c:v>73.403168103268229</c:v>
                </c:pt>
                <c:pt idx="106">
                  <c:v>73.405028258925114</c:v>
                </c:pt>
                <c:pt idx="107">
                  <c:v>73.406738228061755</c:v>
                </c:pt>
                <c:pt idx="108">
                  <c:v>73.408302164315657</c:v>
                </c:pt>
                <c:pt idx="109">
                  <c:v>73.409724070608064</c:v>
                </c:pt>
                <c:pt idx="110">
                  <c:v>73.411007805918146</c:v>
                </c:pt>
                <c:pt idx="111">
                  <c:v>73.412157091694937</c:v>
                </c:pt>
                <c:pt idx="112">
                  <c:v>73.413175517929631</c:v>
                </c:pt>
                <c:pt idx="113">
                  <c:v>73.414066548908934</c:v>
                </c:pt>
                <c:pt idx="114">
                  <c:v>73.414833528668865</c:v>
                </c:pt>
                <c:pt idx="115">
                  <c:v>73.415479686167075</c:v>
                </c:pt>
                <c:pt idx="116">
                  <c:v>73.416008140190513</c:v>
                </c:pt>
                <c:pt idx="117">
                  <c:v>73.416421904013959</c:v>
                </c:pt>
                <c:pt idx="118">
                  <c:v>73.41672388982434</c:v>
                </c:pt>
                <c:pt idx="119">
                  <c:v>73.416916912923966</c:v>
                </c:pt>
                <c:pt idx="120">
                  <c:v>73.417003695726123</c:v>
                </c:pt>
                <c:pt idx="121">
                  <c:v>73.416986871554343</c:v>
                </c:pt>
                <c:pt idx="122">
                  <c:v>73.416868988256752</c:v>
                </c:pt>
                <c:pt idx="123">
                  <c:v>73.416652511645822</c:v>
                </c:pt>
                <c:pt idx="124">
                  <c:v>73.416339828773502</c:v>
                </c:pt>
                <c:pt idx="125">
                  <c:v>73.415933251050504</c:v>
                </c:pt>
                <c:pt idx="126">
                  <c:v>73.415435017218584</c:v>
                </c:pt>
                <c:pt idx="127">
                  <c:v>73.414847296183822</c:v>
                </c:pt>
                <c:pt idx="128">
                  <c:v>73.414172189718258</c:v>
                </c:pt>
                <c:pt idx="129">
                  <c:v>73.413411735037187</c:v>
                </c:pt>
                <c:pt idx="130">
                  <c:v>73.412567907258449</c:v>
                </c:pt>
                <c:pt idx="131">
                  <c:v>73.411642621750431</c:v>
                </c:pt>
                <c:pt idx="132">
                  <c:v>73.410637736373999</c:v>
                </c:pt>
                <c:pt idx="133">
                  <c:v>73.409555053624516</c:v>
                </c:pt>
                <c:pt idx="134">
                  <c:v>73.408396322678655</c:v>
                </c:pt>
                <c:pt idx="135">
                  <c:v>73.407163241351128</c:v>
                </c:pt>
                <c:pt idx="136">
                  <c:v>73.405857457965894</c:v>
                </c:pt>
                <c:pt idx="137">
                  <c:v>73.404480573146174</c:v>
                </c:pt>
                <c:pt idx="138">
                  <c:v>73.403034141527158</c:v>
                </c:pt>
                <c:pt idx="139">
                  <c:v>73.401519673395725</c:v>
                </c:pt>
                <c:pt idx="140">
                  <c:v>73.399938636260316</c:v>
                </c:pt>
                <c:pt idx="141">
                  <c:v>73.39829245635454</c:v>
                </c:pt>
                <c:pt idx="142">
                  <c:v>73.396582520078013</c:v>
                </c:pt>
                <c:pt idx="143">
                  <c:v>73.394810175377074</c:v>
                </c:pt>
                <c:pt idx="144">
                  <c:v>73.392976733068551</c:v>
                </c:pt>
                <c:pt idx="145">
                  <c:v>73.391083468109187</c:v>
                </c:pt>
                <c:pt idx="146">
                  <c:v>73.389131620813359</c:v>
                </c:pt>
                <c:pt idx="147">
                  <c:v>73.387122398021447</c:v>
                </c:pt>
                <c:pt idx="148">
                  <c:v>73.385056974221413</c:v>
                </c:pt>
                <c:pt idx="149">
                  <c:v>73.382936492625305</c:v>
                </c:pt>
                <c:pt idx="150">
                  <c:v>73.380762066203346</c:v>
                </c:pt>
              </c:numCache>
            </c:numRef>
          </c:yVal>
          <c:smooth val="0"/>
          <c:extLst>
            <c:ext xmlns:c16="http://schemas.microsoft.com/office/drawing/2014/chart" uri="{C3380CC4-5D6E-409C-BE32-E72D297353CC}">
              <c16:uniqueId val="{00000000-0756-41B2-A6B5-783BF4A9B455}"/>
            </c:ext>
          </c:extLst>
        </c:ser>
        <c:dLbls>
          <c:showLegendKey val="0"/>
          <c:showVal val="0"/>
          <c:showCatName val="0"/>
          <c:showSerName val="0"/>
          <c:showPercent val="0"/>
          <c:showBubbleSize val="0"/>
        </c:dLbls>
        <c:axId val="319634816"/>
        <c:axId val="319661184"/>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Eff_vs_IOUT!$AJ$7:$AJ$157</c:f>
              <c:numCache>
                <c:formatCode>General</c:formatCode>
                <c:ptCount val="151"/>
                <c:pt idx="0">
                  <c:v>0</c:v>
                </c:pt>
                <c:pt idx="1">
                  <c:v>0.12212881156939792</c:v>
                </c:pt>
                <c:pt idx="2">
                  <c:v>0.17274212043474574</c:v>
                </c:pt>
                <c:pt idx="3">
                  <c:v>0.21159674544532334</c:v>
                </c:pt>
                <c:pt idx="4">
                  <c:v>0.24436750225812043</c:v>
                </c:pt>
                <c:pt idx="5">
                  <c:v>0.27325212280051492</c:v>
                </c:pt>
                <c:pt idx="6">
                  <c:v>0.29937756105064939</c:v>
                </c:pt>
                <c:pt idx="7">
                  <c:v>0.32341317615250659</c:v>
                </c:pt>
                <c:pt idx="8">
                  <c:v>0.34579502595103234</c:v>
                </c:pt>
                <c:pt idx="9">
                  <c:v>0.36682595118549211</c:v>
                </c:pt>
                <c:pt idx="10">
                  <c:v>0.38672641491535925</c:v>
                </c:pt>
                <c:pt idx="11">
                  <c:v>0.40566282375286572</c:v>
                </c:pt>
                <c:pt idx="12">
                  <c:v>0.42376443954272991</c:v>
                </c:pt>
                <c:pt idx="13">
                  <c:v>0.44113404192259914</c:v>
                </c:pt>
                <c:pt idx="14">
                  <c:v>0.45785495165325207</c:v>
                </c:pt>
                <c:pt idx="15">
                  <c:v>0.4739958266319419</c:v>
                </c:pt>
                <c:pt idx="16">
                  <c:v>0.48961403747083743</c:v>
                </c:pt>
                <c:pt idx="17">
                  <c:v>0.50475810527185072</c:v>
                </c:pt>
                <c:pt idx="18">
                  <c:v>0.51946950163040073</c:v>
                </c:pt>
                <c:pt idx="19">
                  <c:v>0.53378400365714973</c:v>
                </c:pt>
                <c:pt idx="20">
                  <c:v>0.54773273150161761</c:v>
                </c:pt>
                <c:pt idx="21">
                  <c:v>0.56134295482376451</c:v>
                </c:pt>
                <c:pt idx="22">
                  <c:v>0.57463872814895434</c:v>
                </c:pt>
                <c:pt idx="23">
                  <c:v>0.59843124378659018</c:v>
                </c:pt>
                <c:pt idx="24">
                  <c:v>0.62449920734408848</c:v>
                </c:pt>
                <c:pt idx="25">
                  <c:v>0.65057300427019338</c:v>
                </c:pt>
                <c:pt idx="26">
                  <c:v>0.67665263456490499</c:v>
                </c:pt>
                <c:pt idx="27">
                  <c:v>0.70273809822822331</c:v>
                </c:pt>
                <c:pt idx="28">
                  <c:v>0.72882939526014856</c:v>
                </c:pt>
                <c:pt idx="29">
                  <c:v>0.75492652566068019</c:v>
                </c:pt>
                <c:pt idx="30">
                  <c:v>0.78102948942981865</c:v>
                </c:pt>
                <c:pt idx="31">
                  <c:v>0.8071382865675637</c:v>
                </c:pt>
                <c:pt idx="32">
                  <c:v>0.83325291707391569</c:v>
                </c:pt>
                <c:pt idx="33">
                  <c:v>0.85937338094887428</c:v>
                </c:pt>
                <c:pt idx="34">
                  <c:v>0.88549967819243958</c:v>
                </c:pt>
                <c:pt idx="35">
                  <c:v>0.91163180880461148</c:v>
                </c:pt>
                <c:pt idx="36">
                  <c:v>0.93776977278539009</c:v>
                </c:pt>
                <c:pt idx="37">
                  <c:v>0.96391357013477541</c:v>
                </c:pt>
                <c:pt idx="38">
                  <c:v>0.99006320085276756</c:v>
                </c:pt>
                <c:pt idx="39">
                  <c:v>1.0162186649393663</c:v>
                </c:pt>
                <c:pt idx="40">
                  <c:v>1.0423799623945715</c:v>
                </c:pt>
                <c:pt idx="41">
                  <c:v>1.068547093218384</c:v>
                </c:pt>
                <c:pt idx="42">
                  <c:v>1.0947200574108027</c:v>
                </c:pt>
                <c:pt idx="43">
                  <c:v>1.1208988549718284</c:v>
                </c:pt>
                <c:pt idx="44">
                  <c:v>1.1470834859014607</c:v>
                </c:pt>
                <c:pt idx="45">
                  <c:v>1.1732739501996996</c:v>
                </c:pt>
                <c:pt idx="46">
                  <c:v>1.1994702478665455</c:v>
                </c:pt>
                <c:pt idx="47">
                  <c:v>1.2256723789019977</c:v>
                </c:pt>
                <c:pt idx="48">
                  <c:v>1.2518803433060572</c:v>
                </c:pt>
                <c:pt idx="49">
                  <c:v>1.2780941410787225</c:v>
                </c:pt>
                <c:pt idx="50">
                  <c:v>1.3043137722199951</c:v>
                </c:pt>
                <c:pt idx="51">
                  <c:v>1.3305392367298745</c:v>
                </c:pt>
                <c:pt idx="52">
                  <c:v>1.3567705346083603</c:v>
                </c:pt>
                <c:pt idx="53">
                  <c:v>1.3830076658554529</c:v>
                </c:pt>
                <c:pt idx="54">
                  <c:v>1.4092506304711523</c:v>
                </c:pt>
                <c:pt idx="55">
                  <c:v>1.4354994284554583</c:v>
                </c:pt>
                <c:pt idx="56">
                  <c:v>1.4617540598083711</c:v>
                </c:pt>
                <c:pt idx="57">
                  <c:v>1.4880145245298901</c:v>
                </c:pt>
                <c:pt idx="58">
                  <c:v>1.5142808226200164</c:v>
                </c:pt>
                <c:pt idx="59">
                  <c:v>1.5405529540787493</c:v>
                </c:pt>
                <c:pt idx="60">
                  <c:v>1.5668309189060887</c:v>
                </c:pt>
                <c:pt idx="61">
                  <c:v>1.5931147171020346</c:v>
                </c:pt>
                <c:pt idx="62">
                  <c:v>1.6194043486665877</c:v>
                </c:pt>
                <c:pt idx="63">
                  <c:v>1.6456998135997476</c:v>
                </c:pt>
                <c:pt idx="64">
                  <c:v>1.6720011119015141</c:v>
                </c:pt>
                <c:pt idx="65">
                  <c:v>1.6983082435718868</c:v>
                </c:pt>
                <c:pt idx="66">
                  <c:v>1.7246212086108668</c:v>
                </c:pt>
                <c:pt idx="67">
                  <c:v>1.7509400070184531</c:v>
                </c:pt>
                <c:pt idx="68">
                  <c:v>1.7772646387946462</c:v>
                </c:pt>
                <c:pt idx="69">
                  <c:v>1.8035951039394458</c:v>
                </c:pt>
                <c:pt idx="70">
                  <c:v>1.8299314024528528</c:v>
                </c:pt>
                <c:pt idx="71">
                  <c:v>1.856273534334866</c:v>
                </c:pt>
                <c:pt idx="72">
                  <c:v>1.8826214995854857</c:v>
                </c:pt>
                <c:pt idx="73">
                  <c:v>1.9089752982047126</c:v>
                </c:pt>
                <c:pt idx="74">
                  <c:v>1.9353349301925455</c:v>
                </c:pt>
                <c:pt idx="75">
                  <c:v>1.961700395548986</c:v>
                </c:pt>
                <c:pt idx="76">
                  <c:v>1.9880716942740324</c:v>
                </c:pt>
                <c:pt idx="77">
                  <c:v>2.0144488263676861</c:v>
                </c:pt>
                <c:pt idx="78">
                  <c:v>2.0408317918299459</c:v>
                </c:pt>
                <c:pt idx="79">
                  <c:v>2.067220590660813</c:v>
                </c:pt>
                <c:pt idx="80">
                  <c:v>2.093615222860286</c:v>
                </c:pt>
                <c:pt idx="81">
                  <c:v>2.1200156884283672</c:v>
                </c:pt>
                <c:pt idx="82">
                  <c:v>2.1464219873650534</c:v>
                </c:pt>
                <c:pt idx="83">
                  <c:v>2.1728341196703473</c:v>
                </c:pt>
                <c:pt idx="84">
                  <c:v>2.1992520853442472</c:v>
                </c:pt>
                <c:pt idx="85">
                  <c:v>2.2256758843867552</c:v>
                </c:pt>
                <c:pt idx="86">
                  <c:v>2.2521055167978683</c:v>
                </c:pt>
                <c:pt idx="87">
                  <c:v>2.2785409825775891</c:v>
                </c:pt>
                <c:pt idx="88">
                  <c:v>2.3049822817259162</c:v>
                </c:pt>
                <c:pt idx="89">
                  <c:v>2.3314294142428502</c:v>
                </c:pt>
                <c:pt idx="90">
                  <c:v>2.3578823801283906</c:v>
                </c:pt>
                <c:pt idx="91">
                  <c:v>2.3843411793825378</c:v>
                </c:pt>
                <c:pt idx="92">
                  <c:v>2.4108058120052918</c:v>
                </c:pt>
                <c:pt idx="93">
                  <c:v>2.4372762779966521</c:v>
                </c:pt>
                <c:pt idx="94">
                  <c:v>2.4637525773566198</c:v>
                </c:pt>
                <c:pt idx="95">
                  <c:v>2.4902347100851934</c:v>
                </c:pt>
                <c:pt idx="96">
                  <c:v>2.5167226761823756</c:v>
                </c:pt>
                <c:pt idx="97">
                  <c:v>2.5432164756481623</c:v>
                </c:pt>
                <c:pt idx="98">
                  <c:v>2.5697161084825564</c:v>
                </c:pt>
                <c:pt idx="99">
                  <c:v>2.5962215746855573</c:v>
                </c:pt>
                <c:pt idx="100">
                  <c:v>2.6227328742571649</c:v>
                </c:pt>
                <c:pt idx="101">
                  <c:v>2.6492500071973799</c:v>
                </c:pt>
                <c:pt idx="102">
                  <c:v>2.6757729735062004</c:v>
                </c:pt>
                <c:pt idx="103">
                  <c:v>2.7023017731836281</c:v>
                </c:pt>
                <c:pt idx="104">
                  <c:v>2.7288364062296626</c:v>
                </c:pt>
                <c:pt idx="105">
                  <c:v>2.7553768726443035</c:v>
                </c:pt>
                <c:pt idx="106">
                  <c:v>2.7819231724275513</c:v>
                </c:pt>
                <c:pt idx="107">
                  <c:v>2.8084753055794058</c:v>
                </c:pt>
                <c:pt idx="108">
                  <c:v>2.8350332720998672</c:v>
                </c:pt>
                <c:pt idx="109">
                  <c:v>2.861597071988935</c:v>
                </c:pt>
                <c:pt idx="110">
                  <c:v>2.8881667052466096</c:v>
                </c:pt>
                <c:pt idx="111">
                  <c:v>2.9147421718728901</c:v>
                </c:pt>
                <c:pt idx="112">
                  <c:v>2.9413234718677792</c:v>
                </c:pt>
                <c:pt idx="113">
                  <c:v>2.9679106052312738</c:v>
                </c:pt>
                <c:pt idx="114">
                  <c:v>2.9945035719633748</c:v>
                </c:pt>
                <c:pt idx="115">
                  <c:v>3.0211023720640831</c:v>
                </c:pt>
                <c:pt idx="116">
                  <c:v>3.0477070055333981</c:v>
                </c:pt>
                <c:pt idx="117">
                  <c:v>3.0743174723713196</c:v>
                </c:pt>
                <c:pt idx="118">
                  <c:v>3.1009337725778479</c:v>
                </c:pt>
                <c:pt idx="119">
                  <c:v>3.1275559061529825</c:v>
                </c:pt>
                <c:pt idx="120">
                  <c:v>3.1541838730967244</c:v>
                </c:pt>
                <c:pt idx="121">
                  <c:v>3.1808176734090723</c:v>
                </c:pt>
                <c:pt idx="122">
                  <c:v>3.207457307090027</c:v>
                </c:pt>
                <c:pt idx="123">
                  <c:v>3.2341027741395894</c:v>
                </c:pt>
                <c:pt idx="124">
                  <c:v>3.2607540745577572</c:v>
                </c:pt>
                <c:pt idx="125">
                  <c:v>3.2874112083445333</c:v>
                </c:pt>
                <c:pt idx="126">
                  <c:v>3.3140741754999148</c:v>
                </c:pt>
                <c:pt idx="127">
                  <c:v>3.340742976023904</c:v>
                </c:pt>
                <c:pt idx="128">
                  <c:v>3.3674176099164992</c:v>
                </c:pt>
                <c:pt idx="129">
                  <c:v>3.3940980771777012</c:v>
                </c:pt>
                <c:pt idx="130">
                  <c:v>3.4207843778075091</c:v>
                </c:pt>
                <c:pt idx="131">
                  <c:v>3.4474765118059238</c:v>
                </c:pt>
                <c:pt idx="132">
                  <c:v>3.4741744791729472</c:v>
                </c:pt>
                <c:pt idx="133">
                  <c:v>3.5008782799085756</c:v>
                </c:pt>
                <c:pt idx="134">
                  <c:v>3.5275879140128108</c:v>
                </c:pt>
                <c:pt idx="135">
                  <c:v>3.5543033814856533</c:v>
                </c:pt>
                <c:pt idx="136">
                  <c:v>3.5810246823271021</c:v>
                </c:pt>
                <c:pt idx="137">
                  <c:v>3.6077518165371574</c:v>
                </c:pt>
                <c:pt idx="138">
                  <c:v>3.6344847841158194</c:v>
                </c:pt>
                <c:pt idx="139">
                  <c:v>3.6612235850630879</c:v>
                </c:pt>
                <c:pt idx="140">
                  <c:v>3.6879682193789645</c:v>
                </c:pt>
                <c:pt idx="141">
                  <c:v>3.7147186870634465</c:v>
                </c:pt>
                <c:pt idx="142">
                  <c:v>3.7414749881165363</c:v>
                </c:pt>
                <c:pt idx="143">
                  <c:v>3.7682371225382316</c:v>
                </c:pt>
                <c:pt idx="144">
                  <c:v>3.7950050903285337</c:v>
                </c:pt>
                <c:pt idx="145">
                  <c:v>3.8217788914874435</c:v>
                </c:pt>
                <c:pt idx="146">
                  <c:v>3.8485585260149597</c:v>
                </c:pt>
                <c:pt idx="147">
                  <c:v>3.8753439939110819</c:v>
                </c:pt>
                <c:pt idx="148">
                  <c:v>3.9021352951758108</c:v>
                </c:pt>
                <c:pt idx="149">
                  <c:v>3.9289324298091475</c:v>
                </c:pt>
                <c:pt idx="150">
                  <c:v>3.9557353978110901</c:v>
                </c:pt>
              </c:numCache>
            </c:numRef>
          </c:yVal>
          <c:smooth val="1"/>
          <c:extLst>
            <c:ext xmlns:c16="http://schemas.microsoft.com/office/drawing/2014/chart" uri="{C3380CC4-5D6E-409C-BE32-E72D297353CC}">
              <c16:uniqueId val="{00000001-0756-41B2-A6B5-783BF4A9B455}"/>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Eff_vs_IOUT!$CE$7:$CE$157</c:f>
              <c:numCache>
                <c:formatCode>General</c:formatCode>
                <c:ptCount val="151"/>
                <c:pt idx="0">
                  <c:v>0</c:v>
                </c:pt>
                <c:pt idx="1">
                  <c:v>2.6161695077279905E-5</c:v>
                </c:pt>
                <c:pt idx="2">
                  <c:v>7.3996447985917352E-5</c:v>
                </c:pt>
                <c:pt idx="3">
                  <c:v>1.3594015525792018E-4</c:v>
                </c:pt>
                <c:pt idx="4">
                  <c:v>2.0929356061823924E-4</c:v>
                </c:pt>
                <c:pt idx="5">
                  <c:v>2.9249664299709751E-4</c:v>
                </c:pt>
                <c:pt idx="6">
                  <c:v>3.8449682247370965E-4</c:v>
                </c:pt>
                <c:pt idx="7">
                  <c:v>4.8452137335269736E-4</c:v>
                </c:pt>
                <c:pt idx="8">
                  <c:v>5.919715838873386E-4</c:v>
                </c:pt>
                <c:pt idx="9">
                  <c:v>7.0636576708655707E-4</c:v>
                </c:pt>
                <c:pt idx="10">
                  <c:v>8.27305438950193E-4</c:v>
                </c:pt>
                <c:pt idx="11">
                  <c:v>9.5445379096127864E-4</c:v>
                </c:pt>
                <c:pt idx="12">
                  <c:v>1.0875212420633613E-3</c:v>
                </c:pt>
                <c:pt idx="13">
                  <c:v>1.2262553297044247E-3</c:v>
                </c:pt>
                <c:pt idx="14">
                  <c:v>1.3704333949100453E-3</c:v>
                </c:pt>
                <c:pt idx="15">
                  <c:v>1.5198571401429241E-3</c:v>
                </c:pt>
                <c:pt idx="16">
                  <c:v>1.6743484849459139E-3</c:v>
                </c:pt>
                <c:pt idx="17">
                  <c:v>1.8337463465300523E-3</c:v>
                </c:pt>
                <c:pt idx="18">
                  <c:v>1.997904095619769E-3</c:v>
                </c:pt>
                <c:pt idx="19">
                  <c:v>2.1666875156381828E-3</c:v>
                </c:pt>
                <c:pt idx="20">
                  <c:v>2.3399731439767797E-3</c:v>
                </c:pt>
                <c:pt idx="21">
                  <c:v>2.5176469079997632E-3</c:v>
                </c:pt>
                <c:pt idx="22">
                  <c:v>2.6996029916717106E-3</c:v>
                </c:pt>
                <c:pt idx="23">
                  <c:v>2.8871681372184019E-3</c:v>
                </c:pt>
                <c:pt idx="24">
                  <c:v>3.0830026547291113E-3</c:v>
                </c:pt>
                <c:pt idx="25">
                  <c:v>3.2871705559636786E-3</c:v>
                </c:pt>
                <c:pt idx="26">
                  <c:v>3.4996718409221073E-3</c:v>
                </c:pt>
                <c:pt idx="27">
                  <c:v>3.7205065096043949E-3</c:v>
                </c:pt>
                <c:pt idx="28">
                  <c:v>3.9496745620105434E-3</c:v>
                </c:pt>
                <c:pt idx="29">
                  <c:v>4.1871759981405498E-3</c:v>
                </c:pt>
                <c:pt idx="30">
                  <c:v>4.4330108179944172E-3</c:v>
                </c:pt>
                <c:pt idx="31">
                  <c:v>4.6871790215721456E-3</c:v>
                </c:pt>
                <c:pt idx="32">
                  <c:v>4.9496806088737341E-3</c:v>
                </c:pt>
                <c:pt idx="33">
                  <c:v>5.2205155798991836E-3</c:v>
                </c:pt>
                <c:pt idx="34">
                  <c:v>5.4996839346484862E-3</c:v>
                </c:pt>
                <c:pt idx="35">
                  <c:v>5.787185673121655E-3</c:v>
                </c:pt>
                <c:pt idx="36">
                  <c:v>6.0830207953186813E-3</c:v>
                </c:pt>
                <c:pt idx="37">
                  <c:v>6.3871893012395686E-3</c:v>
                </c:pt>
                <c:pt idx="38">
                  <c:v>6.6996911908843151E-3</c:v>
                </c:pt>
                <c:pt idx="39">
                  <c:v>7.0205264642529217E-3</c:v>
                </c:pt>
                <c:pt idx="40">
                  <c:v>7.3496951213453841E-3</c:v>
                </c:pt>
                <c:pt idx="41">
                  <c:v>7.6871971621617144E-3</c:v>
                </c:pt>
                <c:pt idx="42">
                  <c:v>8.0330325867018978E-3</c:v>
                </c:pt>
                <c:pt idx="43">
                  <c:v>8.3872013949659475E-3</c:v>
                </c:pt>
                <c:pt idx="44">
                  <c:v>8.7497035869538563E-3</c:v>
                </c:pt>
                <c:pt idx="45">
                  <c:v>9.120539162665621E-3</c:v>
                </c:pt>
                <c:pt idx="46">
                  <c:v>9.4997081221012431E-3</c:v>
                </c:pt>
                <c:pt idx="47">
                  <c:v>9.8872104652607332E-3</c:v>
                </c:pt>
                <c:pt idx="48">
                  <c:v>1.0283046192144079E-2</c:v>
                </c:pt>
                <c:pt idx="49">
                  <c:v>1.0687215302751284E-2</c:v>
                </c:pt>
                <c:pt idx="50">
                  <c:v>1.1099717797082352E-2</c:v>
                </c:pt>
                <c:pt idx="51">
                  <c:v>1.1520553675137274E-2</c:v>
                </c:pt>
                <c:pt idx="52">
                  <c:v>1.194972293691606E-2</c:v>
                </c:pt>
                <c:pt idx="53">
                  <c:v>1.23872255824187E-2</c:v>
                </c:pt>
                <c:pt idx="54">
                  <c:v>1.283306161164521E-2</c:v>
                </c:pt>
                <c:pt idx="55">
                  <c:v>1.328723102459557E-2</c:v>
                </c:pt>
                <c:pt idx="56">
                  <c:v>1.3749733821269802E-2</c:v>
                </c:pt>
                <c:pt idx="57">
                  <c:v>1.4220570001667892E-2</c:v>
                </c:pt>
                <c:pt idx="58">
                  <c:v>1.4699739565789833E-2</c:v>
                </c:pt>
                <c:pt idx="59">
                  <c:v>1.5187242513635638E-2</c:v>
                </c:pt>
                <c:pt idx="60">
                  <c:v>1.5683078845205305E-2</c:v>
                </c:pt>
                <c:pt idx="61">
                  <c:v>1.6187248560498829E-2</c:v>
                </c:pt>
                <c:pt idx="62">
                  <c:v>1.6699751659516204E-2</c:v>
                </c:pt>
                <c:pt idx="63">
                  <c:v>1.7220588142257458E-2</c:v>
                </c:pt>
                <c:pt idx="64">
                  <c:v>1.7749758008722555E-2</c:v>
                </c:pt>
                <c:pt idx="65">
                  <c:v>1.8287261258911523E-2</c:v>
                </c:pt>
                <c:pt idx="66">
                  <c:v>1.8833097892824346E-2</c:v>
                </c:pt>
                <c:pt idx="67">
                  <c:v>1.9387267910461036E-2</c:v>
                </c:pt>
                <c:pt idx="68">
                  <c:v>1.9949771311821584E-2</c:v>
                </c:pt>
                <c:pt idx="69">
                  <c:v>2.0520608096905986E-2</c:v>
                </c:pt>
                <c:pt idx="70">
                  <c:v>2.1099778265714252E-2</c:v>
                </c:pt>
                <c:pt idx="71">
                  <c:v>2.1687281818246376E-2</c:v>
                </c:pt>
                <c:pt idx="72">
                  <c:v>2.2283118754502354E-2</c:v>
                </c:pt>
                <c:pt idx="73">
                  <c:v>2.2887289074482196E-2</c:v>
                </c:pt>
                <c:pt idx="74">
                  <c:v>2.3499792778185907E-2</c:v>
                </c:pt>
                <c:pt idx="75">
                  <c:v>2.4120629865613471E-2</c:v>
                </c:pt>
                <c:pt idx="76">
                  <c:v>2.4749800336764882E-2</c:v>
                </c:pt>
                <c:pt idx="77">
                  <c:v>2.5387304191640172E-2</c:v>
                </c:pt>
                <c:pt idx="78">
                  <c:v>2.6033141430239305E-2</c:v>
                </c:pt>
                <c:pt idx="79">
                  <c:v>2.668731205256232E-2</c:v>
                </c:pt>
                <c:pt idx="80">
                  <c:v>2.7349816058609169E-2</c:v>
                </c:pt>
                <c:pt idx="81">
                  <c:v>2.8020653448379913E-2</c:v>
                </c:pt>
                <c:pt idx="82">
                  <c:v>2.8699824221874483E-2</c:v>
                </c:pt>
                <c:pt idx="83">
                  <c:v>2.9387328379092928E-2</c:v>
                </c:pt>
                <c:pt idx="84">
                  <c:v>3.008316592003522E-2</c:v>
                </c:pt>
                <c:pt idx="85">
                  <c:v>3.0787336844701401E-2</c:v>
                </c:pt>
                <c:pt idx="86">
                  <c:v>3.1499841153091415E-2</c:v>
                </c:pt>
                <c:pt idx="87">
                  <c:v>3.2220678845205297E-2</c:v>
                </c:pt>
                <c:pt idx="88">
                  <c:v>3.294984992104303E-2</c:v>
                </c:pt>
                <c:pt idx="89">
                  <c:v>3.3687354380604641E-2</c:v>
                </c:pt>
                <c:pt idx="90">
                  <c:v>3.4433192223890109E-2</c:v>
                </c:pt>
                <c:pt idx="91">
                  <c:v>3.5187363450899428E-2</c:v>
                </c:pt>
                <c:pt idx="92">
                  <c:v>3.5949868061632605E-2</c:v>
                </c:pt>
                <c:pt idx="93">
                  <c:v>3.6720706056089646E-2</c:v>
                </c:pt>
                <c:pt idx="94">
                  <c:v>3.7499877434270551E-2</c:v>
                </c:pt>
                <c:pt idx="95">
                  <c:v>3.8287382196175314E-2</c:v>
                </c:pt>
                <c:pt idx="96">
                  <c:v>3.9083220341803948E-2</c:v>
                </c:pt>
                <c:pt idx="97">
                  <c:v>3.9887391871156412E-2</c:v>
                </c:pt>
                <c:pt idx="98">
                  <c:v>4.0699896784232768E-2</c:v>
                </c:pt>
                <c:pt idx="99">
                  <c:v>4.1520735081032954E-2</c:v>
                </c:pt>
                <c:pt idx="100">
                  <c:v>4.2349906761557032E-2</c:v>
                </c:pt>
                <c:pt idx="101">
                  <c:v>4.3187411825804947E-2</c:v>
                </c:pt>
                <c:pt idx="102">
                  <c:v>4.4033250273776733E-2</c:v>
                </c:pt>
                <c:pt idx="103">
                  <c:v>4.488742210547237E-2</c:v>
                </c:pt>
                <c:pt idx="104">
                  <c:v>4.5749927320891885E-2</c:v>
                </c:pt>
                <c:pt idx="105">
                  <c:v>4.6620765920035244E-2</c:v>
                </c:pt>
                <c:pt idx="106">
                  <c:v>4.7499937902902439E-2</c:v>
                </c:pt>
                <c:pt idx="107">
                  <c:v>4.8387443269493527E-2</c:v>
                </c:pt>
                <c:pt idx="108">
                  <c:v>4.9283282019808479E-2</c:v>
                </c:pt>
                <c:pt idx="109">
                  <c:v>5.0187454153847268E-2</c:v>
                </c:pt>
                <c:pt idx="110">
                  <c:v>5.1099959671609928E-2</c:v>
                </c:pt>
                <c:pt idx="111">
                  <c:v>5.2020798573096452E-2</c:v>
                </c:pt>
                <c:pt idx="112">
                  <c:v>5.2949970858306848E-2</c:v>
                </c:pt>
                <c:pt idx="113">
                  <c:v>5.3887476527241074E-2</c:v>
                </c:pt>
                <c:pt idx="114">
                  <c:v>5.4833315579899185E-2</c:v>
                </c:pt>
                <c:pt idx="115">
                  <c:v>5.5787488016281132E-2</c:v>
                </c:pt>
                <c:pt idx="116">
                  <c:v>5.6749993836386958E-2</c:v>
                </c:pt>
                <c:pt idx="117">
                  <c:v>5.7720833040216628E-2</c:v>
                </c:pt>
                <c:pt idx="118">
                  <c:v>5.870000562777019E-2</c:v>
                </c:pt>
                <c:pt idx="119">
                  <c:v>5.9687511599047567E-2</c:v>
                </c:pt>
                <c:pt idx="120">
                  <c:v>6.0683350954048851E-2</c:v>
                </c:pt>
                <c:pt idx="121">
                  <c:v>6.168752369277395E-2</c:v>
                </c:pt>
                <c:pt idx="122">
                  <c:v>6.2700029815222921E-2</c:v>
                </c:pt>
                <c:pt idx="123">
                  <c:v>6.3720869321395798E-2</c:v>
                </c:pt>
                <c:pt idx="124">
                  <c:v>6.4750042211292463E-2</c:v>
                </c:pt>
                <c:pt idx="125">
                  <c:v>6.5787548484913055E-2</c:v>
                </c:pt>
                <c:pt idx="126">
                  <c:v>6.6833388142257477E-2</c:v>
                </c:pt>
                <c:pt idx="127">
                  <c:v>6.7887561183325756E-2</c:v>
                </c:pt>
                <c:pt idx="128">
                  <c:v>6.8950067608117865E-2</c:v>
                </c:pt>
                <c:pt idx="129">
                  <c:v>7.0020907416633874E-2</c:v>
                </c:pt>
                <c:pt idx="130">
                  <c:v>7.1100080608873711E-2</c:v>
                </c:pt>
                <c:pt idx="131">
                  <c:v>7.2187587184837421E-2</c:v>
                </c:pt>
                <c:pt idx="132">
                  <c:v>7.3283427144525043E-2</c:v>
                </c:pt>
                <c:pt idx="133">
                  <c:v>7.4387600487936467E-2</c:v>
                </c:pt>
                <c:pt idx="134">
                  <c:v>7.5500107215071749E-2</c:v>
                </c:pt>
                <c:pt idx="135">
                  <c:v>7.6620947325930902E-2</c:v>
                </c:pt>
                <c:pt idx="136">
                  <c:v>7.7750120820513927E-2</c:v>
                </c:pt>
                <c:pt idx="137">
                  <c:v>7.8887627698820822E-2</c:v>
                </c:pt>
                <c:pt idx="138">
                  <c:v>8.0033467960851562E-2</c:v>
                </c:pt>
                <c:pt idx="139">
                  <c:v>8.1187641606606145E-2</c:v>
                </c:pt>
                <c:pt idx="140">
                  <c:v>8.23501486360846E-2</c:v>
                </c:pt>
                <c:pt idx="141">
                  <c:v>8.3520989049286926E-2</c:v>
                </c:pt>
                <c:pt idx="142">
                  <c:v>8.4700162846213095E-2</c:v>
                </c:pt>
                <c:pt idx="143">
                  <c:v>8.588767002686315E-2</c:v>
                </c:pt>
                <c:pt idx="144">
                  <c:v>8.7083510591237062E-2</c:v>
                </c:pt>
                <c:pt idx="145">
                  <c:v>8.8287684539334818E-2</c:v>
                </c:pt>
                <c:pt idx="146">
                  <c:v>8.9500191871156445E-2</c:v>
                </c:pt>
                <c:pt idx="147">
                  <c:v>9.072103258670193E-2</c:v>
                </c:pt>
                <c:pt idx="148">
                  <c:v>9.1950206685971272E-2</c:v>
                </c:pt>
                <c:pt idx="149">
                  <c:v>9.3187714168964472E-2</c:v>
                </c:pt>
                <c:pt idx="150">
                  <c:v>9.4433555035681516E-2</c:v>
                </c:pt>
              </c:numCache>
            </c:numRef>
          </c:yVal>
          <c:smooth val="1"/>
          <c:extLst>
            <c:ext xmlns:c16="http://schemas.microsoft.com/office/drawing/2014/chart" uri="{C3380CC4-5D6E-409C-BE32-E72D297353CC}">
              <c16:uniqueId val="{00000002-0756-41B2-A6B5-783BF4A9B455}"/>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pt idx="16">
                  <c:v>2.1333333333333333</c:v>
                </c:pt>
                <c:pt idx="17">
                  <c:v>2.2666666666666666</c:v>
                </c:pt>
                <c:pt idx="18">
                  <c:v>2.4</c:v>
                </c:pt>
                <c:pt idx="19">
                  <c:v>2.5333333333333332</c:v>
                </c:pt>
                <c:pt idx="20">
                  <c:v>2.6666666666666665</c:v>
                </c:pt>
                <c:pt idx="21">
                  <c:v>2.8</c:v>
                </c:pt>
                <c:pt idx="22">
                  <c:v>2.9333333333333331</c:v>
                </c:pt>
                <c:pt idx="23">
                  <c:v>3.0666666666666664</c:v>
                </c:pt>
                <c:pt idx="24">
                  <c:v>3.2</c:v>
                </c:pt>
                <c:pt idx="25">
                  <c:v>3.3333333333333335</c:v>
                </c:pt>
                <c:pt idx="26">
                  <c:v>3.4666666666666668</c:v>
                </c:pt>
                <c:pt idx="27">
                  <c:v>3.6</c:v>
                </c:pt>
                <c:pt idx="28">
                  <c:v>3.7333333333333334</c:v>
                </c:pt>
                <c:pt idx="29">
                  <c:v>3.8666666666666667</c:v>
                </c:pt>
                <c:pt idx="30">
                  <c:v>4</c:v>
                </c:pt>
                <c:pt idx="31">
                  <c:v>4.1333333333333329</c:v>
                </c:pt>
                <c:pt idx="32">
                  <c:v>4.2666666666666666</c:v>
                </c:pt>
                <c:pt idx="33">
                  <c:v>4.4000000000000004</c:v>
                </c:pt>
                <c:pt idx="34">
                  <c:v>4.5333333333333332</c:v>
                </c:pt>
                <c:pt idx="35">
                  <c:v>4.666666666666667</c:v>
                </c:pt>
                <c:pt idx="36">
                  <c:v>4.8</c:v>
                </c:pt>
                <c:pt idx="37">
                  <c:v>4.9333333333333336</c:v>
                </c:pt>
                <c:pt idx="38">
                  <c:v>5.0666666666666664</c:v>
                </c:pt>
                <c:pt idx="39">
                  <c:v>5.2</c:v>
                </c:pt>
                <c:pt idx="40">
                  <c:v>5.333333333333333</c:v>
                </c:pt>
                <c:pt idx="41">
                  <c:v>5.4666666666666668</c:v>
                </c:pt>
                <c:pt idx="42">
                  <c:v>5.6</c:v>
                </c:pt>
                <c:pt idx="43">
                  <c:v>5.7333333333333334</c:v>
                </c:pt>
                <c:pt idx="44">
                  <c:v>5.8666666666666663</c:v>
                </c:pt>
                <c:pt idx="45">
                  <c:v>6</c:v>
                </c:pt>
                <c:pt idx="46">
                  <c:v>6.1333333333333329</c:v>
                </c:pt>
                <c:pt idx="47">
                  <c:v>6.2666666666666666</c:v>
                </c:pt>
                <c:pt idx="48">
                  <c:v>6.4</c:v>
                </c:pt>
                <c:pt idx="49">
                  <c:v>6.5333333333333332</c:v>
                </c:pt>
                <c:pt idx="50">
                  <c:v>6.666666666666667</c:v>
                </c:pt>
                <c:pt idx="51">
                  <c:v>6.8</c:v>
                </c:pt>
                <c:pt idx="52">
                  <c:v>6.9333333333333336</c:v>
                </c:pt>
                <c:pt idx="53">
                  <c:v>7.0666666666666664</c:v>
                </c:pt>
                <c:pt idx="54">
                  <c:v>7.2</c:v>
                </c:pt>
                <c:pt idx="55">
                  <c:v>7.333333333333333</c:v>
                </c:pt>
                <c:pt idx="56">
                  <c:v>7.4666666666666668</c:v>
                </c:pt>
                <c:pt idx="57">
                  <c:v>7.6</c:v>
                </c:pt>
                <c:pt idx="58">
                  <c:v>7.7333333333333334</c:v>
                </c:pt>
                <c:pt idx="59">
                  <c:v>7.8666666666666663</c:v>
                </c:pt>
                <c:pt idx="60">
                  <c:v>8</c:v>
                </c:pt>
                <c:pt idx="61">
                  <c:v>8.1333333333333329</c:v>
                </c:pt>
                <c:pt idx="62">
                  <c:v>8.2666666666666657</c:v>
                </c:pt>
                <c:pt idx="63">
                  <c:v>8.4</c:v>
                </c:pt>
                <c:pt idx="64">
                  <c:v>8.5333333333333332</c:v>
                </c:pt>
                <c:pt idx="65">
                  <c:v>8.6666666666666661</c:v>
                </c:pt>
                <c:pt idx="66">
                  <c:v>8.8000000000000007</c:v>
                </c:pt>
                <c:pt idx="67">
                  <c:v>8.9333333333333336</c:v>
                </c:pt>
                <c:pt idx="68">
                  <c:v>9.0666666666666664</c:v>
                </c:pt>
                <c:pt idx="69">
                  <c:v>9.1999999999999993</c:v>
                </c:pt>
                <c:pt idx="70">
                  <c:v>9.3333333333333339</c:v>
                </c:pt>
                <c:pt idx="71">
                  <c:v>9.4666666666666668</c:v>
                </c:pt>
                <c:pt idx="72">
                  <c:v>9.6</c:v>
                </c:pt>
                <c:pt idx="73">
                  <c:v>9.7333333333333325</c:v>
                </c:pt>
                <c:pt idx="74">
                  <c:v>9.8666666666666671</c:v>
                </c:pt>
                <c:pt idx="75">
                  <c:v>10</c:v>
                </c:pt>
                <c:pt idx="76">
                  <c:v>10.133333333333333</c:v>
                </c:pt>
                <c:pt idx="77">
                  <c:v>10.266666666666666</c:v>
                </c:pt>
                <c:pt idx="78">
                  <c:v>10.4</c:v>
                </c:pt>
                <c:pt idx="79">
                  <c:v>10.533333333333333</c:v>
                </c:pt>
                <c:pt idx="80">
                  <c:v>10.666666666666666</c:v>
                </c:pt>
                <c:pt idx="81">
                  <c:v>10.8</c:v>
                </c:pt>
                <c:pt idx="82">
                  <c:v>10.933333333333334</c:v>
                </c:pt>
                <c:pt idx="83">
                  <c:v>11.066666666666666</c:v>
                </c:pt>
                <c:pt idx="84">
                  <c:v>11.2</c:v>
                </c:pt>
                <c:pt idx="85">
                  <c:v>11.333333333333334</c:v>
                </c:pt>
                <c:pt idx="86">
                  <c:v>11.466666666666667</c:v>
                </c:pt>
                <c:pt idx="87">
                  <c:v>11.6</c:v>
                </c:pt>
                <c:pt idx="88">
                  <c:v>11.733333333333333</c:v>
                </c:pt>
                <c:pt idx="89">
                  <c:v>11.866666666666667</c:v>
                </c:pt>
                <c:pt idx="90">
                  <c:v>12</c:v>
                </c:pt>
                <c:pt idx="91">
                  <c:v>12.133333333333333</c:v>
                </c:pt>
                <c:pt idx="92">
                  <c:v>12.266666666666666</c:v>
                </c:pt>
                <c:pt idx="93">
                  <c:v>12.4</c:v>
                </c:pt>
                <c:pt idx="94">
                  <c:v>12.533333333333333</c:v>
                </c:pt>
                <c:pt idx="95">
                  <c:v>12.666666666666666</c:v>
                </c:pt>
                <c:pt idx="96">
                  <c:v>12.8</c:v>
                </c:pt>
                <c:pt idx="97">
                  <c:v>12.933333333333334</c:v>
                </c:pt>
                <c:pt idx="98">
                  <c:v>13.066666666666666</c:v>
                </c:pt>
                <c:pt idx="99">
                  <c:v>13.2</c:v>
                </c:pt>
                <c:pt idx="100">
                  <c:v>13.333333333333334</c:v>
                </c:pt>
                <c:pt idx="101">
                  <c:v>13.466666666666667</c:v>
                </c:pt>
                <c:pt idx="102">
                  <c:v>13.6</c:v>
                </c:pt>
                <c:pt idx="103">
                  <c:v>13.733333333333333</c:v>
                </c:pt>
                <c:pt idx="104">
                  <c:v>13.866666666666667</c:v>
                </c:pt>
                <c:pt idx="105">
                  <c:v>14</c:v>
                </c:pt>
                <c:pt idx="106">
                  <c:v>14.133333333333333</c:v>
                </c:pt>
                <c:pt idx="107">
                  <c:v>14.266666666666666</c:v>
                </c:pt>
                <c:pt idx="108">
                  <c:v>14.4</c:v>
                </c:pt>
                <c:pt idx="109">
                  <c:v>14.533333333333333</c:v>
                </c:pt>
                <c:pt idx="110">
                  <c:v>14.666666666666666</c:v>
                </c:pt>
                <c:pt idx="111">
                  <c:v>14.799999999999999</c:v>
                </c:pt>
                <c:pt idx="112">
                  <c:v>14.933333333333334</c:v>
                </c:pt>
                <c:pt idx="113">
                  <c:v>15.066666666666666</c:v>
                </c:pt>
                <c:pt idx="114">
                  <c:v>15.2</c:v>
                </c:pt>
                <c:pt idx="115">
                  <c:v>15.333333333333334</c:v>
                </c:pt>
                <c:pt idx="116">
                  <c:v>15.466666666666667</c:v>
                </c:pt>
                <c:pt idx="117">
                  <c:v>15.6</c:v>
                </c:pt>
                <c:pt idx="118">
                  <c:v>15.733333333333333</c:v>
                </c:pt>
                <c:pt idx="119">
                  <c:v>15.866666666666667</c:v>
                </c:pt>
                <c:pt idx="120">
                  <c:v>16</c:v>
                </c:pt>
                <c:pt idx="121">
                  <c:v>16.133333333333333</c:v>
                </c:pt>
                <c:pt idx="122">
                  <c:v>16.266666666666666</c:v>
                </c:pt>
                <c:pt idx="123">
                  <c:v>16.399999999999999</c:v>
                </c:pt>
                <c:pt idx="124">
                  <c:v>16.533333333333331</c:v>
                </c:pt>
                <c:pt idx="125">
                  <c:v>16.666666666666668</c:v>
                </c:pt>
                <c:pt idx="126">
                  <c:v>16.8</c:v>
                </c:pt>
                <c:pt idx="127">
                  <c:v>16.933333333333334</c:v>
                </c:pt>
                <c:pt idx="128">
                  <c:v>17.066666666666666</c:v>
                </c:pt>
                <c:pt idx="129">
                  <c:v>17.2</c:v>
                </c:pt>
                <c:pt idx="130">
                  <c:v>17.333333333333332</c:v>
                </c:pt>
                <c:pt idx="131">
                  <c:v>17.466666666666665</c:v>
                </c:pt>
                <c:pt idx="132">
                  <c:v>17.600000000000001</c:v>
                </c:pt>
                <c:pt idx="133">
                  <c:v>17.733333333333334</c:v>
                </c:pt>
                <c:pt idx="134">
                  <c:v>17.866666666666667</c:v>
                </c:pt>
                <c:pt idx="135">
                  <c:v>18</c:v>
                </c:pt>
                <c:pt idx="136">
                  <c:v>18.133333333333333</c:v>
                </c:pt>
                <c:pt idx="137">
                  <c:v>18.266666666666666</c:v>
                </c:pt>
                <c:pt idx="138">
                  <c:v>18.399999999999999</c:v>
                </c:pt>
                <c:pt idx="139">
                  <c:v>18.533333333333331</c:v>
                </c:pt>
                <c:pt idx="140">
                  <c:v>18.666666666666668</c:v>
                </c:pt>
                <c:pt idx="141">
                  <c:v>18.8</c:v>
                </c:pt>
                <c:pt idx="142">
                  <c:v>18.933333333333334</c:v>
                </c:pt>
                <c:pt idx="143">
                  <c:v>19.066666666666666</c:v>
                </c:pt>
                <c:pt idx="144">
                  <c:v>19.2</c:v>
                </c:pt>
                <c:pt idx="145">
                  <c:v>19.333333333333332</c:v>
                </c:pt>
                <c:pt idx="146">
                  <c:v>19.466666666666665</c:v>
                </c:pt>
                <c:pt idx="147">
                  <c:v>19.600000000000001</c:v>
                </c:pt>
                <c:pt idx="148">
                  <c:v>19.733333333333334</c:v>
                </c:pt>
                <c:pt idx="149">
                  <c:v>19.866666666666667</c:v>
                </c:pt>
                <c:pt idx="150">
                  <c:v>20</c:v>
                </c:pt>
              </c:numCache>
            </c:numRef>
          </c:xVal>
          <c:yVal>
            <c:numRef>
              <c:f>Eff_vs_IOUT!$AY$8:$AY$157</c:f>
              <c:numCache>
                <c:formatCode>General</c:formatCode>
                <c:ptCount val="150"/>
                <c:pt idx="0">
                  <c:v>0.12757333333333334</c:v>
                </c:pt>
                <c:pt idx="1">
                  <c:v>0.14090666666666668</c:v>
                </c:pt>
                <c:pt idx="2">
                  <c:v>0.15424000000000002</c:v>
                </c:pt>
                <c:pt idx="3">
                  <c:v>0.16757333333333335</c:v>
                </c:pt>
                <c:pt idx="4">
                  <c:v>0.18090666666666666</c:v>
                </c:pt>
                <c:pt idx="5">
                  <c:v>0.19424000000000002</c:v>
                </c:pt>
                <c:pt idx="6">
                  <c:v>0.20757333333333333</c:v>
                </c:pt>
                <c:pt idx="7">
                  <c:v>0.22090666666666667</c:v>
                </c:pt>
                <c:pt idx="8">
                  <c:v>0.23424</c:v>
                </c:pt>
                <c:pt idx="9">
                  <c:v>0.24757333333333334</c:v>
                </c:pt>
                <c:pt idx="10">
                  <c:v>0.26090666666666668</c:v>
                </c:pt>
                <c:pt idx="11">
                  <c:v>0.27424000000000004</c:v>
                </c:pt>
                <c:pt idx="12">
                  <c:v>0.28757333333333335</c:v>
                </c:pt>
                <c:pt idx="13">
                  <c:v>0.30090666666666666</c:v>
                </c:pt>
                <c:pt idx="14">
                  <c:v>0.31424000000000002</c:v>
                </c:pt>
                <c:pt idx="15">
                  <c:v>0.32757333333333333</c:v>
                </c:pt>
                <c:pt idx="16">
                  <c:v>0.34090666666666669</c:v>
                </c:pt>
                <c:pt idx="17">
                  <c:v>0.35424</c:v>
                </c:pt>
                <c:pt idx="18">
                  <c:v>0.36757333333333331</c:v>
                </c:pt>
                <c:pt idx="19">
                  <c:v>0.38090666666666667</c:v>
                </c:pt>
                <c:pt idx="20">
                  <c:v>0.39423999999999998</c:v>
                </c:pt>
                <c:pt idx="21">
                  <c:v>0.40757333333333334</c:v>
                </c:pt>
                <c:pt idx="22">
                  <c:v>0.42090666666666665</c:v>
                </c:pt>
                <c:pt idx="23">
                  <c:v>0.43424000000000001</c:v>
                </c:pt>
                <c:pt idx="24">
                  <c:v>0.44757333333333338</c:v>
                </c:pt>
                <c:pt idx="25">
                  <c:v>0.46090666666666669</c:v>
                </c:pt>
                <c:pt idx="26">
                  <c:v>0.47423999999999999</c:v>
                </c:pt>
                <c:pt idx="27">
                  <c:v>0.48757333333333336</c:v>
                </c:pt>
                <c:pt idx="28">
                  <c:v>0.50090666666666661</c:v>
                </c:pt>
                <c:pt idx="29">
                  <c:v>0.51424000000000003</c:v>
                </c:pt>
                <c:pt idx="30">
                  <c:v>0.52757333333333323</c:v>
                </c:pt>
                <c:pt idx="31">
                  <c:v>0.54090666666666665</c:v>
                </c:pt>
                <c:pt idx="32">
                  <c:v>0.55424000000000007</c:v>
                </c:pt>
                <c:pt idx="33">
                  <c:v>0.56757333333333326</c:v>
                </c:pt>
                <c:pt idx="34">
                  <c:v>0.58090666666666668</c:v>
                </c:pt>
                <c:pt idx="35">
                  <c:v>0.59423999999999999</c:v>
                </c:pt>
                <c:pt idx="36">
                  <c:v>0.6075733333333333</c:v>
                </c:pt>
                <c:pt idx="37">
                  <c:v>0.62090666666666661</c:v>
                </c:pt>
                <c:pt idx="38">
                  <c:v>0.63424000000000003</c:v>
                </c:pt>
                <c:pt idx="39">
                  <c:v>0.64757333333333333</c:v>
                </c:pt>
                <c:pt idx="40">
                  <c:v>0.66090666666666664</c:v>
                </c:pt>
                <c:pt idx="41">
                  <c:v>0.67423999999999995</c:v>
                </c:pt>
                <c:pt idx="42">
                  <c:v>0.68757333333333337</c:v>
                </c:pt>
                <c:pt idx="43">
                  <c:v>0.70090666666666668</c:v>
                </c:pt>
                <c:pt idx="44">
                  <c:v>0.71423999999999999</c:v>
                </c:pt>
                <c:pt idx="45">
                  <c:v>0.72757333333333329</c:v>
                </c:pt>
                <c:pt idx="46">
                  <c:v>0.74090666666666671</c:v>
                </c:pt>
                <c:pt idx="47">
                  <c:v>0.75424000000000002</c:v>
                </c:pt>
                <c:pt idx="48">
                  <c:v>0.76757333333333333</c:v>
                </c:pt>
                <c:pt idx="49">
                  <c:v>0.78090666666666675</c:v>
                </c:pt>
                <c:pt idx="50">
                  <c:v>0.79423999999999995</c:v>
                </c:pt>
                <c:pt idx="51">
                  <c:v>0.80757333333333337</c:v>
                </c:pt>
                <c:pt idx="52">
                  <c:v>0.82090666666666667</c:v>
                </c:pt>
                <c:pt idx="53">
                  <c:v>0.83423999999999998</c:v>
                </c:pt>
                <c:pt idx="54">
                  <c:v>0.84757333333333329</c:v>
                </c:pt>
                <c:pt idx="55">
                  <c:v>0.86090666666666671</c:v>
                </c:pt>
                <c:pt idx="56">
                  <c:v>0.87424000000000002</c:v>
                </c:pt>
                <c:pt idx="57">
                  <c:v>0.88757333333333333</c:v>
                </c:pt>
                <c:pt idx="58">
                  <c:v>0.90090666666666663</c:v>
                </c:pt>
                <c:pt idx="59">
                  <c:v>0.91424000000000005</c:v>
                </c:pt>
                <c:pt idx="60">
                  <c:v>0.92757333333333325</c:v>
                </c:pt>
                <c:pt idx="61">
                  <c:v>0.94090666666666656</c:v>
                </c:pt>
                <c:pt idx="62">
                  <c:v>0.95424000000000009</c:v>
                </c:pt>
                <c:pt idx="63">
                  <c:v>0.96757333333333329</c:v>
                </c:pt>
                <c:pt idx="64">
                  <c:v>0.98090666666666659</c:v>
                </c:pt>
                <c:pt idx="65">
                  <c:v>0.99424000000000012</c:v>
                </c:pt>
                <c:pt idx="66">
                  <c:v>1.0075733333333332</c:v>
                </c:pt>
                <c:pt idx="67">
                  <c:v>1.0209066666666666</c:v>
                </c:pt>
                <c:pt idx="68">
                  <c:v>1.03424</c:v>
                </c:pt>
                <c:pt idx="69">
                  <c:v>1.0475733333333332</c:v>
                </c:pt>
                <c:pt idx="70">
                  <c:v>1.0609066666666667</c:v>
                </c:pt>
                <c:pt idx="71">
                  <c:v>1.0742400000000001</c:v>
                </c:pt>
                <c:pt idx="72">
                  <c:v>1.0875733333333333</c:v>
                </c:pt>
                <c:pt idx="73">
                  <c:v>1.1009066666666667</c:v>
                </c:pt>
                <c:pt idx="74">
                  <c:v>1.1142400000000001</c:v>
                </c:pt>
                <c:pt idx="75">
                  <c:v>1.1275733333333333</c:v>
                </c:pt>
                <c:pt idx="76">
                  <c:v>1.1409066666666665</c:v>
                </c:pt>
                <c:pt idx="77">
                  <c:v>1.1542400000000002</c:v>
                </c:pt>
                <c:pt idx="78">
                  <c:v>1.1675733333333334</c:v>
                </c:pt>
                <c:pt idx="79">
                  <c:v>1.1809066666666665</c:v>
                </c:pt>
                <c:pt idx="80">
                  <c:v>1.1942400000000002</c:v>
                </c:pt>
                <c:pt idx="81">
                  <c:v>1.2075733333333334</c:v>
                </c:pt>
                <c:pt idx="82">
                  <c:v>1.2209066666666666</c:v>
                </c:pt>
                <c:pt idx="83">
                  <c:v>1.2342399999999998</c:v>
                </c:pt>
                <c:pt idx="84">
                  <c:v>1.2475733333333334</c:v>
                </c:pt>
                <c:pt idx="85">
                  <c:v>1.2609066666666666</c:v>
                </c:pt>
                <c:pt idx="86">
                  <c:v>1.2742399999999998</c:v>
                </c:pt>
                <c:pt idx="87">
                  <c:v>1.2875733333333335</c:v>
                </c:pt>
                <c:pt idx="88">
                  <c:v>1.3009066666666667</c:v>
                </c:pt>
                <c:pt idx="89">
                  <c:v>1.3142399999999999</c:v>
                </c:pt>
                <c:pt idx="90">
                  <c:v>1.3275733333333335</c:v>
                </c:pt>
                <c:pt idx="91">
                  <c:v>1.3409066666666667</c:v>
                </c:pt>
                <c:pt idx="92">
                  <c:v>1.3542399999999999</c:v>
                </c:pt>
                <c:pt idx="93">
                  <c:v>1.3675733333333335</c:v>
                </c:pt>
                <c:pt idx="94">
                  <c:v>1.3809066666666667</c:v>
                </c:pt>
                <c:pt idx="95">
                  <c:v>1.3942399999999999</c:v>
                </c:pt>
                <c:pt idx="96">
                  <c:v>1.4075733333333336</c:v>
                </c:pt>
                <c:pt idx="97">
                  <c:v>1.4209066666666668</c:v>
                </c:pt>
                <c:pt idx="98">
                  <c:v>1.43424</c:v>
                </c:pt>
                <c:pt idx="99">
                  <c:v>1.4475733333333336</c:v>
                </c:pt>
                <c:pt idx="100">
                  <c:v>1.4609066666666668</c:v>
                </c:pt>
                <c:pt idx="101">
                  <c:v>1.47424</c:v>
                </c:pt>
                <c:pt idx="102">
                  <c:v>1.4875733333333332</c:v>
                </c:pt>
                <c:pt idx="103">
                  <c:v>1.5009066666666668</c:v>
                </c:pt>
                <c:pt idx="104">
                  <c:v>1.51424</c:v>
                </c:pt>
                <c:pt idx="105">
                  <c:v>1.5275733333333332</c:v>
                </c:pt>
                <c:pt idx="106">
                  <c:v>1.5409066666666664</c:v>
                </c:pt>
                <c:pt idx="107">
                  <c:v>1.5542400000000001</c:v>
                </c:pt>
                <c:pt idx="108">
                  <c:v>1.5675733333333333</c:v>
                </c:pt>
                <c:pt idx="109">
                  <c:v>1.5809066666666665</c:v>
                </c:pt>
                <c:pt idx="110">
                  <c:v>1.5942400000000001</c:v>
                </c:pt>
                <c:pt idx="111">
                  <c:v>1.6075733333333333</c:v>
                </c:pt>
                <c:pt idx="112">
                  <c:v>1.6209066666666665</c:v>
                </c:pt>
                <c:pt idx="113">
                  <c:v>1.6342400000000001</c:v>
                </c:pt>
                <c:pt idx="114">
                  <c:v>1.6475733333333333</c:v>
                </c:pt>
                <c:pt idx="115">
                  <c:v>1.6609066666666665</c:v>
                </c:pt>
                <c:pt idx="116">
                  <c:v>1.6742400000000002</c:v>
                </c:pt>
                <c:pt idx="117">
                  <c:v>1.6875733333333334</c:v>
                </c:pt>
                <c:pt idx="118">
                  <c:v>1.7009066666666666</c:v>
                </c:pt>
                <c:pt idx="119">
                  <c:v>1.7142400000000002</c:v>
                </c:pt>
                <c:pt idx="120">
                  <c:v>1.7275733333333334</c:v>
                </c:pt>
                <c:pt idx="121">
                  <c:v>1.7409066666666666</c:v>
                </c:pt>
                <c:pt idx="122">
                  <c:v>1.7542399999999998</c:v>
                </c:pt>
                <c:pt idx="123">
                  <c:v>1.767573333333333</c:v>
                </c:pt>
                <c:pt idx="124">
                  <c:v>1.7809066666666666</c:v>
                </c:pt>
                <c:pt idx="125">
                  <c:v>1.7942400000000003</c:v>
                </c:pt>
                <c:pt idx="126">
                  <c:v>1.8075733333333335</c:v>
                </c:pt>
                <c:pt idx="127">
                  <c:v>1.8209066666666667</c:v>
                </c:pt>
                <c:pt idx="128">
                  <c:v>1.8342399999999999</c:v>
                </c:pt>
                <c:pt idx="129">
                  <c:v>1.8475733333333331</c:v>
                </c:pt>
                <c:pt idx="130">
                  <c:v>1.8609066666666667</c:v>
                </c:pt>
                <c:pt idx="131">
                  <c:v>1.8742400000000004</c:v>
                </c:pt>
                <c:pt idx="132">
                  <c:v>1.8875733333333335</c:v>
                </c:pt>
                <c:pt idx="133">
                  <c:v>1.9009066666666667</c:v>
                </c:pt>
                <c:pt idx="134">
                  <c:v>1.9142399999999999</c:v>
                </c:pt>
                <c:pt idx="135">
                  <c:v>1.9275733333333331</c:v>
                </c:pt>
                <c:pt idx="136">
                  <c:v>1.9409066666666668</c:v>
                </c:pt>
                <c:pt idx="137">
                  <c:v>1.95424</c:v>
                </c:pt>
                <c:pt idx="138">
                  <c:v>1.9675733333333332</c:v>
                </c:pt>
                <c:pt idx="139">
                  <c:v>1.9809066666666668</c:v>
                </c:pt>
                <c:pt idx="140">
                  <c:v>1.99424</c:v>
                </c:pt>
                <c:pt idx="141">
                  <c:v>2.0075733333333332</c:v>
                </c:pt>
                <c:pt idx="142">
                  <c:v>2.0209066666666669</c:v>
                </c:pt>
                <c:pt idx="143">
                  <c:v>2.03424</c:v>
                </c:pt>
                <c:pt idx="144">
                  <c:v>2.0475733333333332</c:v>
                </c:pt>
                <c:pt idx="145">
                  <c:v>2.0609066666666664</c:v>
                </c:pt>
                <c:pt idx="146">
                  <c:v>2.0742400000000001</c:v>
                </c:pt>
                <c:pt idx="147">
                  <c:v>2.0875733333333333</c:v>
                </c:pt>
                <c:pt idx="148">
                  <c:v>2.1009066666666669</c:v>
                </c:pt>
                <c:pt idx="149">
                  <c:v>2.1142400000000001</c:v>
                </c:pt>
              </c:numCache>
            </c:numRef>
          </c:yVal>
          <c:smooth val="1"/>
          <c:extLst>
            <c:ext xmlns:c16="http://schemas.microsoft.com/office/drawing/2014/chart" uri="{C3380CC4-5D6E-409C-BE32-E72D297353CC}">
              <c16:uniqueId val="{00000003-0756-41B2-A6B5-783BF4A9B455}"/>
            </c:ext>
          </c:extLst>
        </c:ser>
        <c:ser>
          <c:idx val="4"/>
          <c:order val="4"/>
          <c:tx>
            <c:v>D2</c:v>
          </c:tx>
          <c:marker>
            <c:symbol val="none"/>
          </c:marker>
          <c:xVal>
            <c:numRef>
              <c:f>Eff_vs_IOUT!$R$8:$R$157</c:f>
              <c:numCache>
                <c:formatCode>General</c:formatCode>
                <c:ptCount val="150"/>
                <c:pt idx="0">
                  <c:v>0.13333333333333333</c:v>
                </c:pt>
                <c:pt idx="1">
                  <c:v>0.26666666666666666</c:v>
                </c:pt>
                <c:pt idx="2">
                  <c:v>0.4</c:v>
                </c:pt>
                <c:pt idx="3">
                  <c:v>0.53333333333333333</c:v>
                </c:pt>
                <c:pt idx="4">
                  <c:v>0.66666666666666663</c:v>
                </c:pt>
                <c:pt idx="5">
                  <c:v>0.8</c:v>
                </c:pt>
                <c:pt idx="6">
                  <c:v>0.93333333333333335</c:v>
                </c:pt>
                <c:pt idx="7">
                  <c:v>1.0666666666666667</c:v>
                </c:pt>
                <c:pt idx="8">
                  <c:v>1.2</c:v>
                </c:pt>
                <c:pt idx="9">
                  <c:v>1.3333333333333333</c:v>
                </c:pt>
                <c:pt idx="10">
                  <c:v>1.4666666666666666</c:v>
                </c:pt>
                <c:pt idx="11">
                  <c:v>1.6</c:v>
                </c:pt>
                <c:pt idx="12">
                  <c:v>1.7333333333333334</c:v>
                </c:pt>
                <c:pt idx="13">
                  <c:v>1.8666666666666667</c:v>
                </c:pt>
                <c:pt idx="14">
                  <c:v>2</c:v>
                </c:pt>
                <c:pt idx="15">
                  <c:v>2.1333333333333333</c:v>
                </c:pt>
                <c:pt idx="16">
                  <c:v>2.2666666666666666</c:v>
                </c:pt>
                <c:pt idx="17">
                  <c:v>2.4</c:v>
                </c:pt>
                <c:pt idx="18">
                  <c:v>2.5333333333333332</c:v>
                </c:pt>
                <c:pt idx="19">
                  <c:v>2.6666666666666665</c:v>
                </c:pt>
                <c:pt idx="20">
                  <c:v>2.8</c:v>
                </c:pt>
                <c:pt idx="21">
                  <c:v>2.9333333333333331</c:v>
                </c:pt>
                <c:pt idx="22">
                  <c:v>3.0666666666666664</c:v>
                </c:pt>
                <c:pt idx="23">
                  <c:v>3.2</c:v>
                </c:pt>
                <c:pt idx="24">
                  <c:v>3.3333333333333335</c:v>
                </c:pt>
                <c:pt idx="25">
                  <c:v>3.4666666666666668</c:v>
                </c:pt>
                <c:pt idx="26">
                  <c:v>3.6</c:v>
                </c:pt>
                <c:pt idx="27">
                  <c:v>3.7333333333333334</c:v>
                </c:pt>
                <c:pt idx="28">
                  <c:v>3.8666666666666667</c:v>
                </c:pt>
                <c:pt idx="29">
                  <c:v>4</c:v>
                </c:pt>
                <c:pt idx="30">
                  <c:v>4.1333333333333329</c:v>
                </c:pt>
                <c:pt idx="31">
                  <c:v>4.2666666666666666</c:v>
                </c:pt>
                <c:pt idx="32">
                  <c:v>4.4000000000000004</c:v>
                </c:pt>
                <c:pt idx="33">
                  <c:v>4.5333333333333332</c:v>
                </c:pt>
                <c:pt idx="34">
                  <c:v>4.666666666666667</c:v>
                </c:pt>
                <c:pt idx="35">
                  <c:v>4.8</c:v>
                </c:pt>
                <c:pt idx="36">
                  <c:v>4.9333333333333336</c:v>
                </c:pt>
                <c:pt idx="37">
                  <c:v>5.0666666666666664</c:v>
                </c:pt>
                <c:pt idx="38">
                  <c:v>5.2</c:v>
                </c:pt>
                <c:pt idx="39">
                  <c:v>5.333333333333333</c:v>
                </c:pt>
                <c:pt idx="40">
                  <c:v>5.4666666666666668</c:v>
                </c:pt>
                <c:pt idx="41">
                  <c:v>5.6</c:v>
                </c:pt>
                <c:pt idx="42">
                  <c:v>5.7333333333333334</c:v>
                </c:pt>
                <c:pt idx="43">
                  <c:v>5.8666666666666663</c:v>
                </c:pt>
                <c:pt idx="44">
                  <c:v>6</c:v>
                </c:pt>
                <c:pt idx="45">
                  <c:v>6.1333333333333329</c:v>
                </c:pt>
                <c:pt idx="46">
                  <c:v>6.2666666666666666</c:v>
                </c:pt>
                <c:pt idx="47">
                  <c:v>6.4</c:v>
                </c:pt>
                <c:pt idx="48">
                  <c:v>6.5333333333333332</c:v>
                </c:pt>
                <c:pt idx="49">
                  <c:v>6.666666666666667</c:v>
                </c:pt>
                <c:pt idx="50">
                  <c:v>6.8</c:v>
                </c:pt>
                <c:pt idx="51">
                  <c:v>6.9333333333333336</c:v>
                </c:pt>
                <c:pt idx="52">
                  <c:v>7.0666666666666664</c:v>
                </c:pt>
                <c:pt idx="53">
                  <c:v>7.2</c:v>
                </c:pt>
                <c:pt idx="54">
                  <c:v>7.333333333333333</c:v>
                </c:pt>
                <c:pt idx="55">
                  <c:v>7.4666666666666668</c:v>
                </c:pt>
                <c:pt idx="56">
                  <c:v>7.6</c:v>
                </c:pt>
                <c:pt idx="57">
                  <c:v>7.7333333333333334</c:v>
                </c:pt>
                <c:pt idx="58">
                  <c:v>7.8666666666666663</c:v>
                </c:pt>
                <c:pt idx="59">
                  <c:v>8</c:v>
                </c:pt>
                <c:pt idx="60">
                  <c:v>8.1333333333333329</c:v>
                </c:pt>
                <c:pt idx="61">
                  <c:v>8.2666666666666657</c:v>
                </c:pt>
                <c:pt idx="62">
                  <c:v>8.4</c:v>
                </c:pt>
                <c:pt idx="63">
                  <c:v>8.5333333333333332</c:v>
                </c:pt>
                <c:pt idx="64">
                  <c:v>8.6666666666666661</c:v>
                </c:pt>
                <c:pt idx="65">
                  <c:v>8.8000000000000007</c:v>
                </c:pt>
                <c:pt idx="66">
                  <c:v>8.9333333333333336</c:v>
                </c:pt>
                <c:pt idx="67">
                  <c:v>9.0666666666666664</c:v>
                </c:pt>
                <c:pt idx="68">
                  <c:v>9.1999999999999993</c:v>
                </c:pt>
                <c:pt idx="69">
                  <c:v>9.3333333333333339</c:v>
                </c:pt>
                <c:pt idx="70">
                  <c:v>9.4666666666666668</c:v>
                </c:pt>
                <c:pt idx="71">
                  <c:v>9.6</c:v>
                </c:pt>
                <c:pt idx="72">
                  <c:v>9.7333333333333325</c:v>
                </c:pt>
                <c:pt idx="73">
                  <c:v>9.8666666666666671</c:v>
                </c:pt>
                <c:pt idx="74">
                  <c:v>10</c:v>
                </c:pt>
                <c:pt idx="75">
                  <c:v>10.133333333333333</c:v>
                </c:pt>
                <c:pt idx="76">
                  <c:v>10.266666666666666</c:v>
                </c:pt>
                <c:pt idx="77">
                  <c:v>10.4</c:v>
                </c:pt>
                <c:pt idx="78">
                  <c:v>10.533333333333333</c:v>
                </c:pt>
                <c:pt idx="79">
                  <c:v>10.666666666666666</c:v>
                </c:pt>
                <c:pt idx="80">
                  <c:v>10.8</c:v>
                </c:pt>
                <c:pt idx="81">
                  <c:v>10.933333333333334</c:v>
                </c:pt>
                <c:pt idx="82">
                  <c:v>11.066666666666666</c:v>
                </c:pt>
                <c:pt idx="83">
                  <c:v>11.2</c:v>
                </c:pt>
                <c:pt idx="84">
                  <c:v>11.333333333333334</c:v>
                </c:pt>
                <c:pt idx="85">
                  <c:v>11.466666666666667</c:v>
                </c:pt>
                <c:pt idx="86">
                  <c:v>11.6</c:v>
                </c:pt>
                <c:pt idx="87">
                  <c:v>11.733333333333333</c:v>
                </c:pt>
                <c:pt idx="88">
                  <c:v>11.866666666666667</c:v>
                </c:pt>
                <c:pt idx="89">
                  <c:v>12</c:v>
                </c:pt>
                <c:pt idx="90">
                  <c:v>12.133333333333333</c:v>
                </c:pt>
                <c:pt idx="91">
                  <c:v>12.266666666666666</c:v>
                </c:pt>
                <c:pt idx="92">
                  <c:v>12.4</c:v>
                </c:pt>
                <c:pt idx="93">
                  <c:v>12.533333333333333</c:v>
                </c:pt>
                <c:pt idx="94">
                  <c:v>12.666666666666666</c:v>
                </c:pt>
                <c:pt idx="95">
                  <c:v>12.8</c:v>
                </c:pt>
                <c:pt idx="96">
                  <c:v>12.933333333333334</c:v>
                </c:pt>
                <c:pt idx="97">
                  <c:v>13.066666666666666</c:v>
                </c:pt>
                <c:pt idx="98">
                  <c:v>13.2</c:v>
                </c:pt>
                <c:pt idx="99">
                  <c:v>13.333333333333334</c:v>
                </c:pt>
                <c:pt idx="100">
                  <c:v>13.466666666666667</c:v>
                </c:pt>
                <c:pt idx="101">
                  <c:v>13.6</c:v>
                </c:pt>
                <c:pt idx="102">
                  <c:v>13.733333333333333</c:v>
                </c:pt>
                <c:pt idx="103">
                  <c:v>13.866666666666667</c:v>
                </c:pt>
                <c:pt idx="104">
                  <c:v>14</c:v>
                </c:pt>
                <c:pt idx="105">
                  <c:v>14.133333333333333</c:v>
                </c:pt>
                <c:pt idx="106">
                  <c:v>14.266666666666666</c:v>
                </c:pt>
                <c:pt idx="107">
                  <c:v>14.4</c:v>
                </c:pt>
                <c:pt idx="108">
                  <c:v>14.533333333333333</c:v>
                </c:pt>
                <c:pt idx="109">
                  <c:v>14.666666666666666</c:v>
                </c:pt>
                <c:pt idx="110">
                  <c:v>14.799999999999999</c:v>
                </c:pt>
                <c:pt idx="111">
                  <c:v>14.933333333333334</c:v>
                </c:pt>
                <c:pt idx="112">
                  <c:v>15.066666666666666</c:v>
                </c:pt>
                <c:pt idx="113">
                  <c:v>15.2</c:v>
                </c:pt>
                <c:pt idx="114">
                  <c:v>15.333333333333334</c:v>
                </c:pt>
                <c:pt idx="115">
                  <c:v>15.466666666666667</c:v>
                </c:pt>
                <c:pt idx="116">
                  <c:v>15.6</c:v>
                </c:pt>
                <c:pt idx="117">
                  <c:v>15.733333333333333</c:v>
                </c:pt>
                <c:pt idx="118">
                  <c:v>15.866666666666667</c:v>
                </c:pt>
                <c:pt idx="119">
                  <c:v>16</c:v>
                </c:pt>
                <c:pt idx="120">
                  <c:v>16.133333333333333</c:v>
                </c:pt>
                <c:pt idx="121">
                  <c:v>16.266666666666666</c:v>
                </c:pt>
                <c:pt idx="122">
                  <c:v>16.399999999999999</c:v>
                </c:pt>
                <c:pt idx="123">
                  <c:v>16.533333333333331</c:v>
                </c:pt>
                <c:pt idx="124">
                  <c:v>16.666666666666668</c:v>
                </c:pt>
                <c:pt idx="125">
                  <c:v>16.8</c:v>
                </c:pt>
                <c:pt idx="126">
                  <c:v>16.933333333333334</c:v>
                </c:pt>
                <c:pt idx="127">
                  <c:v>17.066666666666666</c:v>
                </c:pt>
                <c:pt idx="128">
                  <c:v>17.2</c:v>
                </c:pt>
                <c:pt idx="129">
                  <c:v>17.333333333333332</c:v>
                </c:pt>
                <c:pt idx="130">
                  <c:v>17.466666666666665</c:v>
                </c:pt>
                <c:pt idx="131">
                  <c:v>17.600000000000001</c:v>
                </c:pt>
                <c:pt idx="132">
                  <c:v>17.733333333333334</c:v>
                </c:pt>
                <c:pt idx="133">
                  <c:v>17.866666666666667</c:v>
                </c:pt>
                <c:pt idx="134">
                  <c:v>18</c:v>
                </c:pt>
                <c:pt idx="135">
                  <c:v>18.133333333333333</c:v>
                </c:pt>
                <c:pt idx="136">
                  <c:v>18.266666666666666</c:v>
                </c:pt>
                <c:pt idx="137">
                  <c:v>18.399999999999999</c:v>
                </c:pt>
                <c:pt idx="138">
                  <c:v>18.533333333333331</c:v>
                </c:pt>
                <c:pt idx="139">
                  <c:v>18.666666666666668</c:v>
                </c:pt>
                <c:pt idx="140">
                  <c:v>18.8</c:v>
                </c:pt>
                <c:pt idx="141">
                  <c:v>18.933333333333334</c:v>
                </c:pt>
                <c:pt idx="142">
                  <c:v>19.066666666666666</c:v>
                </c:pt>
                <c:pt idx="143">
                  <c:v>19.2</c:v>
                </c:pt>
                <c:pt idx="144">
                  <c:v>19.333333333333332</c:v>
                </c:pt>
                <c:pt idx="145">
                  <c:v>19.466666666666665</c:v>
                </c:pt>
                <c:pt idx="146">
                  <c:v>19.600000000000001</c:v>
                </c:pt>
                <c:pt idx="147">
                  <c:v>19.733333333333334</c:v>
                </c:pt>
                <c:pt idx="148">
                  <c:v>19.866666666666667</c:v>
                </c:pt>
                <c:pt idx="149">
                  <c:v>20</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0756-41B2-A6B5-783BF4A9B455}"/>
            </c:ext>
          </c:extLst>
        </c:ser>
        <c:dLbls>
          <c:showLegendKey val="0"/>
          <c:showVal val="0"/>
          <c:showCatName val="0"/>
          <c:showSerName val="0"/>
          <c:showPercent val="0"/>
          <c:showBubbleSize val="0"/>
        </c:dLbls>
        <c:axId val="319677568"/>
        <c:axId val="319663104"/>
      </c:scatterChart>
      <c:valAx>
        <c:axId val="319634816"/>
        <c:scaling>
          <c:orientation val="minMax"/>
        </c:scaling>
        <c:delete val="0"/>
        <c:axPos val="b"/>
        <c:majorGridlines/>
        <c:numFmt formatCode="General" sourceLinked="1"/>
        <c:majorTickMark val="out"/>
        <c:minorTickMark val="none"/>
        <c:tickLblPos val="nextTo"/>
        <c:crossAx val="319661184"/>
        <c:crosses val="autoZero"/>
        <c:crossBetween val="midCat"/>
      </c:valAx>
      <c:valAx>
        <c:axId val="319661184"/>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19634816"/>
        <c:crosses val="autoZero"/>
        <c:crossBetween val="midCat"/>
      </c:valAx>
      <c:valAx>
        <c:axId val="319663104"/>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19677568"/>
        <c:crosses val="max"/>
        <c:crossBetween val="midCat"/>
      </c:valAx>
      <c:valAx>
        <c:axId val="319677568"/>
        <c:scaling>
          <c:orientation val="minMax"/>
        </c:scaling>
        <c:delete val="1"/>
        <c:axPos val="b"/>
        <c:title>
          <c:tx>
            <c:rich>
              <a:bodyPr/>
              <a:lstStyle/>
              <a:p>
                <a:pPr>
                  <a:defRPr sz="1400"/>
                </a:pPr>
                <a:r>
                  <a:rPr lang="en-US" sz="1400"/>
                  <a:t>P</a:t>
                </a:r>
                <a:r>
                  <a:rPr lang="en-US" sz="1400" baseline="-25000"/>
                  <a:t>OUT</a:t>
                </a:r>
                <a:r>
                  <a:rPr lang="en-US" sz="1400" baseline="0"/>
                  <a:t> (W)</a:t>
                </a:r>
                <a:endParaRPr lang="en-US" sz="1400"/>
              </a:p>
            </c:rich>
          </c:tx>
          <c:overlay val="0"/>
        </c:title>
        <c:numFmt formatCode="General" sourceLinked="1"/>
        <c:majorTickMark val="out"/>
        <c:minorTickMark val="none"/>
        <c:tickLblPos val="nextTo"/>
        <c:crossAx val="319663104"/>
        <c:crosses val="autoZero"/>
        <c:crossBetween val="midCat"/>
      </c:valAx>
    </c:plotArea>
    <c:legend>
      <c:legendPos val="r"/>
      <c:layout>
        <c:manualLayout>
          <c:xMode val="edge"/>
          <c:yMode val="edge"/>
          <c:x val="0.49339941826540429"/>
          <c:y val="6.4862204724409449E-3"/>
          <c:w val="0.42227913565687919"/>
          <c:h val="0.1165233360670469"/>
        </c:manualLayout>
      </c:layout>
      <c:overlay val="1"/>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 dropStyle="combo" dx="22" fmlaRange="$1:$1048576" noThreeD="1" sel="0" val="0"/>
</file>

<file path=xl/ctrlProps/ctrlProp2.xml><?xml version="1.0" encoding="utf-8"?>
<formControlPr xmlns="http://schemas.microsoft.com/office/spreadsheetml/2009/9/main" objectType="Spin" dx="20" fmlaLink="$H$8" max="60" noThreeD="1" page="10" val="42"/>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xm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chart" Target="../charts/chart5.xml"/><Relationship Id="rId5" Type="http://schemas.openxmlformats.org/officeDocument/2006/relationships/chart" Target="../charts/chart7.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http://www.ti.com/corp/docs/legal/copyright.shtml" TargetMode="External"/><Relationship Id="rId2" Type="http://schemas.openxmlformats.org/officeDocument/2006/relationships/image" Target="../media/image41.gif"/><Relationship Id="rId1" Type="http://schemas.openxmlformats.org/officeDocument/2006/relationships/hyperlink" Target="http://www.ti.com"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20.emf"/><Relationship Id="rId13" Type="http://schemas.openxmlformats.org/officeDocument/2006/relationships/image" Target="../media/image25.emf"/><Relationship Id="rId18" Type="http://schemas.openxmlformats.org/officeDocument/2006/relationships/image" Target="../media/image30.emf"/><Relationship Id="rId26" Type="http://schemas.openxmlformats.org/officeDocument/2006/relationships/image" Target="../media/image38.emf"/><Relationship Id="rId3" Type="http://schemas.openxmlformats.org/officeDocument/2006/relationships/image" Target="../media/image15.emf"/><Relationship Id="rId21" Type="http://schemas.openxmlformats.org/officeDocument/2006/relationships/image" Target="../media/image33.emf"/><Relationship Id="rId7" Type="http://schemas.openxmlformats.org/officeDocument/2006/relationships/image" Target="../media/image19.emf"/><Relationship Id="rId12" Type="http://schemas.openxmlformats.org/officeDocument/2006/relationships/image" Target="../media/image24.emf"/><Relationship Id="rId17" Type="http://schemas.openxmlformats.org/officeDocument/2006/relationships/image" Target="../media/image29.emf"/><Relationship Id="rId25" Type="http://schemas.openxmlformats.org/officeDocument/2006/relationships/image" Target="../media/image37.emf"/><Relationship Id="rId2" Type="http://schemas.openxmlformats.org/officeDocument/2006/relationships/image" Target="../media/image14.emf"/><Relationship Id="rId16" Type="http://schemas.openxmlformats.org/officeDocument/2006/relationships/image" Target="../media/image28.emf"/><Relationship Id="rId20" Type="http://schemas.openxmlformats.org/officeDocument/2006/relationships/image" Target="../media/image32.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24" Type="http://schemas.openxmlformats.org/officeDocument/2006/relationships/image" Target="../media/image36.emf"/><Relationship Id="rId5" Type="http://schemas.openxmlformats.org/officeDocument/2006/relationships/image" Target="../media/image17.emf"/><Relationship Id="rId15" Type="http://schemas.openxmlformats.org/officeDocument/2006/relationships/image" Target="../media/image27.emf"/><Relationship Id="rId23" Type="http://schemas.openxmlformats.org/officeDocument/2006/relationships/image" Target="../media/image35.emf"/><Relationship Id="rId28" Type="http://schemas.openxmlformats.org/officeDocument/2006/relationships/image" Target="../media/image40.emf"/><Relationship Id="rId10" Type="http://schemas.openxmlformats.org/officeDocument/2006/relationships/image" Target="../media/image22.emf"/><Relationship Id="rId19" Type="http://schemas.openxmlformats.org/officeDocument/2006/relationships/image" Target="../media/image31.emf"/><Relationship Id="rId4" Type="http://schemas.openxmlformats.org/officeDocument/2006/relationships/image" Target="../media/image16.emf"/><Relationship Id="rId9" Type="http://schemas.openxmlformats.org/officeDocument/2006/relationships/image" Target="../media/image21.emf"/><Relationship Id="rId14" Type="http://schemas.openxmlformats.org/officeDocument/2006/relationships/image" Target="../media/image26.emf"/><Relationship Id="rId22" Type="http://schemas.openxmlformats.org/officeDocument/2006/relationships/image" Target="../media/image34.emf"/><Relationship Id="rId27" Type="http://schemas.openxmlformats.org/officeDocument/2006/relationships/image" Target="../media/image3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88</xdr:row>
          <xdr:rowOff>68036</xdr:rowOff>
        </xdr:from>
        <xdr:to>
          <xdr:col>30</xdr:col>
          <xdr:colOff>0</xdr:colOff>
          <xdr:row>118</xdr:row>
          <xdr:rowOff>120559</xdr:rowOff>
        </xdr:to>
        <xdr:pic>
          <xdr:nvPicPr>
            <xdr:cNvPr id="24" name="Picture 23">
              <a:extLst>
                <a:ext uri="{FF2B5EF4-FFF2-40B4-BE49-F238E27FC236}">
                  <a16:creationId xmlns:a16="http://schemas.microsoft.com/office/drawing/2014/main" id="{00000000-0008-0000-0000-000018000000}"/>
                </a:ext>
              </a:extLst>
            </xdr:cNvPr>
            <xdr:cNvPicPr>
              <a:picLocks noChangeAspect="1"/>
              <a:extLst>
                <a:ext uri="{84589F7E-364E-4C9E-8A38-B11213B215E9}">
                  <a14:cameraTool cellRange="display_eff" spid="_x0000_s22306"/>
                </a:ext>
              </a:extLst>
            </xdr:cNvPicPr>
          </xdr:nvPicPr>
          <xdr:blipFill rotWithShape="1">
            <a:blip xmlns:r="http://schemas.openxmlformats.org/officeDocument/2006/relationships" r:embed="rId1"/>
            <a:srcRect/>
            <a:stretch>
              <a:fillRect/>
            </a:stretch>
          </xdr:blipFill>
          <xdr:spPr>
            <a:xfrm>
              <a:off x="5361214" y="19607893"/>
              <a:ext cx="12055929" cy="6327321"/>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209550</xdr:colOff>
          <xdr:row>15</xdr:row>
          <xdr:rowOff>161925</xdr:rowOff>
        </xdr:from>
        <xdr:to>
          <xdr:col>24</xdr:col>
          <xdr:colOff>9525</xdr:colOff>
          <xdr:row>16</xdr:row>
          <xdr:rowOff>114300</xdr:rowOff>
        </xdr:to>
        <xdr:sp macro="" textlink="">
          <xdr:nvSpPr>
            <xdr:cNvPr id="21806" name="Drop Down 1326" hidden="1">
              <a:extLst>
                <a:ext uri="{63B3BB69-23CF-44E3-9099-C40C66FF867C}">
                  <a14:compatExt spid="_x0000_s21806"/>
                </a:ext>
                <a:ext uri="{FF2B5EF4-FFF2-40B4-BE49-F238E27FC236}">
                  <a16:creationId xmlns:a16="http://schemas.microsoft.com/office/drawing/2014/main" id="{00000000-0008-0000-0000-00002E5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9</xdr:col>
      <xdr:colOff>110763</xdr:colOff>
      <xdr:row>57</xdr:row>
      <xdr:rowOff>13879</xdr:rowOff>
    </xdr:from>
    <xdr:to>
      <xdr:col>30</xdr:col>
      <xdr:colOff>300989</xdr:colOff>
      <xdr:row>86</xdr:row>
      <xdr:rowOff>26670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8</xdr:col>
          <xdr:colOff>9525</xdr:colOff>
          <xdr:row>56</xdr:row>
          <xdr:rowOff>9525</xdr:rowOff>
        </xdr:from>
        <xdr:to>
          <xdr:col>9</xdr:col>
          <xdr:colOff>0</xdr:colOff>
          <xdr:row>57</xdr:row>
          <xdr:rowOff>95250</xdr:rowOff>
        </xdr:to>
        <xdr:sp macro="" textlink="">
          <xdr:nvSpPr>
            <xdr:cNvPr id="1060" name="Spinner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16</xdr:col>
      <xdr:colOff>75240</xdr:colOff>
      <xdr:row>56</xdr:row>
      <xdr:rowOff>206513</xdr:rowOff>
    </xdr:from>
    <xdr:to>
      <xdr:col>18</xdr:col>
      <xdr:colOff>242529</xdr:colOff>
      <xdr:row>58</xdr:row>
      <xdr:rowOff>197390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681883" y="12398513"/>
          <a:ext cx="779610" cy="412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12</xdr:col>
      <xdr:colOff>877592</xdr:colOff>
      <xdr:row>88</xdr:row>
      <xdr:rowOff>159282</xdr:rowOff>
    </xdr:from>
    <xdr:to>
      <xdr:col>16</xdr:col>
      <xdr:colOff>94940</xdr:colOff>
      <xdr:row>91</xdr:row>
      <xdr:rowOff>40019</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694771" y="19699139"/>
          <a:ext cx="2006812" cy="50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13</xdr:col>
      <xdr:colOff>113650</xdr:colOff>
      <xdr:row>88</xdr:row>
      <xdr:rowOff>159281</xdr:rowOff>
    </xdr:from>
    <xdr:to>
      <xdr:col>15</xdr:col>
      <xdr:colOff>75933</xdr:colOff>
      <xdr:row>91</xdr:row>
      <xdr:rowOff>40019</xdr:rowOff>
    </xdr:to>
    <xdr:sp macro="" textlink="VIN_nom">
      <xdr:nvSpPr>
        <xdr:cNvPr id="10" name="TextBox 9">
          <a:extLst>
            <a:ext uri="{FF2B5EF4-FFF2-40B4-BE49-F238E27FC236}">
              <a16:creationId xmlns:a16="http://schemas.microsoft.com/office/drawing/2014/main" id="{00000000-0008-0000-0000-00000A000000}"/>
            </a:ext>
          </a:extLst>
        </xdr:cNvPr>
        <xdr:cNvSpPr txBox="1"/>
      </xdr:nvSpPr>
      <xdr:spPr>
        <a:xfrm>
          <a:off x="8345971" y="19699138"/>
          <a:ext cx="1078069" cy="506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rPr>
            <a:pPr/>
            <a:t>42</a:t>
          </a:fld>
          <a:endParaRPr lang="en-US" sz="2400"/>
        </a:p>
      </xdr:txBody>
    </xdr:sp>
    <xdr:clientData/>
  </xdr:twoCellAnchor>
  <xdr:twoCellAnchor>
    <xdr:from>
      <xdr:col>13</xdr:col>
      <xdr:colOff>532819</xdr:colOff>
      <xdr:row>88</xdr:row>
      <xdr:rowOff>159282</xdr:rowOff>
    </xdr:from>
    <xdr:to>
      <xdr:col>15</xdr:col>
      <xdr:colOff>250364</xdr:colOff>
      <xdr:row>91</xdr:row>
      <xdr:rowOff>40019</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765140" y="19699139"/>
          <a:ext cx="833331" cy="50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p>
      </xdr:txBody>
    </xdr:sp>
    <xdr:clientData/>
  </xdr:twoCellAnchor>
  <xdr:twoCellAnchor>
    <xdr:from>
      <xdr:col>18</xdr:col>
      <xdr:colOff>73564</xdr:colOff>
      <xdr:row>56</xdr:row>
      <xdr:rowOff>206513</xdr:rowOff>
    </xdr:from>
    <xdr:to>
      <xdr:col>18</xdr:col>
      <xdr:colOff>766002</xdr:colOff>
      <xdr:row>58</xdr:row>
      <xdr:rowOff>171758</xdr:rowOff>
    </xdr:to>
    <xdr:sp macro="" textlink="VIN_nom">
      <xdr:nvSpPr>
        <xdr:cNvPr id="3" name="TextBox 2">
          <a:extLst>
            <a:ext uri="{FF2B5EF4-FFF2-40B4-BE49-F238E27FC236}">
              <a16:creationId xmlns:a16="http://schemas.microsoft.com/office/drawing/2014/main" id="{00000000-0008-0000-0000-000003000000}"/>
            </a:ext>
          </a:extLst>
        </xdr:cNvPr>
        <xdr:cNvSpPr txBox="1"/>
      </xdr:nvSpPr>
      <xdr:spPr>
        <a:xfrm>
          <a:off x="10292528" y="12398513"/>
          <a:ext cx="692438" cy="387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rPr>
            <a:pPr/>
            <a:t>42</a:t>
          </a:fld>
          <a:endParaRPr lang="en-US" sz="2400"/>
        </a:p>
      </xdr:txBody>
    </xdr:sp>
    <xdr:clientData/>
  </xdr:twoCellAnchor>
  <xdr:twoCellAnchor>
    <xdr:from>
      <xdr:col>18</xdr:col>
      <xdr:colOff>607232</xdr:colOff>
      <xdr:row>56</xdr:row>
      <xdr:rowOff>206513</xdr:rowOff>
    </xdr:from>
    <xdr:to>
      <xdr:col>18</xdr:col>
      <xdr:colOff>869907</xdr:colOff>
      <xdr:row>58</xdr:row>
      <xdr:rowOff>162140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826196" y="12398513"/>
          <a:ext cx="262675" cy="377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algn="l"/>
          <a:r>
            <a:rPr lang="en-US" sz="2400"/>
            <a:t>V</a:t>
          </a:r>
        </a:p>
      </xdr:txBody>
    </xdr:sp>
    <xdr:clientData/>
  </xdr:twoCellAnchor>
  <mc:AlternateContent xmlns:mc="http://schemas.openxmlformats.org/markup-compatibility/2006">
    <mc:Choice xmlns:a14="http://schemas.microsoft.com/office/drawing/2010/main" Requires="a14">
      <xdr:twoCellAnchor editAs="oneCell">
        <xdr:from>
          <xdr:col>15</xdr:col>
          <xdr:colOff>61602</xdr:colOff>
          <xdr:row>4</xdr:row>
          <xdr:rowOff>179293</xdr:rowOff>
        </xdr:from>
        <xdr:to>
          <xdr:col>29</xdr:col>
          <xdr:colOff>417005</xdr:colOff>
          <xdr:row>34</xdr:row>
          <xdr:rowOff>129558</xdr:rowOff>
        </xdr:to>
        <xdr:pic>
          <xdr:nvPicPr>
            <xdr:cNvPr id="15" name="Picture 14">
              <a:extLst>
                <a:ext uri="{FF2B5EF4-FFF2-40B4-BE49-F238E27FC236}">
                  <a16:creationId xmlns:a16="http://schemas.microsoft.com/office/drawing/2014/main" id="{00000000-0008-0000-0000-00000F000000}"/>
                </a:ext>
              </a:extLst>
            </xdr:cNvPr>
            <xdr:cNvPicPr>
              <a:picLocks noChangeAspect="1"/>
              <a:extLst>
                <a:ext uri="{84589F7E-364E-4C9E-8A38-B11213B215E9}">
                  <a14:cameraTool cellRange="display_Sch" spid="_x0000_s22307"/>
                </a:ext>
              </a:extLst>
            </xdr:cNvPicPr>
          </xdr:nvPicPr>
          <xdr:blipFill rotWithShape="1">
            <a:blip xmlns:r="http://schemas.openxmlformats.org/officeDocument/2006/relationships" r:embed="rId3"/>
            <a:srcRect/>
            <a:stretch>
              <a:fillRect/>
            </a:stretch>
          </xdr:blipFill>
          <xdr:spPr>
            <a:xfrm>
              <a:off x="9729477" y="1341343"/>
              <a:ext cx="7489628" cy="6394880"/>
            </a:xfrm>
            <a:prstGeom prst="rect">
              <a:avLst/>
            </a:prstGeom>
            <a:solidFill>
              <a:schemeClr val="bg1"/>
            </a:solidFill>
          </xdr:spPr>
        </xdr:pic>
        <xdr:clientData/>
      </xdr:twoCellAnchor>
    </mc:Choice>
    <mc:Fallback/>
  </mc:AlternateContent>
  <xdr:twoCellAnchor>
    <xdr:from>
      <xdr:col>19</xdr:col>
      <xdr:colOff>325530</xdr:colOff>
      <xdr:row>21</xdr:row>
      <xdr:rowOff>12917</xdr:rowOff>
    </xdr:from>
    <xdr:to>
      <xdr:col>21</xdr:col>
      <xdr:colOff>228548</xdr:colOff>
      <xdr:row>23</xdr:row>
      <xdr:rowOff>82801</xdr:rowOff>
    </xdr:to>
    <xdr:sp macro="" textlink="device_s">
      <xdr:nvSpPr>
        <xdr:cNvPr id="2" name="TextBox 1">
          <a:extLst>
            <a:ext uri="{FF2B5EF4-FFF2-40B4-BE49-F238E27FC236}">
              <a16:creationId xmlns:a16="http://schemas.microsoft.com/office/drawing/2014/main" id="{00000000-0008-0000-0000-000002000000}"/>
            </a:ext>
          </a:extLst>
        </xdr:cNvPr>
        <xdr:cNvSpPr txBox="1"/>
      </xdr:nvSpPr>
      <xdr:spPr>
        <a:xfrm>
          <a:off x="11796943" y="4866526"/>
          <a:ext cx="1120562" cy="450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fld id="{5157A919-86C4-4956-A79E-72FBBFD7FE0D}" type="TxLink">
            <a:rPr lang="en-US" sz="1600" b="1" i="0" u="none" strike="noStrike">
              <a:solidFill>
                <a:srgbClr val="000000"/>
              </a:solidFill>
              <a:latin typeface="Calibri"/>
              <a:cs typeface="Calibri"/>
            </a:rPr>
            <a:pPr algn="l"/>
            <a:t>LM51581</a:t>
          </a:fld>
          <a:endParaRPr lang="en-US" sz="1600" b="1"/>
        </a:p>
      </xdr:txBody>
    </xdr:sp>
    <xdr:clientData/>
  </xdr:twoCellAnchor>
  <xdr:twoCellAnchor>
    <xdr:from>
      <xdr:col>11</xdr:col>
      <xdr:colOff>726706</xdr:colOff>
      <xdr:row>78</xdr:row>
      <xdr:rowOff>2406</xdr:rowOff>
    </xdr:from>
    <xdr:to>
      <xdr:col>13</xdr:col>
      <xdr:colOff>530678</xdr:colOff>
      <xdr:row>79</xdr:row>
      <xdr:rowOff>81642</xdr:rowOff>
    </xdr:to>
    <xdr:sp macro="" textlink="Variable_Management!B283">
      <xdr:nvSpPr>
        <xdr:cNvPr id="17" name="TextBox 16">
          <a:extLst>
            <a:ext uri="{FF2B5EF4-FFF2-40B4-BE49-F238E27FC236}">
              <a16:creationId xmlns:a16="http://schemas.microsoft.com/office/drawing/2014/main" id="{00000000-0008-0000-0000-000011000000}"/>
            </a:ext>
          </a:extLst>
        </xdr:cNvPr>
        <xdr:cNvSpPr txBox="1"/>
      </xdr:nvSpPr>
      <xdr:spPr>
        <a:xfrm>
          <a:off x="6482527" y="17283477"/>
          <a:ext cx="2552615" cy="2833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B63E8B1D-3BD2-4C7D-948B-FFABD8934770}" type="TxLink">
            <a:rPr lang="en-US" sz="1400" b="1" i="0" u="none" strike="noStrike">
              <a:solidFill>
                <a:schemeClr val="accent2">
                  <a:lumMod val="75000"/>
                </a:schemeClr>
              </a:solidFill>
              <a:latin typeface="Calibri"/>
              <a:cs typeface="Calibri"/>
            </a:rPr>
            <a:pPr/>
            <a:t>Crossover Frequency = 58.9 kHz</a:t>
          </a:fld>
          <a:endParaRPr lang="en-US" sz="3200" b="1">
            <a:solidFill>
              <a:schemeClr val="accent2">
                <a:lumMod val="75000"/>
              </a:schemeClr>
            </a:solidFill>
          </a:endParaRPr>
        </a:p>
      </xdr:txBody>
    </xdr:sp>
    <xdr:clientData/>
  </xdr:twoCellAnchor>
  <xdr:twoCellAnchor>
    <xdr:from>
      <xdr:col>11</xdr:col>
      <xdr:colOff>756642</xdr:colOff>
      <xdr:row>79</xdr:row>
      <xdr:rowOff>182019</xdr:rowOff>
    </xdr:from>
    <xdr:to>
      <xdr:col>12</xdr:col>
      <xdr:colOff>1102179</xdr:colOff>
      <xdr:row>80</xdr:row>
      <xdr:rowOff>163285</xdr:rowOff>
    </xdr:to>
    <xdr:sp macro="" textlink="Variable_Management!B284">
      <xdr:nvSpPr>
        <xdr:cNvPr id="18" name="TextBox 17">
          <a:extLst>
            <a:ext uri="{FF2B5EF4-FFF2-40B4-BE49-F238E27FC236}">
              <a16:creationId xmlns:a16="http://schemas.microsoft.com/office/drawing/2014/main" id="{00000000-0008-0000-0000-000012000000}"/>
            </a:ext>
          </a:extLst>
        </xdr:cNvPr>
        <xdr:cNvSpPr txBox="1"/>
      </xdr:nvSpPr>
      <xdr:spPr>
        <a:xfrm>
          <a:off x="6512463" y="17667198"/>
          <a:ext cx="1679037" cy="1717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8A450232-E0E0-42FF-98CA-0292A87BF21E}" type="TxLink">
            <a:rPr lang="en-US" sz="1400" b="1" i="0" u="none" strike="noStrike">
              <a:solidFill>
                <a:schemeClr val="accent1">
                  <a:lumMod val="75000"/>
                </a:schemeClr>
              </a:solidFill>
              <a:latin typeface="Calibri"/>
              <a:cs typeface="Calibri"/>
            </a:rPr>
            <a:pPr/>
            <a:t>Phase Margin = -14°</a:t>
          </a:fld>
          <a:endParaRPr lang="en-US" sz="4000" b="1">
            <a:solidFill>
              <a:schemeClr val="accent1">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138</xdr:row>
          <xdr:rowOff>133350</xdr:rowOff>
        </xdr:from>
        <xdr:to>
          <xdr:col>13</xdr:col>
          <xdr:colOff>161925</xdr:colOff>
          <xdr:row>141</xdr:row>
          <xdr:rowOff>19050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xdr:col>
      <xdr:colOff>842683</xdr:colOff>
      <xdr:row>259</xdr:row>
      <xdr:rowOff>17930</xdr:rowOff>
    </xdr:from>
    <xdr:to>
      <xdr:col>14</xdr:col>
      <xdr:colOff>475130</xdr:colOff>
      <xdr:row>267</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798424" y="23523389"/>
          <a:ext cx="3541059" cy="1335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Loop</a:t>
          </a:r>
          <a:r>
            <a:rPr lang="en-US" sz="1100" baseline="0"/>
            <a:t> compensation is calculated for the minimum input voltage. This ensure stability over the input votlage range</a:t>
          </a:r>
          <a:endParaRPr lang="en-US" sz="1100"/>
        </a:p>
      </xdr:txBody>
    </xdr:sp>
    <xdr:clientData/>
  </xdr:twoCellAnchor>
  <xdr:twoCellAnchor editAs="oneCell">
    <xdr:from>
      <xdr:col>8</xdr:col>
      <xdr:colOff>842683</xdr:colOff>
      <xdr:row>51</xdr:row>
      <xdr:rowOff>62753</xdr:rowOff>
    </xdr:from>
    <xdr:to>
      <xdr:col>12</xdr:col>
      <xdr:colOff>453262</xdr:colOff>
      <xdr:row>54</xdr:row>
      <xdr:rowOff>109755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798424" y="6553200"/>
          <a:ext cx="2392888" cy="563929"/>
        </a:xfrm>
        <a:prstGeom prst="rect">
          <a:avLst/>
        </a:prstGeom>
      </xdr:spPr>
    </xdr:pic>
    <xdr:clientData/>
  </xdr:twoCellAnchor>
  <xdr:twoCellAnchor editAs="oneCell">
    <xdr:from>
      <xdr:col>9</xdr:col>
      <xdr:colOff>0</xdr:colOff>
      <xdr:row>63</xdr:row>
      <xdr:rowOff>0</xdr:rowOff>
    </xdr:from>
    <xdr:to>
      <xdr:col>14</xdr:col>
      <xdr:colOff>721</xdr:colOff>
      <xdr:row>67</xdr:row>
      <xdr:rowOff>33798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9816353" y="7395882"/>
          <a:ext cx="3147333" cy="784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548640</xdr:colOff>
      <xdr:row>10</xdr:row>
      <xdr:rowOff>0</xdr:rowOff>
    </xdr:from>
    <xdr:to>
      <xdr:col>12</xdr:col>
      <xdr:colOff>436245</xdr:colOff>
      <xdr:row>12</xdr:row>
      <xdr:rowOff>131166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269480" y="1638300"/>
          <a:ext cx="2948940" cy="489306"/>
        </a:xfrm>
        <a:prstGeom prst="rect">
          <a:avLst/>
        </a:prstGeom>
      </xdr:spPr>
    </xdr:pic>
    <xdr:clientData/>
  </xdr:twoCellAnchor>
  <xdr:twoCellAnchor editAs="oneCell">
    <xdr:from>
      <xdr:col>8</xdr:col>
      <xdr:colOff>7620</xdr:colOff>
      <xdr:row>14</xdr:row>
      <xdr:rowOff>132742</xdr:rowOff>
    </xdr:from>
    <xdr:to>
      <xdr:col>13</xdr:col>
      <xdr:colOff>358140</xdr:colOff>
      <xdr:row>18</xdr:row>
      <xdr:rowOff>76286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7338060" y="2502562"/>
          <a:ext cx="3390900" cy="675064"/>
        </a:xfrm>
        <a:prstGeom prst="rect">
          <a:avLst/>
        </a:prstGeom>
      </xdr:spPr>
    </xdr:pic>
    <xdr:clientData/>
  </xdr:twoCellAnchor>
  <xdr:twoCellAnchor editAs="oneCell">
    <xdr:from>
      <xdr:col>9</xdr:col>
      <xdr:colOff>129540</xdr:colOff>
      <xdr:row>24</xdr:row>
      <xdr:rowOff>0</xdr:rowOff>
    </xdr:from>
    <xdr:to>
      <xdr:col>13</xdr:col>
      <xdr:colOff>76200</xdr:colOff>
      <xdr:row>32</xdr:row>
      <xdr:rowOff>58704</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69580" y="4198620"/>
          <a:ext cx="2385060" cy="152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1051560</xdr:colOff>
      <xdr:row>49</xdr:row>
      <xdr:rowOff>45720</xdr:rowOff>
    </xdr:from>
    <xdr:to>
      <xdr:col>25</xdr:col>
      <xdr:colOff>563880</xdr:colOff>
      <xdr:row>73</xdr:row>
      <xdr:rowOff>19050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252153</xdr:colOff>
      <xdr:row>49</xdr:row>
      <xdr:rowOff>50916</xdr:rowOff>
    </xdr:from>
    <xdr:to>
      <xdr:col>38</xdr:col>
      <xdr:colOff>290945</xdr:colOff>
      <xdr:row>73</xdr:row>
      <xdr:rowOff>24247</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1036494</xdr:colOff>
      <xdr:row>20</xdr:row>
      <xdr:rowOff>65809</xdr:rowOff>
    </xdr:from>
    <xdr:to>
      <xdr:col>33</xdr:col>
      <xdr:colOff>315191</xdr:colOff>
      <xdr:row>49</xdr:row>
      <xdr:rowOff>1</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1051560</xdr:colOff>
      <xdr:row>49</xdr:row>
      <xdr:rowOff>45720</xdr:rowOff>
    </xdr:from>
    <xdr:to>
      <xdr:col>25</xdr:col>
      <xdr:colOff>563880</xdr:colOff>
      <xdr:row>73</xdr:row>
      <xdr:rowOff>19050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32</xdr:col>
      <xdr:colOff>186690</xdr:colOff>
      <xdr:row>39</xdr:row>
      <xdr:rowOff>167640</xdr:rowOff>
    </xdr:from>
    <xdr:to>
      <xdr:col>34</xdr:col>
      <xdr:colOff>522867</xdr:colOff>
      <xdr:row>45</xdr:row>
      <xdr:rowOff>66124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21541740" y="5482590"/>
          <a:ext cx="1840230" cy="1045293"/>
        </a:xfrm>
        <a:prstGeom prst="rect">
          <a:avLst/>
        </a:prstGeom>
      </xdr:spPr>
    </xdr:pic>
    <xdr:clientData/>
  </xdr:twoCellAnchor>
  <xdr:twoCellAnchor editAs="oneCell">
    <xdr:from>
      <xdr:col>34</xdr:col>
      <xdr:colOff>247650</xdr:colOff>
      <xdr:row>40</xdr:row>
      <xdr:rowOff>60960</xdr:rowOff>
    </xdr:from>
    <xdr:to>
      <xdr:col>38</xdr:col>
      <xdr:colOff>567929</xdr:colOff>
      <xdr:row>44</xdr:row>
      <xdr:rowOff>137232</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23888700" y="5566410"/>
          <a:ext cx="2758679" cy="830649"/>
        </a:xfrm>
        <a:prstGeom prst="rect">
          <a:avLst/>
        </a:prstGeom>
      </xdr:spPr>
    </xdr:pic>
    <xdr:clientData/>
  </xdr:twoCellAnchor>
  <xdr:twoCellAnchor>
    <xdr:from>
      <xdr:col>31</xdr:col>
      <xdr:colOff>30480</xdr:colOff>
      <xdr:row>49</xdr:row>
      <xdr:rowOff>64770</xdr:rowOff>
    </xdr:from>
    <xdr:to>
      <xdr:col>45</xdr:col>
      <xdr:colOff>144780</xdr:colOff>
      <xdr:row>73</xdr:row>
      <xdr:rowOff>38100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7620</xdr:colOff>
      <xdr:row>21</xdr:row>
      <xdr:rowOff>121920</xdr:rowOff>
    </xdr:from>
    <xdr:to>
      <xdr:col>26</xdr:col>
      <xdr:colOff>45720</xdr:colOff>
      <xdr:row>45</xdr:row>
      <xdr:rowOff>80010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xdr:colOff>
      <xdr:row>24</xdr:row>
      <xdr:rowOff>69476</xdr:rowOff>
    </xdr:from>
    <xdr:to>
      <xdr:col>13</xdr:col>
      <xdr:colOff>464819</xdr:colOff>
      <xdr:row>51</xdr:row>
      <xdr:rowOff>47321</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13</xdr:col>
      <xdr:colOff>397584</xdr:colOff>
      <xdr:row>79</xdr:row>
      <xdr:rowOff>157954</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82</xdr:row>
      <xdr:rowOff>0</xdr:rowOff>
    </xdr:from>
    <xdr:to>
      <xdr:col>13</xdr:col>
      <xdr:colOff>397584</xdr:colOff>
      <xdr:row>108</xdr:row>
      <xdr:rowOff>157953</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110</xdr:row>
      <xdr:rowOff>0</xdr:rowOff>
    </xdr:from>
    <xdr:to>
      <xdr:col>13</xdr:col>
      <xdr:colOff>397584</xdr:colOff>
      <xdr:row>136</xdr:row>
      <xdr:rowOff>157953</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625927</xdr:colOff>
      <xdr:row>2</xdr:row>
      <xdr:rowOff>0</xdr:rowOff>
    </xdr:from>
    <xdr:to>
      <xdr:col>2</xdr:col>
      <xdr:colOff>9701892</xdr:colOff>
      <xdr:row>3</xdr:row>
      <xdr:rowOff>0</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31103</xdr:colOff>
      <xdr:row>5</xdr:row>
      <xdr:rowOff>23328</xdr:rowOff>
    </xdr:from>
    <xdr:to>
      <xdr:col>3</xdr:col>
      <xdr:colOff>0</xdr:colOff>
      <xdr:row>5</xdr:row>
      <xdr:rowOff>4803322</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625927</xdr:colOff>
      <xdr:row>8</xdr:row>
      <xdr:rowOff>0</xdr:rowOff>
    </xdr:from>
    <xdr:to>
      <xdr:col>2</xdr:col>
      <xdr:colOff>9701893</xdr:colOff>
      <xdr:row>8</xdr:row>
      <xdr:rowOff>4789714</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11</xdr:row>
      <xdr:rowOff>1</xdr:rowOff>
    </xdr:from>
    <xdr:to>
      <xdr:col>2</xdr:col>
      <xdr:colOff>9687260</xdr:colOff>
      <xdr:row>12</xdr:row>
      <xdr:rowOff>1</xdr:rowOff>
    </xdr:to>
    <xdr:graphicFrame macro="">
      <xdr:nvGraphicFramePr>
        <xdr:cNvPr id="8" name="Chart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9</xdr:col>
          <xdr:colOff>5895975</xdr:colOff>
          <xdr:row>4</xdr:row>
          <xdr:rowOff>9525</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08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11</xdr:col>
          <xdr:colOff>5895975</xdr:colOff>
          <xdr:row>4</xdr:row>
          <xdr:rowOff>9525</xdr:rowOff>
        </xdr:to>
        <xdr:sp macro="" textlink="">
          <xdr:nvSpPr>
            <xdr:cNvPr id="28674" name="Object 2" hidden="1">
              <a:extLst>
                <a:ext uri="{63B3BB69-23CF-44E3-9099-C40C66FF867C}">
                  <a14:compatExt spid="_x0000_s28674"/>
                </a:ext>
                <a:ext uri="{FF2B5EF4-FFF2-40B4-BE49-F238E27FC236}">
                  <a16:creationId xmlns:a16="http://schemas.microsoft.com/office/drawing/2014/main" id="{00000000-0008-0000-0800-000002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0</xdr:rowOff>
        </xdr:from>
        <xdr:to>
          <xdr:col>13</xdr:col>
          <xdr:colOff>5895975</xdr:colOff>
          <xdr:row>4</xdr:row>
          <xdr:rowOff>9525</xdr:rowOff>
        </xdr:to>
        <xdr:sp macro="" textlink="">
          <xdr:nvSpPr>
            <xdr:cNvPr id="28675" name="Object 3" hidden="1">
              <a:extLst>
                <a:ext uri="{63B3BB69-23CF-44E3-9099-C40C66FF867C}">
                  <a14:compatExt spid="_x0000_s28675"/>
                </a:ext>
                <a:ext uri="{FF2B5EF4-FFF2-40B4-BE49-F238E27FC236}">
                  <a16:creationId xmlns:a16="http://schemas.microsoft.com/office/drawing/2014/main" id="{00000000-0008-0000-0800-000003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5895975</xdr:colOff>
          <xdr:row>4</xdr:row>
          <xdr:rowOff>9525</xdr:rowOff>
        </xdr:to>
        <xdr:sp macro="" textlink="">
          <xdr:nvSpPr>
            <xdr:cNvPr id="28676" name="Object 4" hidden="1">
              <a:extLst>
                <a:ext uri="{63B3BB69-23CF-44E3-9099-C40C66FF867C}">
                  <a14:compatExt spid="_x0000_s28676"/>
                </a:ext>
                <a:ext uri="{FF2B5EF4-FFF2-40B4-BE49-F238E27FC236}">
                  <a16:creationId xmlns:a16="http://schemas.microsoft.com/office/drawing/2014/main" id="{00000000-0008-0000-0800-000004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5895975</xdr:colOff>
          <xdr:row>4</xdr:row>
          <xdr:rowOff>9525</xdr:rowOff>
        </xdr:to>
        <xdr:sp macro="" textlink="">
          <xdr:nvSpPr>
            <xdr:cNvPr id="28678" name="Object 6" hidden="1">
              <a:extLst>
                <a:ext uri="{63B3BB69-23CF-44E3-9099-C40C66FF867C}">
                  <a14:compatExt spid="_x0000_s28678"/>
                </a:ext>
                <a:ext uri="{FF2B5EF4-FFF2-40B4-BE49-F238E27FC236}">
                  <a16:creationId xmlns:a16="http://schemas.microsoft.com/office/drawing/2014/main" id="{00000000-0008-0000-0800-000006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5895975</xdr:colOff>
          <xdr:row>4</xdr:row>
          <xdr:rowOff>9525</xdr:rowOff>
        </xdr:to>
        <xdr:sp macro="" textlink="">
          <xdr:nvSpPr>
            <xdr:cNvPr id="28679" name="Object 7" hidden="1">
              <a:extLst>
                <a:ext uri="{63B3BB69-23CF-44E3-9099-C40C66FF867C}">
                  <a14:compatExt spid="_x0000_s28679"/>
                </a:ext>
                <a:ext uri="{FF2B5EF4-FFF2-40B4-BE49-F238E27FC236}">
                  <a16:creationId xmlns:a16="http://schemas.microsoft.com/office/drawing/2014/main" id="{00000000-0008-0000-0800-000007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5895975</xdr:colOff>
          <xdr:row>4</xdr:row>
          <xdr:rowOff>9525</xdr:rowOff>
        </xdr:to>
        <xdr:sp macro="" textlink="">
          <xdr:nvSpPr>
            <xdr:cNvPr id="28680" name="Object 8" hidden="1">
              <a:extLst>
                <a:ext uri="{63B3BB69-23CF-44E3-9099-C40C66FF867C}">
                  <a14:compatExt spid="_x0000_s28680"/>
                </a:ext>
                <a:ext uri="{FF2B5EF4-FFF2-40B4-BE49-F238E27FC236}">
                  <a16:creationId xmlns:a16="http://schemas.microsoft.com/office/drawing/2014/main" id="{00000000-0008-0000-0800-000008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5895975</xdr:colOff>
          <xdr:row>8</xdr:row>
          <xdr:rowOff>9525</xdr:rowOff>
        </xdr:to>
        <xdr:sp macro="" textlink="">
          <xdr:nvSpPr>
            <xdr:cNvPr id="28681" name="Object 9" hidden="1">
              <a:extLst>
                <a:ext uri="{63B3BB69-23CF-44E3-9099-C40C66FF867C}">
                  <a14:compatExt spid="_x0000_s28681"/>
                </a:ext>
                <a:ext uri="{FF2B5EF4-FFF2-40B4-BE49-F238E27FC236}">
                  <a16:creationId xmlns:a16="http://schemas.microsoft.com/office/drawing/2014/main" id="{00000000-0008-0000-0800-000009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0</xdr:rowOff>
        </xdr:from>
        <xdr:to>
          <xdr:col>15</xdr:col>
          <xdr:colOff>5895975</xdr:colOff>
          <xdr:row>8</xdr:row>
          <xdr:rowOff>9525</xdr:rowOff>
        </xdr:to>
        <xdr:sp macro="" textlink="">
          <xdr:nvSpPr>
            <xdr:cNvPr id="28682" name="Object 10" hidden="1">
              <a:extLst>
                <a:ext uri="{63B3BB69-23CF-44E3-9099-C40C66FF867C}">
                  <a14:compatExt spid="_x0000_s28682"/>
                </a:ext>
                <a:ext uri="{FF2B5EF4-FFF2-40B4-BE49-F238E27FC236}">
                  <a16:creationId xmlns:a16="http://schemas.microsoft.com/office/drawing/2014/main" id="{00000000-0008-0000-0800-00000A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17</xdr:col>
          <xdr:colOff>5895975</xdr:colOff>
          <xdr:row>8</xdr:row>
          <xdr:rowOff>9525</xdr:rowOff>
        </xdr:to>
        <xdr:sp macro="" textlink="">
          <xdr:nvSpPr>
            <xdr:cNvPr id="28683" name="Object 11" hidden="1">
              <a:extLst>
                <a:ext uri="{63B3BB69-23CF-44E3-9099-C40C66FF867C}">
                  <a14:compatExt spid="_x0000_s28683"/>
                </a:ext>
                <a:ext uri="{FF2B5EF4-FFF2-40B4-BE49-F238E27FC236}">
                  <a16:creationId xmlns:a16="http://schemas.microsoft.com/office/drawing/2014/main" id="{00000000-0008-0000-0800-00000B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0</xdr:rowOff>
        </xdr:from>
        <xdr:to>
          <xdr:col>19</xdr:col>
          <xdr:colOff>5895975</xdr:colOff>
          <xdr:row>8</xdr:row>
          <xdr:rowOff>9525</xdr:rowOff>
        </xdr:to>
        <xdr:sp macro="" textlink="">
          <xdr:nvSpPr>
            <xdr:cNvPr id="28684" name="Object 12" hidden="1">
              <a:extLst>
                <a:ext uri="{63B3BB69-23CF-44E3-9099-C40C66FF867C}">
                  <a14:compatExt spid="_x0000_s28684"/>
                </a:ext>
                <a:ext uri="{FF2B5EF4-FFF2-40B4-BE49-F238E27FC236}">
                  <a16:creationId xmlns:a16="http://schemas.microsoft.com/office/drawing/2014/main" id="{00000000-0008-0000-0800-00000C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0</xdr:rowOff>
        </xdr:from>
        <xdr:to>
          <xdr:col>21</xdr:col>
          <xdr:colOff>5848350</xdr:colOff>
          <xdr:row>7</xdr:row>
          <xdr:rowOff>5143500</xdr:rowOff>
        </xdr:to>
        <xdr:sp macro="" textlink="">
          <xdr:nvSpPr>
            <xdr:cNvPr id="28685" name="Object 13" hidden="1">
              <a:extLst>
                <a:ext uri="{63B3BB69-23CF-44E3-9099-C40C66FF867C}">
                  <a14:compatExt spid="_x0000_s28685"/>
                </a:ext>
                <a:ext uri="{FF2B5EF4-FFF2-40B4-BE49-F238E27FC236}">
                  <a16:creationId xmlns:a16="http://schemas.microsoft.com/office/drawing/2014/main" id="{00000000-0008-0000-0800-00000D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23</xdr:col>
          <xdr:colOff>5848350</xdr:colOff>
          <xdr:row>7</xdr:row>
          <xdr:rowOff>5143500</xdr:rowOff>
        </xdr:to>
        <xdr:sp macro="" textlink="">
          <xdr:nvSpPr>
            <xdr:cNvPr id="28686" name="Object 14" hidden="1">
              <a:extLst>
                <a:ext uri="{63B3BB69-23CF-44E3-9099-C40C66FF867C}">
                  <a14:compatExt spid="_x0000_s28686"/>
                </a:ext>
                <a:ext uri="{FF2B5EF4-FFF2-40B4-BE49-F238E27FC236}">
                  <a16:creationId xmlns:a16="http://schemas.microsoft.com/office/drawing/2014/main" id="{00000000-0008-0000-0800-00000E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0</xdr:rowOff>
        </xdr:from>
        <xdr:to>
          <xdr:col>25</xdr:col>
          <xdr:colOff>5848350</xdr:colOff>
          <xdr:row>7</xdr:row>
          <xdr:rowOff>5143500</xdr:rowOff>
        </xdr:to>
        <xdr:sp macro="" textlink="">
          <xdr:nvSpPr>
            <xdr:cNvPr id="28687" name="Object 15" hidden="1">
              <a:extLst>
                <a:ext uri="{63B3BB69-23CF-44E3-9099-C40C66FF867C}">
                  <a14:compatExt spid="_x0000_s28687"/>
                </a:ext>
                <a:ext uri="{FF2B5EF4-FFF2-40B4-BE49-F238E27FC236}">
                  <a16:creationId xmlns:a16="http://schemas.microsoft.com/office/drawing/2014/main" id="{00000000-0008-0000-0800-00000F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0</xdr:rowOff>
        </xdr:from>
        <xdr:to>
          <xdr:col>27</xdr:col>
          <xdr:colOff>5848350</xdr:colOff>
          <xdr:row>7</xdr:row>
          <xdr:rowOff>5143500</xdr:rowOff>
        </xdr:to>
        <xdr:sp macro="" textlink="">
          <xdr:nvSpPr>
            <xdr:cNvPr id="28688" name="Object 16" hidden="1">
              <a:extLst>
                <a:ext uri="{63B3BB69-23CF-44E3-9099-C40C66FF867C}">
                  <a14:compatExt spid="_x0000_s28688"/>
                </a:ext>
                <a:ext uri="{FF2B5EF4-FFF2-40B4-BE49-F238E27FC236}">
                  <a16:creationId xmlns:a16="http://schemas.microsoft.com/office/drawing/2014/main" id="{00000000-0008-0000-0800-000010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5895975</xdr:colOff>
          <xdr:row>8</xdr:row>
          <xdr:rowOff>9525</xdr:rowOff>
        </xdr:to>
        <xdr:sp macro="" textlink="">
          <xdr:nvSpPr>
            <xdr:cNvPr id="28689" name="Object 17" hidden="1">
              <a:extLst>
                <a:ext uri="{63B3BB69-23CF-44E3-9099-C40C66FF867C}">
                  <a14:compatExt spid="_x0000_s28689"/>
                </a:ext>
                <a:ext uri="{FF2B5EF4-FFF2-40B4-BE49-F238E27FC236}">
                  <a16:creationId xmlns:a16="http://schemas.microsoft.com/office/drawing/2014/main" id="{00000000-0008-0000-0800-00001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5895975</xdr:colOff>
          <xdr:row>8</xdr:row>
          <xdr:rowOff>9525</xdr:rowOff>
        </xdr:to>
        <xdr:sp macro="" textlink="">
          <xdr:nvSpPr>
            <xdr:cNvPr id="28690" name="Object 18" hidden="1">
              <a:extLst>
                <a:ext uri="{63B3BB69-23CF-44E3-9099-C40C66FF867C}">
                  <a14:compatExt spid="_x0000_s28690"/>
                </a:ext>
                <a:ext uri="{FF2B5EF4-FFF2-40B4-BE49-F238E27FC236}">
                  <a16:creationId xmlns:a16="http://schemas.microsoft.com/office/drawing/2014/main" id="{00000000-0008-0000-0800-000012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0</xdr:rowOff>
        </xdr:from>
        <xdr:to>
          <xdr:col>11</xdr:col>
          <xdr:colOff>5848350</xdr:colOff>
          <xdr:row>7</xdr:row>
          <xdr:rowOff>5153025</xdr:rowOff>
        </xdr:to>
        <xdr:sp macro="" textlink="">
          <xdr:nvSpPr>
            <xdr:cNvPr id="28691" name="Object 19" hidden="1">
              <a:extLst>
                <a:ext uri="{63B3BB69-23CF-44E3-9099-C40C66FF867C}">
                  <a14:compatExt spid="_x0000_s28691"/>
                </a:ext>
                <a:ext uri="{FF2B5EF4-FFF2-40B4-BE49-F238E27FC236}">
                  <a16:creationId xmlns:a16="http://schemas.microsoft.com/office/drawing/2014/main" id="{00000000-0008-0000-0800-000013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9</xdr:col>
          <xdr:colOff>5848350</xdr:colOff>
          <xdr:row>7</xdr:row>
          <xdr:rowOff>5153025</xdr:rowOff>
        </xdr:to>
        <xdr:sp macro="" textlink="">
          <xdr:nvSpPr>
            <xdr:cNvPr id="28692" name="Object 20" hidden="1">
              <a:extLst>
                <a:ext uri="{63B3BB69-23CF-44E3-9099-C40C66FF867C}">
                  <a14:compatExt spid="_x0000_s28692"/>
                </a:ext>
                <a:ext uri="{FF2B5EF4-FFF2-40B4-BE49-F238E27FC236}">
                  <a16:creationId xmlns:a16="http://schemas.microsoft.com/office/drawing/2014/main" id="{00000000-0008-0000-0800-000014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5895975</xdr:colOff>
          <xdr:row>8</xdr:row>
          <xdr:rowOff>9525</xdr:rowOff>
        </xdr:to>
        <xdr:sp macro="" textlink="">
          <xdr:nvSpPr>
            <xdr:cNvPr id="28693" name="Object 21" hidden="1">
              <a:extLst>
                <a:ext uri="{63B3BB69-23CF-44E3-9099-C40C66FF867C}">
                  <a14:compatExt spid="_x0000_s28693"/>
                </a:ext>
                <a:ext uri="{FF2B5EF4-FFF2-40B4-BE49-F238E27FC236}">
                  <a16:creationId xmlns:a16="http://schemas.microsoft.com/office/drawing/2014/main" id="{00000000-0008-0000-0800-000015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13</xdr:col>
          <xdr:colOff>5848350</xdr:colOff>
          <xdr:row>7</xdr:row>
          <xdr:rowOff>5153025</xdr:rowOff>
        </xdr:to>
        <xdr:sp macro="" textlink="">
          <xdr:nvSpPr>
            <xdr:cNvPr id="28694" name="Object 22" hidden="1">
              <a:extLst>
                <a:ext uri="{63B3BB69-23CF-44E3-9099-C40C66FF867C}">
                  <a14:compatExt spid="_x0000_s28694"/>
                </a:ext>
                <a:ext uri="{FF2B5EF4-FFF2-40B4-BE49-F238E27FC236}">
                  <a16:creationId xmlns:a16="http://schemas.microsoft.com/office/drawing/2014/main" id="{00000000-0008-0000-0800-000016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152400</xdr:rowOff>
        </xdr:from>
        <xdr:to>
          <xdr:col>1</xdr:col>
          <xdr:colOff>5895975</xdr:colOff>
          <xdr:row>5</xdr:row>
          <xdr:rowOff>5172075</xdr:rowOff>
        </xdr:to>
        <xdr:sp macro="" textlink="">
          <xdr:nvSpPr>
            <xdr:cNvPr id="28695" name="Object 23" hidden="1">
              <a:extLst>
                <a:ext uri="{63B3BB69-23CF-44E3-9099-C40C66FF867C}">
                  <a14:compatExt spid="_x0000_s28695"/>
                </a:ext>
                <a:ext uri="{FF2B5EF4-FFF2-40B4-BE49-F238E27FC236}">
                  <a16:creationId xmlns:a16="http://schemas.microsoft.com/office/drawing/2014/main" id="{00000000-0008-0000-0800-000017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xdr:row>
          <xdr:rowOff>152400</xdr:rowOff>
        </xdr:from>
        <xdr:to>
          <xdr:col>9</xdr:col>
          <xdr:colOff>5867400</xdr:colOff>
          <xdr:row>5</xdr:row>
          <xdr:rowOff>5162550</xdr:rowOff>
        </xdr:to>
        <xdr:sp macro="" textlink="">
          <xdr:nvSpPr>
            <xdr:cNvPr id="28696" name="Object 24" hidden="1">
              <a:extLst>
                <a:ext uri="{63B3BB69-23CF-44E3-9099-C40C66FF867C}">
                  <a14:compatExt spid="_x0000_s28696"/>
                </a:ext>
                <a:ext uri="{FF2B5EF4-FFF2-40B4-BE49-F238E27FC236}">
                  <a16:creationId xmlns:a16="http://schemas.microsoft.com/office/drawing/2014/main" id="{00000000-0008-0000-0800-000018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4</xdr:row>
          <xdr:rowOff>152400</xdr:rowOff>
        </xdr:from>
        <xdr:to>
          <xdr:col>11</xdr:col>
          <xdr:colOff>5867400</xdr:colOff>
          <xdr:row>5</xdr:row>
          <xdr:rowOff>5162550</xdr:rowOff>
        </xdr:to>
        <xdr:sp macro="" textlink="">
          <xdr:nvSpPr>
            <xdr:cNvPr id="28697" name="Object 25" hidden="1">
              <a:extLst>
                <a:ext uri="{63B3BB69-23CF-44E3-9099-C40C66FF867C}">
                  <a14:compatExt spid="_x0000_s28697"/>
                </a:ext>
                <a:ext uri="{FF2B5EF4-FFF2-40B4-BE49-F238E27FC236}">
                  <a16:creationId xmlns:a16="http://schemas.microsoft.com/office/drawing/2014/main" id="{00000000-0008-0000-0800-000019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xdr:row>
          <xdr:rowOff>152400</xdr:rowOff>
        </xdr:from>
        <xdr:to>
          <xdr:col>13</xdr:col>
          <xdr:colOff>5867400</xdr:colOff>
          <xdr:row>5</xdr:row>
          <xdr:rowOff>5162550</xdr:rowOff>
        </xdr:to>
        <xdr:sp macro="" textlink="">
          <xdr:nvSpPr>
            <xdr:cNvPr id="28698" name="Object 26" hidden="1">
              <a:extLst>
                <a:ext uri="{63B3BB69-23CF-44E3-9099-C40C66FF867C}">
                  <a14:compatExt spid="_x0000_s28698"/>
                </a:ext>
                <a:ext uri="{FF2B5EF4-FFF2-40B4-BE49-F238E27FC236}">
                  <a16:creationId xmlns:a16="http://schemas.microsoft.com/office/drawing/2014/main" id="{00000000-0008-0000-0800-00001A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152400</xdr:rowOff>
        </xdr:from>
        <xdr:to>
          <xdr:col>3</xdr:col>
          <xdr:colOff>5934075</xdr:colOff>
          <xdr:row>5</xdr:row>
          <xdr:rowOff>5172075</xdr:rowOff>
        </xdr:to>
        <xdr:sp macro="" textlink="">
          <xdr:nvSpPr>
            <xdr:cNvPr id="28699" name="Object 27" hidden="1">
              <a:extLst>
                <a:ext uri="{63B3BB69-23CF-44E3-9099-C40C66FF867C}">
                  <a14:compatExt spid="_x0000_s28699"/>
                </a:ext>
                <a:ext uri="{FF2B5EF4-FFF2-40B4-BE49-F238E27FC236}">
                  <a16:creationId xmlns:a16="http://schemas.microsoft.com/office/drawing/2014/main" id="{00000000-0008-0000-0800-00001B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152400</xdr:rowOff>
        </xdr:from>
        <xdr:to>
          <xdr:col>7</xdr:col>
          <xdr:colOff>5895975</xdr:colOff>
          <xdr:row>5</xdr:row>
          <xdr:rowOff>5172075</xdr:rowOff>
        </xdr:to>
        <xdr:sp macro="" textlink="">
          <xdr:nvSpPr>
            <xdr:cNvPr id="28700" name="Object 28" hidden="1">
              <a:extLst>
                <a:ext uri="{63B3BB69-23CF-44E3-9099-C40C66FF867C}">
                  <a14:compatExt spid="_x0000_s28700"/>
                </a:ext>
                <a:ext uri="{FF2B5EF4-FFF2-40B4-BE49-F238E27FC236}">
                  <a16:creationId xmlns:a16="http://schemas.microsoft.com/office/drawing/2014/main" id="{00000000-0008-0000-0800-00001C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xdr:row>
          <xdr:rowOff>152400</xdr:rowOff>
        </xdr:from>
        <xdr:to>
          <xdr:col>5</xdr:col>
          <xdr:colOff>5915025</xdr:colOff>
          <xdr:row>5</xdr:row>
          <xdr:rowOff>5172075</xdr:rowOff>
        </xdr:to>
        <xdr:sp macro="" textlink="">
          <xdr:nvSpPr>
            <xdr:cNvPr id="28701" name="Object 29" hidden="1">
              <a:extLst>
                <a:ext uri="{63B3BB69-23CF-44E3-9099-C40C66FF867C}">
                  <a14:compatExt spid="_x0000_s28701"/>
                </a:ext>
                <a:ext uri="{FF2B5EF4-FFF2-40B4-BE49-F238E27FC236}">
                  <a16:creationId xmlns:a16="http://schemas.microsoft.com/office/drawing/2014/main" id="{00000000-0008-0000-0800-00001D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xdr:col>
      <xdr:colOff>600075</xdr:colOff>
      <xdr:row>2</xdr:row>
      <xdr:rowOff>85676</xdr:rowOff>
    </xdr:to>
    <xdr:pic>
      <xdr:nvPicPr>
        <xdr:cNvPr id="2" name="Picture 1" descr="ti logo">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14575" cy="29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91452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About this tool...</a:t>
          </a:r>
        </a:p>
      </xdr:txBody>
    </xdr:sp>
    <xdr:clientData/>
  </xdr:oneCellAnchor>
  <xdr:oneCellAnchor>
    <xdr:from>
      <xdr:col>3</xdr:col>
      <xdr:colOff>323850</xdr:colOff>
      <xdr:row>1</xdr:row>
      <xdr:rowOff>28575</xdr:rowOff>
    </xdr:from>
    <xdr:ext cx="4719497" cy="254557"/>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900-000004000000}"/>
            </a:ext>
          </a:extLst>
        </xdr:cNvPr>
        <xdr:cNvSpPr txBox="1"/>
      </xdr:nvSpPr>
      <xdr:spPr>
        <a:xfrm>
          <a:off x="6419850" y="209550"/>
          <a:ext cx="47194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u="none" strike="noStrike">
              <a:solidFill>
                <a:schemeClr val="tx1"/>
              </a:solidFill>
              <a:effectLst/>
              <a:latin typeface="Arial" panose="020B0604020202020204" pitchFamily="34" charset="0"/>
              <a:ea typeface="+mn-ea"/>
              <a:cs typeface="Arial" panose="020B0604020202020204" pitchFamily="34" charset="0"/>
              <a:hlinkClick xmlns:r="http://schemas.openxmlformats.org/officeDocument/2006/relationships" r:id=""/>
            </a:rPr>
            <a:t>© Copyright 2021</a:t>
          </a:r>
          <a:r>
            <a:rPr lang="en-US" sz="1100" b="0" i="0">
              <a:solidFill>
                <a:schemeClr val="tx1"/>
              </a:solidFill>
              <a:effectLst/>
              <a:latin typeface="Arial" panose="020B0604020202020204" pitchFamily="34" charset="0"/>
              <a:ea typeface="+mn-ea"/>
              <a:cs typeface="Arial" panose="020B0604020202020204" pitchFamily="34" charset="0"/>
            </a:rPr>
            <a:t> Texas Instruments Incorporated. All rights reserved.</a:t>
          </a:r>
          <a:endParaRPr lang="en-US" sz="1100" b="0">
            <a:latin typeface="Arial" panose="020B0604020202020204" pitchFamily="34" charset="0"/>
            <a:cs typeface="Arial" panose="020B0604020202020204" pitchFamily="34" charset="0"/>
          </a:endParaRPr>
        </a:p>
      </xdr:txBody>
    </xdr:sp>
    <xdr:clientData/>
  </xdr:oneCellAnchor>
  <xdr:oneCellAnchor>
    <xdr:from>
      <xdr:col>0</xdr:col>
      <xdr:colOff>95247</xdr:colOff>
      <xdr:row>6</xdr:row>
      <xdr:rowOff>47623</xdr:rowOff>
    </xdr:from>
    <xdr:ext cx="11229977" cy="4086227"/>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5247" y="1114423"/>
          <a:ext cx="11229977" cy="408622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latin typeface="Arial" panose="020B0604020202020204" pitchFamily="34" charset="0"/>
              <a:cs typeface="Arial" panose="020B0604020202020204" pitchFamily="34" charset="0"/>
            </a:rPr>
            <a:t>LICENSE INFORMATION:</a:t>
          </a:r>
        </a:p>
        <a:p>
          <a:r>
            <a:rPr lang="en-US" sz="900">
              <a:solidFill>
                <a:schemeClr val="tx1"/>
              </a:solidFill>
              <a:effectLst/>
              <a:latin typeface="Arial" panose="020B0604020202020204" pitchFamily="34" charset="0"/>
              <a:ea typeface="+mn-ea"/>
              <a:cs typeface="Arial" panose="020B0604020202020204" pitchFamily="34" charset="0"/>
            </a:rPr>
            <a:t>Copyright (c) 2021 Texas Instruments Incorporated</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All rights reserved not granted herein.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Limited License.  </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Redistributions must preserve existing copyright notices and reproduce this license (including the above copyright notice and the disclaimer and (if applicable) source code license limitations below) in the documentation and/or other materials provided with the distribution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 and use in binary form, without modification,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No reverse engineering, decompilation, or disassembly of this software is permitted with respect to any software provided in binary form. </a:t>
          </a:r>
        </a:p>
        <a:p>
          <a:r>
            <a:rPr lang="en-US" sz="900">
              <a:solidFill>
                <a:schemeClr val="tx1"/>
              </a:solidFill>
              <a:effectLst/>
              <a:latin typeface="Arial" panose="020B0604020202020204" pitchFamily="34" charset="0"/>
              <a:ea typeface="+mn-ea"/>
              <a:cs typeface="Arial" panose="020B0604020202020204" pitchFamily="34" charset="0"/>
            </a:rPr>
            <a:t>*	Any redistribution and use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Nothing shall obligate TI to provide you with source code for the software licensed and provided to you in object code.</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If software source code is provided to you, modification and redistribution of the source code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the source code, including any resulting derivative works,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any object code compiled from the source code and any resulting derivative works, are licensed by TI for use only with TI Devices.</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Neither the name of Texas Instruments Incorporated nor the names of its suppliers may be used to endorse or promote products derived from this software without specific prior written permission.</a:t>
          </a:r>
          <a:endParaRPr lang="en-US" sz="1000" b="1">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latin typeface="Arial" panose="020B0604020202020204" pitchFamily="34" charset="0"/>
              <a:cs typeface="Arial" panose="020B0604020202020204" pitchFamily="34" charset="0"/>
            </a:rPr>
            <a:t>DISCLAMER:</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Arial" panose="020B0604020202020204" pitchFamily="34" charset="0"/>
              <a:cs typeface="Arial" panose="020B0604020202020204" pitchFamily="34" charset="0"/>
            </a:rPr>
            <a:t>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a:t>
          </a:r>
        </a:p>
      </xdr:txBody>
    </xdr:sp>
    <xdr:clientData/>
  </xdr:oneCellAnchor>
  <xdr:oneCellAnchor>
    <xdr:from>
      <xdr:col>0</xdr:col>
      <xdr:colOff>95247</xdr:colOff>
      <xdr:row>29</xdr:row>
      <xdr:rowOff>47623</xdr:rowOff>
    </xdr:from>
    <xdr:ext cx="11229977" cy="809627"/>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95247" y="5276848"/>
          <a:ext cx="11229977" cy="80962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IMPORTANT</a:t>
          </a:r>
          <a:r>
            <a:rPr lang="en-US" sz="1100" b="1" baseline="0">
              <a:solidFill>
                <a:schemeClr val="tx1"/>
              </a:solidFill>
              <a:effectLst/>
              <a:latin typeface="+mn-lt"/>
              <a:ea typeface="+mn-ea"/>
              <a:cs typeface="+mn-cs"/>
            </a:rPr>
            <a:t>:   </a:t>
          </a:r>
          <a:endParaRPr lang="en-US" sz="800">
            <a:effectLst/>
          </a:endParaRPr>
        </a:p>
        <a:p>
          <a:r>
            <a:rPr lang="en-US" sz="1100" baseline="0">
              <a:solidFill>
                <a:schemeClr val="tx1"/>
              </a:solidFill>
              <a:effectLst/>
              <a:latin typeface="+mn-lt"/>
              <a:ea typeface="+mn-ea"/>
              <a:cs typeface="+mn-cs"/>
            </a:rPr>
            <a:t>1.  Do not delete this worksheet!</a:t>
          </a:r>
          <a:endParaRPr lang="en-US" sz="800">
            <a:effectLst/>
          </a:endParaRPr>
        </a:p>
        <a:p>
          <a:pPr eaLnBrk="1" fontAlgn="auto" latinLnBrk="0" hangingPunct="1"/>
          <a:r>
            <a:rPr lang="en-US" sz="1100" baseline="0">
              <a:solidFill>
                <a:schemeClr val="tx1"/>
              </a:solidFill>
              <a:effectLst/>
              <a:latin typeface="+mn-lt"/>
              <a:ea typeface="+mn-ea"/>
              <a:cs typeface="+mn-cs"/>
            </a:rPr>
            <a:t>2.  Redistributions must retain the above copyright and the following disclaimer.</a:t>
          </a:r>
          <a:endParaRPr lang="en-US" sz="800">
            <a:effectLst/>
          </a:endParaRPr>
        </a:p>
        <a:p>
          <a:endParaRPr lang="en-US" sz="800" baseline="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0196876\Desktop\BCS\Designs\Design_In12_24_Out%2080_120\new_LM5155_Excel_Quickstart_Calculator_for_Boost_Converter_Design_Vout%20120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0196876\Downloads\ADS1235%20Design%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Converter"/>
      <sheetName val="Variable_Management"/>
      <sheetName val="Eff_vs_IOUT"/>
      <sheetName val="Loop_Modeling"/>
      <sheetName val="Constants"/>
      <sheetName val="Plot_Management_Eff"/>
      <sheetName val="Plot_Management_Sch"/>
      <sheetName val="Lists"/>
      <sheetName val="Licenses"/>
      <sheetName val="Sheet1"/>
    </sheetNames>
    <sheetDataSet>
      <sheetData sheetId="0" refreshError="1"/>
      <sheetData sheetId="1">
        <row r="7">
          <cell r="B7">
            <v>12</v>
          </cell>
        </row>
        <row r="8">
          <cell r="B8">
            <v>18</v>
          </cell>
        </row>
        <row r="9">
          <cell r="B9">
            <v>24</v>
          </cell>
        </row>
        <row r="10">
          <cell r="B10">
            <v>300000</v>
          </cell>
        </row>
        <row r="11">
          <cell r="B11">
            <v>72711.666666666672</v>
          </cell>
        </row>
        <row r="13">
          <cell r="B13">
            <v>120</v>
          </cell>
        </row>
        <row r="14">
          <cell r="B14">
            <v>5.0000000000000001E-3</v>
          </cell>
        </row>
        <row r="16">
          <cell r="B16">
            <v>0.6</v>
          </cell>
        </row>
        <row r="17">
          <cell r="B17">
            <v>0.9</v>
          </cell>
        </row>
        <row r="21">
          <cell r="B21">
            <v>0.93</v>
          </cell>
        </row>
        <row r="23">
          <cell r="B23">
            <v>0.32519225083018199</v>
          </cell>
        </row>
        <row r="25">
          <cell r="B25">
            <v>4.9999999999999996E-2</v>
          </cell>
        </row>
        <row r="27">
          <cell r="B27">
            <v>0.21068670790747307</v>
          </cell>
        </row>
        <row r="29">
          <cell r="B29">
            <v>3.3333333333333333E-2</v>
          </cell>
        </row>
        <row r="31">
          <cell r="B31">
            <v>0.1532970971675589</v>
          </cell>
        </row>
        <row r="33">
          <cell r="B33">
            <v>2.4999999999999998E-2</v>
          </cell>
        </row>
        <row r="71">
          <cell r="B71">
            <v>0.6</v>
          </cell>
        </row>
        <row r="79">
          <cell r="B79">
            <v>0.33</v>
          </cell>
        </row>
        <row r="80">
          <cell r="B80">
            <v>80.399999999999991</v>
          </cell>
        </row>
        <row r="81">
          <cell r="B81">
            <v>7.4626865671641798E-3</v>
          </cell>
        </row>
        <row r="82">
          <cell r="B82">
            <v>1.9751600000000001E-2</v>
          </cell>
        </row>
        <row r="84">
          <cell r="B84">
            <v>4.6999999999999997E-5</v>
          </cell>
        </row>
        <row r="85">
          <cell r="B85">
            <v>1.55</v>
          </cell>
        </row>
        <row r="89">
          <cell r="B89">
            <v>0.27675936240866555</v>
          </cell>
        </row>
        <row r="99">
          <cell r="B99">
            <v>0.27675936240866555</v>
          </cell>
        </row>
        <row r="103">
          <cell r="B103">
            <v>0.26896175477549755</v>
          </cell>
        </row>
        <row r="106">
          <cell r="B106">
            <v>0.26093122922137685</v>
          </cell>
        </row>
        <row r="115">
          <cell r="B115">
            <v>0.26093122922137685</v>
          </cell>
        </row>
        <row r="119">
          <cell r="B119">
            <v>0.2</v>
          </cell>
        </row>
        <row r="128">
          <cell r="B128">
            <v>4.694871486083093E-2</v>
          </cell>
        </row>
        <row r="129">
          <cell r="B129">
            <v>8652.0926329545982</v>
          </cell>
        </row>
        <row r="131">
          <cell r="B131">
            <v>0</v>
          </cell>
        </row>
        <row r="132">
          <cell r="B132">
            <v>0.30110393595387219</v>
          </cell>
        </row>
        <row r="138">
          <cell r="B138">
            <v>1.7403055555555557E-2</v>
          </cell>
        </row>
        <row r="142">
          <cell r="B142">
            <v>0.38333333333333336</v>
          </cell>
        </row>
        <row r="149">
          <cell r="B149">
            <v>0.1</v>
          </cell>
        </row>
        <row r="158">
          <cell r="B158">
            <v>4.7999999999999986E-8</v>
          </cell>
        </row>
        <row r="159">
          <cell r="B159">
            <v>0.02</v>
          </cell>
        </row>
        <row r="160">
          <cell r="B160">
            <v>2.2222222222222222E-7</v>
          </cell>
        </row>
        <row r="165">
          <cell r="B165">
            <v>1.5</v>
          </cell>
        </row>
        <row r="167">
          <cell r="B167">
            <v>4.9999999999999996E-6</v>
          </cell>
        </row>
        <row r="170">
          <cell r="B170">
            <v>7325.5813953488378</v>
          </cell>
        </row>
        <row r="181">
          <cell r="B181">
            <v>8450</v>
          </cell>
        </row>
        <row r="182">
          <cell r="B182">
            <v>1.1899449650453667E-4</v>
          </cell>
        </row>
        <row r="188">
          <cell r="B188">
            <v>416.66666666666669</v>
          </cell>
        </row>
        <row r="189">
          <cell r="B189">
            <v>66.314559621623062</v>
          </cell>
        </row>
        <row r="193">
          <cell r="B193"/>
        </row>
        <row r="197">
          <cell r="B197">
            <v>1</v>
          </cell>
        </row>
        <row r="199">
          <cell r="B199">
            <v>11997</v>
          </cell>
        </row>
        <row r="203">
          <cell r="B203">
            <v>-0.82820462024898889</v>
          </cell>
        </row>
        <row r="208">
          <cell r="B208"/>
        </row>
        <row r="214">
          <cell r="B214">
            <v>0.77945265872208247</v>
          </cell>
        </row>
        <row r="220">
          <cell r="B220">
            <v>812706.09238414664</v>
          </cell>
        </row>
        <row r="225">
          <cell r="B225">
            <v>47000</v>
          </cell>
        </row>
        <row r="226">
          <cell r="B226">
            <v>2.4260382890191822E-9</v>
          </cell>
        </row>
      </sheetData>
      <sheetData sheetId="2" refreshError="1"/>
      <sheetData sheetId="3">
        <row r="7">
          <cell r="AD7">
            <v>2.1642051445926369</v>
          </cell>
        </row>
        <row r="34">
          <cell r="B34">
            <v>1237.4083646361207</v>
          </cell>
        </row>
        <row r="35">
          <cell r="B35">
            <v>453.43137254901967</v>
          </cell>
        </row>
        <row r="38">
          <cell r="B38">
            <v>11489361.70212766</v>
          </cell>
        </row>
        <row r="41">
          <cell r="B41">
            <v>2500000000</v>
          </cell>
        </row>
        <row r="47">
          <cell r="B47">
            <v>1884955.5921538759</v>
          </cell>
        </row>
        <row r="48">
          <cell r="B48">
            <v>-0.95206228496462963</v>
          </cell>
        </row>
        <row r="60">
          <cell r="B60">
            <v>-1.675839159105558E-5</v>
          </cell>
        </row>
        <row r="61">
          <cell r="B61">
            <v>8865.2482269503544</v>
          </cell>
        </row>
        <row r="62">
          <cell r="B62">
            <v>2.404E-9</v>
          </cell>
        </row>
        <row r="63">
          <cell r="B63">
            <v>5328014.1843971629</v>
          </cell>
        </row>
      </sheetData>
      <sheetData sheetId="4">
        <row r="17">
          <cell r="B17">
            <v>0.93</v>
          </cell>
        </row>
        <row r="25">
          <cell r="B25">
            <v>2.9999999999999997E-5</v>
          </cell>
        </row>
        <row r="26">
          <cell r="B26">
            <v>1333</v>
          </cell>
        </row>
        <row r="27">
          <cell r="B27">
            <v>0.1</v>
          </cell>
        </row>
        <row r="28">
          <cell r="B28">
            <v>2000</v>
          </cell>
        </row>
        <row r="29">
          <cell r="B29">
            <v>0.14499999999999999</v>
          </cell>
        </row>
        <row r="30">
          <cell r="B30">
            <v>1</v>
          </cell>
        </row>
        <row r="33">
          <cell r="B33">
            <v>1</v>
          </cell>
        </row>
        <row r="34">
          <cell r="B34">
            <v>2E-3</v>
          </cell>
        </row>
        <row r="37">
          <cell r="B37">
            <v>9.9999999999999991E-6</v>
          </cell>
        </row>
        <row r="40">
          <cell r="B40">
            <v>1.5</v>
          </cell>
        </row>
        <row r="41">
          <cell r="B41">
            <v>1.45</v>
          </cell>
        </row>
        <row r="42">
          <cell r="B42">
            <v>4.9999999999999996E-6</v>
          </cell>
        </row>
        <row r="45">
          <cell r="B45">
            <v>6.75</v>
          </cell>
        </row>
        <row r="48">
          <cell r="B48">
            <v>4.4999999999999999E-4</v>
          </cell>
        </row>
        <row r="51">
          <cell r="B51">
            <v>1.5</v>
          </cell>
        </row>
        <row r="52">
          <cell r="B52">
            <v>45</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
      <sheetName val="Common-Mode Range"/>
      <sheetName val="Code Conversions"/>
      <sheetName val="Digital Filter"/>
      <sheetName val="STATUS"/>
      <sheetName val="CRC"/>
      <sheetName val="About"/>
      <sheetName val="Help"/>
    </sheetNames>
    <sheetDataSet>
      <sheetData sheetId="0" refreshError="1"/>
      <sheetData sheetId="1" refreshError="1"/>
      <sheetData sheetId="2" refreshError="1"/>
      <sheetData sheetId="3">
        <row r="84">
          <cell r="T84" t="b">
            <v>0</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5.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image" Target="../media/image17.emf"/><Relationship Id="rId18" Type="http://schemas.openxmlformats.org/officeDocument/2006/relationships/package" Target="../embeddings/Microsoft_Visio_Drawing5.vsdx"/><Relationship Id="rId26" Type="http://schemas.openxmlformats.org/officeDocument/2006/relationships/package" Target="../embeddings/Microsoft_Visio_Drawing9.vsdx"/><Relationship Id="rId39" Type="http://schemas.openxmlformats.org/officeDocument/2006/relationships/image" Target="../media/image30.emf"/><Relationship Id="rId21" Type="http://schemas.openxmlformats.org/officeDocument/2006/relationships/image" Target="../media/image21.emf"/><Relationship Id="rId34" Type="http://schemas.openxmlformats.org/officeDocument/2006/relationships/package" Target="../embeddings/Microsoft_Visio_Drawing13.vsdx"/><Relationship Id="rId42" Type="http://schemas.openxmlformats.org/officeDocument/2006/relationships/package" Target="../embeddings/Microsoft_Visio_Drawing17.vsdx"/><Relationship Id="rId47" Type="http://schemas.openxmlformats.org/officeDocument/2006/relationships/image" Target="../media/image34.emf"/><Relationship Id="rId50" Type="http://schemas.openxmlformats.org/officeDocument/2006/relationships/package" Target="../embeddings/Microsoft_Visio_Drawing21.vsdx"/><Relationship Id="rId55" Type="http://schemas.openxmlformats.org/officeDocument/2006/relationships/image" Target="../media/image38.emf"/><Relationship Id="rId7" Type="http://schemas.openxmlformats.org/officeDocument/2006/relationships/image" Target="../media/image14.emf"/><Relationship Id="rId12" Type="http://schemas.openxmlformats.org/officeDocument/2006/relationships/oleObject" Target="../embeddings/oleObject3.bin"/><Relationship Id="rId17" Type="http://schemas.openxmlformats.org/officeDocument/2006/relationships/image" Target="../media/image19.emf"/><Relationship Id="rId25" Type="http://schemas.openxmlformats.org/officeDocument/2006/relationships/image" Target="../media/image23.emf"/><Relationship Id="rId33" Type="http://schemas.openxmlformats.org/officeDocument/2006/relationships/image" Target="../media/image27.emf"/><Relationship Id="rId38" Type="http://schemas.openxmlformats.org/officeDocument/2006/relationships/package" Target="../embeddings/Microsoft_Visio_Drawing15.vsdx"/><Relationship Id="rId46" Type="http://schemas.openxmlformats.org/officeDocument/2006/relationships/package" Target="../embeddings/Microsoft_Visio_Drawing19.vsdx"/><Relationship Id="rId59" Type="http://schemas.openxmlformats.org/officeDocument/2006/relationships/image" Target="../media/image40.emf"/><Relationship Id="rId2" Type="http://schemas.openxmlformats.org/officeDocument/2006/relationships/drawing" Target="../drawings/drawing8.xml"/><Relationship Id="rId16" Type="http://schemas.openxmlformats.org/officeDocument/2006/relationships/package" Target="../embeddings/Microsoft_Visio_Drawing4.vsdx"/><Relationship Id="rId20" Type="http://schemas.openxmlformats.org/officeDocument/2006/relationships/package" Target="../embeddings/Microsoft_Visio_Drawing6.vsdx"/><Relationship Id="rId29" Type="http://schemas.openxmlformats.org/officeDocument/2006/relationships/image" Target="../media/image25.emf"/><Relationship Id="rId41" Type="http://schemas.openxmlformats.org/officeDocument/2006/relationships/image" Target="../media/image31.emf"/><Relationship Id="rId54" Type="http://schemas.openxmlformats.org/officeDocument/2006/relationships/package" Target="../embeddings/Microsoft_Visio_Drawing23.vsdx"/><Relationship Id="rId1" Type="http://schemas.openxmlformats.org/officeDocument/2006/relationships/printerSettings" Target="../printerSettings/printerSettings9.bin"/><Relationship Id="rId6" Type="http://schemas.openxmlformats.org/officeDocument/2006/relationships/package" Target="../embeddings/Microsoft_Visio_Drawing1.vsdx"/><Relationship Id="rId11" Type="http://schemas.openxmlformats.org/officeDocument/2006/relationships/image" Target="../media/image16.emf"/><Relationship Id="rId24" Type="http://schemas.openxmlformats.org/officeDocument/2006/relationships/package" Target="../embeddings/Microsoft_Visio_Drawing8.vsdx"/><Relationship Id="rId32" Type="http://schemas.openxmlformats.org/officeDocument/2006/relationships/package" Target="../embeddings/Microsoft_Visio_Drawing12.vsdx"/><Relationship Id="rId37" Type="http://schemas.openxmlformats.org/officeDocument/2006/relationships/image" Target="../media/image29.emf"/><Relationship Id="rId40" Type="http://schemas.openxmlformats.org/officeDocument/2006/relationships/package" Target="../embeddings/Microsoft_Visio_Drawing16.vsdx"/><Relationship Id="rId45" Type="http://schemas.openxmlformats.org/officeDocument/2006/relationships/image" Target="../media/image33.emf"/><Relationship Id="rId53" Type="http://schemas.openxmlformats.org/officeDocument/2006/relationships/image" Target="../media/image37.emf"/><Relationship Id="rId58" Type="http://schemas.openxmlformats.org/officeDocument/2006/relationships/package" Target="../embeddings/Microsoft_Visio_Drawing25.vsdx"/><Relationship Id="rId5" Type="http://schemas.openxmlformats.org/officeDocument/2006/relationships/image" Target="../media/image13.emf"/><Relationship Id="rId15" Type="http://schemas.openxmlformats.org/officeDocument/2006/relationships/image" Target="../media/image18.emf"/><Relationship Id="rId23" Type="http://schemas.openxmlformats.org/officeDocument/2006/relationships/image" Target="../media/image22.emf"/><Relationship Id="rId28" Type="http://schemas.openxmlformats.org/officeDocument/2006/relationships/package" Target="../embeddings/Microsoft_Visio_Drawing10.vsdx"/><Relationship Id="rId36" Type="http://schemas.openxmlformats.org/officeDocument/2006/relationships/package" Target="../embeddings/Microsoft_Visio_Drawing14.vsdx"/><Relationship Id="rId49" Type="http://schemas.openxmlformats.org/officeDocument/2006/relationships/image" Target="../media/image35.emf"/><Relationship Id="rId57" Type="http://schemas.openxmlformats.org/officeDocument/2006/relationships/image" Target="../media/image39.emf"/><Relationship Id="rId10" Type="http://schemas.openxmlformats.org/officeDocument/2006/relationships/oleObject" Target="../embeddings/oleObject2.bin"/><Relationship Id="rId19" Type="http://schemas.openxmlformats.org/officeDocument/2006/relationships/image" Target="../media/image20.emf"/><Relationship Id="rId31" Type="http://schemas.openxmlformats.org/officeDocument/2006/relationships/image" Target="../media/image26.emf"/><Relationship Id="rId44" Type="http://schemas.openxmlformats.org/officeDocument/2006/relationships/package" Target="../embeddings/Microsoft_Visio_Drawing18.vsdx"/><Relationship Id="rId52" Type="http://schemas.openxmlformats.org/officeDocument/2006/relationships/package" Target="../embeddings/Microsoft_Visio_Drawing22.vsdx"/><Relationship Id="rId4" Type="http://schemas.openxmlformats.org/officeDocument/2006/relationships/package" Target="../embeddings/Microsoft_Visio_Drawing.vsdx"/><Relationship Id="rId9" Type="http://schemas.openxmlformats.org/officeDocument/2006/relationships/image" Target="../media/image15.emf"/><Relationship Id="rId14" Type="http://schemas.openxmlformats.org/officeDocument/2006/relationships/package" Target="../embeddings/Microsoft_Visio_Drawing3.vsdx"/><Relationship Id="rId22" Type="http://schemas.openxmlformats.org/officeDocument/2006/relationships/package" Target="../embeddings/Microsoft_Visio_Drawing7.vsdx"/><Relationship Id="rId27" Type="http://schemas.openxmlformats.org/officeDocument/2006/relationships/image" Target="../media/image24.emf"/><Relationship Id="rId30" Type="http://schemas.openxmlformats.org/officeDocument/2006/relationships/package" Target="../embeddings/Microsoft_Visio_Drawing11.vsdx"/><Relationship Id="rId35" Type="http://schemas.openxmlformats.org/officeDocument/2006/relationships/image" Target="../media/image28.emf"/><Relationship Id="rId43" Type="http://schemas.openxmlformats.org/officeDocument/2006/relationships/image" Target="../media/image32.emf"/><Relationship Id="rId48" Type="http://schemas.openxmlformats.org/officeDocument/2006/relationships/package" Target="../embeddings/Microsoft_Visio_Drawing20.vsdx"/><Relationship Id="rId56" Type="http://schemas.openxmlformats.org/officeDocument/2006/relationships/package" Target="../embeddings/Microsoft_Visio_Drawing24.vsdx"/><Relationship Id="rId8" Type="http://schemas.openxmlformats.org/officeDocument/2006/relationships/package" Target="../embeddings/Microsoft_Visio_Drawing2.vsdx"/><Relationship Id="rId51" Type="http://schemas.openxmlformats.org/officeDocument/2006/relationships/image" Target="../media/image36.emf"/><Relationship Id="rId3"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F126"/>
  <sheetViews>
    <sheetView tabSelected="1" zoomScale="75" zoomScaleNormal="75" workbookViewId="0">
      <selection activeCell="N14" sqref="N14"/>
    </sheetView>
  </sheetViews>
  <sheetFormatPr defaultColWidth="8.86328125" defaultRowHeight="14.25" x14ac:dyDescent="0.45"/>
  <cols>
    <col min="1" max="6" width="8.86328125" style="103" customWidth="1"/>
    <col min="7" max="7" width="8.86328125" style="148" customWidth="1"/>
    <col min="8" max="8" width="16.1328125" style="103" customWidth="1"/>
    <col min="9" max="9" width="4.265625" style="103" customWidth="1"/>
    <col min="10" max="10" width="2.73046875" style="103" customWidth="1"/>
    <col min="11" max="11" width="6" style="103" customWidth="1"/>
    <col min="12" max="12" width="20" style="103" customWidth="1"/>
    <col min="13" max="13" width="21.265625" style="103" customWidth="1"/>
    <col min="14" max="14" width="12.86328125" style="103" customWidth="1"/>
    <col min="15" max="16" width="3.86328125" style="103" customWidth="1"/>
    <col min="17" max="17" width="6.1328125" style="103" customWidth="1"/>
    <col min="18" max="18" width="3" style="103" customWidth="1"/>
    <col min="19" max="19" width="14.265625" style="103" customWidth="1"/>
    <col min="20" max="20" width="14.1328125" style="103" customWidth="1"/>
    <col min="21" max="21" width="4.1328125" style="103" customWidth="1"/>
    <col min="22" max="22" width="9.73046875" style="103" customWidth="1"/>
    <col min="23" max="23" width="4.73046875" style="103" customWidth="1"/>
    <col min="24" max="24" width="3" style="107" customWidth="1"/>
    <col min="25" max="26" width="7.265625" style="103" customWidth="1"/>
    <col min="27" max="27" width="13.73046875" style="103" customWidth="1"/>
    <col min="28" max="28" width="10.86328125" style="103" customWidth="1"/>
    <col min="29" max="29" width="4.86328125" style="103" customWidth="1"/>
    <col min="30" max="30" width="9.73046875" style="103" customWidth="1"/>
    <col min="31" max="31" width="4.73046875" style="103" customWidth="1"/>
    <col min="32" max="32" width="1.73046875" style="149" customWidth="1"/>
    <col min="33" max="16384" width="8.86328125" style="103"/>
  </cols>
  <sheetData>
    <row r="1" spans="1:32" ht="46.9" customHeight="1" x14ac:dyDescent="0.45">
      <c r="A1" s="98"/>
      <c r="B1" s="98"/>
      <c r="C1" s="98"/>
      <c r="D1" s="98"/>
      <c r="E1" s="99" t="s">
        <v>659</v>
      </c>
      <c r="F1" s="98"/>
      <c r="G1" s="100"/>
      <c r="H1" s="98"/>
      <c r="I1" s="98"/>
      <c r="J1" s="98"/>
      <c r="K1" s="98"/>
      <c r="L1" s="98"/>
      <c r="M1" s="98"/>
      <c r="N1" s="98"/>
      <c r="O1" s="98"/>
      <c r="P1" s="98"/>
      <c r="Q1" s="98"/>
      <c r="R1" s="98"/>
      <c r="S1" s="98"/>
      <c r="T1" s="98"/>
      <c r="U1" s="98"/>
      <c r="V1" s="98"/>
      <c r="W1" s="98"/>
      <c r="X1" s="101"/>
      <c r="Y1" s="98"/>
      <c r="Z1" s="98"/>
      <c r="AA1" s="98"/>
      <c r="AB1" s="98"/>
      <c r="AC1" s="98"/>
      <c r="AD1" s="98"/>
      <c r="AE1" s="98"/>
      <c r="AF1" s="102"/>
    </row>
    <row r="2" spans="1:32" s="107" customFormat="1" x14ac:dyDescent="0.45">
      <c r="A2" s="104"/>
      <c r="B2" s="104"/>
      <c r="C2" s="104"/>
      <c r="D2" s="104"/>
      <c r="E2" s="104"/>
      <c r="F2" s="104"/>
      <c r="G2" s="105"/>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6"/>
    </row>
    <row r="3" spans="1:32" s="107" customFormat="1" x14ac:dyDescent="0.45">
      <c r="A3" s="108" t="s">
        <v>1</v>
      </c>
      <c r="B3" s="104"/>
      <c r="C3" s="104"/>
      <c r="D3" s="104"/>
      <c r="E3" s="109"/>
      <c r="F3" s="110" t="s">
        <v>2</v>
      </c>
      <c r="G3" s="105"/>
      <c r="H3" s="104"/>
      <c r="I3" s="104"/>
      <c r="J3" s="104"/>
      <c r="K3" s="104"/>
      <c r="L3" s="104"/>
      <c r="M3" s="104"/>
      <c r="N3" s="104"/>
      <c r="O3" s="323" t="s">
        <v>0</v>
      </c>
      <c r="P3" s="323"/>
      <c r="Q3" s="323"/>
      <c r="R3" s="323"/>
      <c r="S3" s="104"/>
      <c r="T3" s="104"/>
      <c r="U3" s="104"/>
      <c r="V3" s="104"/>
      <c r="W3" s="104"/>
      <c r="X3" s="104"/>
      <c r="Y3" s="104"/>
      <c r="Z3" s="104"/>
      <c r="AA3" s="104"/>
      <c r="AB3" s="104"/>
      <c r="AC3" s="104"/>
      <c r="AD3" s="104"/>
      <c r="AE3" s="104"/>
      <c r="AF3" s="106"/>
    </row>
    <row r="4" spans="1:32" s="114" customFormat="1" x14ac:dyDescent="0.45">
      <c r="A4" s="254"/>
      <c r="B4" s="255"/>
      <c r="C4" s="111"/>
      <c r="D4" s="111"/>
      <c r="E4" s="111"/>
      <c r="F4" s="111"/>
      <c r="G4" s="112"/>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3"/>
    </row>
    <row r="5" spans="1:32" s="107" customFormat="1" x14ac:dyDescent="0.45">
      <c r="A5" s="118"/>
      <c r="B5" s="118"/>
      <c r="C5" s="118"/>
      <c r="D5" s="118"/>
      <c r="E5" s="118"/>
      <c r="F5" s="118"/>
      <c r="G5" s="132"/>
      <c r="H5" s="118"/>
      <c r="I5" s="118"/>
      <c r="J5" s="118"/>
      <c r="K5" s="118"/>
      <c r="L5" s="118"/>
      <c r="M5" s="118"/>
      <c r="N5" s="118"/>
      <c r="O5" s="118"/>
      <c r="P5" s="116" t="s">
        <v>782</v>
      </c>
      <c r="Q5" s="117" t="s">
        <v>783</v>
      </c>
      <c r="R5" s="118"/>
      <c r="S5" s="118"/>
      <c r="T5" s="118"/>
      <c r="U5" s="118"/>
      <c r="V5" s="118"/>
      <c r="W5" s="118"/>
      <c r="X5" s="118"/>
      <c r="Y5" s="118"/>
      <c r="Z5" s="118"/>
      <c r="AA5" s="118"/>
      <c r="AB5" s="118"/>
      <c r="AC5" s="118"/>
      <c r="AD5" s="118"/>
      <c r="AE5" s="233"/>
      <c r="AF5" s="106"/>
    </row>
    <row r="6" spans="1:32" ht="18.399999999999999" thickBot="1" x14ac:dyDescent="0.6">
      <c r="A6" s="235" t="s">
        <v>3</v>
      </c>
      <c r="B6" s="115"/>
      <c r="C6" s="115"/>
      <c r="D6" s="115"/>
      <c r="E6" s="115"/>
      <c r="F6" s="115"/>
      <c r="G6" s="116"/>
      <c r="H6" s="115"/>
      <c r="I6" s="115"/>
      <c r="J6" s="115"/>
      <c r="K6" s="115"/>
      <c r="L6" s="115"/>
      <c r="M6" s="221" t="str">
        <f>IF(FB_type=3,"Primary Side Regulation","Load 1 Specifications")</f>
        <v>Load 1 Specifications</v>
      </c>
      <c r="N6" s="218"/>
      <c r="O6" s="218"/>
      <c r="P6" s="115"/>
      <c r="Q6" s="115"/>
      <c r="R6" s="115"/>
      <c r="S6" s="115"/>
      <c r="T6" s="115"/>
      <c r="U6" s="115"/>
      <c r="V6" s="115"/>
      <c r="W6" s="115"/>
      <c r="X6" s="118"/>
      <c r="Y6" s="115"/>
      <c r="Z6" s="115"/>
      <c r="AA6" s="115"/>
      <c r="AB6" s="115"/>
      <c r="AC6" s="115"/>
      <c r="AD6" s="115"/>
      <c r="AE6" s="115"/>
      <c r="AF6" s="102"/>
    </row>
    <row r="7" spans="1:32" ht="15.4" x14ac:dyDescent="0.55000000000000004">
      <c r="A7" s="119"/>
      <c r="B7" s="120"/>
      <c r="C7" s="120"/>
      <c r="D7" s="120"/>
      <c r="E7" s="120"/>
      <c r="F7" s="120"/>
      <c r="G7" s="121" t="s">
        <v>4</v>
      </c>
      <c r="H7" s="150">
        <v>36</v>
      </c>
      <c r="I7" s="174" t="s">
        <v>9</v>
      </c>
      <c r="J7" s="115"/>
      <c r="K7" s="115"/>
      <c r="L7" s="231"/>
      <c r="M7" s="121" t="s">
        <v>789</v>
      </c>
      <c r="N7" s="150">
        <v>5</v>
      </c>
      <c r="O7" s="122" t="s">
        <v>9</v>
      </c>
      <c r="P7" s="115"/>
      <c r="Q7" s="115"/>
      <c r="R7" s="117"/>
      <c r="S7" s="115"/>
      <c r="T7" s="115"/>
      <c r="U7" s="115"/>
      <c r="V7" s="115"/>
      <c r="W7" s="115"/>
      <c r="X7" s="118"/>
      <c r="Y7" s="115"/>
      <c r="Z7" s="115"/>
      <c r="AA7" s="115"/>
      <c r="AB7" s="115"/>
      <c r="AC7" s="115"/>
      <c r="AD7" s="115"/>
      <c r="AE7" s="115"/>
      <c r="AF7" s="102"/>
    </row>
    <row r="8" spans="1:32" ht="15.4" x14ac:dyDescent="0.55000000000000004">
      <c r="A8" s="123"/>
      <c r="B8" s="118"/>
      <c r="C8" s="118"/>
      <c r="D8" s="118"/>
      <c r="E8" s="118"/>
      <c r="F8" s="118"/>
      <c r="G8" s="124" t="s">
        <v>5</v>
      </c>
      <c r="H8" s="151">
        <v>42</v>
      </c>
      <c r="I8" s="153" t="s">
        <v>9</v>
      </c>
      <c r="J8" s="115"/>
      <c r="K8" s="115"/>
      <c r="L8" s="123"/>
      <c r="M8" s="124" t="s">
        <v>7</v>
      </c>
      <c r="N8" s="151">
        <v>4</v>
      </c>
      <c r="O8" s="125" t="s">
        <v>10</v>
      </c>
      <c r="P8" s="115"/>
      <c r="Q8" s="115"/>
      <c r="R8" s="117"/>
      <c r="S8" s="115"/>
      <c r="T8" s="115"/>
      <c r="U8" s="115"/>
      <c r="V8" s="115"/>
      <c r="W8" s="115"/>
      <c r="X8" s="118"/>
      <c r="Y8" s="115"/>
      <c r="Z8" s="115"/>
      <c r="AA8" s="115"/>
      <c r="AB8" s="115"/>
      <c r="AC8" s="115"/>
      <c r="AD8" s="115"/>
      <c r="AE8" s="115"/>
      <c r="AF8" s="102"/>
    </row>
    <row r="9" spans="1:32" ht="15.75" x14ac:dyDescent="0.55000000000000004">
      <c r="A9" s="123"/>
      <c r="B9" s="118"/>
      <c r="C9" s="118"/>
      <c r="D9" s="118"/>
      <c r="E9" s="118"/>
      <c r="F9" s="118"/>
      <c r="G9" s="124" t="s">
        <v>6</v>
      </c>
      <c r="H9" s="151">
        <v>57</v>
      </c>
      <c r="I9" s="153" t="s">
        <v>9</v>
      </c>
      <c r="J9" s="115"/>
      <c r="K9" s="115"/>
      <c r="L9" s="123"/>
      <c r="M9" s="132" t="s">
        <v>639</v>
      </c>
      <c r="N9" s="152">
        <f>Variable_Management!B63</f>
        <v>0.1388888888888889</v>
      </c>
      <c r="O9" s="125"/>
      <c r="P9" s="115"/>
      <c r="Q9" s="115"/>
      <c r="R9" s="117"/>
      <c r="S9" s="115"/>
      <c r="T9" s="115"/>
      <c r="U9" s="115"/>
      <c r="V9" s="115"/>
      <c r="W9" s="115"/>
      <c r="X9" s="118"/>
      <c r="Y9" s="115"/>
      <c r="Z9" s="115"/>
      <c r="AA9" s="115"/>
      <c r="AB9" s="115"/>
      <c r="AC9" s="115"/>
      <c r="AD9" s="115"/>
      <c r="AE9" s="115"/>
      <c r="AF9" s="102"/>
    </row>
    <row r="10" spans="1:32" ht="18" customHeight="1" x14ac:dyDescent="0.55000000000000004">
      <c r="A10" s="123"/>
      <c r="B10" s="118"/>
      <c r="C10" s="118"/>
      <c r="D10" s="118"/>
      <c r="E10" s="118"/>
      <c r="F10" s="118"/>
      <c r="G10" s="124" t="s">
        <v>613</v>
      </c>
      <c r="H10" s="306" t="s">
        <v>797</v>
      </c>
      <c r="I10" s="153"/>
      <c r="J10" s="115"/>
      <c r="K10" s="115"/>
      <c r="L10" s="123"/>
      <c r="M10" s="132" t="s">
        <v>638</v>
      </c>
      <c r="N10" s="151">
        <v>0.14000000000000001</v>
      </c>
      <c r="O10" s="125"/>
      <c r="P10" s="115"/>
      <c r="Q10" s="115"/>
      <c r="R10" s="117"/>
      <c r="S10" s="115"/>
      <c r="T10" s="115"/>
      <c r="U10" s="115"/>
      <c r="V10" s="115"/>
      <c r="W10" s="115"/>
      <c r="X10" s="118"/>
      <c r="Y10" s="115"/>
      <c r="Z10" s="115"/>
      <c r="AA10" s="115"/>
      <c r="AB10" s="115"/>
      <c r="AC10" s="115"/>
      <c r="AD10" s="115"/>
      <c r="AE10" s="115"/>
      <c r="AF10" s="102"/>
    </row>
    <row r="11" spans="1:32" ht="16.149999999999999" thickBot="1" x14ac:dyDescent="0.6">
      <c r="A11" s="123"/>
      <c r="B11" s="118"/>
      <c r="C11" s="118"/>
      <c r="D11" s="118"/>
      <c r="E11" s="118"/>
      <c r="F11" s="118"/>
      <c r="G11" s="124"/>
      <c r="H11" s="153"/>
      <c r="I11" s="153"/>
      <c r="J11" s="115"/>
      <c r="K11" s="115"/>
      <c r="L11" s="130"/>
      <c r="M11" s="134" t="s">
        <v>637</v>
      </c>
      <c r="N11" s="156">
        <v>10</v>
      </c>
      <c r="O11" s="128" t="s">
        <v>78</v>
      </c>
      <c r="P11" s="115"/>
      <c r="Q11" s="115"/>
      <c r="R11" s="117"/>
      <c r="S11" s="115"/>
      <c r="T11" s="115"/>
      <c r="U11" s="115"/>
      <c r="V11" s="115"/>
      <c r="W11" s="115"/>
      <c r="X11" s="118"/>
      <c r="Y11" s="115"/>
      <c r="Z11" s="115"/>
      <c r="AA11" s="115"/>
      <c r="AB11" s="115"/>
      <c r="AC11" s="115"/>
      <c r="AD11" s="115"/>
      <c r="AE11" s="115"/>
      <c r="AF11" s="102"/>
    </row>
    <row r="12" spans="1:32" x14ac:dyDescent="0.45">
      <c r="A12" s="123"/>
      <c r="B12" s="118"/>
      <c r="C12" s="118"/>
      <c r="D12" s="118"/>
      <c r="E12" s="118"/>
      <c r="F12" s="118"/>
      <c r="G12" s="216" t="s">
        <v>490</v>
      </c>
      <c r="H12" s="306" t="s">
        <v>492</v>
      </c>
      <c r="I12" s="153"/>
      <c r="J12" s="115"/>
      <c r="K12" s="115"/>
      <c r="L12" s="118"/>
      <c r="M12" s="118"/>
      <c r="N12" s="118"/>
      <c r="O12" s="118"/>
      <c r="P12" s="115"/>
      <c r="Q12" s="115"/>
      <c r="R12" s="117"/>
      <c r="S12" s="115"/>
      <c r="T12" s="115"/>
      <c r="U12" s="115"/>
      <c r="V12" s="115"/>
      <c r="W12" s="115"/>
      <c r="X12" s="118"/>
      <c r="Y12" s="115"/>
      <c r="Z12" s="115"/>
      <c r="AA12" s="115"/>
      <c r="AB12" s="115"/>
      <c r="AC12" s="115"/>
      <c r="AD12" s="115"/>
      <c r="AE12" s="115"/>
      <c r="AF12" s="102"/>
    </row>
    <row r="13" spans="1:32" ht="16.149999999999999" thickBot="1" x14ac:dyDescent="0.55000000000000004">
      <c r="A13" s="123"/>
      <c r="B13" s="118"/>
      <c r="C13" s="118"/>
      <c r="D13" s="118"/>
      <c r="E13" s="118"/>
      <c r="F13" s="118"/>
      <c r="G13" s="124"/>
      <c r="H13" s="180"/>
      <c r="I13" s="153"/>
      <c r="J13" s="115"/>
      <c r="K13" s="115"/>
      <c r="L13" s="118"/>
      <c r="M13" s="221" t="str">
        <f>IF(FB_type=3,"Load 1 Specifications","Load 2 Specifications")</f>
        <v>Load 2 Specifications</v>
      </c>
      <c r="N13" s="218"/>
      <c r="O13" s="218"/>
      <c r="P13" s="115"/>
      <c r="Q13" s="115"/>
      <c r="R13" s="117"/>
      <c r="S13" s="115"/>
      <c r="T13" s="115"/>
      <c r="U13" s="115"/>
      <c r="V13" s="115"/>
      <c r="W13" s="115"/>
      <c r="X13" s="118"/>
      <c r="Y13" s="115"/>
      <c r="Z13" s="115"/>
      <c r="AA13" s="115"/>
      <c r="AB13" s="115"/>
      <c r="AC13" s="115"/>
      <c r="AD13" s="115"/>
      <c r="AE13" s="115"/>
      <c r="AF13" s="102"/>
    </row>
    <row r="14" spans="1:32" ht="15.4" x14ac:dyDescent="0.55000000000000004">
      <c r="A14" s="123"/>
      <c r="B14" s="118"/>
      <c r="C14" s="118"/>
      <c r="D14" s="118"/>
      <c r="E14" s="118"/>
      <c r="F14" s="118"/>
      <c r="G14" s="124" t="s">
        <v>8</v>
      </c>
      <c r="H14" s="150">
        <v>2100</v>
      </c>
      <c r="I14" s="174" t="s">
        <v>11</v>
      </c>
      <c r="J14" s="115"/>
      <c r="K14" s="115"/>
      <c r="L14" s="119"/>
      <c r="M14" s="121" t="s">
        <v>790</v>
      </c>
      <c r="N14" s="150">
        <v>20</v>
      </c>
      <c r="O14" s="122" t="s">
        <v>9</v>
      </c>
      <c r="P14" s="115"/>
      <c r="Q14" s="115"/>
      <c r="R14" s="117"/>
      <c r="S14" s="115"/>
      <c r="T14" s="115"/>
      <c r="U14" s="115"/>
      <c r="V14" s="115"/>
      <c r="W14" s="115"/>
      <c r="X14" s="118"/>
      <c r="Y14" s="115"/>
      <c r="Z14" s="115"/>
      <c r="AA14" s="115"/>
      <c r="AB14" s="115"/>
      <c r="AC14" s="115"/>
      <c r="AD14" s="115"/>
      <c r="AE14" s="115"/>
      <c r="AF14" s="102"/>
    </row>
    <row r="15" spans="1:32" ht="15.75" thickBot="1" x14ac:dyDescent="0.6">
      <c r="A15" s="123"/>
      <c r="B15" s="118"/>
      <c r="C15" s="118"/>
      <c r="D15" s="118"/>
      <c r="E15" s="118"/>
      <c r="F15" s="118"/>
      <c r="G15" s="124" t="s">
        <v>65</v>
      </c>
      <c r="H15" s="155">
        <f>RT/1000</f>
        <v>9.5688095238095237</v>
      </c>
      <c r="I15" s="168" t="s">
        <v>66</v>
      </c>
      <c r="J15" s="115"/>
      <c r="K15" s="115"/>
      <c r="L15" s="123"/>
      <c r="M15" s="124" t="s">
        <v>611</v>
      </c>
      <c r="N15" s="320">
        <v>8.5000000000000006E-3</v>
      </c>
      <c r="O15" s="125" t="s">
        <v>10</v>
      </c>
      <c r="P15" s="115"/>
      <c r="Q15" s="115"/>
      <c r="R15" s="117"/>
      <c r="S15" s="115"/>
      <c r="T15" s="115"/>
      <c r="U15" s="115"/>
      <c r="V15" s="115"/>
      <c r="W15" s="115"/>
      <c r="X15" s="118"/>
      <c r="Y15" s="115"/>
      <c r="Z15" s="115"/>
      <c r="AA15" s="115"/>
      <c r="AB15" s="115"/>
      <c r="AC15" s="115"/>
      <c r="AD15" s="115"/>
      <c r="AE15" s="115"/>
      <c r="AF15" s="102"/>
    </row>
    <row r="16" spans="1:32" ht="16.149999999999999" thickBot="1" x14ac:dyDescent="0.6">
      <c r="A16" s="123"/>
      <c r="B16" s="118"/>
      <c r="C16" s="118"/>
      <c r="D16" s="118"/>
      <c r="E16" s="118"/>
      <c r="F16" s="118"/>
      <c r="G16" s="124"/>
      <c r="H16" s="180"/>
      <c r="I16" s="153"/>
      <c r="J16" s="115"/>
      <c r="K16" s="115"/>
      <c r="L16" s="123"/>
      <c r="M16" s="132" t="s">
        <v>610</v>
      </c>
      <c r="N16" s="152">
        <f>Variable_Management!B73</f>
        <v>0</v>
      </c>
      <c r="O16" s="125"/>
      <c r="P16" s="115"/>
      <c r="Q16" s="115"/>
      <c r="R16" s="117"/>
      <c r="S16" s="115"/>
      <c r="T16" s="115"/>
      <c r="U16" s="115"/>
      <c r="V16" s="115"/>
      <c r="W16" s="115"/>
      <c r="X16" s="118"/>
      <c r="Y16" s="115"/>
      <c r="Z16" s="115"/>
      <c r="AA16" s="115"/>
      <c r="AB16" s="115"/>
      <c r="AC16" s="115"/>
      <c r="AD16" s="115"/>
      <c r="AE16" s="115"/>
      <c r="AF16" s="102"/>
    </row>
    <row r="17" spans="1:32" ht="15.75" x14ac:dyDescent="0.55000000000000004">
      <c r="A17" s="123"/>
      <c r="B17" s="118"/>
      <c r="C17" s="118"/>
      <c r="D17" s="118"/>
      <c r="E17" s="118"/>
      <c r="F17" s="118"/>
      <c r="G17" s="132" t="s">
        <v>423</v>
      </c>
      <c r="H17" s="150">
        <v>50</v>
      </c>
      <c r="I17" s="174" t="s">
        <v>12</v>
      </c>
      <c r="J17" s="115"/>
      <c r="K17" s="115"/>
      <c r="L17" s="123"/>
      <c r="M17" s="132" t="s">
        <v>612</v>
      </c>
      <c r="N17" s="151">
        <v>2.4</v>
      </c>
      <c r="O17" s="125"/>
      <c r="P17" s="115"/>
      <c r="Q17" s="115"/>
      <c r="R17" s="117"/>
      <c r="S17" s="115"/>
      <c r="T17" s="115"/>
      <c r="U17" s="115"/>
      <c r="V17" s="115"/>
      <c r="W17" s="115"/>
      <c r="X17" s="118"/>
      <c r="Y17" s="115"/>
      <c r="Z17" s="115"/>
      <c r="AA17" s="115"/>
      <c r="AB17" s="115"/>
      <c r="AC17" s="115"/>
      <c r="AD17" s="115"/>
      <c r="AE17" s="115"/>
      <c r="AF17" s="102"/>
    </row>
    <row r="18" spans="1:32" ht="15.75" x14ac:dyDescent="0.55000000000000004">
      <c r="A18" s="123"/>
      <c r="B18" s="118"/>
      <c r="C18" s="118"/>
      <c r="D18" s="118"/>
      <c r="E18" s="118"/>
      <c r="F18" s="118"/>
      <c r="G18" s="132" t="s">
        <v>450</v>
      </c>
      <c r="H18" s="192">
        <f>Variable_Management!B67*100</f>
        <v>49.800796812748999</v>
      </c>
      <c r="I18" s="153" t="s">
        <v>12</v>
      </c>
      <c r="J18" s="115"/>
      <c r="K18" s="115"/>
      <c r="L18" s="123"/>
      <c r="M18" s="132" t="s">
        <v>577</v>
      </c>
      <c r="N18" s="151">
        <v>12</v>
      </c>
      <c r="O18" s="125" t="s">
        <v>78</v>
      </c>
      <c r="P18" s="115"/>
      <c r="Q18" s="115"/>
      <c r="R18" s="117"/>
      <c r="S18" s="115"/>
      <c r="T18" s="115"/>
      <c r="U18" s="115"/>
      <c r="V18" s="115"/>
      <c r="W18" s="115"/>
      <c r="X18" s="118"/>
      <c r="Y18" s="115"/>
      <c r="Z18" s="115"/>
      <c r="AA18" s="115"/>
      <c r="AB18" s="115"/>
      <c r="AC18" s="115"/>
      <c r="AD18" s="115"/>
      <c r="AE18" s="115"/>
      <c r="AF18" s="102"/>
    </row>
    <row r="19" spans="1:32" ht="16.149999999999999" thickBot="1" x14ac:dyDescent="0.6">
      <c r="A19" s="130"/>
      <c r="B19" s="127"/>
      <c r="C19" s="127"/>
      <c r="D19" s="127"/>
      <c r="E19" s="127"/>
      <c r="F19" s="127"/>
      <c r="G19" s="131" t="s">
        <v>13</v>
      </c>
      <c r="H19" s="168">
        <f>POUT_Total</f>
        <v>20</v>
      </c>
      <c r="I19" s="168" t="s">
        <v>34</v>
      </c>
      <c r="J19" s="115"/>
      <c r="K19" s="115"/>
      <c r="L19" s="130"/>
      <c r="M19" s="134" t="s">
        <v>445</v>
      </c>
      <c r="N19" s="155">
        <f>Variable_Management!B75</f>
        <v>0</v>
      </c>
      <c r="O19" s="128" t="s">
        <v>9</v>
      </c>
      <c r="P19" s="115"/>
      <c r="Q19" s="115"/>
      <c r="R19" s="117"/>
      <c r="S19" s="115"/>
      <c r="T19" s="115"/>
      <c r="U19" s="115"/>
      <c r="V19" s="115"/>
      <c r="W19" s="115"/>
      <c r="X19" s="118"/>
      <c r="Y19" s="115"/>
      <c r="Z19" s="115"/>
      <c r="AA19" s="115"/>
      <c r="AB19" s="115"/>
      <c r="AC19" s="115"/>
      <c r="AD19" s="115"/>
      <c r="AE19" s="115"/>
      <c r="AF19" s="102"/>
    </row>
    <row r="20" spans="1:32" x14ac:dyDescent="0.45">
      <c r="A20" s="115"/>
      <c r="B20" s="115"/>
      <c r="C20" s="115"/>
      <c r="D20" s="115"/>
      <c r="E20" s="115"/>
      <c r="F20" s="115"/>
      <c r="G20" s="116"/>
      <c r="H20" s="115"/>
      <c r="I20" s="115"/>
      <c r="J20" s="115"/>
      <c r="K20" s="115"/>
      <c r="L20" s="118"/>
      <c r="M20" s="118"/>
      <c r="N20" s="118"/>
      <c r="O20" s="118"/>
      <c r="P20" s="115"/>
      <c r="Q20" s="115"/>
      <c r="R20" s="117"/>
      <c r="S20" s="115"/>
      <c r="T20" s="115"/>
      <c r="U20" s="115"/>
      <c r="V20" s="115"/>
      <c r="W20" s="115"/>
      <c r="X20" s="118"/>
      <c r="Y20" s="115"/>
      <c r="Z20" s="115"/>
      <c r="AA20" s="115"/>
      <c r="AB20" s="115"/>
      <c r="AC20" s="115"/>
      <c r="AD20" s="115"/>
      <c r="AE20" s="115"/>
      <c r="AF20" s="102"/>
    </row>
    <row r="21" spans="1:32" ht="18.399999999999999" thickBot="1" x14ac:dyDescent="0.6">
      <c r="A21" s="234" t="s">
        <v>416</v>
      </c>
      <c r="B21" s="129"/>
      <c r="C21" s="129"/>
      <c r="D21" s="129"/>
      <c r="E21" s="126"/>
      <c r="F21" s="115"/>
      <c r="G21" s="116"/>
      <c r="H21" s="118"/>
      <c r="I21" s="115"/>
      <c r="J21" s="115"/>
      <c r="K21" s="115"/>
      <c r="L21" s="118"/>
      <c r="M21" s="221" t="str">
        <f>IF(FB_type=3,"Load 2 Specifications","Load 3 Specifications")</f>
        <v>Load 3 Specifications</v>
      </c>
      <c r="N21" s="140"/>
      <c r="O21" s="118"/>
      <c r="P21" s="115"/>
      <c r="Q21" s="115"/>
      <c r="R21" s="117"/>
      <c r="S21" s="115"/>
      <c r="T21" s="115"/>
      <c r="U21" s="115"/>
      <c r="V21" s="115"/>
      <c r="W21" s="115"/>
      <c r="X21" s="118"/>
      <c r="Y21" s="115"/>
      <c r="Z21" s="115"/>
      <c r="AA21" s="115"/>
      <c r="AB21" s="115"/>
      <c r="AC21" s="115"/>
      <c r="AD21" s="115"/>
      <c r="AE21" s="115"/>
      <c r="AF21" s="102"/>
    </row>
    <row r="22" spans="1:32" ht="15.4" x14ac:dyDescent="0.55000000000000004">
      <c r="A22" s="220"/>
      <c r="B22" s="191"/>
      <c r="C22" s="191"/>
      <c r="D22" s="191"/>
      <c r="E22" s="191"/>
      <c r="F22" s="120"/>
      <c r="G22" s="121" t="s">
        <v>392</v>
      </c>
      <c r="H22" s="150">
        <v>50</v>
      </c>
      <c r="I22" s="122" t="s">
        <v>12</v>
      </c>
      <c r="J22" s="118"/>
      <c r="K22" s="115"/>
      <c r="L22" s="119"/>
      <c r="M22" s="121" t="s">
        <v>789</v>
      </c>
      <c r="N22" s="150">
        <v>20</v>
      </c>
      <c r="O22" s="122" t="s">
        <v>9</v>
      </c>
      <c r="P22" s="115"/>
      <c r="Q22" s="115"/>
      <c r="R22" s="117"/>
      <c r="S22" s="115"/>
      <c r="T22" s="115"/>
      <c r="U22" s="115"/>
      <c r="V22" s="115"/>
      <c r="W22" s="115"/>
      <c r="X22" s="118"/>
      <c r="Y22" s="115"/>
      <c r="Z22" s="115"/>
      <c r="AA22" s="115"/>
      <c r="AB22" s="115"/>
      <c r="AC22" s="115"/>
      <c r="AD22" s="115"/>
      <c r="AE22" s="115"/>
      <c r="AF22" s="102"/>
    </row>
    <row r="23" spans="1:32" ht="15.4" x14ac:dyDescent="0.55000000000000004">
      <c r="A23" s="123"/>
      <c r="B23" s="118"/>
      <c r="C23" s="118"/>
      <c r="D23" s="118"/>
      <c r="E23" s="118"/>
      <c r="F23" s="118"/>
      <c r="G23" s="124" t="s">
        <v>417</v>
      </c>
      <c r="H23" s="193">
        <f>Variable_Management!B90*(10^6)</f>
        <v>22.957312202826813</v>
      </c>
      <c r="I23" s="304" t="s">
        <v>791</v>
      </c>
      <c r="J23" s="118"/>
      <c r="K23" s="115"/>
      <c r="L23" s="123"/>
      <c r="M23" s="124" t="s">
        <v>7</v>
      </c>
      <c r="N23" s="320">
        <v>8.5000000000000006E-3</v>
      </c>
      <c r="O23" s="125" t="s">
        <v>10</v>
      </c>
      <c r="P23" s="115"/>
      <c r="Q23" s="115"/>
      <c r="R23" s="117"/>
      <c r="S23" s="115"/>
      <c r="T23" s="115"/>
      <c r="U23" s="115"/>
      <c r="V23" s="115"/>
      <c r="W23" s="115"/>
      <c r="X23" s="118"/>
      <c r="Y23" s="115"/>
      <c r="Z23" s="115"/>
      <c r="AA23" s="115"/>
      <c r="AB23" s="115"/>
      <c r="AC23" s="115"/>
      <c r="AD23" s="115"/>
      <c r="AE23" s="115"/>
      <c r="AF23" s="102"/>
    </row>
    <row r="24" spans="1:32" ht="15.75" x14ac:dyDescent="0.55000000000000004">
      <c r="A24" s="123"/>
      <c r="B24" s="118"/>
      <c r="C24" s="118"/>
      <c r="D24" s="118"/>
      <c r="E24" s="118"/>
      <c r="F24" s="118"/>
      <c r="G24" s="124" t="s">
        <v>418</v>
      </c>
      <c r="H24" s="151">
        <v>30</v>
      </c>
      <c r="I24" s="305" t="s">
        <v>791</v>
      </c>
      <c r="J24" s="118"/>
      <c r="K24" s="115"/>
      <c r="L24" s="123"/>
      <c r="M24" s="132" t="s">
        <v>439</v>
      </c>
      <c r="N24" s="152">
        <f>Variable_Management!B78</f>
        <v>0</v>
      </c>
      <c r="O24" s="125"/>
      <c r="P24" s="115"/>
      <c r="Q24" s="115"/>
      <c r="R24" s="117"/>
      <c r="S24" s="115"/>
      <c r="T24" s="115"/>
      <c r="U24" s="115"/>
      <c r="V24" s="115"/>
      <c r="W24" s="115"/>
      <c r="X24" s="118"/>
      <c r="Y24" s="115"/>
      <c r="Z24" s="115"/>
      <c r="AA24" s="115"/>
      <c r="AB24" s="115"/>
      <c r="AC24" s="115"/>
      <c r="AD24" s="115"/>
      <c r="AE24" s="115"/>
      <c r="AF24" s="102"/>
    </row>
    <row r="25" spans="1:32" ht="15.75" x14ac:dyDescent="0.55000000000000004">
      <c r="A25" s="123"/>
      <c r="B25" s="118"/>
      <c r="C25" s="118"/>
      <c r="D25" s="118"/>
      <c r="E25" s="118"/>
      <c r="F25" s="118"/>
      <c r="G25" s="124" t="s">
        <v>658</v>
      </c>
      <c r="H25" s="151">
        <v>50</v>
      </c>
      <c r="I25" s="125" t="s">
        <v>78</v>
      </c>
      <c r="J25" s="118"/>
      <c r="K25" s="115"/>
      <c r="L25" s="123"/>
      <c r="M25" s="132" t="s">
        <v>440</v>
      </c>
      <c r="N25" s="151">
        <v>2.4</v>
      </c>
      <c r="O25" s="125"/>
      <c r="P25" s="115"/>
      <c r="Q25" s="115"/>
      <c r="R25" s="117"/>
      <c r="S25" s="115"/>
      <c r="T25" s="115"/>
      <c r="U25" s="115"/>
      <c r="V25" s="115"/>
      <c r="W25" s="115"/>
      <c r="X25" s="118"/>
      <c r="Y25" s="115"/>
      <c r="Z25" s="115"/>
      <c r="AA25" s="115"/>
      <c r="AB25" s="115"/>
      <c r="AC25" s="115"/>
      <c r="AD25" s="115"/>
      <c r="AE25" s="115"/>
      <c r="AF25" s="102"/>
    </row>
    <row r="26" spans="1:32" ht="15.75" thickBot="1" x14ac:dyDescent="0.6">
      <c r="A26" s="130"/>
      <c r="B26" s="127"/>
      <c r="C26" s="127"/>
      <c r="D26" s="127"/>
      <c r="E26" s="127"/>
      <c r="F26" s="127"/>
      <c r="G26" s="131" t="s">
        <v>635</v>
      </c>
      <c r="H26" s="194">
        <f>ILp_VINmin</f>
        <v>1.2578435464491242</v>
      </c>
      <c r="I26" s="128" t="s">
        <v>10</v>
      </c>
      <c r="J26" s="118"/>
      <c r="K26" s="115"/>
      <c r="L26" s="123"/>
      <c r="M26" s="132" t="s">
        <v>577</v>
      </c>
      <c r="N26" s="151">
        <v>12</v>
      </c>
      <c r="O26" s="125" t="s">
        <v>78</v>
      </c>
      <c r="P26" s="115"/>
      <c r="Q26" s="115"/>
      <c r="R26" s="117"/>
      <c r="S26" s="115"/>
      <c r="T26" s="115"/>
      <c r="U26" s="115"/>
      <c r="V26" s="115"/>
      <c r="W26" s="115"/>
      <c r="X26" s="118"/>
      <c r="Y26" s="115"/>
      <c r="Z26" s="115"/>
      <c r="AA26" s="115"/>
      <c r="AB26" s="115"/>
      <c r="AC26" s="115"/>
      <c r="AD26" s="115"/>
      <c r="AE26" s="115"/>
      <c r="AF26" s="102"/>
    </row>
    <row r="27" spans="1:32" ht="16.149999999999999" thickBot="1" x14ac:dyDescent="0.6">
      <c r="A27" s="118"/>
      <c r="B27" s="118"/>
      <c r="C27" s="118"/>
      <c r="D27" s="115"/>
      <c r="E27" s="115"/>
      <c r="F27" s="115"/>
      <c r="G27" s="116"/>
      <c r="H27" s="115"/>
      <c r="I27" s="115"/>
      <c r="J27" s="115"/>
      <c r="K27" s="115"/>
      <c r="L27" s="130"/>
      <c r="M27" s="134" t="s">
        <v>445</v>
      </c>
      <c r="N27" s="155">
        <f>Variable_Management!B80</f>
        <v>0</v>
      </c>
      <c r="O27" s="128" t="s">
        <v>9</v>
      </c>
      <c r="P27" s="115"/>
      <c r="Q27" s="115"/>
      <c r="R27" s="117"/>
      <c r="S27" s="115"/>
      <c r="T27" s="115"/>
      <c r="U27" s="115"/>
      <c r="V27" s="115"/>
      <c r="W27" s="115"/>
      <c r="X27" s="118"/>
      <c r="Y27" s="115"/>
      <c r="Z27" s="115"/>
      <c r="AA27" s="115"/>
      <c r="AB27" s="115"/>
      <c r="AC27" s="115"/>
      <c r="AD27" s="115"/>
      <c r="AE27" s="115"/>
      <c r="AF27" s="102"/>
    </row>
    <row r="28" spans="1:32" ht="18.399999999999999" thickBot="1" x14ac:dyDescent="0.6">
      <c r="A28" s="234" t="s">
        <v>660</v>
      </c>
      <c r="B28" s="118"/>
      <c r="C28" s="118"/>
      <c r="D28" s="115"/>
      <c r="E28" s="115"/>
      <c r="F28" s="115"/>
      <c r="G28" s="116"/>
      <c r="H28" s="115"/>
      <c r="I28" s="115"/>
      <c r="J28" s="115"/>
      <c r="K28" s="115"/>
      <c r="L28" s="118"/>
      <c r="M28" s="132"/>
      <c r="N28" s="173"/>
      <c r="O28" s="118"/>
      <c r="P28" s="115"/>
      <c r="Q28" s="115"/>
      <c r="R28" s="117"/>
      <c r="S28" s="115"/>
      <c r="T28" s="115"/>
      <c r="U28" s="115"/>
      <c r="V28" s="115"/>
      <c r="W28" s="115"/>
      <c r="X28" s="118"/>
      <c r="Y28" s="115"/>
      <c r="Z28" s="115"/>
      <c r="AA28" s="115"/>
      <c r="AB28" s="115"/>
      <c r="AC28" s="115"/>
      <c r="AD28" s="115"/>
      <c r="AE28" s="115"/>
      <c r="AF28" s="102"/>
    </row>
    <row r="29" spans="1:32" ht="16.149999999999999" thickBot="1" x14ac:dyDescent="0.55000000000000004">
      <c r="A29" s="119"/>
      <c r="B29" s="120"/>
      <c r="C29" s="120"/>
      <c r="D29" s="120"/>
      <c r="E29" s="120"/>
      <c r="F29" s="120"/>
      <c r="G29" s="136" t="s">
        <v>661</v>
      </c>
      <c r="H29" s="281" t="str">
        <f>IF(OR(VOUT1&gt;Vout_op_max_58,VIN_max&gt;Vin_op_max_58,ILpk*1.15&gt;Isw_lim_57),"No Device",IF(ILpk*1.15&lt;=Isw_lim_581,"LM51581",IF(ILpk*1.15&lt;=Isw_lim_58,"LM5158",IF(AND(VIN_max&lt;=Vin_op_max_57,VOUT1&lt;=Vout_op_max_57),IF(ILpk*1.15&lt;=Isw_lim_571,"LM51571","LM5157"),"No Device"))))</f>
        <v>LM51581</v>
      </c>
      <c r="I29" s="122"/>
      <c r="J29" s="115"/>
      <c r="K29" s="115"/>
      <c r="L29" s="118"/>
      <c r="M29" s="221" t="s">
        <v>614</v>
      </c>
      <c r="N29" s="140"/>
      <c r="O29" s="118"/>
      <c r="P29" s="115"/>
      <c r="Q29" s="115"/>
      <c r="R29" s="117"/>
      <c r="S29" s="115"/>
      <c r="T29" s="115"/>
      <c r="U29" s="115"/>
      <c r="V29" s="115"/>
      <c r="W29" s="115"/>
      <c r="X29" s="118"/>
      <c r="Y29" s="115"/>
      <c r="Z29" s="115"/>
      <c r="AA29" s="115"/>
      <c r="AB29" s="115"/>
      <c r="AC29" s="115"/>
      <c r="AD29" s="115"/>
      <c r="AE29" s="115"/>
      <c r="AF29" s="102"/>
    </row>
    <row r="30" spans="1:32" ht="15.4" x14ac:dyDescent="0.55000000000000004">
      <c r="A30" s="123"/>
      <c r="B30" s="118"/>
      <c r="C30" s="118"/>
      <c r="D30" s="118"/>
      <c r="E30" s="118"/>
      <c r="F30" s="118"/>
      <c r="G30" s="280" t="s">
        <v>662</v>
      </c>
      <c r="H30" s="306" t="s">
        <v>679</v>
      </c>
      <c r="I30" s="125"/>
      <c r="J30" s="115"/>
      <c r="K30" s="115"/>
      <c r="L30" s="119"/>
      <c r="M30" s="121" t="s">
        <v>789</v>
      </c>
      <c r="N30" s="150">
        <v>20</v>
      </c>
      <c r="O30" s="122" t="s">
        <v>9</v>
      </c>
      <c r="P30" s="115"/>
      <c r="Q30" s="115"/>
      <c r="R30" s="115"/>
      <c r="S30" s="115"/>
      <c r="T30" s="115"/>
      <c r="U30" s="115"/>
      <c r="V30" s="115"/>
      <c r="W30" s="115"/>
      <c r="X30" s="118"/>
      <c r="Y30" s="115"/>
      <c r="Z30" s="115"/>
      <c r="AA30" s="115"/>
      <c r="AB30" s="115"/>
      <c r="AC30" s="115"/>
      <c r="AD30" s="115"/>
      <c r="AE30" s="115"/>
      <c r="AF30" s="102"/>
    </row>
    <row r="31" spans="1:32" ht="15.4" x14ac:dyDescent="0.55000000000000004">
      <c r="A31" s="123"/>
      <c r="B31" s="118"/>
      <c r="C31" s="118"/>
      <c r="D31" s="118"/>
      <c r="E31" s="118"/>
      <c r="F31" s="118"/>
      <c r="G31" s="280" t="s">
        <v>393</v>
      </c>
      <c r="H31" s="154">
        <f>(I_lim_s-ILp_VINmin)/ILp_VINmin*100</f>
        <v>19.2517149079852</v>
      </c>
      <c r="I31" s="125" t="s">
        <v>12</v>
      </c>
      <c r="J31" s="118"/>
      <c r="K31" s="115"/>
      <c r="L31" s="123"/>
      <c r="M31" s="124" t="s">
        <v>7</v>
      </c>
      <c r="N31" s="151">
        <v>0.15</v>
      </c>
      <c r="O31" s="125" t="s">
        <v>10</v>
      </c>
      <c r="P31" s="115"/>
      <c r="Q31" s="115"/>
      <c r="R31" s="115"/>
      <c r="S31" s="115"/>
      <c r="T31" s="115"/>
      <c r="U31" s="115"/>
      <c r="V31" s="115"/>
      <c r="W31" s="115"/>
      <c r="X31" s="115"/>
      <c r="Y31" s="115"/>
      <c r="Z31" s="115"/>
      <c r="AA31" s="115"/>
      <c r="AB31" s="115"/>
      <c r="AC31" s="118"/>
      <c r="AD31" s="115"/>
      <c r="AE31" s="115"/>
      <c r="AF31" s="102"/>
    </row>
    <row r="32" spans="1:32" ht="16.149999999999999" thickBot="1" x14ac:dyDescent="0.6">
      <c r="A32" s="130"/>
      <c r="B32" s="127"/>
      <c r="C32" s="127"/>
      <c r="D32" s="127"/>
      <c r="E32" s="127"/>
      <c r="F32" s="127"/>
      <c r="G32" s="134" t="s">
        <v>663</v>
      </c>
      <c r="H32" s="168" t="str">
        <f>IF(Se&gt;Sn_half, "Pass", "Fail")</f>
        <v>Pass</v>
      </c>
      <c r="I32" s="128"/>
      <c r="J32" s="118"/>
      <c r="K32" s="118"/>
      <c r="L32" s="123"/>
      <c r="M32" s="132" t="s">
        <v>439</v>
      </c>
      <c r="N32" s="152">
        <f>Variable_Management!B83</f>
        <v>0</v>
      </c>
      <c r="O32" s="125"/>
      <c r="P32" s="118"/>
      <c r="Q32" s="115"/>
      <c r="R32" s="115"/>
      <c r="S32" s="115"/>
      <c r="T32" s="115"/>
      <c r="U32" s="115"/>
      <c r="V32" s="115"/>
      <c r="W32" s="115"/>
      <c r="X32" s="115"/>
      <c r="Y32" s="115"/>
      <c r="Z32" s="115"/>
      <c r="AA32" s="115"/>
      <c r="AB32" s="115"/>
      <c r="AC32" s="115"/>
      <c r="AD32" s="115"/>
      <c r="AE32" s="115"/>
      <c r="AF32" s="102"/>
    </row>
    <row r="33" spans="1:32" ht="15.75" x14ac:dyDescent="0.55000000000000004">
      <c r="A33" s="118"/>
      <c r="B33" s="118"/>
      <c r="C33" s="118"/>
      <c r="D33" s="115"/>
      <c r="E33" s="115"/>
      <c r="F33" s="115"/>
      <c r="G33" s="116"/>
      <c r="H33" s="115"/>
      <c r="I33" s="115"/>
      <c r="J33" s="118"/>
      <c r="K33" s="118"/>
      <c r="L33" s="123"/>
      <c r="M33" s="132" t="s">
        <v>440</v>
      </c>
      <c r="N33" s="151">
        <v>2.4</v>
      </c>
      <c r="O33" s="125"/>
      <c r="P33" s="115"/>
      <c r="Q33" s="115"/>
      <c r="R33" s="115"/>
      <c r="S33" s="115"/>
      <c r="T33" s="115"/>
      <c r="U33" s="115"/>
      <c r="V33" s="115"/>
      <c r="W33" s="115"/>
      <c r="X33" s="118"/>
      <c r="Y33" s="115"/>
      <c r="Z33" s="115"/>
      <c r="AA33" s="115"/>
      <c r="AB33" s="115"/>
      <c r="AC33" s="115"/>
      <c r="AD33" s="115"/>
      <c r="AE33" s="115"/>
      <c r="AF33" s="102"/>
    </row>
    <row r="34" spans="1:32" x14ac:dyDescent="0.45">
      <c r="A34" s="115"/>
      <c r="B34" s="115"/>
      <c r="C34" s="115"/>
      <c r="D34" s="115"/>
      <c r="E34" s="115"/>
      <c r="F34" s="115"/>
      <c r="G34" s="115"/>
      <c r="H34" s="115"/>
      <c r="I34" s="115"/>
      <c r="J34" s="118"/>
      <c r="K34" s="118"/>
      <c r="L34" s="123"/>
      <c r="M34" s="132" t="s">
        <v>577</v>
      </c>
      <c r="N34" s="151">
        <v>12</v>
      </c>
      <c r="O34" s="125" t="s">
        <v>78</v>
      </c>
      <c r="P34" s="115"/>
      <c r="Q34" s="115"/>
      <c r="R34" s="115"/>
      <c r="S34" s="115"/>
      <c r="T34" s="115"/>
      <c r="U34" s="115"/>
      <c r="V34" s="115"/>
      <c r="W34" s="115"/>
      <c r="X34" s="118"/>
      <c r="Y34" s="115"/>
      <c r="Z34" s="115"/>
      <c r="AA34" s="115"/>
      <c r="AB34" s="115"/>
      <c r="AC34" s="115"/>
      <c r="AD34" s="115"/>
      <c r="AE34" s="115"/>
      <c r="AF34" s="102"/>
    </row>
    <row r="35" spans="1:32" ht="16.149999999999999" thickBot="1" x14ac:dyDescent="0.6">
      <c r="A35" s="115"/>
      <c r="B35" s="115"/>
      <c r="C35" s="115"/>
      <c r="D35" s="115"/>
      <c r="E35" s="115"/>
      <c r="F35" s="115"/>
      <c r="G35" s="115"/>
      <c r="H35" s="115"/>
      <c r="I35" s="115"/>
      <c r="J35" s="118"/>
      <c r="K35" s="118"/>
      <c r="L35" s="130"/>
      <c r="M35" s="134" t="s">
        <v>445</v>
      </c>
      <c r="N35" s="155">
        <f>Variable_Management!B85</f>
        <v>0</v>
      </c>
      <c r="O35" s="128" t="s">
        <v>9</v>
      </c>
      <c r="P35" s="115"/>
      <c r="Q35" s="115"/>
      <c r="R35" s="115"/>
      <c r="S35" s="115"/>
      <c r="T35" s="115"/>
      <c r="U35" s="115"/>
      <c r="V35" s="115"/>
      <c r="W35" s="115"/>
      <c r="X35" s="118"/>
      <c r="Y35" s="115"/>
      <c r="Z35" s="115"/>
      <c r="AA35" s="115"/>
      <c r="AB35" s="115"/>
      <c r="AC35" s="115"/>
      <c r="AD35" s="115"/>
      <c r="AE35" s="115"/>
      <c r="AF35" s="102"/>
    </row>
    <row r="36" spans="1:32" x14ac:dyDescent="0.45">
      <c r="A36" s="115"/>
      <c r="B36" s="115"/>
      <c r="C36" s="115"/>
      <c r="D36" s="115"/>
      <c r="E36" s="115"/>
      <c r="F36" s="115"/>
      <c r="G36" s="115"/>
      <c r="H36" s="115"/>
      <c r="I36" s="115"/>
      <c r="J36" s="118"/>
      <c r="K36" s="118"/>
      <c r="L36" s="118"/>
      <c r="M36" s="115"/>
      <c r="N36" s="115"/>
      <c r="O36" s="115"/>
      <c r="P36" s="115"/>
      <c r="Q36" s="115"/>
      <c r="R36" s="115"/>
      <c r="S36" s="115"/>
      <c r="T36" s="115"/>
      <c r="U36" s="115"/>
      <c r="V36" s="115"/>
      <c r="W36" s="115"/>
      <c r="X36" s="118"/>
      <c r="Y36" s="115"/>
      <c r="Z36" s="115"/>
      <c r="AA36" s="115"/>
      <c r="AB36" s="115"/>
      <c r="AC36" s="115"/>
      <c r="AD36" s="115"/>
      <c r="AE36" s="115"/>
      <c r="AF36" s="102"/>
    </row>
    <row r="37" spans="1:32" ht="18" x14ac:dyDescent="0.55000000000000004">
      <c r="A37" s="234" t="s">
        <v>138</v>
      </c>
      <c r="B37" s="118"/>
      <c r="C37" s="118"/>
      <c r="D37" s="118"/>
      <c r="E37" s="115"/>
      <c r="F37" s="115"/>
      <c r="G37" s="115"/>
      <c r="H37" s="115"/>
      <c r="I37" s="115"/>
      <c r="J37" s="115"/>
      <c r="K37" s="115"/>
      <c r="L37" s="115"/>
      <c r="M37" s="115"/>
      <c r="N37" s="115"/>
      <c r="O37" s="115"/>
      <c r="P37" s="115"/>
      <c r="Q37" s="115"/>
      <c r="R37" s="115"/>
      <c r="S37" s="115"/>
      <c r="T37" s="115"/>
      <c r="U37" s="115"/>
      <c r="V37" s="115"/>
      <c r="W37" s="115"/>
      <c r="X37" s="118"/>
      <c r="Y37" s="115"/>
      <c r="Z37" s="115"/>
      <c r="AA37" s="115"/>
      <c r="AB37" s="115"/>
      <c r="AC37" s="115"/>
      <c r="AD37" s="115"/>
      <c r="AE37" s="115"/>
      <c r="AF37" s="102"/>
    </row>
    <row r="38" spans="1:32" ht="14.65" thickBot="1" x14ac:dyDescent="0.5">
      <c r="A38" s="118"/>
      <c r="B38" s="118"/>
      <c r="C38" s="118"/>
      <c r="D38" s="118"/>
      <c r="E38" s="115"/>
      <c r="F38" s="118"/>
      <c r="G38" s="118"/>
      <c r="H38" s="225" t="str">
        <f>IF(FB_type=3,"Primary Side Load Capacitance","Load 1 Capacitance")</f>
        <v>Load 1 Capacitance</v>
      </c>
      <c r="I38" s="118"/>
      <c r="J38" s="115"/>
      <c r="K38" s="118"/>
      <c r="L38" s="217"/>
      <c r="M38" s="217"/>
      <c r="N38" s="225" t="str">
        <f>IF(FB_type=3,"Load 1 Capacitance","Load 2 Capacitance")</f>
        <v>Load 2 Capacitance</v>
      </c>
      <c r="O38" s="218"/>
      <c r="P38" s="219"/>
      <c r="Q38" s="115"/>
      <c r="R38" s="115"/>
      <c r="S38" s="118"/>
      <c r="T38" s="118"/>
      <c r="U38" s="118"/>
      <c r="V38" s="225" t="str">
        <f>IF(FB_type=3,"Load 2 Capacitance","Load 3 Capacitance")</f>
        <v>Load 3 Capacitance</v>
      </c>
      <c r="W38" s="118"/>
      <c r="X38" s="118"/>
      <c r="Y38" s="115"/>
      <c r="Z38" s="115"/>
      <c r="AA38" s="118"/>
      <c r="AB38" s="118"/>
      <c r="AC38" s="118"/>
      <c r="AD38" s="225" t="s">
        <v>640</v>
      </c>
      <c r="AE38" s="118"/>
      <c r="AF38" s="102"/>
    </row>
    <row r="39" spans="1:32" ht="15.75" x14ac:dyDescent="0.55000000000000004">
      <c r="A39" s="119"/>
      <c r="B39" s="120"/>
      <c r="C39" s="120"/>
      <c r="D39" s="120"/>
      <c r="E39" s="120"/>
      <c r="F39" s="120"/>
      <c r="G39" s="136" t="s">
        <v>564</v>
      </c>
      <c r="H39" s="150">
        <v>100</v>
      </c>
      <c r="I39" s="122" t="s">
        <v>139</v>
      </c>
      <c r="J39" s="115"/>
      <c r="K39" s="118"/>
      <c r="L39" s="119"/>
      <c r="M39" s="136" t="s">
        <v>564</v>
      </c>
      <c r="N39" s="150">
        <v>100</v>
      </c>
      <c r="O39" s="122" t="s">
        <v>139</v>
      </c>
      <c r="P39" s="115"/>
      <c r="Q39" s="118"/>
      <c r="R39" s="119"/>
      <c r="S39" s="120"/>
      <c r="T39" s="120"/>
      <c r="U39" s="136" t="s">
        <v>564</v>
      </c>
      <c r="V39" s="150">
        <v>100</v>
      </c>
      <c r="W39" s="122" t="s">
        <v>139</v>
      </c>
      <c r="X39" s="118"/>
      <c r="Y39" s="115"/>
      <c r="Z39" s="119"/>
      <c r="AA39" s="120"/>
      <c r="AB39" s="120"/>
      <c r="AC39" s="136" t="s">
        <v>564</v>
      </c>
      <c r="AD39" s="150">
        <v>100</v>
      </c>
      <c r="AE39" s="122" t="s">
        <v>139</v>
      </c>
      <c r="AF39" s="102"/>
    </row>
    <row r="40" spans="1:32" x14ac:dyDescent="0.45">
      <c r="A40" s="123"/>
      <c r="B40" s="118"/>
      <c r="C40" s="118"/>
      <c r="D40" s="118"/>
      <c r="E40" s="118"/>
      <c r="F40" s="118"/>
      <c r="G40" s="132" t="s">
        <v>641</v>
      </c>
      <c r="H40" s="154">
        <f>Cout1_min*10^6</f>
        <v>92.962962962962962</v>
      </c>
      <c r="I40" s="304" t="s">
        <v>792</v>
      </c>
      <c r="J40" s="115"/>
      <c r="K40" s="118"/>
      <c r="L40" s="123"/>
      <c r="M40" s="132" t="s">
        <v>642</v>
      </c>
      <c r="N40" s="154">
        <f>Cout2_min*(10^6)</f>
        <v>0</v>
      </c>
      <c r="O40" s="125" t="s">
        <v>792</v>
      </c>
      <c r="P40" s="115"/>
      <c r="Q40" s="118"/>
      <c r="R40" s="123"/>
      <c r="S40" s="118"/>
      <c r="T40" s="118"/>
      <c r="U40" s="132" t="s">
        <v>643</v>
      </c>
      <c r="V40" s="154">
        <f>Cout3_min*(10^6)</f>
        <v>0</v>
      </c>
      <c r="W40" s="154" t="s">
        <v>792</v>
      </c>
      <c r="X40" s="118"/>
      <c r="Y40" s="115"/>
      <c r="Z40" s="123"/>
      <c r="AA40" s="118"/>
      <c r="AB40" s="118"/>
      <c r="AC40" s="132" t="s">
        <v>643</v>
      </c>
      <c r="AD40" s="154">
        <f>Cout4_min*(10^6)</f>
        <v>0</v>
      </c>
      <c r="AE40" s="154" t="s">
        <v>792</v>
      </c>
      <c r="AF40" s="102"/>
    </row>
    <row r="41" spans="1:32" ht="15.75" x14ac:dyDescent="0.55000000000000004">
      <c r="A41" s="123"/>
      <c r="B41" s="118"/>
      <c r="C41" s="118"/>
      <c r="D41" s="224"/>
      <c r="E41" s="118"/>
      <c r="F41" s="118"/>
      <c r="G41" s="132" t="s">
        <v>141</v>
      </c>
      <c r="H41" s="151">
        <v>100</v>
      </c>
      <c r="I41" s="125" t="s">
        <v>140</v>
      </c>
      <c r="J41" s="115"/>
      <c r="K41" s="118"/>
      <c r="L41" s="123"/>
      <c r="M41" s="132" t="s">
        <v>141</v>
      </c>
      <c r="N41" s="151">
        <v>16</v>
      </c>
      <c r="O41" s="125" t="s">
        <v>140</v>
      </c>
      <c r="P41" s="115"/>
      <c r="Q41" s="118"/>
      <c r="R41" s="123"/>
      <c r="S41" s="118"/>
      <c r="T41" s="118"/>
      <c r="U41" s="132" t="s">
        <v>141</v>
      </c>
      <c r="V41" s="151">
        <v>16</v>
      </c>
      <c r="W41" s="125" t="s">
        <v>140</v>
      </c>
      <c r="X41" s="118"/>
      <c r="Y41" s="115"/>
      <c r="Z41" s="123"/>
      <c r="AA41" s="118"/>
      <c r="AB41" s="118"/>
      <c r="AC41" s="132" t="s">
        <v>141</v>
      </c>
      <c r="AD41" s="151">
        <v>28</v>
      </c>
      <c r="AE41" s="125" t="s">
        <v>140</v>
      </c>
      <c r="AF41" s="102"/>
    </row>
    <row r="42" spans="1:32" ht="16.149999999999999" thickBot="1" x14ac:dyDescent="0.6">
      <c r="A42" s="130"/>
      <c r="B42" s="127"/>
      <c r="C42" s="127"/>
      <c r="D42" s="127"/>
      <c r="E42" s="127"/>
      <c r="F42" s="127"/>
      <c r="G42" s="134" t="s">
        <v>146</v>
      </c>
      <c r="H42" s="156">
        <v>3</v>
      </c>
      <c r="I42" s="128" t="s">
        <v>78</v>
      </c>
      <c r="J42" s="213"/>
      <c r="K42" s="115"/>
      <c r="L42" s="130"/>
      <c r="M42" s="134" t="s">
        <v>146</v>
      </c>
      <c r="N42" s="156">
        <v>2</v>
      </c>
      <c r="O42" s="128" t="s">
        <v>78</v>
      </c>
      <c r="P42" s="115"/>
      <c r="Q42" s="118"/>
      <c r="R42" s="130"/>
      <c r="S42" s="127"/>
      <c r="T42" s="127"/>
      <c r="U42" s="134" t="s">
        <v>146</v>
      </c>
      <c r="V42" s="156">
        <v>2</v>
      </c>
      <c r="W42" s="128" t="s">
        <v>78</v>
      </c>
      <c r="X42" s="118"/>
      <c r="Y42" s="115"/>
      <c r="Z42" s="130"/>
      <c r="AA42" s="127"/>
      <c r="AB42" s="127"/>
      <c r="AC42" s="134" t="s">
        <v>146</v>
      </c>
      <c r="AD42" s="156">
        <v>2</v>
      </c>
      <c r="AE42" s="128" t="s">
        <v>78</v>
      </c>
      <c r="AF42" s="102"/>
    </row>
    <row r="43" spans="1:32" x14ac:dyDescent="0.45">
      <c r="A43" s="118"/>
      <c r="B43" s="118"/>
      <c r="C43" s="118"/>
      <c r="D43" s="118"/>
      <c r="E43" s="118"/>
      <c r="F43" s="118"/>
      <c r="G43" s="132"/>
      <c r="H43" s="173"/>
      <c r="I43" s="213"/>
      <c r="J43" s="213"/>
      <c r="K43" s="115"/>
      <c r="L43" s="115"/>
      <c r="M43" s="115"/>
      <c r="N43" s="115"/>
      <c r="O43" s="115"/>
      <c r="P43" s="115"/>
      <c r="Q43" s="115"/>
      <c r="R43" s="115"/>
      <c r="S43" s="115"/>
      <c r="T43" s="115"/>
      <c r="U43" s="115"/>
      <c r="V43" s="115"/>
      <c r="W43" s="115"/>
      <c r="X43" s="118"/>
      <c r="Y43" s="115"/>
      <c r="Z43" s="115"/>
      <c r="AA43" s="115"/>
      <c r="AB43" s="115"/>
      <c r="AC43" s="115"/>
      <c r="AD43" s="115"/>
      <c r="AE43" s="115"/>
      <c r="AF43" s="102"/>
    </row>
    <row r="44" spans="1:32" ht="18.399999999999999" thickBot="1" x14ac:dyDescent="0.6">
      <c r="A44" s="234" t="s">
        <v>802</v>
      </c>
      <c r="B44" s="115"/>
      <c r="C44" s="115"/>
      <c r="D44" s="115"/>
      <c r="E44" s="115"/>
      <c r="F44" s="115"/>
      <c r="G44" s="116"/>
      <c r="H44" s="115"/>
      <c r="I44" s="115"/>
      <c r="J44" s="213"/>
      <c r="K44" s="115"/>
      <c r="L44" s="115"/>
      <c r="M44" s="115"/>
      <c r="N44" s="115"/>
      <c r="O44" s="115"/>
      <c r="P44" s="115"/>
      <c r="Q44" s="115"/>
      <c r="R44" s="115"/>
      <c r="S44" s="115"/>
      <c r="T44" s="115"/>
      <c r="U44" s="115"/>
      <c r="V44" s="115"/>
      <c r="W44" s="115"/>
      <c r="X44" s="118"/>
      <c r="Y44" s="115"/>
      <c r="Z44" s="115"/>
      <c r="AA44" s="115"/>
      <c r="AB44" s="115"/>
      <c r="AC44" s="115"/>
      <c r="AD44" s="115"/>
      <c r="AE44" s="115"/>
      <c r="AF44" s="102"/>
    </row>
    <row r="45" spans="1:32" ht="15.75" x14ac:dyDescent="0.55000000000000004">
      <c r="A45" s="119"/>
      <c r="B45" s="120"/>
      <c r="C45" s="120"/>
      <c r="D45" s="120"/>
      <c r="E45" s="120"/>
      <c r="F45" s="120"/>
      <c r="G45" s="136" t="s">
        <v>283</v>
      </c>
      <c r="H45" s="159">
        <f>Variable_Management!B195*(10^9)</f>
        <v>1.2499999999999998</v>
      </c>
      <c r="I45" s="122" t="s">
        <v>162</v>
      </c>
      <c r="J45" s="213"/>
      <c r="K45" s="115"/>
      <c r="L45" s="115"/>
      <c r="M45" s="115"/>
      <c r="N45" s="115"/>
      <c r="O45" s="115"/>
      <c r="P45" s="115"/>
      <c r="Q45" s="115"/>
      <c r="R45" s="115"/>
      <c r="S45" s="115"/>
      <c r="T45" s="115"/>
      <c r="U45" s="115"/>
      <c r="V45" s="115"/>
      <c r="W45" s="115"/>
      <c r="X45" s="118"/>
      <c r="Y45" s="115"/>
      <c r="Z45" s="115"/>
      <c r="AA45" s="115"/>
      <c r="AB45" s="115"/>
      <c r="AC45" s="115"/>
      <c r="AD45" s="115"/>
      <c r="AE45" s="115"/>
      <c r="AF45" s="102"/>
    </row>
    <row r="46" spans="1:32" ht="15.75" x14ac:dyDescent="0.55000000000000004">
      <c r="A46" s="123"/>
      <c r="B46" s="118"/>
      <c r="C46" s="118"/>
      <c r="D46" s="118"/>
      <c r="E46" s="118"/>
      <c r="F46" s="118"/>
      <c r="G46" s="132" t="s">
        <v>781</v>
      </c>
      <c r="H46" s="151">
        <v>57</v>
      </c>
      <c r="I46" s="125" t="s">
        <v>284</v>
      </c>
      <c r="J46" s="213"/>
      <c r="K46" s="115"/>
      <c r="L46" s="115"/>
      <c r="M46" s="115"/>
      <c r="N46" s="115"/>
      <c r="O46" s="115"/>
      <c r="P46" s="115"/>
      <c r="Q46" s="115"/>
      <c r="R46" s="115"/>
      <c r="S46" s="115"/>
      <c r="T46" s="115"/>
      <c r="U46" s="115"/>
      <c r="V46" s="115"/>
      <c r="W46" s="115"/>
      <c r="X46" s="118"/>
      <c r="Y46" s="115"/>
      <c r="Z46" s="115"/>
      <c r="AA46" s="115"/>
      <c r="AB46" s="115"/>
      <c r="AC46" s="115"/>
      <c r="AD46" s="115"/>
      <c r="AE46" s="115"/>
      <c r="AF46" s="102"/>
    </row>
    <row r="47" spans="1:32" ht="16.149999999999999" thickBot="1" x14ac:dyDescent="0.6">
      <c r="A47" s="130"/>
      <c r="B47" s="127"/>
      <c r="C47" s="127"/>
      <c r="D47" s="127"/>
      <c r="E47" s="127"/>
      <c r="F47" s="127"/>
      <c r="G47" s="134" t="s">
        <v>287</v>
      </c>
      <c r="H47" s="160">
        <f>Variable_Management!B197*(10^9)</f>
        <v>569.99999999999989</v>
      </c>
      <c r="I47" s="128" t="s">
        <v>162</v>
      </c>
      <c r="J47" s="213"/>
      <c r="K47" s="115"/>
      <c r="L47" s="115"/>
      <c r="M47" s="115"/>
      <c r="N47" s="115"/>
      <c r="O47" s="115"/>
      <c r="P47" s="115"/>
      <c r="Q47" s="115"/>
      <c r="R47" s="115"/>
      <c r="S47" s="115"/>
      <c r="T47" s="115"/>
      <c r="U47" s="115"/>
      <c r="V47" s="115"/>
      <c r="W47" s="115"/>
      <c r="X47" s="118"/>
      <c r="Y47" s="115"/>
      <c r="Z47" s="115"/>
      <c r="AA47" s="115"/>
      <c r="AB47" s="115"/>
      <c r="AC47" s="115"/>
      <c r="AD47" s="115"/>
      <c r="AE47" s="115"/>
      <c r="AF47" s="102"/>
    </row>
    <row r="48" spans="1:32" x14ac:dyDescent="0.45">
      <c r="A48" s="115"/>
      <c r="B48" s="115"/>
      <c r="C48" s="115"/>
      <c r="D48" s="115"/>
      <c r="E48" s="115"/>
      <c r="F48" s="115"/>
      <c r="G48" s="116"/>
      <c r="H48" s="115"/>
      <c r="I48" s="115"/>
      <c r="J48" s="115"/>
      <c r="K48" s="115"/>
      <c r="L48" s="115"/>
      <c r="M48" s="115"/>
      <c r="N48" s="115"/>
      <c r="O48" s="115"/>
      <c r="P48" s="115"/>
      <c r="Q48" s="115"/>
      <c r="R48" s="115"/>
      <c r="S48" s="115"/>
      <c r="T48" s="115"/>
      <c r="U48" s="115"/>
      <c r="V48" s="115"/>
      <c r="W48" s="115"/>
      <c r="X48" s="118"/>
      <c r="Y48" s="115"/>
      <c r="Z48" s="115"/>
      <c r="AA48" s="115"/>
      <c r="AB48" s="115"/>
      <c r="AC48" s="115"/>
      <c r="AD48" s="115"/>
      <c r="AE48" s="115"/>
      <c r="AF48" s="102"/>
    </row>
    <row r="49" spans="1:32" ht="18.399999999999999" thickBot="1" x14ac:dyDescent="0.6">
      <c r="A49" s="234" t="s">
        <v>262</v>
      </c>
      <c r="B49" s="115"/>
      <c r="C49" s="115"/>
      <c r="D49" s="115"/>
      <c r="E49" s="115"/>
      <c r="F49" s="115"/>
      <c r="G49" s="116"/>
      <c r="H49" s="115"/>
      <c r="I49" s="115"/>
      <c r="J49" s="118"/>
      <c r="K49" s="115"/>
      <c r="L49" s="115"/>
      <c r="M49" s="115"/>
      <c r="N49" s="115"/>
      <c r="O49" s="115"/>
      <c r="P49" s="115"/>
      <c r="Q49" s="115"/>
      <c r="R49" s="115"/>
      <c r="S49" s="115"/>
      <c r="T49" s="115"/>
      <c r="U49" s="115"/>
      <c r="V49" s="115"/>
      <c r="W49" s="115"/>
      <c r="X49" s="118"/>
      <c r="Y49" s="115"/>
      <c r="Z49" s="115"/>
      <c r="AA49" s="115"/>
      <c r="AB49" s="115"/>
      <c r="AC49" s="115"/>
      <c r="AD49" s="115"/>
      <c r="AE49" s="115"/>
      <c r="AF49" s="102"/>
    </row>
    <row r="50" spans="1:32" ht="15.75" x14ac:dyDescent="0.55000000000000004">
      <c r="A50" s="119"/>
      <c r="B50" s="120"/>
      <c r="C50" s="120"/>
      <c r="D50" s="120"/>
      <c r="E50" s="120"/>
      <c r="F50" s="120"/>
      <c r="G50" s="136" t="s">
        <v>289</v>
      </c>
      <c r="H50" s="150">
        <v>32</v>
      </c>
      <c r="I50" s="122" t="s">
        <v>9</v>
      </c>
      <c r="J50" s="118"/>
      <c r="K50" s="115"/>
      <c r="L50" s="115"/>
      <c r="M50" s="115"/>
      <c r="N50" s="115"/>
      <c r="O50" s="115"/>
      <c r="P50" s="115"/>
      <c r="Q50" s="115"/>
      <c r="R50" s="115"/>
      <c r="S50" s="115"/>
      <c r="T50" s="115"/>
      <c r="U50" s="115"/>
      <c r="V50" s="115"/>
      <c r="W50" s="115"/>
      <c r="X50" s="118"/>
      <c r="Y50" s="115"/>
      <c r="Z50" s="115"/>
      <c r="AA50" s="115"/>
      <c r="AB50" s="115"/>
      <c r="AC50" s="115"/>
      <c r="AD50" s="115"/>
      <c r="AE50" s="115"/>
      <c r="AF50" s="102"/>
    </row>
    <row r="51" spans="1:32" ht="15.75" x14ac:dyDescent="0.55000000000000004">
      <c r="A51" s="123"/>
      <c r="B51" s="118"/>
      <c r="C51" s="118"/>
      <c r="D51" s="118"/>
      <c r="E51" s="118"/>
      <c r="F51" s="118"/>
      <c r="G51" s="132" t="s">
        <v>288</v>
      </c>
      <c r="H51" s="151">
        <v>28</v>
      </c>
      <c r="I51" s="125" t="s">
        <v>9</v>
      </c>
      <c r="J51" s="118"/>
      <c r="K51" s="115"/>
      <c r="L51" s="115"/>
      <c r="M51" s="115"/>
      <c r="N51" s="115"/>
      <c r="O51" s="115"/>
      <c r="P51" s="115"/>
      <c r="Q51" s="115"/>
      <c r="R51" s="115"/>
      <c r="S51" s="115"/>
      <c r="T51" s="115"/>
      <c r="U51" s="115"/>
      <c r="V51" s="115"/>
      <c r="W51" s="115"/>
      <c r="X51" s="118"/>
      <c r="Y51" s="115"/>
      <c r="Z51" s="115"/>
      <c r="AA51" s="115"/>
      <c r="AB51" s="115"/>
      <c r="AC51" s="115"/>
      <c r="AD51" s="115"/>
      <c r="AE51" s="115"/>
      <c r="AF51" s="102"/>
    </row>
    <row r="52" spans="1:32" ht="15.75" x14ac:dyDescent="0.55000000000000004">
      <c r="A52" s="123"/>
      <c r="B52" s="118"/>
      <c r="C52" s="118"/>
      <c r="D52" s="118"/>
      <c r="E52" s="118"/>
      <c r="F52" s="118"/>
      <c r="G52" s="132" t="s">
        <v>372</v>
      </c>
      <c r="H52" s="157">
        <f>Ruvlo_top_calc/1000</f>
        <v>586.66666666666674</v>
      </c>
      <c r="I52" s="133" t="s">
        <v>159</v>
      </c>
      <c r="J52" s="115"/>
      <c r="K52" s="115"/>
      <c r="L52" s="115"/>
      <c r="M52" s="115"/>
      <c r="N52" s="115"/>
      <c r="O52" s="115"/>
      <c r="P52" s="115"/>
      <c r="Q52" s="115"/>
      <c r="R52" s="115"/>
      <c r="S52" s="115"/>
      <c r="T52" s="115"/>
      <c r="U52" s="115"/>
      <c r="V52" s="115"/>
      <c r="W52" s="115"/>
      <c r="X52" s="118"/>
      <c r="Y52" s="115"/>
      <c r="Z52" s="115"/>
      <c r="AA52" s="115"/>
      <c r="AB52" s="115"/>
      <c r="AC52" s="115"/>
      <c r="AD52" s="115"/>
      <c r="AE52" s="115"/>
      <c r="AF52" s="102"/>
    </row>
    <row r="53" spans="1:32" ht="15.75" x14ac:dyDescent="0.55000000000000004">
      <c r="A53" s="123"/>
      <c r="B53" s="118"/>
      <c r="C53" s="118"/>
      <c r="D53" s="118"/>
      <c r="E53" s="118"/>
      <c r="F53" s="118"/>
      <c r="G53" s="132" t="s">
        <v>373</v>
      </c>
      <c r="H53" s="151">
        <v>49.9</v>
      </c>
      <c r="I53" s="133" t="s">
        <v>159</v>
      </c>
      <c r="J53" s="115"/>
      <c r="K53" s="115"/>
      <c r="L53" s="115"/>
      <c r="M53" s="115"/>
      <c r="N53" s="115"/>
      <c r="O53" s="115"/>
      <c r="P53" s="115"/>
      <c r="Q53" s="115"/>
      <c r="R53" s="115"/>
      <c r="S53" s="115"/>
      <c r="T53" s="115"/>
      <c r="U53" s="115"/>
      <c r="V53" s="115"/>
      <c r="W53" s="115"/>
      <c r="X53" s="118"/>
      <c r="Y53" s="115"/>
      <c r="Z53" s="115"/>
      <c r="AA53" s="115"/>
      <c r="AB53" s="115"/>
      <c r="AC53" s="115"/>
      <c r="AD53" s="115"/>
      <c r="AE53" s="115"/>
      <c r="AF53" s="102"/>
    </row>
    <row r="54" spans="1:32" ht="16.149999999999999" thickBot="1" x14ac:dyDescent="0.6">
      <c r="A54" s="130"/>
      <c r="B54" s="127"/>
      <c r="C54" s="127"/>
      <c r="D54" s="127"/>
      <c r="E54" s="127"/>
      <c r="F54" s="127"/>
      <c r="G54" s="134" t="s">
        <v>374</v>
      </c>
      <c r="H54" s="158">
        <f>Ruvlo_bottom_calc/1000</f>
        <v>2.4540983606557378</v>
      </c>
      <c r="I54" s="135" t="s">
        <v>159</v>
      </c>
      <c r="J54" s="118"/>
      <c r="K54" s="115"/>
      <c r="L54" s="115"/>
      <c r="M54" s="115"/>
      <c r="N54" s="115"/>
      <c r="O54" s="115"/>
      <c r="P54" s="115"/>
      <c r="Q54" s="115"/>
      <c r="R54" s="115"/>
      <c r="S54" s="115"/>
      <c r="T54" s="115"/>
      <c r="U54" s="115"/>
      <c r="V54" s="115"/>
      <c r="W54" s="115"/>
      <c r="X54" s="118"/>
      <c r="Y54" s="115"/>
      <c r="Z54" s="115"/>
      <c r="AA54" s="115"/>
      <c r="AB54" s="115"/>
      <c r="AC54" s="115"/>
      <c r="AD54" s="115"/>
      <c r="AE54" s="115"/>
      <c r="AF54" s="102"/>
    </row>
    <row r="55" spans="1:32" x14ac:dyDescent="0.45">
      <c r="A55" s="115"/>
      <c r="B55" s="115"/>
      <c r="C55" s="115"/>
      <c r="D55" s="115"/>
      <c r="E55" s="115"/>
      <c r="F55" s="115"/>
      <c r="G55" s="116"/>
      <c r="H55" s="115"/>
      <c r="I55" s="115"/>
      <c r="J55" s="118"/>
      <c r="K55" s="115"/>
      <c r="L55" s="115"/>
      <c r="M55" s="115"/>
      <c r="N55" s="115"/>
      <c r="O55" s="115"/>
      <c r="P55" s="115"/>
      <c r="Q55" s="115"/>
      <c r="R55" s="115"/>
      <c r="S55" s="115"/>
      <c r="T55" s="115"/>
      <c r="U55" s="115"/>
      <c r="V55" s="115"/>
      <c r="W55" s="115"/>
      <c r="X55" s="118"/>
      <c r="Y55" s="115"/>
      <c r="Z55" s="115"/>
      <c r="AA55" s="115"/>
      <c r="AB55" s="115"/>
      <c r="AC55" s="115"/>
      <c r="AD55" s="115"/>
      <c r="AE55" s="115"/>
      <c r="AF55" s="102"/>
    </row>
    <row r="56" spans="1:32" ht="18.399999999999999" thickBot="1" x14ac:dyDescent="0.6">
      <c r="A56" s="234" t="s">
        <v>312</v>
      </c>
      <c r="B56" s="115"/>
      <c r="C56" s="115"/>
      <c r="D56" s="115"/>
      <c r="E56" s="115"/>
      <c r="F56" s="115"/>
      <c r="G56" s="115"/>
      <c r="H56" s="115"/>
      <c r="I56" s="115"/>
      <c r="J56" s="213"/>
      <c r="K56" s="115"/>
      <c r="L56" s="115"/>
      <c r="M56" s="115"/>
      <c r="N56" s="115"/>
      <c r="O56" s="115"/>
      <c r="P56" s="115"/>
      <c r="Q56" s="115"/>
      <c r="R56" s="115"/>
      <c r="S56" s="115"/>
      <c r="T56" s="115"/>
      <c r="U56" s="115"/>
      <c r="V56" s="115"/>
      <c r="W56" s="115"/>
      <c r="X56" s="118"/>
      <c r="Y56" s="115"/>
      <c r="Z56" s="115"/>
      <c r="AA56" s="115"/>
      <c r="AB56" s="115"/>
      <c r="AC56" s="115"/>
      <c r="AD56" s="115"/>
      <c r="AE56" s="115"/>
      <c r="AF56" s="102"/>
    </row>
    <row r="57" spans="1:32" ht="15.75" x14ac:dyDescent="0.55000000000000004">
      <c r="A57" s="137"/>
      <c r="B57" s="120"/>
      <c r="C57" s="120"/>
      <c r="D57" s="120"/>
      <c r="E57" s="120"/>
      <c r="F57" s="120"/>
      <c r="G57" s="138" t="s">
        <v>394</v>
      </c>
      <c r="H57" s="189" t="str">
        <f>VIN_nom&amp;"V"</f>
        <v>42V</v>
      </c>
      <c r="I57" s="174"/>
      <c r="J57" s="213"/>
      <c r="K57" s="115"/>
      <c r="L57" s="115"/>
      <c r="M57" s="115"/>
      <c r="N57" s="115"/>
      <c r="O57" s="115"/>
      <c r="P57" s="115"/>
      <c r="Q57" s="115"/>
      <c r="R57" s="115"/>
      <c r="S57" s="115"/>
      <c r="T57" s="115"/>
      <c r="U57" s="115"/>
      <c r="V57" s="115"/>
      <c r="W57" s="115"/>
      <c r="X57" s="118"/>
      <c r="Y57" s="115"/>
      <c r="Z57" s="115"/>
      <c r="AA57" s="115"/>
      <c r="AB57" s="115"/>
      <c r="AC57" s="115"/>
      <c r="AD57" s="115"/>
      <c r="AE57" s="115"/>
      <c r="AF57" s="102"/>
    </row>
    <row r="58" spans="1:32" x14ac:dyDescent="0.45">
      <c r="A58" s="139"/>
      <c r="B58" s="118"/>
      <c r="C58" s="118"/>
      <c r="D58" s="118"/>
      <c r="E58" s="118"/>
      <c r="F58" s="118"/>
      <c r="G58" s="188"/>
      <c r="H58" s="179"/>
      <c r="I58" s="153"/>
      <c r="J58" s="213"/>
      <c r="K58" s="115"/>
      <c r="L58" s="115"/>
      <c r="M58" s="115"/>
      <c r="N58" s="115"/>
      <c r="O58" s="115"/>
      <c r="P58" s="115"/>
      <c r="Q58" s="115"/>
      <c r="R58" s="115"/>
      <c r="S58" s="115"/>
      <c r="T58" s="115"/>
      <c r="U58" s="115"/>
      <c r="V58" s="115"/>
      <c r="W58" s="115"/>
      <c r="X58" s="118"/>
      <c r="Y58" s="115"/>
      <c r="Z58" s="115"/>
      <c r="AA58" s="115"/>
      <c r="AB58" s="115"/>
      <c r="AC58" s="115"/>
      <c r="AD58" s="115"/>
      <c r="AE58" s="115"/>
      <c r="AF58" s="102"/>
    </row>
    <row r="59" spans="1:32" ht="14.65" thickBot="1" x14ac:dyDescent="0.5">
      <c r="A59" s="139"/>
      <c r="B59" s="118"/>
      <c r="C59" s="118"/>
      <c r="D59" s="118"/>
      <c r="E59" s="118"/>
      <c r="F59" s="118"/>
      <c r="G59" s="242" t="s">
        <v>160</v>
      </c>
      <c r="H59" s="153"/>
      <c r="I59" s="153"/>
      <c r="J59" s="115"/>
      <c r="K59" s="115"/>
      <c r="L59" s="115"/>
      <c r="M59" s="115"/>
      <c r="N59" s="115"/>
      <c r="O59" s="115"/>
      <c r="P59" s="115"/>
      <c r="Q59" s="115"/>
      <c r="R59" s="115"/>
      <c r="S59" s="115"/>
      <c r="T59" s="115"/>
      <c r="U59" s="115"/>
      <c r="V59" s="115"/>
      <c r="W59" s="115"/>
      <c r="X59" s="118"/>
      <c r="Y59" s="115"/>
      <c r="Z59" s="115"/>
      <c r="AA59" s="115"/>
      <c r="AB59" s="115"/>
      <c r="AC59" s="115"/>
      <c r="AD59" s="115"/>
      <c r="AE59" s="115"/>
      <c r="AF59" s="102"/>
    </row>
    <row r="60" spans="1:32" ht="15.75" x14ac:dyDescent="0.55000000000000004">
      <c r="A60" s="139"/>
      <c r="B60" s="118"/>
      <c r="C60" s="118"/>
      <c r="D60" s="118"/>
      <c r="E60" s="118"/>
      <c r="F60" s="118"/>
      <c r="G60" s="116" t="s">
        <v>486</v>
      </c>
      <c r="H60" s="150">
        <v>1.24</v>
      </c>
      <c r="I60" s="174" t="s">
        <v>9</v>
      </c>
      <c r="J60" s="115"/>
      <c r="K60" s="115"/>
      <c r="L60" s="115"/>
      <c r="M60" s="115"/>
      <c r="N60" s="115"/>
      <c r="O60" s="115"/>
      <c r="P60" s="115"/>
      <c r="Q60" s="115"/>
      <c r="R60" s="115"/>
      <c r="S60" s="115"/>
      <c r="T60" s="115"/>
      <c r="U60" s="115"/>
      <c r="V60" s="115"/>
      <c r="W60" s="115"/>
      <c r="X60" s="118"/>
      <c r="Y60" s="115"/>
      <c r="Z60" s="115"/>
      <c r="AA60" s="115"/>
      <c r="AB60" s="115"/>
      <c r="AC60" s="115"/>
      <c r="AD60" s="115"/>
      <c r="AE60" s="115"/>
      <c r="AF60" s="102"/>
    </row>
    <row r="61" spans="1:32" ht="15.75" x14ac:dyDescent="0.55000000000000004">
      <c r="A61" s="139"/>
      <c r="B61" s="118"/>
      <c r="C61" s="118"/>
      <c r="D61" s="118"/>
      <c r="E61" s="118"/>
      <c r="F61" s="118"/>
      <c r="G61" s="132" t="s">
        <v>260</v>
      </c>
      <c r="H61" s="151">
        <v>49.9</v>
      </c>
      <c r="I61" s="187" t="s">
        <v>159</v>
      </c>
      <c r="J61" s="118"/>
      <c r="K61" s="115"/>
      <c r="L61" s="115"/>
      <c r="M61" s="115"/>
      <c r="N61" s="115"/>
      <c r="O61" s="115"/>
      <c r="P61" s="115"/>
      <c r="Q61" s="115"/>
      <c r="R61" s="115"/>
      <c r="S61" s="115"/>
      <c r="T61" s="115"/>
      <c r="U61" s="115"/>
      <c r="V61" s="115"/>
      <c r="W61" s="115"/>
      <c r="X61" s="118"/>
      <c r="Y61" s="115"/>
      <c r="Z61" s="115"/>
      <c r="AA61" s="115"/>
      <c r="AB61" s="115"/>
      <c r="AC61" s="115"/>
      <c r="AD61" s="115"/>
      <c r="AE61" s="115"/>
      <c r="AF61" s="102"/>
    </row>
    <row r="62" spans="1:32" ht="15.75" x14ac:dyDescent="0.55000000000000004">
      <c r="A62" s="139"/>
      <c r="B62" s="118"/>
      <c r="C62" s="118"/>
      <c r="D62" s="118"/>
      <c r="E62" s="118"/>
      <c r="F62" s="118"/>
      <c r="G62" s="132" t="s">
        <v>236</v>
      </c>
      <c r="H62" s="157">
        <f>CHOOSE(FB_type,RFBB_iso_calc,RFBB_calc,RFBB_calc)/1000</f>
        <v>16.456382978723408</v>
      </c>
      <c r="I62" s="187" t="s">
        <v>159</v>
      </c>
      <c r="J62" s="118"/>
      <c r="K62" s="115"/>
      <c r="L62" s="115"/>
      <c r="M62" s="115"/>
      <c r="N62" s="115"/>
      <c r="O62" s="115"/>
      <c r="P62" s="115"/>
      <c r="Q62" s="115"/>
      <c r="R62" s="115"/>
      <c r="S62" s="115"/>
      <c r="T62" s="115"/>
      <c r="U62" s="115"/>
      <c r="V62" s="115"/>
      <c r="W62" s="115"/>
      <c r="X62" s="118"/>
      <c r="Y62" s="115"/>
      <c r="Z62" s="115"/>
      <c r="AA62" s="115"/>
      <c r="AB62" s="115"/>
      <c r="AC62" s="115"/>
      <c r="AD62" s="115"/>
      <c r="AE62" s="115"/>
      <c r="AF62" s="102"/>
    </row>
    <row r="63" spans="1:32" ht="16.149999999999999" thickBot="1" x14ac:dyDescent="0.6">
      <c r="A63" s="139"/>
      <c r="B63" s="118"/>
      <c r="C63" s="118"/>
      <c r="D63" s="118"/>
      <c r="E63" s="118"/>
      <c r="F63" s="118"/>
      <c r="G63" s="132" t="s">
        <v>261</v>
      </c>
      <c r="H63" s="156">
        <v>5.54</v>
      </c>
      <c r="I63" s="238" t="s">
        <v>159</v>
      </c>
      <c r="J63" s="118"/>
      <c r="K63" s="115"/>
      <c r="L63" s="115"/>
      <c r="M63" s="115"/>
      <c r="N63" s="115"/>
      <c r="O63" s="115"/>
      <c r="P63" s="115"/>
      <c r="Q63" s="115"/>
      <c r="R63" s="115"/>
      <c r="S63" s="115"/>
      <c r="T63" s="115"/>
      <c r="U63" s="115"/>
      <c r="V63" s="115"/>
      <c r="W63" s="115"/>
      <c r="X63" s="118"/>
      <c r="Y63" s="115"/>
      <c r="Z63" s="115"/>
      <c r="AA63" s="115"/>
      <c r="AB63" s="115"/>
      <c r="AC63" s="115"/>
      <c r="AD63" s="115"/>
      <c r="AE63" s="115"/>
      <c r="AF63" s="102"/>
    </row>
    <row r="64" spans="1:32" x14ac:dyDescent="0.45">
      <c r="A64" s="123"/>
      <c r="B64" s="118"/>
      <c r="C64" s="118"/>
      <c r="D64" s="118"/>
      <c r="E64" s="118"/>
      <c r="F64" s="118"/>
      <c r="G64" s="132"/>
      <c r="H64" s="153"/>
      <c r="I64" s="153"/>
      <c r="J64" s="118"/>
      <c r="K64" s="115"/>
      <c r="L64" s="115"/>
      <c r="M64" s="115"/>
      <c r="N64" s="115"/>
      <c r="O64" s="115"/>
      <c r="P64" s="115"/>
      <c r="Q64" s="115"/>
      <c r="R64" s="115"/>
      <c r="S64" s="115"/>
      <c r="T64" s="115"/>
      <c r="U64" s="115"/>
      <c r="V64" s="115"/>
      <c r="W64" s="115"/>
      <c r="X64" s="118"/>
      <c r="Y64" s="115"/>
      <c r="Z64" s="115"/>
      <c r="AA64" s="115"/>
      <c r="AB64" s="115"/>
      <c r="AC64" s="115"/>
      <c r="AD64" s="115"/>
      <c r="AE64" s="115"/>
      <c r="AF64" s="102"/>
    </row>
    <row r="65" spans="1:32" ht="14.65" thickBot="1" x14ac:dyDescent="0.5">
      <c r="A65" s="123"/>
      <c r="B65" s="118"/>
      <c r="C65" s="118"/>
      <c r="D65" s="118"/>
      <c r="E65" s="118"/>
      <c r="F65" s="118"/>
      <c r="G65" s="242" t="s">
        <v>799</v>
      </c>
      <c r="H65" s="153"/>
      <c r="I65" s="153"/>
      <c r="J65" s="213"/>
      <c r="K65" s="115"/>
      <c r="L65" s="115"/>
      <c r="M65" s="115"/>
      <c r="N65" s="115"/>
      <c r="O65" s="115"/>
      <c r="P65" s="115"/>
      <c r="Q65" s="115"/>
      <c r="R65" s="115"/>
      <c r="S65" s="115"/>
      <c r="T65" s="115"/>
      <c r="U65" s="115"/>
      <c r="V65" s="115"/>
      <c r="W65" s="115"/>
      <c r="X65" s="118"/>
      <c r="Y65" s="115"/>
      <c r="Z65" s="115"/>
      <c r="AA65" s="115"/>
      <c r="AB65" s="115"/>
      <c r="AC65" s="115"/>
      <c r="AD65" s="115"/>
      <c r="AE65" s="115"/>
      <c r="AF65" s="102"/>
    </row>
    <row r="66" spans="1:32" ht="15.75" x14ac:dyDescent="0.55000000000000004">
      <c r="A66" s="123"/>
      <c r="B66" s="118"/>
      <c r="C66" s="118"/>
      <c r="D66" s="118"/>
      <c r="E66" s="118"/>
      <c r="F66" s="118"/>
      <c r="G66" s="132" t="s">
        <v>487</v>
      </c>
      <c r="H66" s="150">
        <v>1</v>
      </c>
      <c r="I66" s="174" t="s">
        <v>504</v>
      </c>
      <c r="J66" s="213"/>
      <c r="K66" s="115"/>
      <c r="L66" s="115"/>
      <c r="M66" s="115"/>
      <c r="N66" s="115"/>
      <c r="O66" s="115"/>
      <c r="P66" s="115"/>
      <c r="Q66" s="115"/>
      <c r="R66" s="115"/>
      <c r="S66" s="115"/>
      <c r="T66" s="115"/>
      <c r="U66" s="115"/>
      <c r="V66" s="115"/>
      <c r="W66" s="115"/>
      <c r="X66" s="118"/>
      <c r="Y66" s="115"/>
      <c r="Z66" s="115"/>
      <c r="AA66" s="115"/>
      <c r="AB66" s="115"/>
      <c r="AC66" s="115"/>
      <c r="AD66" s="115"/>
      <c r="AE66" s="115"/>
      <c r="AF66" s="102"/>
    </row>
    <row r="67" spans="1:32" ht="15.75" x14ac:dyDescent="0.55000000000000004">
      <c r="A67" s="123"/>
      <c r="B67" s="118"/>
      <c r="C67" s="118"/>
      <c r="D67" s="118"/>
      <c r="E67" s="118"/>
      <c r="F67" s="118"/>
      <c r="G67" s="132" t="s">
        <v>488</v>
      </c>
      <c r="H67" s="151">
        <v>2</v>
      </c>
      <c r="I67" s="153" t="s">
        <v>504</v>
      </c>
      <c r="J67" s="213"/>
      <c r="K67" s="115"/>
      <c r="L67" s="115"/>
      <c r="M67" s="115"/>
      <c r="N67" s="115"/>
      <c r="O67" s="115"/>
      <c r="P67" s="115"/>
      <c r="Q67" s="115"/>
      <c r="R67" s="115"/>
      <c r="S67" s="115"/>
      <c r="T67" s="115"/>
      <c r="U67" s="115"/>
      <c r="V67" s="115"/>
      <c r="W67" s="115"/>
      <c r="X67" s="118"/>
      <c r="Y67" s="115"/>
      <c r="Z67" s="115"/>
      <c r="AA67" s="115"/>
      <c r="AB67" s="115"/>
      <c r="AC67" s="115"/>
      <c r="AD67" s="115"/>
      <c r="AE67" s="115"/>
      <c r="AF67" s="102"/>
    </row>
    <row r="68" spans="1:32" ht="15.75" x14ac:dyDescent="0.55000000000000004">
      <c r="A68" s="123"/>
      <c r="B68" s="118"/>
      <c r="C68" s="118"/>
      <c r="D68" s="118"/>
      <c r="E68" s="118"/>
      <c r="F68" s="118"/>
      <c r="G68" s="132" t="s">
        <v>489</v>
      </c>
      <c r="H68" s="151">
        <v>1.4</v>
      </c>
      <c r="I68" s="153" t="s">
        <v>9</v>
      </c>
      <c r="J68" s="118"/>
      <c r="K68" s="115"/>
      <c r="L68" s="115"/>
      <c r="M68" s="115"/>
      <c r="N68" s="115"/>
      <c r="O68" s="115"/>
      <c r="P68" s="115"/>
      <c r="Q68" s="115"/>
      <c r="R68" s="115"/>
      <c r="S68" s="115"/>
      <c r="T68" s="115"/>
      <c r="U68" s="115"/>
      <c r="V68" s="115"/>
      <c r="W68" s="115"/>
      <c r="X68" s="118"/>
      <c r="Y68" s="115"/>
      <c r="Z68" s="115"/>
      <c r="AA68" s="115"/>
      <c r="AB68" s="115"/>
      <c r="AC68" s="115"/>
      <c r="AD68" s="115"/>
      <c r="AE68" s="115"/>
      <c r="AF68" s="102"/>
    </row>
    <row r="69" spans="1:32" ht="15.75" x14ac:dyDescent="0.55000000000000004">
      <c r="A69" s="123"/>
      <c r="B69" s="118"/>
      <c r="C69" s="118"/>
      <c r="D69" s="118"/>
      <c r="E69" s="118"/>
      <c r="F69" s="118"/>
      <c r="G69" s="116" t="s">
        <v>650</v>
      </c>
      <c r="H69" s="151">
        <v>3.3</v>
      </c>
      <c r="I69" s="153" t="s">
        <v>162</v>
      </c>
      <c r="J69" s="118"/>
      <c r="K69" s="115"/>
      <c r="L69" s="115"/>
      <c r="M69" s="115"/>
      <c r="N69" s="115"/>
      <c r="O69" s="115"/>
      <c r="P69" s="115"/>
      <c r="Q69" s="115"/>
      <c r="R69" s="115"/>
      <c r="S69" s="115"/>
      <c r="T69" s="115"/>
      <c r="U69" s="115"/>
      <c r="V69" s="115"/>
      <c r="W69" s="115"/>
      <c r="X69" s="118"/>
      <c r="Y69" s="115"/>
      <c r="Z69" s="115"/>
      <c r="AA69" s="115"/>
      <c r="AB69" s="115"/>
      <c r="AC69" s="115"/>
      <c r="AD69" s="115"/>
      <c r="AE69" s="115"/>
      <c r="AF69" s="102"/>
    </row>
    <row r="70" spans="1:32" ht="16.149999999999999" thickBot="1" x14ac:dyDescent="0.6">
      <c r="A70" s="123"/>
      <c r="B70" s="118"/>
      <c r="C70" s="118"/>
      <c r="D70" s="118"/>
      <c r="E70" s="118"/>
      <c r="F70" s="118"/>
      <c r="G70" s="116" t="s">
        <v>651</v>
      </c>
      <c r="H70" s="156">
        <v>200</v>
      </c>
      <c r="I70" s="168" t="s">
        <v>139</v>
      </c>
      <c r="J70" s="118"/>
      <c r="K70" s="115"/>
      <c r="L70" s="115"/>
      <c r="M70" s="115"/>
      <c r="N70" s="115"/>
      <c r="O70" s="115"/>
      <c r="P70" s="115"/>
      <c r="Q70" s="115"/>
      <c r="R70" s="115"/>
      <c r="S70" s="115"/>
      <c r="T70" s="115"/>
      <c r="U70" s="115"/>
      <c r="V70" s="115"/>
      <c r="W70" s="115"/>
      <c r="X70" s="118"/>
      <c r="Y70" s="115"/>
      <c r="Z70" s="115"/>
      <c r="AA70" s="115"/>
      <c r="AB70" s="115"/>
      <c r="AC70" s="115"/>
      <c r="AD70" s="115"/>
      <c r="AE70" s="115"/>
      <c r="AF70" s="102"/>
    </row>
    <row r="71" spans="1:32" x14ac:dyDescent="0.45">
      <c r="A71" s="123"/>
      <c r="B71" s="118"/>
      <c r="C71" s="118"/>
      <c r="D71" s="118"/>
      <c r="E71" s="118"/>
      <c r="F71" s="118"/>
      <c r="G71" s="132"/>
      <c r="H71" s="153"/>
      <c r="I71" s="153"/>
      <c r="J71" s="118"/>
      <c r="K71" s="115"/>
      <c r="L71" s="115"/>
      <c r="M71" s="115"/>
      <c r="N71" s="115"/>
      <c r="O71" s="115"/>
      <c r="P71" s="115"/>
      <c r="Q71" s="115"/>
      <c r="R71" s="115"/>
      <c r="S71" s="115"/>
      <c r="T71" s="115"/>
      <c r="U71" s="115"/>
      <c r="V71" s="115"/>
      <c r="W71" s="115"/>
      <c r="X71" s="118"/>
      <c r="Y71" s="115"/>
      <c r="Z71" s="115"/>
      <c r="AA71" s="115"/>
      <c r="AB71" s="115"/>
      <c r="AC71" s="115"/>
      <c r="AD71" s="115"/>
      <c r="AE71" s="115"/>
      <c r="AF71" s="102"/>
    </row>
    <row r="72" spans="1:32" ht="32.25" customHeight="1" thickBot="1" x14ac:dyDescent="0.5">
      <c r="A72" s="123"/>
      <c r="B72" s="321" t="s">
        <v>665</v>
      </c>
      <c r="C72" s="321"/>
      <c r="D72" s="321"/>
      <c r="E72" s="321"/>
      <c r="F72" s="321"/>
      <c r="G72" s="322"/>
      <c r="H72" s="153"/>
      <c r="I72" s="153"/>
      <c r="J72" s="118"/>
      <c r="K72" s="115"/>
      <c r="L72" s="115"/>
      <c r="M72" s="115"/>
      <c r="N72" s="115"/>
      <c r="O72" s="115"/>
      <c r="P72" s="115"/>
      <c r="Q72" s="115"/>
      <c r="R72" s="115"/>
      <c r="S72" s="115"/>
      <c r="T72" s="115"/>
      <c r="U72" s="115"/>
      <c r="V72" s="115"/>
      <c r="W72" s="115"/>
      <c r="X72" s="118"/>
      <c r="Y72" s="115"/>
      <c r="Z72" s="115"/>
      <c r="AA72" s="115"/>
      <c r="AB72" s="115"/>
      <c r="AC72" s="115"/>
      <c r="AD72" s="115"/>
      <c r="AE72" s="115"/>
      <c r="AF72" s="102"/>
    </row>
    <row r="73" spans="1:32" ht="15.75" x14ac:dyDescent="0.55000000000000004">
      <c r="A73" s="123"/>
      <c r="B73" s="118"/>
      <c r="C73" s="118"/>
      <c r="D73" s="118"/>
      <c r="E73" s="118"/>
      <c r="F73" s="118"/>
      <c r="G73" s="186" t="s">
        <v>521</v>
      </c>
      <c r="H73" s="150">
        <v>6.8</v>
      </c>
      <c r="I73" s="239" t="s">
        <v>9</v>
      </c>
      <c r="J73" s="118"/>
      <c r="K73" s="115"/>
      <c r="L73" s="115"/>
      <c r="M73" s="115"/>
      <c r="N73" s="115"/>
      <c r="O73" s="115"/>
      <c r="P73" s="115"/>
      <c r="Q73" s="115"/>
      <c r="R73" s="115"/>
      <c r="S73" s="115"/>
      <c r="T73" s="115"/>
      <c r="U73" s="115"/>
      <c r="V73" s="115"/>
      <c r="W73" s="115"/>
      <c r="X73" s="118"/>
      <c r="Y73" s="115"/>
      <c r="Z73" s="115"/>
      <c r="AA73" s="115"/>
      <c r="AB73" s="115"/>
      <c r="AC73" s="115"/>
      <c r="AD73" s="115"/>
      <c r="AE73" s="115"/>
      <c r="AF73" s="102"/>
    </row>
    <row r="74" spans="1:32" ht="15.75" x14ac:dyDescent="0.55000000000000004">
      <c r="A74" s="123"/>
      <c r="B74" s="118"/>
      <c r="C74" s="118"/>
      <c r="D74" s="118"/>
      <c r="E74" s="118"/>
      <c r="F74" s="118"/>
      <c r="G74" s="132" t="s">
        <v>505</v>
      </c>
      <c r="H74" s="152">
        <f>Rpullup_min/1000</f>
        <v>23.888888888888886</v>
      </c>
      <c r="I74" s="187" t="s">
        <v>159</v>
      </c>
      <c r="J74" s="118"/>
      <c r="K74" s="115"/>
      <c r="L74" s="115"/>
      <c r="M74" s="115"/>
      <c r="N74" s="115"/>
      <c r="O74" s="115"/>
      <c r="P74" s="115"/>
      <c r="Q74" s="115"/>
      <c r="R74" s="115"/>
      <c r="S74" s="115"/>
      <c r="T74" s="115"/>
      <c r="U74" s="115"/>
      <c r="V74" s="115"/>
      <c r="W74" s="115"/>
      <c r="X74" s="118"/>
      <c r="Y74" s="115"/>
      <c r="Z74" s="115"/>
      <c r="AA74" s="115"/>
      <c r="AB74" s="115"/>
      <c r="AC74" s="115"/>
      <c r="AD74" s="115"/>
      <c r="AE74" s="115"/>
      <c r="AF74" s="102"/>
    </row>
    <row r="75" spans="1:32" ht="15.75" x14ac:dyDescent="0.55000000000000004">
      <c r="A75" s="123"/>
      <c r="B75" s="118"/>
      <c r="C75" s="118"/>
      <c r="D75" s="118"/>
      <c r="E75" s="118"/>
      <c r="F75" s="118"/>
      <c r="G75" s="132" t="s">
        <v>525</v>
      </c>
      <c r="H75" s="151">
        <v>4.99</v>
      </c>
      <c r="I75" s="187" t="s">
        <v>159</v>
      </c>
      <c r="J75" s="118"/>
      <c r="K75" s="115"/>
      <c r="L75" s="115"/>
      <c r="M75" s="115"/>
      <c r="N75" s="115"/>
      <c r="O75" s="115"/>
      <c r="P75" s="115"/>
      <c r="Q75" s="115"/>
      <c r="R75" s="115"/>
      <c r="S75" s="115"/>
      <c r="T75" s="115"/>
      <c r="U75" s="115"/>
      <c r="V75" s="115"/>
      <c r="W75" s="115"/>
      <c r="X75" s="118"/>
      <c r="Y75" s="115"/>
      <c r="Z75" s="115"/>
      <c r="AA75" s="115"/>
      <c r="AB75" s="115"/>
      <c r="AC75" s="115"/>
      <c r="AD75" s="115"/>
      <c r="AE75" s="115"/>
      <c r="AF75" s="102"/>
    </row>
    <row r="76" spans="1:32" ht="15.75" x14ac:dyDescent="0.55000000000000004">
      <c r="A76" s="123"/>
      <c r="B76" s="118"/>
      <c r="C76" s="118"/>
      <c r="D76" s="118"/>
      <c r="E76" s="118"/>
      <c r="F76" s="118"/>
      <c r="G76" s="132" t="s">
        <v>565</v>
      </c>
      <c r="H76" s="152">
        <f>Variable_Management!B258/1000</f>
        <v>1.7843030303030305</v>
      </c>
      <c r="I76" s="187" t="s">
        <v>159</v>
      </c>
      <c r="J76" s="118"/>
      <c r="K76" s="115"/>
      <c r="L76" s="115"/>
      <c r="M76" s="115"/>
      <c r="N76" s="115"/>
      <c r="O76" s="115"/>
      <c r="P76" s="115"/>
      <c r="Q76" s="115"/>
      <c r="R76" s="115"/>
      <c r="S76" s="115"/>
      <c r="T76" s="115"/>
      <c r="U76" s="115"/>
      <c r="V76" s="115"/>
      <c r="W76" s="115"/>
      <c r="X76" s="118"/>
      <c r="Y76" s="115"/>
      <c r="Z76" s="115"/>
      <c r="AA76" s="115"/>
      <c r="AB76" s="115"/>
      <c r="AC76" s="115"/>
      <c r="AD76" s="115"/>
      <c r="AE76" s="115"/>
      <c r="AF76" s="102"/>
    </row>
    <row r="77" spans="1:32" ht="16.149999999999999" thickBot="1" x14ac:dyDescent="0.6">
      <c r="A77" s="123"/>
      <c r="B77" s="118"/>
      <c r="C77" s="118"/>
      <c r="D77" s="118"/>
      <c r="E77" s="118"/>
      <c r="F77" s="118"/>
      <c r="G77" s="132" t="s">
        <v>545</v>
      </c>
      <c r="H77" s="156">
        <v>1</v>
      </c>
      <c r="I77" s="238" t="s">
        <v>159</v>
      </c>
      <c r="J77" s="214"/>
      <c r="K77" s="115"/>
      <c r="L77" s="115"/>
      <c r="M77" s="115"/>
      <c r="N77" s="115"/>
      <c r="O77" s="115"/>
      <c r="P77" s="115"/>
      <c r="Q77" s="115"/>
      <c r="R77" s="115"/>
      <c r="S77" s="115"/>
      <c r="T77" s="115"/>
      <c r="U77" s="115"/>
      <c r="V77" s="115"/>
      <c r="W77" s="115"/>
      <c r="X77" s="118"/>
      <c r="Y77" s="115"/>
      <c r="Z77" s="115"/>
      <c r="AA77" s="115"/>
      <c r="AB77" s="115"/>
      <c r="AC77" s="115"/>
      <c r="AD77" s="115"/>
      <c r="AE77" s="115"/>
      <c r="AF77" s="102"/>
    </row>
    <row r="78" spans="1:32" x14ac:dyDescent="0.45">
      <c r="A78" s="123"/>
      <c r="B78" s="118"/>
      <c r="C78" s="118"/>
      <c r="D78" s="118"/>
      <c r="E78" s="118"/>
      <c r="F78" s="118"/>
      <c r="G78" s="132"/>
      <c r="H78" s="153"/>
      <c r="I78" s="153"/>
      <c r="J78" s="213"/>
      <c r="K78" s="115"/>
      <c r="L78" s="115"/>
      <c r="M78" s="115"/>
      <c r="N78" s="115"/>
      <c r="O78" s="115"/>
      <c r="P78" s="115"/>
      <c r="Q78" s="115"/>
      <c r="R78" s="115"/>
      <c r="S78" s="115"/>
      <c r="T78" s="115"/>
      <c r="U78" s="115"/>
      <c r="V78" s="115"/>
      <c r="W78" s="115"/>
      <c r="X78" s="118"/>
      <c r="Y78" s="115"/>
      <c r="Z78" s="115"/>
      <c r="AA78" s="115"/>
      <c r="AB78" s="115"/>
      <c r="AC78" s="115"/>
      <c r="AD78" s="115"/>
      <c r="AE78" s="115"/>
      <c r="AF78" s="102"/>
    </row>
    <row r="79" spans="1:32" ht="14.65" thickBot="1" x14ac:dyDescent="0.5">
      <c r="A79" s="123"/>
      <c r="B79" s="118"/>
      <c r="C79" s="118"/>
      <c r="D79" s="118"/>
      <c r="E79" s="118"/>
      <c r="F79" s="118"/>
      <c r="G79" s="242" t="s">
        <v>529</v>
      </c>
      <c r="H79" s="153"/>
      <c r="I79" s="153"/>
      <c r="J79" s="213"/>
      <c r="K79" s="115"/>
      <c r="L79" s="115"/>
      <c r="M79" s="115"/>
      <c r="N79" s="115"/>
      <c r="O79" s="115"/>
      <c r="P79" s="115"/>
      <c r="Q79" s="115"/>
      <c r="R79" s="115"/>
      <c r="S79" s="115"/>
      <c r="T79" s="115"/>
      <c r="U79" s="115"/>
      <c r="V79" s="115"/>
      <c r="W79" s="115"/>
      <c r="X79" s="118"/>
      <c r="Y79" s="115"/>
      <c r="Z79" s="115"/>
      <c r="AA79" s="115"/>
      <c r="AB79" s="115"/>
      <c r="AC79" s="115"/>
      <c r="AD79" s="115"/>
      <c r="AE79" s="115"/>
      <c r="AF79" s="102"/>
    </row>
    <row r="80" spans="1:32" x14ac:dyDescent="0.45">
      <c r="A80" s="123"/>
      <c r="B80" s="118"/>
      <c r="C80" s="118"/>
      <c r="D80" s="118"/>
      <c r="E80" s="118"/>
      <c r="F80" s="118"/>
      <c r="G80" s="132" t="s">
        <v>795</v>
      </c>
      <c r="H80" s="240">
        <f>CHOOSE(FB_type,Variable_Management!B264,fcross_est,fcross_est)/1000</f>
        <v>9.6650842953722798</v>
      </c>
      <c r="I80" s="174" t="s">
        <v>11</v>
      </c>
      <c r="J80" s="213"/>
      <c r="K80" s="115"/>
      <c r="L80" s="115"/>
      <c r="M80" s="115"/>
      <c r="N80" s="115"/>
      <c r="O80" s="115"/>
      <c r="P80" s="115"/>
      <c r="Q80" s="115"/>
      <c r="R80" s="115"/>
      <c r="S80" s="115"/>
      <c r="T80" s="115"/>
      <c r="U80" s="115"/>
      <c r="V80" s="115"/>
      <c r="W80" s="115"/>
      <c r="X80" s="118"/>
      <c r="Y80" s="115"/>
      <c r="Z80" s="115"/>
      <c r="AA80" s="115"/>
      <c r="AB80" s="115"/>
      <c r="AC80" s="115"/>
      <c r="AD80" s="115"/>
      <c r="AE80" s="115"/>
      <c r="AF80" s="102"/>
    </row>
    <row r="81" spans="1:32" ht="16.149999999999999" thickBot="1" x14ac:dyDescent="0.6">
      <c r="A81" s="123"/>
      <c r="B81" s="118"/>
      <c r="C81" s="118"/>
      <c r="D81" s="118"/>
      <c r="E81" s="118"/>
      <c r="F81" s="118"/>
      <c r="G81" s="132" t="s">
        <v>793</v>
      </c>
      <c r="H81" s="156">
        <v>8</v>
      </c>
      <c r="I81" s="168" t="s">
        <v>11</v>
      </c>
      <c r="J81" s="213"/>
      <c r="K81" s="115"/>
      <c r="L81" s="115"/>
      <c r="M81" s="115"/>
      <c r="N81" s="115"/>
      <c r="O81" s="115"/>
      <c r="P81" s="115"/>
      <c r="Q81" s="115"/>
      <c r="R81" s="115"/>
      <c r="S81" s="115"/>
      <c r="T81" s="115"/>
      <c r="U81" s="115"/>
      <c r="V81" s="115"/>
      <c r="W81" s="115"/>
      <c r="X81" s="118"/>
      <c r="Y81" s="115"/>
      <c r="Z81" s="115"/>
      <c r="AA81" s="115"/>
      <c r="AB81" s="115"/>
      <c r="AC81" s="115"/>
      <c r="AD81" s="115"/>
      <c r="AE81" s="115"/>
      <c r="AF81" s="102"/>
    </row>
    <row r="82" spans="1:32" x14ac:dyDescent="0.45">
      <c r="A82" s="123"/>
      <c r="B82" s="118"/>
      <c r="C82" s="118"/>
      <c r="D82" s="118"/>
      <c r="E82" s="118"/>
      <c r="F82" s="118"/>
      <c r="G82" s="132"/>
      <c r="H82" s="153"/>
      <c r="I82" s="153"/>
      <c r="J82" s="118"/>
      <c r="K82" s="115"/>
      <c r="L82" s="115"/>
      <c r="M82" s="115"/>
      <c r="N82" s="115"/>
      <c r="O82" s="115"/>
      <c r="P82" s="115"/>
      <c r="Q82" s="115"/>
      <c r="R82" s="115"/>
      <c r="S82" s="115"/>
      <c r="T82" s="115"/>
      <c r="U82" s="115"/>
      <c r="V82" s="115"/>
      <c r="W82" s="115"/>
      <c r="X82" s="118"/>
      <c r="Y82" s="115"/>
      <c r="Z82" s="115"/>
      <c r="AA82" s="115"/>
      <c r="AB82" s="115"/>
      <c r="AC82" s="115"/>
      <c r="AD82" s="115"/>
      <c r="AE82" s="115"/>
      <c r="AF82" s="102"/>
    </row>
    <row r="83" spans="1:32" ht="14.65" thickBot="1" x14ac:dyDescent="0.5">
      <c r="A83" s="123"/>
      <c r="B83" s="118"/>
      <c r="C83" s="118"/>
      <c r="D83" s="118"/>
      <c r="E83" s="118"/>
      <c r="F83" s="140" t="s">
        <v>265</v>
      </c>
      <c r="G83" s="140"/>
      <c r="H83" s="161" t="s">
        <v>266</v>
      </c>
      <c r="I83" s="161"/>
      <c r="J83" s="118"/>
      <c r="K83" s="115"/>
      <c r="L83" s="115"/>
      <c r="M83" s="115"/>
      <c r="N83" s="115"/>
      <c r="O83" s="115"/>
      <c r="P83" s="115"/>
      <c r="Q83" s="115"/>
      <c r="R83" s="115"/>
      <c r="S83" s="115"/>
      <c r="T83" s="115"/>
      <c r="U83" s="115"/>
      <c r="V83" s="115"/>
      <c r="W83" s="115"/>
      <c r="X83" s="118"/>
      <c r="Y83" s="115"/>
      <c r="Z83" s="115"/>
      <c r="AA83" s="115"/>
      <c r="AB83" s="115"/>
      <c r="AC83" s="115"/>
      <c r="AD83" s="115"/>
      <c r="AE83" s="115"/>
      <c r="AF83" s="102"/>
    </row>
    <row r="84" spans="1:32" ht="16.149999999999999" thickBot="1" x14ac:dyDescent="0.6">
      <c r="A84" s="123"/>
      <c r="B84" s="118"/>
      <c r="C84" s="118"/>
      <c r="D84" s="118"/>
      <c r="E84" s="132" t="s">
        <v>264</v>
      </c>
      <c r="F84" s="164">
        <f>CHOOSE(FB_type,Variable_Management!B267,Rcomp_calc,Rcomp_calc)/1000</f>
        <v>0.13317560324417532</v>
      </c>
      <c r="G84" s="181" t="s">
        <v>159</v>
      </c>
      <c r="H84" s="163">
        <v>10</v>
      </c>
      <c r="I84" s="241" t="s">
        <v>159</v>
      </c>
      <c r="J84" s="118"/>
      <c r="K84" s="115"/>
      <c r="L84" s="115"/>
      <c r="M84" s="115"/>
      <c r="N84" s="115"/>
      <c r="O84" s="115"/>
      <c r="P84" s="115"/>
      <c r="Q84" s="115"/>
      <c r="R84" s="115"/>
      <c r="S84" s="115"/>
      <c r="T84" s="115"/>
      <c r="U84" s="115"/>
      <c r="V84" s="115"/>
      <c r="W84" s="115"/>
      <c r="X84" s="118"/>
      <c r="Y84" s="115"/>
      <c r="Z84" s="115"/>
      <c r="AA84" s="115"/>
      <c r="AB84" s="115"/>
      <c r="AC84" s="115"/>
      <c r="AD84" s="115"/>
      <c r="AE84" s="115"/>
      <c r="AF84" s="102"/>
    </row>
    <row r="85" spans="1:32" ht="16.149999999999999" thickBot="1" x14ac:dyDescent="0.6">
      <c r="A85" s="123"/>
      <c r="B85" s="118"/>
      <c r="C85" s="118"/>
      <c r="D85" s="118"/>
      <c r="E85" s="132" t="s">
        <v>364</v>
      </c>
      <c r="F85" s="164">
        <f>CHOOSE(FB_type,Ccomp_iso_calc,CComp_calc,CComp_calc)*10^9</f>
        <v>4.237040169388365</v>
      </c>
      <c r="G85" s="181" t="s">
        <v>162</v>
      </c>
      <c r="H85" s="163">
        <v>22</v>
      </c>
      <c r="I85" s="153" t="s">
        <v>162</v>
      </c>
      <c r="J85" s="118"/>
      <c r="K85" s="115"/>
      <c r="L85" s="115"/>
      <c r="M85" s="115"/>
      <c r="N85" s="115"/>
      <c r="O85" s="115"/>
      <c r="P85" s="115"/>
      <c r="Q85" s="115"/>
      <c r="R85" s="115"/>
      <c r="S85" s="115"/>
      <c r="T85" s="115"/>
      <c r="U85" s="115"/>
      <c r="V85" s="115"/>
      <c r="W85" s="115"/>
      <c r="X85" s="118"/>
      <c r="Y85" s="115"/>
      <c r="Z85" s="115"/>
      <c r="AA85" s="115"/>
      <c r="AB85" s="115"/>
      <c r="AC85" s="115"/>
      <c r="AD85" s="115"/>
      <c r="AE85" s="115"/>
      <c r="AF85" s="102"/>
    </row>
    <row r="86" spans="1:32" ht="16.149999999999999" thickBot="1" x14ac:dyDescent="0.6">
      <c r="A86" s="130"/>
      <c r="B86" s="127"/>
      <c r="C86" s="127"/>
      <c r="D86" s="127"/>
      <c r="E86" s="134" t="s">
        <v>365</v>
      </c>
      <c r="F86" s="162">
        <f>CHOOSE(FB_type,0,Variable_Management!B310,Variable_Management!B310)*(10^12)</f>
        <v>0</v>
      </c>
      <c r="G86" s="182" t="s">
        <v>161</v>
      </c>
      <c r="H86" s="156">
        <v>1000</v>
      </c>
      <c r="I86" s="168" t="s">
        <v>161</v>
      </c>
      <c r="J86" s="118"/>
      <c r="K86" s="115"/>
      <c r="L86" s="115"/>
      <c r="M86" s="115"/>
      <c r="N86" s="115"/>
      <c r="O86" s="115"/>
      <c r="P86" s="115"/>
      <c r="Q86" s="115"/>
      <c r="R86" s="115"/>
      <c r="S86" s="115"/>
      <c r="T86" s="115"/>
      <c r="U86" s="115"/>
      <c r="V86" s="115"/>
      <c r="W86" s="115"/>
      <c r="X86" s="118"/>
      <c r="Y86" s="115"/>
      <c r="Z86" s="115"/>
      <c r="AA86" s="115"/>
      <c r="AB86" s="115"/>
      <c r="AC86" s="115"/>
      <c r="AD86" s="115"/>
      <c r="AE86" s="115"/>
      <c r="AF86" s="102"/>
    </row>
    <row r="87" spans="1:32" x14ac:dyDescent="0.45">
      <c r="A87" s="115"/>
      <c r="B87" s="115"/>
      <c r="C87" s="115"/>
      <c r="D87" s="115"/>
      <c r="E87" s="116"/>
      <c r="F87" s="141"/>
      <c r="G87" s="116"/>
      <c r="H87" s="142"/>
      <c r="I87" s="115"/>
      <c r="J87" s="140"/>
      <c r="K87" s="115"/>
      <c r="L87" s="115"/>
      <c r="M87" s="115"/>
      <c r="N87" s="115"/>
      <c r="O87" s="115"/>
      <c r="P87" s="115"/>
      <c r="Q87" s="115"/>
      <c r="R87" s="115"/>
      <c r="S87" s="115"/>
      <c r="T87" s="115"/>
      <c r="U87" s="115"/>
      <c r="V87" s="115"/>
      <c r="W87" s="115"/>
      <c r="X87" s="118"/>
      <c r="Y87" s="115"/>
      <c r="Z87" s="115"/>
      <c r="AA87" s="115"/>
      <c r="AB87" s="115"/>
      <c r="AC87" s="115"/>
      <c r="AD87" s="115"/>
      <c r="AE87" s="115"/>
      <c r="AF87" s="102"/>
    </row>
    <row r="88" spans="1:32" ht="23.25" x14ac:dyDescent="0.7">
      <c r="A88" s="143" t="s">
        <v>263</v>
      </c>
      <c r="B88" s="144"/>
      <c r="C88" s="144"/>
      <c r="D88" s="144"/>
      <c r="E88" s="144"/>
      <c r="F88" s="144"/>
      <c r="G88" s="145"/>
      <c r="H88" s="144"/>
      <c r="I88" s="144"/>
      <c r="J88" s="251"/>
      <c r="K88" s="144"/>
      <c r="L88" s="144"/>
      <c r="M88" s="144"/>
      <c r="N88" s="144"/>
      <c r="O88" s="144"/>
      <c r="P88" s="144"/>
      <c r="Q88" s="144"/>
      <c r="R88" s="144"/>
      <c r="S88" s="144"/>
      <c r="T88" s="144"/>
      <c r="U88" s="144"/>
      <c r="V88" s="144"/>
      <c r="W88" s="144"/>
      <c r="X88" s="252"/>
      <c r="Y88" s="144"/>
      <c r="Z88" s="144"/>
      <c r="AA88" s="144"/>
      <c r="AB88" s="144"/>
      <c r="AC88" s="144"/>
      <c r="AD88" s="144"/>
      <c r="AE88" s="144"/>
      <c r="AF88" s="250"/>
    </row>
    <row r="89" spans="1:32" x14ac:dyDescent="0.45">
      <c r="A89" s="115"/>
      <c r="B89" s="115"/>
      <c r="C89" s="115"/>
      <c r="D89" s="115"/>
      <c r="E89" s="115"/>
      <c r="F89" s="115"/>
      <c r="G89" s="115"/>
      <c r="H89" s="115"/>
      <c r="I89" s="115"/>
      <c r="J89" s="118"/>
      <c r="K89" s="115"/>
      <c r="L89" s="115"/>
      <c r="M89" s="115"/>
      <c r="N89" s="115"/>
      <c r="O89" s="115"/>
      <c r="P89" s="115"/>
      <c r="Q89" s="115"/>
      <c r="R89" s="115"/>
      <c r="S89" s="115"/>
      <c r="T89" s="115"/>
      <c r="U89" s="115"/>
      <c r="V89" s="115"/>
      <c r="W89" s="115"/>
      <c r="X89" s="118"/>
      <c r="Y89" s="115"/>
      <c r="Z89" s="115"/>
      <c r="AA89" s="115"/>
      <c r="AB89" s="115"/>
      <c r="AC89" s="115"/>
      <c r="AD89" s="115"/>
      <c r="AE89" s="115"/>
      <c r="AF89" s="102"/>
    </row>
    <row r="90" spans="1:32" ht="18.399999999999999" thickBot="1" x14ac:dyDescent="0.6">
      <c r="A90" s="246" t="s">
        <v>713</v>
      </c>
      <c r="B90" s="118"/>
      <c r="C90" s="118"/>
      <c r="D90" s="118"/>
      <c r="E90" s="118"/>
      <c r="F90" s="115"/>
      <c r="G90" s="115"/>
      <c r="H90" s="118"/>
      <c r="I90" s="118"/>
      <c r="J90" s="118"/>
      <c r="K90" s="115"/>
      <c r="L90" s="115"/>
      <c r="M90" s="115"/>
      <c r="N90" s="115"/>
      <c r="O90" s="115"/>
      <c r="P90" s="115"/>
      <c r="Q90" s="115"/>
      <c r="R90" s="115"/>
      <c r="S90" s="115"/>
      <c r="T90" s="115"/>
      <c r="U90" s="115"/>
      <c r="V90" s="115"/>
      <c r="W90" s="115"/>
      <c r="X90" s="118"/>
      <c r="Y90" s="115"/>
      <c r="Z90" s="115"/>
      <c r="AA90" s="115"/>
      <c r="AB90" s="115"/>
      <c r="AC90" s="115"/>
      <c r="AD90" s="115"/>
      <c r="AE90" s="115"/>
      <c r="AF90" s="102"/>
    </row>
    <row r="91" spans="1:32" x14ac:dyDescent="0.45">
      <c r="A91" s="119"/>
      <c r="B91" s="120"/>
      <c r="C91" s="120"/>
      <c r="D91" s="120"/>
      <c r="E91" s="120"/>
      <c r="F91" s="120"/>
      <c r="G91" s="136" t="s">
        <v>714</v>
      </c>
      <c r="H91" s="150">
        <v>25</v>
      </c>
      <c r="I91" s="247" t="s">
        <v>715</v>
      </c>
      <c r="J91" s="115"/>
      <c r="K91" s="115"/>
      <c r="L91" s="115"/>
      <c r="M91" s="115"/>
      <c r="N91" s="115"/>
      <c r="O91" s="115"/>
      <c r="P91" s="115"/>
      <c r="Q91" s="115"/>
      <c r="R91" s="115"/>
      <c r="S91" s="115"/>
      <c r="T91" s="115"/>
      <c r="U91" s="115"/>
      <c r="V91" s="115"/>
      <c r="W91" s="115"/>
      <c r="X91" s="118"/>
      <c r="Y91" s="115"/>
      <c r="Z91" s="115"/>
      <c r="AA91" s="115"/>
      <c r="AB91" s="115"/>
      <c r="AC91" s="115"/>
      <c r="AD91" s="115"/>
      <c r="AE91" s="115"/>
      <c r="AF91" s="102"/>
    </row>
    <row r="92" spans="1:32" ht="14.65" thickBot="1" x14ac:dyDescent="0.5">
      <c r="A92" s="130"/>
      <c r="B92" s="127"/>
      <c r="C92" s="127"/>
      <c r="D92" s="127"/>
      <c r="E92" s="127"/>
      <c r="F92" s="127"/>
      <c r="G92" s="248"/>
      <c r="H92" s="307"/>
      <c r="I92" s="249"/>
      <c r="J92" s="115"/>
      <c r="K92" s="115"/>
      <c r="L92" s="115"/>
      <c r="M92" s="115"/>
      <c r="N92" s="115"/>
      <c r="O92" s="115"/>
      <c r="P92" s="115"/>
      <c r="Q92" s="115"/>
      <c r="R92" s="115"/>
      <c r="S92" s="115"/>
      <c r="T92" s="115"/>
      <c r="U92" s="115"/>
      <c r="V92" s="115"/>
      <c r="W92" s="115"/>
      <c r="X92" s="118"/>
      <c r="Y92" s="115"/>
      <c r="Z92" s="115"/>
      <c r="AA92" s="115"/>
      <c r="AB92" s="115"/>
      <c r="AC92" s="115"/>
      <c r="AD92" s="115"/>
      <c r="AE92" s="115"/>
      <c r="AF92" s="102"/>
    </row>
    <row r="93" spans="1:32" x14ac:dyDescent="0.45">
      <c r="A93" s="115"/>
      <c r="B93" s="115"/>
      <c r="C93" s="115"/>
      <c r="D93" s="115"/>
      <c r="E93" s="115"/>
      <c r="F93" s="115"/>
      <c r="G93" s="116"/>
      <c r="H93" s="115"/>
      <c r="I93" s="118"/>
      <c r="J93" s="115"/>
      <c r="K93" s="115"/>
      <c r="L93" s="115"/>
      <c r="M93" s="115"/>
      <c r="N93" s="115"/>
      <c r="O93" s="115"/>
      <c r="P93" s="115"/>
      <c r="Q93" s="115"/>
      <c r="R93" s="115"/>
      <c r="S93" s="115"/>
      <c r="T93" s="115"/>
      <c r="U93" s="115"/>
      <c r="V93" s="115"/>
      <c r="W93" s="115"/>
      <c r="X93" s="118"/>
      <c r="Y93" s="115"/>
      <c r="Z93" s="115"/>
      <c r="AA93" s="115"/>
      <c r="AB93" s="115"/>
      <c r="AC93" s="115"/>
      <c r="AD93" s="115"/>
      <c r="AE93" s="115"/>
      <c r="AF93" s="102"/>
    </row>
    <row r="94" spans="1:32" ht="18" x14ac:dyDescent="0.55000000000000004">
      <c r="A94" s="237" t="s">
        <v>329</v>
      </c>
      <c r="B94" s="118"/>
      <c r="C94" s="118"/>
      <c r="D94" s="118"/>
      <c r="E94" s="118"/>
      <c r="F94" s="118"/>
      <c r="G94" s="132"/>
      <c r="H94" s="115"/>
      <c r="I94" s="115"/>
      <c r="J94" s="118"/>
      <c r="K94" s="115"/>
      <c r="L94" s="115"/>
      <c r="M94" s="115"/>
      <c r="N94" s="115"/>
      <c r="O94" s="115"/>
      <c r="P94" s="115"/>
      <c r="Q94" s="115"/>
      <c r="R94" s="115"/>
      <c r="S94" s="115"/>
      <c r="T94" s="115"/>
      <c r="U94" s="115"/>
      <c r="V94" s="115"/>
      <c r="W94" s="115"/>
      <c r="X94" s="118"/>
      <c r="Y94" s="115"/>
      <c r="Z94" s="115"/>
      <c r="AA94" s="115"/>
      <c r="AB94" s="115"/>
      <c r="AC94" s="115"/>
      <c r="AD94" s="115"/>
      <c r="AE94" s="115"/>
      <c r="AF94" s="102"/>
    </row>
    <row r="95" spans="1:32" ht="16.149999999999999" thickBot="1" x14ac:dyDescent="0.55000000000000004">
      <c r="A95" s="123"/>
      <c r="B95" s="118"/>
      <c r="C95" s="118"/>
      <c r="D95" s="118"/>
      <c r="E95" s="118"/>
      <c r="F95" s="118"/>
      <c r="G95" s="221" t="str">
        <f>IF(FB_type=3,"Primary Side Load Diode Specifications","Load 1 Diode Specifications")</f>
        <v>Load 1 Diode Specifications</v>
      </c>
      <c r="H95" s="236"/>
      <c r="I95" s="118"/>
      <c r="J95" s="215"/>
      <c r="K95" s="115"/>
      <c r="L95" s="115"/>
      <c r="M95" s="115"/>
      <c r="N95" s="115"/>
      <c r="O95" s="115"/>
      <c r="P95" s="115"/>
      <c r="Q95" s="115"/>
      <c r="R95" s="115"/>
      <c r="S95" s="115"/>
      <c r="T95" s="115"/>
      <c r="U95" s="115"/>
      <c r="V95" s="115"/>
      <c r="W95" s="115"/>
      <c r="X95" s="118"/>
      <c r="Y95" s="115"/>
      <c r="Z95" s="115"/>
      <c r="AA95" s="115"/>
      <c r="AB95" s="115"/>
      <c r="AC95" s="115"/>
      <c r="AD95" s="115"/>
      <c r="AE95" s="115"/>
      <c r="AF95" s="102"/>
    </row>
    <row r="96" spans="1:32" ht="15.75" x14ac:dyDescent="0.55000000000000004">
      <c r="A96" s="119"/>
      <c r="B96" s="120"/>
      <c r="C96" s="120"/>
      <c r="D96" s="120"/>
      <c r="E96" s="120"/>
      <c r="F96" s="120"/>
      <c r="G96" s="136" t="s">
        <v>655</v>
      </c>
      <c r="H96" s="150">
        <v>500</v>
      </c>
      <c r="I96" s="122" t="s">
        <v>139</v>
      </c>
      <c r="J96" s="215"/>
      <c r="K96" s="115"/>
      <c r="L96" s="115"/>
      <c r="M96" s="115"/>
      <c r="N96" s="115"/>
      <c r="O96" s="115"/>
      <c r="P96" s="115"/>
      <c r="Q96" s="115"/>
      <c r="R96" s="115"/>
      <c r="S96" s="115"/>
      <c r="T96" s="115"/>
      <c r="U96" s="115"/>
      <c r="V96" s="115"/>
      <c r="W96" s="115"/>
      <c r="X96" s="118"/>
      <c r="Y96" s="115"/>
      <c r="Z96" s="115"/>
      <c r="AA96" s="115"/>
      <c r="AB96" s="115"/>
      <c r="AC96" s="115"/>
      <c r="AD96" s="115"/>
      <c r="AE96" s="115"/>
      <c r="AF96" s="102"/>
    </row>
    <row r="97" spans="1:32" ht="16.149999999999999" thickBot="1" x14ac:dyDescent="0.6">
      <c r="A97" s="130"/>
      <c r="B97" s="127"/>
      <c r="C97" s="127"/>
      <c r="D97" s="127"/>
      <c r="E97" s="127"/>
      <c r="F97" s="127"/>
      <c r="G97" s="134" t="s">
        <v>653</v>
      </c>
      <c r="H97" s="156">
        <v>5</v>
      </c>
      <c r="I97" s="128" t="s">
        <v>327</v>
      </c>
      <c r="J97" s="215"/>
      <c r="K97" s="115"/>
      <c r="L97" s="115"/>
      <c r="M97" s="115"/>
      <c r="N97" s="115"/>
      <c r="O97" s="115"/>
      <c r="P97" s="115"/>
      <c r="Q97" s="115"/>
      <c r="R97" s="115"/>
      <c r="S97" s="115"/>
      <c r="T97" s="115"/>
      <c r="U97" s="115"/>
      <c r="V97" s="115"/>
      <c r="W97" s="115"/>
      <c r="X97" s="118"/>
      <c r="Y97" s="115"/>
      <c r="Z97" s="115"/>
      <c r="AA97" s="115"/>
      <c r="AB97" s="115"/>
      <c r="AC97" s="115"/>
      <c r="AD97" s="115"/>
      <c r="AE97" s="115"/>
      <c r="AF97" s="102"/>
    </row>
    <row r="98" spans="1:32" x14ac:dyDescent="0.45">
      <c r="A98" s="123"/>
      <c r="B98" s="118"/>
      <c r="C98" s="118"/>
      <c r="D98" s="118"/>
      <c r="E98" s="118"/>
      <c r="F98" s="115"/>
      <c r="G98" s="116"/>
      <c r="H98" s="115"/>
      <c r="I98" s="115"/>
      <c r="J98" s="215"/>
      <c r="K98" s="115"/>
      <c r="L98" s="115"/>
      <c r="M98" s="115"/>
      <c r="N98" s="115"/>
      <c r="O98" s="115"/>
      <c r="P98" s="115"/>
      <c r="Q98" s="115"/>
      <c r="R98" s="115"/>
      <c r="S98" s="115"/>
      <c r="T98" s="115"/>
      <c r="U98" s="115"/>
      <c r="V98" s="115"/>
      <c r="W98" s="115"/>
      <c r="X98" s="118"/>
      <c r="Y98" s="115"/>
      <c r="Z98" s="115"/>
      <c r="AA98" s="115"/>
      <c r="AB98" s="115"/>
      <c r="AC98" s="115"/>
      <c r="AD98" s="115"/>
      <c r="AE98" s="115"/>
      <c r="AF98" s="102"/>
    </row>
    <row r="99" spans="1:32" ht="16.149999999999999" thickBot="1" x14ac:dyDescent="0.55000000000000004">
      <c r="A99" s="123"/>
      <c r="B99" s="118"/>
      <c r="C99" s="118"/>
      <c r="D99" s="118"/>
      <c r="E99" s="118"/>
      <c r="F99" s="118"/>
      <c r="G99" s="221" t="str">
        <f>IF(FB_type=3,"Load 1 Diode Specifications","Load 2 Diode Specifications")</f>
        <v>Load 2 Diode Specifications</v>
      </c>
      <c r="H99" s="118"/>
      <c r="I99" s="118"/>
      <c r="J99" s="215"/>
      <c r="K99" s="115"/>
      <c r="L99" s="115"/>
      <c r="M99" s="115"/>
      <c r="N99" s="115"/>
      <c r="O99" s="115"/>
      <c r="P99" s="115"/>
      <c r="Q99" s="115"/>
      <c r="R99" s="115"/>
      <c r="S99" s="115"/>
      <c r="T99" s="115"/>
      <c r="U99" s="115"/>
      <c r="V99" s="115"/>
      <c r="W99" s="115"/>
      <c r="X99" s="118"/>
      <c r="Y99" s="115"/>
      <c r="Z99" s="115"/>
      <c r="AA99" s="115"/>
      <c r="AB99" s="115"/>
      <c r="AC99" s="115"/>
      <c r="AD99" s="115"/>
      <c r="AE99" s="115"/>
      <c r="AF99" s="102"/>
    </row>
    <row r="100" spans="1:32" ht="15.75" x14ac:dyDescent="0.55000000000000004">
      <c r="A100" s="119"/>
      <c r="B100" s="120"/>
      <c r="C100" s="120"/>
      <c r="D100" s="120"/>
      <c r="E100" s="120"/>
      <c r="F100" s="120"/>
      <c r="G100" s="136" t="s">
        <v>656</v>
      </c>
      <c r="H100" s="150">
        <v>820</v>
      </c>
      <c r="I100" s="122" t="s">
        <v>139</v>
      </c>
      <c r="J100" s="215"/>
      <c r="K100" s="115"/>
      <c r="L100" s="115"/>
      <c r="M100" s="115"/>
      <c r="N100" s="115"/>
      <c r="O100" s="115"/>
      <c r="P100" s="115"/>
      <c r="Q100" s="115"/>
      <c r="R100" s="115"/>
      <c r="S100" s="115"/>
      <c r="T100" s="115"/>
      <c r="U100" s="115"/>
      <c r="V100" s="115"/>
      <c r="W100" s="115"/>
      <c r="X100" s="118"/>
      <c r="Y100" s="115"/>
      <c r="Z100" s="115"/>
      <c r="AA100" s="115"/>
      <c r="AB100" s="115"/>
      <c r="AC100" s="115"/>
      <c r="AD100" s="115"/>
      <c r="AE100" s="115"/>
      <c r="AF100" s="102"/>
    </row>
    <row r="101" spans="1:32" ht="16.149999999999999" thickBot="1" x14ac:dyDescent="0.6">
      <c r="A101" s="130"/>
      <c r="B101" s="127"/>
      <c r="C101" s="127"/>
      <c r="D101" s="127"/>
      <c r="E101" s="127"/>
      <c r="F101" s="127"/>
      <c r="G101" s="134" t="s">
        <v>654</v>
      </c>
      <c r="H101" s="156">
        <v>0</v>
      </c>
      <c r="I101" s="128" t="s">
        <v>327</v>
      </c>
      <c r="J101" s="118"/>
      <c r="K101" s="115"/>
      <c r="L101" s="115"/>
      <c r="M101" s="115"/>
      <c r="N101" s="115"/>
      <c r="O101" s="115"/>
      <c r="P101" s="115"/>
      <c r="Q101" s="115"/>
      <c r="R101" s="115"/>
      <c r="S101" s="115"/>
      <c r="T101" s="115"/>
      <c r="U101" s="115"/>
      <c r="V101" s="115"/>
      <c r="W101" s="115"/>
      <c r="X101" s="118"/>
      <c r="Y101" s="115"/>
      <c r="Z101" s="115"/>
      <c r="AA101" s="115"/>
      <c r="AB101" s="115"/>
      <c r="AC101" s="115"/>
      <c r="AD101" s="115"/>
      <c r="AE101" s="115"/>
      <c r="AF101" s="102"/>
    </row>
    <row r="102" spans="1:32" x14ac:dyDescent="0.45">
      <c r="A102" s="118"/>
      <c r="B102" s="118"/>
      <c r="C102" s="118"/>
      <c r="D102" s="118"/>
      <c r="E102" s="118"/>
      <c r="F102" s="115"/>
      <c r="G102" s="116"/>
      <c r="H102" s="115"/>
      <c r="I102" s="115"/>
      <c r="J102" s="115"/>
      <c r="K102" s="115"/>
      <c r="L102" s="115"/>
      <c r="M102" s="115"/>
      <c r="N102" s="115"/>
      <c r="O102" s="115"/>
      <c r="P102" s="115"/>
      <c r="Q102" s="115"/>
      <c r="R102" s="115"/>
      <c r="S102" s="115"/>
      <c r="T102" s="115"/>
      <c r="U102" s="115"/>
      <c r="V102" s="115"/>
      <c r="W102" s="115"/>
      <c r="X102" s="118"/>
      <c r="Y102" s="115"/>
      <c r="Z102" s="115"/>
      <c r="AA102" s="115"/>
      <c r="AB102" s="115"/>
      <c r="AC102" s="115"/>
      <c r="AD102" s="115"/>
      <c r="AE102" s="115"/>
      <c r="AF102" s="102"/>
    </row>
    <row r="103" spans="1:32" ht="16.149999999999999" thickBot="1" x14ac:dyDescent="0.55000000000000004">
      <c r="A103" s="118"/>
      <c r="B103" s="118"/>
      <c r="C103" s="118"/>
      <c r="D103" s="118"/>
      <c r="E103" s="118"/>
      <c r="F103" s="118"/>
      <c r="G103" s="221" t="str">
        <f>IF(FB_type=3,"Load 2 Diode Specifications","Load 3 Diode Specifications")</f>
        <v>Load 3 Diode Specifications</v>
      </c>
      <c r="H103" s="118"/>
      <c r="I103" s="118"/>
      <c r="J103" s="118"/>
      <c r="K103" s="115"/>
      <c r="L103" s="115"/>
      <c r="M103" s="115"/>
      <c r="N103" s="115"/>
      <c r="O103" s="115"/>
      <c r="P103" s="115"/>
      <c r="Q103" s="115"/>
      <c r="R103" s="115"/>
      <c r="S103" s="115"/>
      <c r="T103" s="115"/>
      <c r="U103" s="115"/>
      <c r="V103" s="115"/>
      <c r="W103" s="115"/>
      <c r="X103" s="118"/>
      <c r="Y103" s="115"/>
      <c r="Z103" s="115"/>
      <c r="AA103" s="115"/>
      <c r="AB103" s="115"/>
      <c r="AC103" s="115"/>
      <c r="AD103" s="115"/>
      <c r="AE103" s="115"/>
      <c r="AF103" s="102"/>
    </row>
    <row r="104" spans="1:32" ht="15.75" x14ac:dyDescent="0.55000000000000004">
      <c r="A104" s="119"/>
      <c r="B104" s="120"/>
      <c r="C104" s="120"/>
      <c r="D104" s="120"/>
      <c r="E104" s="120"/>
      <c r="F104" s="120"/>
      <c r="G104" s="136" t="s">
        <v>657</v>
      </c>
      <c r="H104" s="150">
        <v>820</v>
      </c>
      <c r="I104" s="122" t="s">
        <v>139</v>
      </c>
      <c r="J104" s="118"/>
      <c r="K104" s="115"/>
      <c r="L104" s="115"/>
      <c r="M104" s="115"/>
      <c r="N104" s="115"/>
      <c r="O104" s="115"/>
      <c r="P104" s="115"/>
      <c r="Q104" s="115"/>
      <c r="R104" s="115"/>
      <c r="S104" s="115"/>
      <c r="T104" s="115"/>
      <c r="U104" s="115"/>
      <c r="V104" s="115"/>
      <c r="W104" s="115"/>
      <c r="X104" s="118"/>
      <c r="Y104" s="115"/>
      <c r="Z104" s="115"/>
      <c r="AA104" s="115"/>
      <c r="AB104" s="115"/>
      <c r="AC104" s="115"/>
      <c r="AD104" s="115"/>
      <c r="AE104" s="115"/>
      <c r="AF104" s="102"/>
    </row>
    <row r="105" spans="1:32" ht="16.149999999999999" thickBot="1" x14ac:dyDescent="0.6">
      <c r="A105" s="130"/>
      <c r="B105" s="127"/>
      <c r="C105" s="127"/>
      <c r="D105" s="127"/>
      <c r="E105" s="127"/>
      <c r="F105" s="127"/>
      <c r="G105" s="134" t="s">
        <v>652</v>
      </c>
      <c r="H105" s="156">
        <v>0</v>
      </c>
      <c r="I105" s="128" t="s">
        <v>327</v>
      </c>
      <c r="J105" s="118"/>
      <c r="K105" s="115"/>
      <c r="L105" s="115"/>
      <c r="M105" s="115"/>
      <c r="N105" s="115"/>
      <c r="O105" s="115"/>
      <c r="P105" s="115"/>
      <c r="Q105" s="115"/>
      <c r="R105" s="115"/>
      <c r="S105" s="115"/>
      <c r="T105" s="115"/>
      <c r="U105" s="115"/>
      <c r="V105" s="115"/>
      <c r="W105" s="115"/>
      <c r="X105" s="118"/>
      <c r="Y105" s="115"/>
      <c r="Z105" s="115"/>
      <c r="AA105" s="115"/>
      <c r="AB105" s="115"/>
      <c r="AC105" s="115"/>
      <c r="AD105" s="115"/>
      <c r="AE105" s="115"/>
      <c r="AF105" s="102"/>
    </row>
    <row r="106" spans="1:32" x14ac:dyDescent="0.45">
      <c r="A106" s="115"/>
      <c r="B106" s="115"/>
      <c r="C106" s="115"/>
      <c r="D106" s="115"/>
      <c r="E106" s="115"/>
      <c r="F106" s="115"/>
      <c r="G106" s="116"/>
      <c r="H106" s="115"/>
      <c r="I106" s="115"/>
      <c r="J106" s="118"/>
      <c r="K106" s="115"/>
      <c r="L106" s="115"/>
      <c r="M106" s="115"/>
      <c r="N106" s="115"/>
      <c r="O106" s="115"/>
      <c r="P106" s="115"/>
      <c r="Q106" s="115"/>
      <c r="R106" s="115"/>
      <c r="S106" s="115"/>
      <c r="T106" s="115"/>
      <c r="U106" s="115"/>
      <c r="V106" s="115"/>
      <c r="W106" s="115"/>
      <c r="X106" s="118"/>
      <c r="Y106" s="115"/>
      <c r="Z106" s="115"/>
      <c r="AA106" s="115"/>
      <c r="AB106" s="115"/>
      <c r="AC106" s="115"/>
      <c r="AD106" s="115"/>
      <c r="AE106" s="115"/>
      <c r="AF106" s="102"/>
    </row>
    <row r="107" spans="1:32" ht="16.149999999999999" thickBot="1" x14ac:dyDescent="0.55000000000000004">
      <c r="A107" s="118"/>
      <c r="B107" s="118"/>
      <c r="C107" s="118"/>
      <c r="D107" s="118"/>
      <c r="E107" s="118"/>
      <c r="F107" s="118"/>
      <c r="G107" s="221" t="s">
        <v>636</v>
      </c>
      <c r="H107" s="118"/>
      <c r="I107" s="118"/>
      <c r="J107" s="118"/>
      <c r="K107" s="115"/>
      <c r="L107" s="115"/>
      <c r="M107" s="115"/>
      <c r="N107" s="115"/>
      <c r="O107" s="115"/>
      <c r="P107" s="115"/>
      <c r="Q107" s="115"/>
      <c r="R107" s="115"/>
      <c r="S107" s="115"/>
      <c r="T107" s="115"/>
      <c r="U107" s="115"/>
      <c r="V107" s="115"/>
      <c r="W107" s="115"/>
      <c r="X107" s="118"/>
      <c r="Y107" s="115"/>
      <c r="Z107" s="115"/>
      <c r="AA107" s="115"/>
      <c r="AB107" s="115"/>
      <c r="AC107" s="115"/>
      <c r="AD107" s="115"/>
      <c r="AE107" s="115"/>
      <c r="AF107" s="102"/>
    </row>
    <row r="108" spans="1:32" ht="15.75" x14ac:dyDescent="0.55000000000000004">
      <c r="A108" s="119"/>
      <c r="B108" s="120"/>
      <c r="C108" s="120"/>
      <c r="D108" s="120"/>
      <c r="E108" s="120"/>
      <c r="F108" s="120"/>
      <c r="G108" s="136" t="s">
        <v>657</v>
      </c>
      <c r="H108" s="150">
        <v>820</v>
      </c>
      <c r="I108" s="122" t="s">
        <v>139</v>
      </c>
      <c r="J108" s="118"/>
      <c r="K108" s="115"/>
      <c r="L108" s="115"/>
      <c r="M108" s="115"/>
      <c r="N108" s="115"/>
      <c r="O108" s="115"/>
      <c r="P108" s="115"/>
      <c r="Q108" s="115"/>
      <c r="R108" s="115"/>
      <c r="S108" s="115"/>
      <c r="T108" s="115"/>
      <c r="U108" s="115"/>
      <c r="V108" s="115"/>
      <c r="W108" s="115"/>
      <c r="X108" s="118"/>
      <c r="Y108" s="115"/>
      <c r="Z108" s="115"/>
      <c r="AA108" s="115"/>
      <c r="AB108" s="115"/>
      <c r="AC108" s="115"/>
      <c r="AD108" s="115"/>
      <c r="AE108" s="115"/>
      <c r="AF108" s="102"/>
    </row>
    <row r="109" spans="1:32" ht="16.149999999999999" thickBot="1" x14ac:dyDescent="0.6">
      <c r="A109" s="130"/>
      <c r="B109" s="127"/>
      <c r="C109" s="127"/>
      <c r="D109" s="127"/>
      <c r="E109" s="127"/>
      <c r="F109" s="127"/>
      <c r="G109" s="134" t="s">
        <v>652</v>
      </c>
      <c r="H109" s="156">
        <v>0</v>
      </c>
      <c r="I109" s="128" t="s">
        <v>327</v>
      </c>
      <c r="J109" s="118"/>
      <c r="K109" s="115"/>
      <c r="L109" s="115"/>
      <c r="M109" s="115"/>
      <c r="N109" s="115"/>
      <c r="O109" s="115"/>
      <c r="P109" s="115"/>
      <c r="Q109" s="115"/>
      <c r="R109" s="115"/>
      <c r="S109" s="115"/>
      <c r="T109" s="115"/>
      <c r="U109" s="115"/>
      <c r="V109" s="115"/>
      <c r="W109" s="115"/>
      <c r="X109" s="118"/>
      <c r="Y109" s="115"/>
      <c r="Z109" s="115"/>
      <c r="AA109" s="115"/>
      <c r="AB109" s="115"/>
      <c r="AC109" s="115"/>
      <c r="AD109" s="115"/>
      <c r="AE109" s="115"/>
      <c r="AF109" s="102"/>
    </row>
    <row r="110" spans="1:32" x14ac:dyDescent="0.45">
      <c r="A110" s="115"/>
      <c r="B110" s="115"/>
      <c r="C110" s="115"/>
      <c r="D110" s="115"/>
      <c r="E110" s="115"/>
      <c r="F110" s="115"/>
      <c r="G110" s="116"/>
      <c r="H110" s="115"/>
      <c r="I110" s="115"/>
      <c r="J110" s="118"/>
      <c r="K110" s="115"/>
      <c r="L110" s="115"/>
      <c r="M110" s="115"/>
      <c r="N110" s="115"/>
      <c r="O110" s="115"/>
      <c r="P110" s="115"/>
      <c r="Q110" s="115"/>
      <c r="R110" s="115"/>
      <c r="S110" s="115"/>
      <c r="T110" s="115"/>
      <c r="U110" s="115"/>
      <c r="V110" s="115"/>
      <c r="W110" s="115"/>
      <c r="X110" s="118"/>
      <c r="Y110" s="115"/>
      <c r="Z110" s="115"/>
      <c r="AA110" s="115"/>
      <c r="AB110" s="115"/>
      <c r="AC110" s="115"/>
      <c r="AD110" s="115"/>
      <c r="AE110" s="115"/>
      <c r="AF110" s="102"/>
    </row>
    <row r="111" spans="1:32" x14ac:dyDescent="0.45">
      <c r="A111" s="115"/>
      <c r="B111" s="115"/>
      <c r="C111" s="115"/>
      <c r="D111" s="115"/>
      <c r="E111" s="115"/>
      <c r="F111" s="115"/>
      <c r="G111" s="115"/>
      <c r="H111" s="115"/>
      <c r="I111" s="115"/>
      <c r="J111" s="118"/>
      <c r="K111" s="115"/>
      <c r="L111" s="115"/>
      <c r="M111" s="115"/>
      <c r="N111" s="115"/>
      <c r="O111" s="115"/>
      <c r="P111" s="115"/>
      <c r="Q111" s="115"/>
      <c r="R111" s="115"/>
      <c r="S111" s="115"/>
      <c r="T111" s="115"/>
      <c r="U111" s="115"/>
      <c r="V111" s="115"/>
      <c r="W111" s="115"/>
      <c r="X111" s="118"/>
      <c r="Y111" s="115"/>
      <c r="Z111" s="115"/>
      <c r="AA111" s="115"/>
      <c r="AB111" s="115"/>
      <c r="AC111" s="115"/>
      <c r="AD111" s="115"/>
      <c r="AE111" s="115"/>
      <c r="AF111" s="102"/>
    </row>
    <row r="112" spans="1:32" x14ac:dyDescent="0.4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8"/>
      <c r="Y112" s="115"/>
      <c r="Z112" s="115"/>
      <c r="AA112" s="115"/>
      <c r="AB112" s="115"/>
      <c r="AC112" s="115"/>
      <c r="AD112" s="115"/>
      <c r="AE112" s="115"/>
      <c r="AF112" s="102"/>
    </row>
    <row r="113" spans="1:32" x14ac:dyDescent="0.4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8"/>
      <c r="Y113" s="115"/>
      <c r="Z113" s="115"/>
      <c r="AA113" s="115"/>
      <c r="AB113" s="115"/>
      <c r="AC113" s="115"/>
      <c r="AD113" s="115"/>
      <c r="AE113" s="115"/>
      <c r="AF113" s="102"/>
    </row>
    <row r="114" spans="1:32" x14ac:dyDescent="0.4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8"/>
      <c r="Y114" s="115"/>
      <c r="Z114" s="115"/>
      <c r="AA114" s="115"/>
      <c r="AB114" s="115"/>
      <c r="AC114" s="115"/>
      <c r="AD114" s="115"/>
      <c r="AE114" s="115"/>
      <c r="AF114" s="102"/>
    </row>
    <row r="115" spans="1:32" x14ac:dyDescent="0.4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8"/>
      <c r="Y115" s="115"/>
      <c r="Z115" s="115"/>
      <c r="AA115" s="115"/>
      <c r="AB115" s="115"/>
      <c r="AC115" s="115"/>
      <c r="AD115" s="115"/>
      <c r="AE115" s="115"/>
      <c r="AF115" s="102"/>
    </row>
    <row r="116" spans="1:32" x14ac:dyDescent="0.4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8"/>
      <c r="Y116" s="115"/>
      <c r="Z116" s="115"/>
      <c r="AA116" s="115"/>
      <c r="AB116" s="115"/>
      <c r="AC116" s="115"/>
      <c r="AD116" s="115"/>
      <c r="AE116" s="115"/>
      <c r="AF116" s="102"/>
    </row>
    <row r="117" spans="1:32" x14ac:dyDescent="0.4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8"/>
      <c r="Y117" s="115"/>
      <c r="Z117" s="115"/>
      <c r="AA117" s="115"/>
      <c r="AB117" s="115"/>
      <c r="AC117" s="115"/>
      <c r="AD117" s="115"/>
      <c r="AE117" s="115"/>
      <c r="AF117" s="102"/>
    </row>
    <row r="118" spans="1:32" x14ac:dyDescent="0.4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8"/>
      <c r="Y118" s="115"/>
      <c r="Z118" s="115"/>
      <c r="AA118" s="115"/>
      <c r="AB118" s="115"/>
      <c r="AC118" s="115"/>
      <c r="AD118" s="115"/>
      <c r="AE118" s="115"/>
      <c r="AF118" s="102"/>
    </row>
    <row r="119" spans="1:32" x14ac:dyDescent="0.4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8"/>
      <c r="Y119" s="115"/>
      <c r="Z119" s="115"/>
      <c r="AA119" s="115"/>
      <c r="AB119" s="115"/>
      <c r="AC119" s="115"/>
      <c r="AD119" s="115"/>
      <c r="AE119" s="115"/>
      <c r="AF119" s="102"/>
    </row>
    <row r="120" spans="1:32" x14ac:dyDescent="0.45">
      <c r="A120" s="146"/>
      <c r="B120" s="146"/>
      <c r="C120" s="146"/>
      <c r="D120" s="146"/>
      <c r="E120" s="146"/>
      <c r="F120" s="146"/>
      <c r="G120" s="147"/>
      <c r="H120" s="146"/>
      <c r="I120" s="146"/>
      <c r="J120" s="146"/>
      <c r="K120" s="146"/>
      <c r="L120" s="146"/>
      <c r="M120" s="146"/>
      <c r="N120" s="146"/>
      <c r="O120" s="146"/>
      <c r="P120" s="146"/>
      <c r="Q120" s="146"/>
      <c r="R120" s="146"/>
      <c r="S120" s="146"/>
      <c r="T120" s="146"/>
      <c r="U120" s="146"/>
      <c r="V120" s="146"/>
      <c r="W120" s="146"/>
      <c r="X120" s="104"/>
      <c r="Y120" s="146"/>
      <c r="Z120" s="146"/>
      <c r="AA120" s="146"/>
      <c r="AB120" s="146"/>
      <c r="AC120" s="146"/>
      <c r="AD120" s="146"/>
      <c r="AE120" s="146"/>
      <c r="AF120" s="102"/>
    </row>
    <row r="121" spans="1:32" x14ac:dyDescent="0.45">
      <c r="AF121" s="250"/>
    </row>
    <row r="122" spans="1:32" x14ac:dyDescent="0.45">
      <c r="AF122" s="250"/>
    </row>
    <row r="123" spans="1:32" x14ac:dyDescent="0.45">
      <c r="AF123" s="250"/>
    </row>
    <row r="124" spans="1:32" x14ac:dyDescent="0.45">
      <c r="AF124" s="250"/>
    </row>
    <row r="125" spans="1:32" x14ac:dyDescent="0.45">
      <c r="AF125" s="250"/>
    </row>
    <row r="126" spans="1:32" x14ac:dyDescent="0.45">
      <c r="AF126" s="250"/>
    </row>
  </sheetData>
  <sheetProtection algorithmName="SHA-512" hashValue="l0hd5jJECZgE+/0DrxWEefzRDaQStY+MtZ32wW000SYVbmvlDirvBt8NfQeDkwQYeZ7Jhelx2jrD0x9zWJzR/w==" saltValue="x158VuiUN823f0hY1cYjaA==" spinCount="100000" sheet="1" objects="1" scenarios="1" selectLockedCells="1"/>
  <mergeCells count="2">
    <mergeCell ref="B72:G72"/>
    <mergeCell ref="O3:R3"/>
  </mergeCells>
  <conditionalFormatting sqref="H57">
    <cfRule type="expression" dxfId="29" priority="57">
      <formula>$H$8&gt;$H$9</formula>
    </cfRule>
    <cfRule type="expression" dxfId="28" priority="58">
      <formula>$H$8&lt;$H$7</formula>
    </cfRule>
  </conditionalFormatting>
  <conditionalFormatting sqref="H14">
    <cfRule type="cellIs" dxfId="27" priority="22" operator="greaterThan">
      <formula>2200</formula>
    </cfRule>
    <cfRule type="cellIs" dxfId="26" priority="23" operator="lessThan">
      <formula>50</formula>
    </cfRule>
  </conditionalFormatting>
  <conditionalFormatting sqref="N7">
    <cfRule type="cellIs" dxfId="25" priority="11" operator="lessThanOrEqual">
      <formula>0</formula>
    </cfRule>
  </conditionalFormatting>
  <conditionalFormatting sqref="H41">
    <cfRule type="expression" dxfId="24" priority="8">
      <formula>$H$41&lt;ROUND($H$40,0)</formula>
    </cfRule>
  </conditionalFormatting>
  <conditionalFormatting sqref="N41">
    <cfRule type="expression" dxfId="23" priority="7">
      <formula>$N$41&lt;ROUND($N$40,0)</formula>
    </cfRule>
  </conditionalFormatting>
  <conditionalFormatting sqref="V41">
    <cfRule type="expression" dxfId="22" priority="6">
      <formula>$V$41&lt;ROUND($V$40,0)</formula>
    </cfRule>
  </conditionalFormatting>
  <conditionalFormatting sqref="H81">
    <cfRule type="expression" dxfId="21" priority="5">
      <formula>$H$81&gt;$H$80</formula>
    </cfRule>
  </conditionalFormatting>
  <conditionalFormatting sqref="H52">
    <cfRule type="expression" dxfId="20" priority="2">
      <formula>$H$52&lt;0</formula>
    </cfRule>
  </conditionalFormatting>
  <conditionalFormatting sqref="AD41">
    <cfRule type="expression" dxfId="19" priority="1">
      <formula>$AD$41&lt;ROUND($AD$40,0)</formula>
    </cfRule>
  </conditionalFormatting>
  <dataValidations count="1">
    <dataValidation type="list" allowBlank="1" showInputMessage="1" showErrorMessage="1" sqref="H30" xr:uid="{00000000-0002-0000-0000-000000000000}">
      <formula1>"LM5157, LM51571, LM5158, LM51581"</formula1>
    </dataValidation>
  </dataValidations>
  <hyperlinks>
    <hyperlink ref="O3" location="About!A1" display="TERMS OF USE" xr:uid="{DCED6773-699C-4306-8659-B47034DCE461}"/>
    <hyperlink ref="O3:R3" location="Licenses!A1" display="TERMS OF USE" xr:uid="{149EBD79-C1FD-4653-988F-731A6DFD4494}"/>
  </hyperlinks>
  <pageMargins left="0.2" right="0.2" top="0.25" bottom="0.25" header="0" footer="0"/>
  <pageSetup paperSize="9"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806" r:id="rId4" name="Drop Down 1326">
              <controlPr defaultSize="0" print="0" autoLine="0" autoPict="0">
                <anchor>
                  <from>
                    <xdr:col>22</xdr:col>
                    <xdr:colOff>209550</xdr:colOff>
                    <xdr:row>15</xdr:row>
                    <xdr:rowOff>161925</xdr:rowOff>
                  </from>
                  <to>
                    <xdr:col>24</xdr:col>
                    <xdr:colOff>9525</xdr:colOff>
                    <xdr:row>16</xdr:row>
                    <xdr:rowOff>114300</xdr:rowOff>
                  </to>
                </anchor>
              </controlPr>
            </control>
          </mc:Choice>
        </mc:AlternateContent>
        <mc:AlternateContent xmlns:mc="http://schemas.openxmlformats.org/markup-compatibility/2006">
          <mc:Choice Requires="x14">
            <control shapeId="1060" r:id="rId5" name="Spinner 36">
              <controlPr defaultSize="0" autoPict="0">
                <anchor moveWithCells="1" sizeWithCells="1">
                  <from>
                    <xdr:col>8</xdr:col>
                    <xdr:colOff>9525</xdr:colOff>
                    <xdr:row>56</xdr:row>
                    <xdr:rowOff>9525</xdr:rowOff>
                  </from>
                  <to>
                    <xdr:col>9</xdr:col>
                    <xdr:colOff>0</xdr:colOff>
                    <xdr:row>57</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AF38F1AB-E03F-495F-9021-4DA75C879A81}">
            <xm:f>Variable_Management!$B$214=3</xm:f>
            <x14:dxf>
              <font>
                <strike/>
              </font>
              <fill>
                <patternFill>
                  <bgColor theme="0" tint="-0.24994659260841701"/>
                </patternFill>
              </fill>
            </x14:dxf>
          </x14:cfRule>
          <x14:cfRule type="expression" priority="48" id="{AC968A9C-58F4-4EB9-B20E-EEB4BEC63EEA}">
            <xm:f>Variable_Management!$B$214=2</xm:f>
            <x14:dxf>
              <font>
                <strike/>
              </font>
              <fill>
                <patternFill>
                  <bgColor theme="0" tint="-0.24994659260841701"/>
                </patternFill>
              </fill>
            </x14:dxf>
          </x14:cfRule>
          <xm:sqref>H60</xm:sqref>
        </x14:conditionalFormatting>
        <x14:conditionalFormatting xmlns:xm="http://schemas.microsoft.com/office/excel/2006/main">
          <x14:cfRule type="expression" priority="15" id="{D089312A-EA47-4A30-8BD9-4879E7BAD543}">
            <xm:f>Variable_Management!$B$214=3</xm:f>
            <x14:dxf>
              <font>
                <strike/>
                <color theme="1"/>
              </font>
              <fill>
                <patternFill>
                  <bgColor theme="0" tint="-0.24994659260841701"/>
                </patternFill>
              </fill>
            </x14:dxf>
          </x14:cfRule>
          <x14:cfRule type="expression" priority="47" id="{6AEF7AEB-8233-47F6-AF37-19EB8376E645}">
            <xm:f>Variable_Management!$B$214=2</xm:f>
            <x14:dxf>
              <font>
                <strike/>
              </font>
              <fill>
                <patternFill>
                  <bgColor theme="0" tint="-0.24994659260841701"/>
                </patternFill>
              </fill>
            </x14:dxf>
          </x14:cfRule>
          <xm:sqref>H66:H70</xm:sqref>
        </x14:conditionalFormatting>
        <x14:conditionalFormatting xmlns:xm="http://schemas.microsoft.com/office/excel/2006/main">
          <x14:cfRule type="expression" priority="14" id="{A764D817-6B5D-47FE-A14C-7CBBA1398D01}">
            <xm:f>Variable_Management!$B$214=3</xm:f>
            <x14:dxf>
              <font>
                <strike/>
              </font>
              <fill>
                <patternFill>
                  <bgColor theme="0" tint="-0.24994659260841701"/>
                </patternFill>
              </fill>
            </x14:dxf>
          </x14:cfRule>
          <x14:cfRule type="expression" priority="46" id="{81FE1FA5-D030-47BB-8660-B00C315F14DB}">
            <xm:f>Variable_Management!$B$214=2</xm:f>
            <x14:dxf>
              <font>
                <strike/>
              </font>
              <fill>
                <patternFill>
                  <bgColor theme="0" tint="-0.24994659260841701"/>
                </patternFill>
              </fill>
            </x14:dxf>
          </x14:cfRule>
          <xm:sqref>H73:H75</xm:sqref>
        </x14:conditionalFormatting>
        <x14:conditionalFormatting xmlns:xm="http://schemas.microsoft.com/office/excel/2006/main">
          <x14:cfRule type="expression" priority="45" id="{E6F4B62A-2486-4776-951C-54AB970AD7E6}">
            <xm:f>Variable_Management!$B$214=1</xm:f>
            <x14:dxf>
              <font>
                <strike/>
              </font>
              <fill>
                <patternFill>
                  <bgColor theme="0" tint="-0.24994659260841701"/>
                </patternFill>
              </fill>
            </x14:dxf>
          </x14:cfRule>
          <xm:sqref>H86</xm:sqref>
        </x14:conditionalFormatting>
        <x14:conditionalFormatting xmlns:xm="http://schemas.microsoft.com/office/excel/2006/main">
          <x14:cfRule type="expression" priority="13" id="{8EAFD998-C2A3-49C3-96D7-54CFCAE96E48}">
            <xm:f>Variable_Management!$B$214=3</xm:f>
            <x14:dxf>
              <font>
                <strike/>
              </font>
              <fill>
                <patternFill>
                  <bgColor theme="0" tint="-0.24994659260841701"/>
                </patternFill>
              </fill>
            </x14:dxf>
          </x14:cfRule>
          <x14:cfRule type="expression" priority="44" id="{E825D698-3E97-4429-BCA3-4B674CCA2086}">
            <xm:f>Variable_Management!$B$214=2</xm:f>
            <x14:dxf>
              <font>
                <strike/>
              </font>
              <fill>
                <patternFill>
                  <bgColor theme="0" tint="-0.24994659260841701"/>
                </patternFill>
              </fill>
            </x14:dxf>
          </x14:cfRule>
          <xm:sqref>H76:H77</xm:sqref>
        </x14:conditionalFormatting>
        <x14:conditionalFormatting xmlns:xm="http://schemas.microsoft.com/office/excel/2006/main">
          <x14:cfRule type="expression" priority="43" id="{26B2D2DD-EEF0-4676-9BB3-C4CF725A354D}">
            <xm:f>Variable_Management!$B$24=0</xm:f>
            <x14:dxf>
              <font>
                <strike val="0"/>
                <color theme="0"/>
              </font>
              <fill>
                <patternFill>
                  <bgColor theme="0"/>
                </patternFill>
              </fill>
              <border>
                <left/>
                <right/>
                <top/>
                <bottom/>
                <vertical/>
                <horizontal/>
              </border>
            </x14:dxf>
          </x14:cfRule>
          <xm:sqref>L13:O19 K38:K41 L37:O42</xm:sqref>
        </x14:conditionalFormatting>
        <x14:conditionalFormatting xmlns:xm="http://schemas.microsoft.com/office/excel/2006/main">
          <x14:cfRule type="expression" priority="42" id="{D8EED069-6203-4DCF-8C46-3C5EE8B9DF10}">
            <xm:f>Variable_Management!$B$33=0</xm:f>
            <x14:dxf>
              <font>
                <strike val="0"/>
                <color theme="0"/>
              </font>
              <fill>
                <patternFill>
                  <bgColor theme="0"/>
                </patternFill>
              </fill>
              <border>
                <left/>
                <right/>
                <top/>
                <bottom/>
                <vertical/>
                <horizontal/>
              </border>
            </x14:dxf>
          </x14:cfRule>
          <xm:sqref>L21:O28 Q39:W39 R38:W38 Q41:W42 Q40:V40 Q37:W37</xm:sqref>
        </x14:conditionalFormatting>
        <x14:conditionalFormatting xmlns:xm="http://schemas.microsoft.com/office/excel/2006/main">
          <x14:cfRule type="expression" priority="25" id="{CF5C59F3-9578-4F3D-8CFA-89B0A81DA010}">
            <xm:f>Variable_Management!$B$24=0</xm:f>
            <x14:dxf>
              <font>
                <color theme="0"/>
              </font>
              <fill>
                <patternFill>
                  <bgColor theme="0"/>
                </patternFill>
              </fill>
              <border>
                <left style="thin">
                  <color theme="0"/>
                </left>
                <right style="thin">
                  <color theme="0"/>
                </right>
                <top style="thin">
                  <color theme="0"/>
                </top>
                <bottom style="thin">
                  <color theme="0"/>
                </bottom>
                <vertical/>
                <horizontal/>
              </border>
            </x14:dxf>
          </x14:cfRule>
          <xm:sqref>A99:I101</xm:sqref>
        </x14:conditionalFormatting>
        <x14:conditionalFormatting xmlns:xm="http://schemas.microsoft.com/office/excel/2006/main">
          <x14:cfRule type="expression" priority="24" id="{A0AC3576-B134-405E-A248-7E1B49921D90}">
            <xm:f>Variable_Management!$B$33=0</xm:f>
            <x14:dxf>
              <font>
                <color theme="0"/>
              </font>
              <fill>
                <patternFill>
                  <bgColor theme="0"/>
                </patternFill>
              </fill>
              <border>
                <left style="hair">
                  <color theme="0"/>
                </left>
                <right style="hair">
                  <color theme="0"/>
                </right>
                <top style="hair">
                  <color theme="0"/>
                </top>
                <bottom style="hair">
                  <color theme="0"/>
                </bottom>
                <vertical/>
                <horizontal/>
              </border>
            </x14:dxf>
          </x14:cfRule>
          <xm:sqref>A103:I105</xm:sqref>
        </x14:conditionalFormatting>
        <x14:conditionalFormatting xmlns:xm="http://schemas.microsoft.com/office/excel/2006/main">
          <x14:cfRule type="expression" priority="21" id="{FB4B53A7-2762-406C-BB19-EE0F3D8079B0}">
            <xm:f>Variable_Management!$B$214=1</xm:f>
            <x14:dxf>
              <font>
                <strike/>
              </font>
              <fill>
                <patternFill>
                  <bgColor theme="0" tint="-0.24994659260841701"/>
                </patternFill>
              </fill>
            </x14:dxf>
          </x14:cfRule>
          <xm:sqref>H45:H47</xm:sqref>
        </x14:conditionalFormatting>
        <x14:conditionalFormatting xmlns:xm="http://schemas.microsoft.com/office/excel/2006/main">
          <x14:cfRule type="expression" priority="19" id="{E0EE2EF6-EF43-482B-8D75-B780A0696CAE}">
            <xm:f>Variable_Management!$B$42=0</xm:f>
            <x14:dxf>
              <font>
                <strike val="0"/>
                <color theme="0"/>
              </font>
              <fill>
                <patternFill>
                  <bgColor theme="0"/>
                </patternFill>
              </fill>
              <border>
                <left/>
                <right/>
                <top/>
                <bottom/>
                <vertical/>
                <horizontal/>
              </border>
            </x14:dxf>
          </x14:cfRule>
          <xm:sqref>L29:O35 Z38:AE39 Z41:AE42 Z40:AD40</xm:sqref>
        </x14:conditionalFormatting>
        <x14:conditionalFormatting xmlns:xm="http://schemas.microsoft.com/office/excel/2006/main">
          <x14:cfRule type="expression" priority="17" id="{F4ACD234-2762-4AA7-A3E1-6D14F92DB26A}">
            <xm:f>Variable_Management!$B$42=0</xm:f>
            <x14:dxf>
              <font>
                <color theme="0"/>
              </font>
              <fill>
                <patternFill>
                  <bgColor theme="0"/>
                </patternFill>
              </fill>
              <border>
                <left style="hair">
                  <color theme="0"/>
                </left>
                <right style="hair">
                  <color theme="0"/>
                </right>
                <top style="hair">
                  <color theme="0"/>
                </top>
                <bottom style="hair">
                  <color theme="0"/>
                </bottom>
                <vertical/>
                <horizontal/>
              </border>
            </x14:dxf>
          </x14:cfRule>
          <xm:sqref>A107:I109</xm:sqref>
        </x14:conditionalFormatting>
        <x14:conditionalFormatting xmlns:xm="http://schemas.microsoft.com/office/excel/2006/main">
          <x14:cfRule type="expression" priority="4" id="{795F95EE-77D6-4E4B-8C26-726D20B77D50}">
            <xm:f>Variable_Management!$B$33=0</xm:f>
            <x14:dxf>
              <font>
                <strike val="0"/>
                <color theme="0"/>
              </font>
              <fill>
                <patternFill>
                  <bgColor theme="0"/>
                </patternFill>
              </fill>
              <border>
                <left/>
                <right/>
                <top/>
                <bottom/>
                <vertical/>
                <horizontal/>
              </border>
            </x14:dxf>
          </x14:cfRule>
          <xm:sqref>W40</xm:sqref>
        </x14:conditionalFormatting>
        <x14:conditionalFormatting xmlns:xm="http://schemas.microsoft.com/office/excel/2006/main">
          <x14:cfRule type="expression" priority="3" id="{A4CB55F0-D468-49CB-9CB6-404BCB1512B9}">
            <xm:f>Variable_Management!$B$42=0</xm:f>
            <x14:dxf>
              <font>
                <strike val="0"/>
                <color theme="0"/>
              </font>
              <fill>
                <patternFill>
                  <bgColor theme="0"/>
                </patternFill>
              </fill>
              <border>
                <left/>
                <right/>
                <top/>
                <bottom/>
                <vertical/>
                <horizontal/>
              </border>
            </x14:dxf>
          </x14:cfRule>
          <xm:sqref>AE40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B00EABA4-2FA4-4286-AC15-FCE7139F8025}">
          <x14:formula1>
            <xm:f>Lists!$L$2:$L$4</xm:f>
          </x14:formula1>
          <xm:sqref>H10</xm:sqref>
        </x14:dataValidation>
        <x14:dataValidation type="list" showInputMessage="1" showErrorMessage="1" xr:uid="{F888BDFD-9C60-4A70-9AC9-18282501039B}">
          <x14:formula1>
            <xm:f>Lists!$I$2:$I$4</xm:f>
          </x14:formula1>
          <xm:sqref>H12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6431-50CE-4A1F-882B-E5ABA03D7975}">
  <sheetPr codeName="Sheet10"/>
  <dimension ref="A1:AM44"/>
  <sheetViews>
    <sheetView showGridLines="0" showRowColHeaders="0" zoomScaleNormal="100" workbookViewId="0">
      <selection activeCell="L11" sqref="L11"/>
    </sheetView>
  </sheetViews>
  <sheetFormatPr defaultColWidth="9.1328125" defaultRowHeight="13.5" x14ac:dyDescent="0.35"/>
  <cols>
    <col min="1" max="1" width="25.73046875" style="289" bestFit="1" customWidth="1"/>
    <col min="2" max="2" width="56.59765625" style="294" customWidth="1"/>
    <col min="3" max="11" width="9.1328125" style="283"/>
    <col min="12" max="12" width="20.3984375" style="283" customWidth="1"/>
    <col min="13" max="16384" width="9.1328125" style="283"/>
  </cols>
  <sheetData>
    <row r="1" spans="1:12" x14ac:dyDescent="0.35">
      <c r="A1" s="359"/>
      <c r="B1" s="359"/>
      <c r="C1" s="359"/>
      <c r="D1" s="359"/>
      <c r="E1" s="359"/>
      <c r="F1" s="359"/>
      <c r="G1" s="359"/>
      <c r="H1" s="359"/>
      <c r="I1" s="359"/>
      <c r="J1" s="359"/>
      <c r="K1" s="359"/>
      <c r="L1" s="359"/>
    </row>
    <row r="2" spans="1:12" x14ac:dyDescent="0.35">
      <c r="A2" s="359"/>
      <c r="B2" s="359"/>
      <c r="C2" s="359"/>
      <c r="D2" s="359"/>
      <c r="E2" s="359"/>
      <c r="F2" s="359"/>
      <c r="G2" s="359"/>
      <c r="H2" s="359"/>
      <c r="I2" s="359"/>
      <c r="J2" s="359"/>
      <c r="K2" s="359"/>
      <c r="L2" s="359"/>
    </row>
    <row r="3" spans="1:12" x14ac:dyDescent="0.35">
      <c r="A3" s="359"/>
      <c r="B3" s="359"/>
      <c r="C3" s="359"/>
      <c r="D3" s="359"/>
      <c r="E3" s="359"/>
      <c r="F3" s="359"/>
      <c r="G3" s="359"/>
      <c r="H3" s="359"/>
      <c r="I3" s="359"/>
      <c r="J3" s="359"/>
      <c r="K3" s="359"/>
      <c r="L3" s="359"/>
    </row>
    <row r="4" spans="1:12" ht="12.75" customHeight="1" x14ac:dyDescent="0.35">
      <c r="A4" s="360"/>
      <c r="B4" s="360"/>
      <c r="C4" s="360"/>
      <c r="D4" s="360"/>
      <c r="E4" s="360"/>
      <c r="F4" s="360"/>
      <c r="G4" s="360"/>
      <c r="H4" s="360"/>
      <c r="I4" s="360"/>
      <c r="J4" s="360"/>
      <c r="K4" s="360"/>
      <c r="L4" s="360"/>
    </row>
    <row r="5" spans="1:12" ht="13.9" x14ac:dyDescent="0.4">
      <c r="A5" s="284" t="s">
        <v>775</v>
      </c>
      <c r="B5" s="285" t="s">
        <v>776</v>
      </c>
      <c r="C5" s="286"/>
      <c r="D5" s="286"/>
      <c r="E5" s="286"/>
      <c r="F5" s="286"/>
      <c r="G5" s="286"/>
      <c r="H5" s="286"/>
      <c r="I5" s="286"/>
      <c r="J5" s="286"/>
      <c r="K5" s="287"/>
      <c r="L5" s="288"/>
    </row>
    <row r="6" spans="1:12" ht="13.9" x14ac:dyDescent="0.4">
      <c r="A6" s="284"/>
      <c r="B6" s="285"/>
      <c r="C6" s="286"/>
      <c r="D6" s="286"/>
      <c r="E6" s="286"/>
      <c r="F6" s="286"/>
      <c r="G6" s="286"/>
      <c r="H6" s="286"/>
      <c r="I6" s="286"/>
      <c r="J6" s="288"/>
      <c r="K6" s="288"/>
      <c r="L6" s="288"/>
    </row>
    <row r="33" spans="1:39" x14ac:dyDescent="0.35">
      <c r="B33" s="290"/>
    </row>
    <row r="34" spans="1:39" x14ac:dyDescent="0.35">
      <c r="B34" s="290"/>
    </row>
    <row r="35" spans="1:39" x14ac:dyDescent="0.35">
      <c r="A35" s="291" t="s">
        <v>777</v>
      </c>
      <c r="B35" s="292"/>
      <c r="C35" s="286"/>
      <c r="D35" s="286"/>
      <c r="E35" s="286"/>
      <c r="F35" s="286"/>
      <c r="G35" s="286"/>
      <c r="H35" s="286"/>
      <c r="I35" s="286"/>
      <c r="J35" s="286"/>
      <c r="K35" s="286"/>
    </row>
    <row r="36" spans="1:39" ht="13.9" x14ac:dyDescent="0.4">
      <c r="A36" s="293" t="s">
        <v>778</v>
      </c>
      <c r="B36" s="361" t="s">
        <v>779</v>
      </c>
      <c r="C36" s="361"/>
      <c r="D36" s="361"/>
      <c r="E36" s="361"/>
      <c r="F36" s="361"/>
      <c r="G36" s="361"/>
      <c r="H36" s="361"/>
      <c r="I36" s="361"/>
      <c r="J36" s="361"/>
      <c r="K36" s="361"/>
    </row>
    <row r="37" spans="1:39" x14ac:dyDescent="0.35">
      <c r="A37" s="291" t="s">
        <v>776</v>
      </c>
      <c r="B37" s="362" t="s">
        <v>780</v>
      </c>
      <c r="C37" s="362"/>
      <c r="D37" s="362"/>
      <c r="E37" s="362"/>
      <c r="F37" s="362"/>
      <c r="G37" s="362"/>
      <c r="H37" s="362"/>
      <c r="I37" s="362"/>
      <c r="J37" s="362"/>
      <c r="K37" s="362"/>
    </row>
    <row r="38" spans="1:39" ht="14.25" customHeight="1" x14ac:dyDescent="0.35">
      <c r="A38" s="291"/>
      <c r="B38" s="363"/>
      <c r="C38" s="363"/>
      <c r="D38" s="363"/>
      <c r="E38" s="363"/>
      <c r="F38" s="363"/>
      <c r="G38" s="363"/>
      <c r="H38" s="363"/>
      <c r="I38" s="363"/>
      <c r="J38" s="363"/>
      <c r="K38" s="363"/>
    </row>
    <row r="39" spans="1:39" ht="14.25" customHeight="1" x14ac:dyDescent="0.35">
      <c r="B39" s="358"/>
      <c r="C39" s="358"/>
      <c r="D39" s="358"/>
      <c r="E39" s="358"/>
      <c r="F39" s="358"/>
      <c r="G39" s="358"/>
      <c r="H39" s="358"/>
      <c r="I39" s="358"/>
      <c r="J39" s="358"/>
      <c r="K39" s="358"/>
    </row>
    <row r="40" spans="1:39" ht="14.25" customHeight="1" x14ac:dyDescent="0.35">
      <c r="B40" s="358"/>
      <c r="C40" s="358"/>
      <c r="D40" s="358"/>
      <c r="E40" s="358"/>
      <c r="F40" s="358"/>
      <c r="G40" s="358"/>
      <c r="H40" s="358"/>
      <c r="I40" s="358"/>
      <c r="J40" s="358"/>
      <c r="K40" s="358"/>
    </row>
    <row r="41" spans="1:39" ht="14.25" customHeight="1" x14ac:dyDescent="0.35"/>
    <row r="44" spans="1:39" s="296" customFormat="1" ht="13.9" x14ac:dyDescent="0.35">
      <c r="A44" s="289"/>
      <c r="B44" s="290"/>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mopdsP27fyZJ71iIboPJ/U5bvXVuFdPSh2DlT1SCynomzNT7Yj7CYtTG6mWPSiaiw7bKX4oAg4E46T3HIbx91w==" saltValue="fwlxMIKwHqd+boIGNpP5jg==" spinCount="100000" sheet="1" objects="1" scenarios="1" selectLockedCells="1"/>
  <mergeCells count="7">
    <mergeCell ref="B40:K40"/>
    <mergeCell ref="A1:L3"/>
    <mergeCell ref="A4:L4"/>
    <mergeCell ref="B36:K36"/>
    <mergeCell ref="B37:K37"/>
    <mergeCell ref="B38:K38"/>
    <mergeCell ref="B39:K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38"/>
  <sheetViews>
    <sheetView zoomScale="85" zoomScaleNormal="85" workbookViewId="0">
      <pane ySplit="5" topLeftCell="A289" activePane="bottomLeft" state="frozen"/>
      <selection activeCell="B190" sqref="B190"/>
      <selection pane="bottomLeft" activeCell="B16" sqref="B16"/>
    </sheetView>
  </sheetViews>
  <sheetFormatPr defaultRowHeight="14.25" x14ac:dyDescent="0.45"/>
  <cols>
    <col min="1" max="1" width="28.86328125" customWidth="1"/>
    <col min="2" max="2" width="19.59765625" customWidth="1"/>
    <col min="3" max="3" width="10.86328125" customWidth="1"/>
    <col min="4" max="4" width="10" bestFit="1" customWidth="1"/>
    <col min="5" max="5" width="18.73046875" customWidth="1"/>
    <col min="6" max="6" width="14.73046875" customWidth="1"/>
    <col min="7" max="7" width="15.1328125" customWidth="1"/>
    <col min="8" max="8" width="12.59765625" customWidth="1"/>
    <col min="9" max="9" width="12.59765625" style="4" customWidth="1"/>
    <col min="12" max="12" width="10.265625" bestFit="1" customWidth="1"/>
    <col min="15" max="15" width="10.1328125" bestFit="1" customWidth="1"/>
  </cols>
  <sheetData>
    <row r="1" spans="1:17" ht="27.75" x14ac:dyDescent="0.75">
      <c r="A1" s="324" t="s">
        <v>14</v>
      </c>
      <c r="B1" s="324"/>
      <c r="C1" s="324"/>
      <c r="D1" s="324"/>
      <c r="E1" s="324"/>
      <c r="F1" s="324"/>
      <c r="G1" s="324"/>
      <c r="H1" s="324"/>
      <c r="I1" s="324"/>
      <c r="J1" s="324"/>
    </row>
    <row r="2" spans="1:17" x14ac:dyDescent="0.45">
      <c r="A2" s="6"/>
      <c r="B2" s="6" t="s">
        <v>15</v>
      </c>
      <c r="C2" s="7"/>
      <c r="D2" s="5"/>
      <c r="E2" s="6"/>
      <c r="F2" s="6"/>
      <c r="G2" s="6"/>
      <c r="H2" s="6"/>
      <c r="I2" s="11"/>
      <c r="J2" s="6"/>
    </row>
    <row r="3" spans="1:17" x14ac:dyDescent="0.45">
      <c r="A3" s="6"/>
      <c r="B3" s="6" t="s">
        <v>16</v>
      </c>
      <c r="C3" s="172"/>
      <c r="D3" s="5"/>
      <c r="E3" s="6"/>
      <c r="F3" s="23" t="s">
        <v>624</v>
      </c>
      <c r="G3" s="24" t="s">
        <v>54</v>
      </c>
      <c r="H3" s="38" t="s">
        <v>57</v>
      </c>
      <c r="I3" s="11"/>
      <c r="J3" s="6"/>
    </row>
    <row r="4" spans="1:17" x14ac:dyDescent="0.45">
      <c r="A4" s="6"/>
      <c r="B4" s="6" t="s">
        <v>17</v>
      </c>
      <c r="C4" s="8"/>
      <c r="D4" s="5"/>
      <c r="E4" s="6"/>
      <c r="F4" s="23" t="s">
        <v>622</v>
      </c>
      <c r="G4" s="6" t="s">
        <v>623</v>
      </c>
      <c r="H4" s="6"/>
      <c r="I4" s="11"/>
      <c r="J4" s="6"/>
      <c r="O4" t="s">
        <v>621</v>
      </c>
    </row>
    <row r="5" spans="1:17" x14ac:dyDescent="0.45">
      <c r="A5" s="10" t="s">
        <v>18</v>
      </c>
      <c r="B5" s="10" t="s">
        <v>19</v>
      </c>
      <c r="C5" s="10" t="s">
        <v>20</v>
      </c>
      <c r="D5" s="9"/>
      <c r="E5" s="325" t="s">
        <v>21</v>
      </c>
      <c r="F5" s="325"/>
      <c r="G5" s="325"/>
      <c r="H5" s="325"/>
      <c r="I5" s="19"/>
      <c r="J5" s="25" t="s">
        <v>22</v>
      </c>
      <c r="K5" s="10" t="s">
        <v>61</v>
      </c>
      <c r="L5" s="9"/>
      <c r="M5" s="9"/>
      <c r="N5" s="9"/>
      <c r="O5" s="256">
        <v>44162</v>
      </c>
      <c r="P5" s="9"/>
      <c r="Q5" s="9"/>
    </row>
    <row r="6" spans="1:17" ht="15.4" x14ac:dyDescent="0.45">
      <c r="A6" s="18" t="s">
        <v>23</v>
      </c>
      <c r="B6" s="15"/>
      <c r="C6" s="15"/>
      <c r="D6" s="15"/>
      <c r="E6" s="16"/>
      <c r="F6" s="16"/>
      <c r="G6" s="16"/>
      <c r="H6" s="16"/>
      <c r="I6" s="16"/>
      <c r="J6" s="15"/>
      <c r="K6" s="9"/>
      <c r="L6" s="9"/>
      <c r="M6" s="9"/>
      <c r="N6" s="9"/>
      <c r="O6" s="9"/>
      <c r="P6" s="9"/>
      <c r="Q6" s="9"/>
    </row>
    <row r="7" spans="1:17" x14ac:dyDescent="0.45">
      <c r="A7" t="s">
        <v>24</v>
      </c>
      <c r="B7" s="3">
        <f>'Design Converter'!H7</f>
        <v>36</v>
      </c>
      <c r="C7" t="s">
        <v>9</v>
      </c>
      <c r="E7" t="s">
        <v>27</v>
      </c>
    </row>
    <row r="8" spans="1:17" x14ac:dyDescent="0.45">
      <c r="A8" t="s">
        <v>25</v>
      </c>
      <c r="B8" s="3">
        <f>'Design Converter'!H8</f>
        <v>42</v>
      </c>
      <c r="C8" t="s">
        <v>9</v>
      </c>
      <c r="E8" t="s">
        <v>28</v>
      </c>
      <c r="K8">
        <f>IF(VIN_min&lt;VIN_min,1,IF(VIN_nom&gt;VIN_max,1,0))</f>
        <v>0</v>
      </c>
    </row>
    <row r="9" spans="1:17" x14ac:dyDescent="0.45">
      <c r="A9" t="s">
        <v>26</v>
      </c>
      <c r="B9" s="3">
        <f>'Design Converter'!H9</f>
        <v>57</v>
      </c>
      <c r="C9" t="s">
        <v>9</v>
      </c>
      <c r="E9" t="s">
        <v>29</v>
      </c>
    </row>
    <row r="10" spans="1:17" s="4" customFormat="1" x14ac:dyDescent="0.45">
      <c r="A10" s="4" t="s">
        <v>58</v>
      </c>
      <c r="B10" s="3">
        <f>'Design Converter'!H14*1000</f>
        <v>2100000</v>
      </c>
      <c r="C10" s="4" t="s">
        <v>59</v>
      </c>
      <c r="E10" s="4" t="s">
        <v>60</v>
      </c>
    </row>
    <row r="11" spans="1:17" s="4" customFormat="1" x14ac:dyDescent="0.45">
      <c r="A11" s="4" t="s">
        <v>63</v>
      </c>
      <c r="B11" s="29">
        <f>((2.21*10^10)/Fsw)-955</f>
        <v>9568.8095238095229</v>
      </c>
      <c r="C11" s="2" t="s">
        <v>33</v>
      </c>
      <c r="E11" s="4" t="s">
        <v>64</v>
      </c>
    </row>
    <row r="13" spans="1:17" s="31" customFormat="1" x14ac:dyDescent="0.45">
      <c r="A13" s="31" t="s">
        <v>608</v>
      </c>
      <c r="B13" s="31">
        <f>_xlfn.SWITCH('Design Converter'!H10,"Single",1,"Double",2,"Triple",3,1)</f>
        <v>1</v>
      </c>
    </row>
    <row r="14" spans="1:17" s="31" customFormat="1" x14ac:dyDescent="0.45">
      <c r="A14" s="31" t="s">
        <v>742</v>
      </c>
      <c r="B14" s="31">
        <f>VOUT+IF(FB_type=3,1,0)</f>
        <v>1</v>
      </c>
    </row>
    <row r="15" spans="1:17" s="31" customFormat="1" x14ac:dyDescent="0.45"/>
    <row r="16" spans="1:17" x14ac:dyDescent="0.45">
      <c r="A16" t="s">
        <v>397</v>
      </c>
      <c r="B16" s="3">
        <f>ABS('Design Converter'!N7)</f>
        <v>5</v>
      </c>
      <c r="C16" t="s">
        <v>9</v>
      </c>
      <c r="E16" t="s">
        <v>415</v>
      </c>
    </row>
    <row r="17" spans="1:5" x14ac:dyDescent="0.45">
      <c r="A17" t="s">
        <v>398</v>
      </c>
      <c r="B17" s="3">
        <f>ABS('Design Converter'!N8)</f>
        <v>4</v>
      </c>
      <c r="C17" t="s">
        <v>10</v>
      </c>
      <c r="E17" t="s">
        <v>32</v>
      </c>
    </row>
    <row r="18" spans="1:5" x14ac:dyDescent="0.45">
      <c r="A18" t="s">
        <v>399</v>
      </c>
      <c r="B18" s="1">
        <f>VOUT1/IOUT1</f>
        <v>1.25</v>
      </c>
      <c r="C18" s="2" t="s">
        <v>33</v>
      </c>
      <c r="E18" t="s">
        <v>37</v>
      </c>
    </row>
    <row r="19" spans="1:5" x14ac:dyDescent="0.45">
      <c r="A19" t="s">
        <v>400</v>
      </c>
      <c r="B19" s="1">
        <f>VOUT1*IOUT1</f>
        <v>20</v>
      </c>
      <c r="C19" s="2" t="s">
        <v>34</v>
      </c>
      <c r="E19" t="s">
        <v>36</v>
      </c>
    </row>
    <row r="20" spans="1:5" x14ac:dyDescent="0.45">
      <c r="A20" t="s">
        <v>594</v>
      </c>
      <c r="B20" s="3">
        <f>'Design Converter'!H96/1000</f>
        <v>0.5</v>
      </c>
      <c r="C20" s="2" t="s">
        <v>9</v>
      </c>
    </row>
    <row r="21" spans="1:5" s="31" customFormat="1" x14ac:dyDescent="0.45">
      <c r="A21" s="31" t="s">
        <v>595</v>
      </c>
      <c r="B21" s="277">
        <f>'Design Converter'!H97/(10^9)</f>
        <v>5.0000000000000001E-9</v>
      </c>
      <c r="C21" s="2" t="s">
        <v>337</v>
      </c>
    </row>
    <row r="22" spans="1:5" s="31" customFormat="1" x14ac:dyDescent="0.45"/>
    <row r="23" spans="1:5" s="31" customFormat="1" x14ac:dyDescent="0.45">
      <c r="B23" s="31" t="b">
        <v>0</v>
      </c>
    </row>
    <row r="24" spans="1:5" s="31" customFormat="1" x14ac:dyDescent="0.45">
      <c r="A24" s="31" t="s">
        <v>412</v>
      </c>
      <c r="B24" s="31">
        <f>CHOOSE(B14,0,1,1,1)</f>
        <v>0</v>
      </c>
      <c r="E24" s="31" t="s">
        <v>413</v>
      </c>
    </row>
    <row r="25" spans="1:5" s="31" customFormat="1" x14ac:dyDescent="0.45">
      <c r="A25" s="31" t="s">
        <v>401</v>
      </c>
      <c r="B25" s="3">
        <f>IF($B$24=1,ABS('Design Converter'!N14),0)</f>
        <v>0</v>
      </c>
      <c r="C25" s="31" t="s">
        <v>9</v>
      </c>
      <c r="E25" s="31" t="s">
        <v>437</v>
      </c>
    </row>
    <row r="26" spans="1:5" s="31" customFormat="1" x14ac:dyDescent="0.45">
      <c r="A26" s="31" t="s">
        <v>402</v>
      </c>
      <c r="B26" s="3">
        <f>IF($B$24=1,ABS('Design Converter'!N15),0)</f>
        <v>0</v>
      </c>
      <c r="C26" s="31" t="s">
        <v>10</v>
      </c>
      <c r="E26" s="31" t="s">
        <v>32</v>
      </c>
    </row>
    <row r="27" spans="1:5" s="31" customFormat="1" x14ac:dyDescent="0.45">
      <c r="A27" s="31" t="s">
        <v>403</v>
      </c>
      <c r="B27" s="1">
        <f>IF($B$24=1,VOUT2/IOUT2,0)</f>
        <v>0</v>
      </c>
      <c r="C27" s="2" t="s">
        <v>33</v>
      </c>
      <c r="E27" s="31" t="s">
        <v>37</v>
      </c>
    </row>
    <row r="28" spans="1:5" s="31" customFormat="1" x14ac:dyDescent="0.45">
      <c r="A28" s="31" t="s">
        <v>404</v>
      </c>
      <c r="B28" s="1">
        <f>VOUT2*IOUT2</f>
        <v>0</v>
      </c>
      <c r="C28" s="2" t="s">
        <v>34</v>
      </c>
      <c r="E28" s="31" t="s">
        <v>36</v>
      </c>
    </row>
    <row r="29" spans="1:5" s="31" customFormat="1" x14ac:dyDescent="0.45">
      <c r="A29" s="31" t="s">
        <v>598</v>
      </c>
      <c r="B29" s="20">
        <f>IF($B$24=1,ABS('Design Converter'!H100/1000),0)</f>
        <v>0</v>
      </c>
      <c r="C29" s="2" t="s">
        <v>9</v>
      </c>
    </row>
    <row r="30" spans="1:5" s="31" customFormat="1" x14ac:dyDescent="0.45">
      <c r="A30" s="31" t="s">
        <v>599</v>
      </c>
      <c r="B30" s="277">
        <f>IF($B$24=1,ABS('Design Converter'!H101*10^-9),0)</f>
        <v>0</v>
      </c>
      <c r="C30" s="31" t="s">
        <v>337</v>
      </c>
    </row>
    <row r="31" spans="1:5" s="31" customFormat="1" x14ac:dyDescent="0.45">
      <c r="B31" s="165"/>
    </row>
    <row r="32" spans="1:5" s="31" customFormat="1" x14ac:dyDescent="0.45">
      <c r="B32" s="165" t="b">
        <v>1</v>
      </c>
    </row>
    <row r="33" spans="1:5" s="31" customFormat="1" x14ac:dyDescent="0.45">
      <c r="A33" s="31" t="s">
        <v>411</v>
      </c>
      <c r="B33" s="167">
        <f>CHOOSE(B14,0,0,1,1)</f>
        <v>0</v>
      </c>
      <c r="E33" s="31" t="s">
        <v>414</v>
      </c>
    </row>
    <row r="34" spans="1:5" s="31" customFormat="1" x14ac:dyDescent="0.45">
      <c r="A34" s="31" t="s">
        <v>405</v>
      </c>
      <c r="B34" s="3">
        <f>IF($B$33=1,ABS('Design Converter'!N22),0)</f>
        <v>0</v>
      </c>
      <c r="C34" s="31" t="s">
        <v>9</v>
      </c>
      <c r="E34" s="31" t="s">
        <v>438</v>
      </c>
    </row>
    <row r="35" spans="1:5" s="31" customFormat="1" x14ac:dyDescent="0.45">
      <c r="A35" s="31" t="s">
        <v>406</v>
      </c>
      <c r="B35" s="3">
        <f>IF($B$33=1,ABS('Design Converter'!N23),0)</f>
        <v>0</v>
      </c>
      <c r="C35" s="31" t="s">
        <v>10</v>
      </c>
      <c r="E35" s="31" t="s">
        <v>32</v>
      </c>
    </row>
    <row r="36" spans="1:5" s="31" customFormat="1" x14ac:dyDescent="0.45">
      <c r="A36" s="31" t="s">
        <v>407</v>
      </c>
      <c r="B36" s="1">
        <f>IF(B33=1,VOUT3/IOUT3,0)</f>
        <v>0</v>
      </c>
      <c r="C36" s="2" t="s">
        <v>33</v>
      </c>
      <c r="E36" s="31" t="s">
        <v>37</v>
      </c>
    </row>
    <row r="37" spans="1:5" s="31" customFormat="1" x14ac:dyDescent="0.45">
      <c r="A37" s="31" t="s">
        <v>408</v>
      </c>
      <c r="B37" s="1">
        <f>VOUT3*IOUT3</f>
        <v>0</v>
      </c>
      <c r="C37" s="2" t="s">
        <v>34</v>
      </c>
      <c r="E37" s="31" t="s">
        <v>36</v>
      </c>
    </row>
    <row r="38" spans="1:5" s="31" customFormat="1" x14ac:dyDescent="0.45">
      <c r="A38" s="31" t="s">
        <v>596</v>
      </c>
      <c r="B38" s="3">
        <f>IF($B$33=1,ABS('Design Converter'!H104/1000),0)</f>
        <v>0</v>
      </c>
      <c r="C38" s="2" t="s">
        <v>9</v>
      </c>
    </row>
    <row r="39" spans="1:5" s="31" customFormat="1" x14ac:dyDescent="0.45">
      <c r="A39" s="31" t="s">
        <v>597</v>
      </c>
      <c r="B39" s="277">
        <f>IF($B$33=1,ABS('Design Converter'!H105*10^-9),0)</f>
        <v>0</v>
      </c>
      <c r="C39" s="2" t="s">
        <v>337</v>
      </c>
    </row>
    <row r="40" spans="1:5" s="31" customFormat="1" x14ac:dyDescent="0.45">
      <c r="B40" s="165"/>
    </row>
    <row r="41" spans="1:5" s="31" customFormat="1" x14ac:dyDescent="0.45">
      <c r="B41" s="165" t="b">
        <v>1</v>
      </c>
    </row>
    <row r="42" spans="1:5" s="31" customFormat="1" x14ac:dyDescent="0.45">
      <c r="A42" s="31" t="s">
        <v>734</v>
      </c>
      <c r="B42" s="167">
        <f>CHOOSE(B14,0,0,0,1)</f>
        <v>0</v>
      </c>
      <c r="E42" s="31" t="s">
        <v>741</v>
      </c>
    </row>
    <row r="43" spans="1:5" s="31" customFormat="1" x14ac:dyDescent="0.45">
      <c r="A43" s="31" t="s">
        <v>735</v>
      </c>
      <c r="B43" s="3">
        <f>IF($B$42=1,ABS('Design Converter'!N30),0)</f>
        <v>0</v>
      </c>
      <c r="C43" s="31" t="s">
        <v>9</v>
      </c>
      <c r="E43" s="31" t="s">
        <v>438</v>
      </c>
    </row>
    <row r="44" spans="1:5" s="31" customFormat="1" x14ac:dyDescent="0.45">
      <c r="A44" s="31" t="s">
        <v>736</v>
      </c>
      <c r="B44" s="3">
        <f>IF($B$42=1,ABS('Design Converter'!N31),0)</f>
        <v>0</v>
      </c>
      <c r="C44" s="31" t="s">
        <v>10</v>
      </c>
      <c r="E44" s="31" t="s">
        <v>32</v>
      </c>
    </row>
    <row r="45" spans="1:5" s="31" customFormat="1" x14ac:dyDescent="0.45">
      <c r="A45" s="31" t="s">
        <v>737</v>
      </c>
      <c r="B45" s="1">
        <f>IF(B42=1,VOUT4/IOUT4,0)</f>
        <v>0</v>
      </c>
      <c r="C45" s="2" t="s">
        <v>33</v>
      </c>
      <c r="E45" s="31" t="s">
        <v>37</v>
      </c>
    </row>
    <row r="46" spans="1:5" s="31" customFormat="1" x14ac:dyDescent="0.45">
      <c r="A46" s="31" t="s">
        <v>738</v>
      </c>
      <c r="B46" s="1">
        <f>VOUT4*IOUT4</f>
        <v>0</v>
      </c>
      <c r="C46" s="2" t="s">
        <v>34</v>
      </c>
      <c r="E46" s="31" t="s">
        <v>36</v>
      </c>
    </row>
    <row r="47" spans="1:5" s="31" customFormat="1" x14ac:dyDescent="0.45">
      <c r="A47" s="31" t="s">
        <v>739</v>
      </c>
      <c r="B47" s="3">
        <f>IF($B$42=1,ABS('Design Converter'!H108/1000),0)</f>
        <v>0</v>
      </c>
      <c r="C47" s="2" t="s">
        <v>9</v>
      </c>
    </row>
    <row r="48" spans="1:5" s="31" customFormat="1" x14ac:dyDescent="0.45">
      <c r="A48" s="31" t="s">
        <v>740</v>
      </c>
      <c r="B48" s="277">
        <f>IF($B$42=1,ABS('Design Converter'!H109*10^-9),0)</f>
        <v>0</v>
      </c>
      <c r="C48" s="2" t="s">
        <v>337</v>
      </c>
    </row>
    <row r="49" spans="1:5" s="31" customFormat="1" x14ac:dyDescent="0.45">
      <c r="B49" s="165"/>
    </row>
    <row r="50" spans="1:5" s="31" customFormat="1" x14ac:dyDescent="0.45">
      <c r="A50" s="31" t="s">
        <v>409</v>
      </c>
      <c r="B50" s="165">
        <f>SUM(POUT1,POUT2,POUT3,POUT4)</f>
        <v>20</v>
      </c>
    </row>
    <row r="51" spans="1:5" s="31" customFormat="1" x14ac:dyDescent="0.45">
      <c r="A51" t="s">
        <v>35</v>
      </c>
      <c r="B51" s="169">
        <v>1</v>
      </c>
      <c r="E51" s="31" t="s">
        <v>454</v>
      </c>
    </row>
    <row r="52" spans="1:5" s="31" customFormat="1" x14ac:dyDescent="0.45">
      <c r="B52" s="165"/>
    </row>
    <row r="53" spans="1:5" s="31" customFormat="1" x14ac:dyDescent="0.45">
      <c r="A53" s="31" t="s">
        <v>644</v>
      </c>
      <c r="B53" s="165"/>
      <c r="E53" s="31" t="s">
        <v>645</v>
      </c>
    </row>
    <row r="54" spans="1:5" s="31" customFormat="1" x14ac:dyDescent="0.45">
      <c r="A54" s="31" t="s">
        <v>646</v>
      </c>
      <c r="B54" s="165"/>
      <c r="E54" s="31" t="s">
        <v>648</v>
      </c>
    </row>
    <row r="55" spans="1:5" s="31" customFormat="1" x14ac:dyDescent="0.45">
      <c r="A55" s="31" t="s">
        <v>647</v>
      </c>
      <c r="B55" s="165"/>
      <c r="E55" s="31" t="s">
        <v>649</v>
      </c>
    </row>
    <row r="56" spans="1:5" s="31" customFormat="1" x14ac:dyDescent="0.45">
      <c r="B56" s="165"/>
    </row>
    <row r="57" spans="1:5" s="31" customFormat="1" x14ac:dyDescent="0.45">
      <c r="B57" s="165"/>
    </row>
    <row r="58" spans="1:5" s="31" customFormat="1" ht="15" customHeight="1" x14ac:dyDescent="0.45">
      <c r="B58" s="165"/>
    </row>
    <row r="59" spans="1:5" s="31" customFormat="1" ht="15" customHeight="1" x14ac:dyDescent="0.45">
      <c r="A59" s="18" t="s">
        <v>420</v>
      </c>
      <c r="B59" s="165"/>
    </row>
    <row r="60" spans="1:5" s="31" customFormat="1" ht="15" customHeight="1" x14ac:dyDescent="0.45">
      <c r="B60" s="165"/>
    </row>
    <row r="61" spans="1:5" s="31" customFormat="1" ht="15" customHeight="1" x14ac:dyDescent="0.45">
      <c r="A61" s="31" t="s">
        <v>419</v>
      </c>
      <c r="B61" s="169">
        <v>1</v>
      </c>
      <c r="E61" s="31" t="s">
        <v>421</v>
      </c>
    </row>
    <row r="62" spans="1:5" s="31" customFormat="1" ht="15" customHeight="1" x14ac:dyDescent="0.45">
      <c r="A62" s="31" t="s">
        <v>427</v>
      </c>
      <c r="B62" s="20">
        <f>'Design Converter'!H17/100</f>
        <v>0.5</v>
      </c>
      <c r="E62" s="31" t="s">
        <v>422</v>
      </c>
    </row>
    <row r="63" spans="1:5" s="31" customFormat="1" ht="15" customHeight="1" x14ac:dyDescent="0.45">
      <c r="A63" s="31" t="s">
        <v>434</v>
      </c>
      <c r="B63" s="28">
        <f>((VOUT1+VD)*(1-Dmax_limit)*Np)/(Dmax_limit*VIN_min)</f>
        <v>0.1388888888888889</v>
      </c>
      <c r="C63" s="31" t="s">
        <v>436</v>
      </c>
      <c r="E63" s="31" t="s">
        <v>428</v>
      </c>
    </row>
    <row r="64" spans="1:5" s="31" customFormat="1" ht="15" customHeight="1" x14ac:dyDescent="0.45">
      <c r="A64" s="31" t="s">
        <v>435</v>
      </c>
      <c r="B64" s="20">
        <f>'Design Converter'!N10</f>
        <v>0.14000000000000001</v>
      </c>
      <c r="C64" s="31" t="s">
        <v>436</v>
      </c>
      <c r="E64" s="31" t="s">
        <v>429</v>
      </c>
    </row>
    <row r="65" spans="1:5" s="31" customFormat="1" ht="15" customHeight="1" x14ac:dyDescent="0.45">
      <c r="A65" s="31" t="s">
        <v>578</v>
      </c>
      <c r="B65" s="28">
        <f>'Design Converter'!N11/1000</f>
        <v>0.01</v>
      </c>
      <c r="C65" s="2" t="s">
        <v>33</v>
      </c>
      <c r="E65" s="31" t="s">
        <v>579</v>
      </c>
    </row>
    <row r="66" spans="1:5" s="31" customFormat="1" ht="15" customHeight="1" x14ac:dyDescent="0.45">
      <c r="B66" s="165"/>
      <c r="C66" s="2"/>
    </row>
    <row r="67" spans="1:5" s="31" customFormat="1" ht="15" customHeight="1" x14ac:dyDescent="0.45">
      <c r="A67" s="31" t="s">
        <v>449</v>
      </c>
      <c r="B67" s="27">
        <f>((Np/NS1_)*(VOUT1+VD))/((VIN_min+(Np/NS1_)*(VOUT1+VD)))</f>
        <v>0.49800796812748999</v>
      </c>
      <c r="E67" s="31" t="s">
        <v>451</v>
      </c>
    </row>
    <row r="68" spans="1:5" s="31" customFormat="1" ht="15" customHeight="1" x14ac:dyDescent="0.45">
      <c r="B68" s="39">
        <f>((Np/NS1_)*(VOUT1+VD))/((VIN_nom+(Np/NS1_)*(VOUT1+VD)))</f>
        <v>0.45955882352941174</v>
      </c>
      <c r="E68" s="31" t="s">
        <v>452</v>
      </c>
    </row>
    <row r="69" spans="1:5" s="31" customFormat="1" ht="15" customHeight="1" x14ac:dyDescent="0.45">
      <c r="B69" s="28">
        <f>((Np/NS1_)*(VOUT1+VD))/((VIN_max+(Np/NS1_)*(VOUT1+VD)))</f>
        <v>0.38520801232665636</v>
      </c>
      <c r="E69" s="31" t="s">
        <v>453</v>
      </c>
    </row>
    <row r="70" spans="1:5" s="31" customFormat="1" ht="15" customHeight="1" x14ac:dyDescent="0.45">
      <c r="A70" s="31" t="s">
        <v>455</v>
      </c>
      <c r="B70" s="28">
        <f>(Np/NS1_)*VOUT1+VD</f>
        <v>35.714285714285708</v>
      </c>
      <c r="E70" s="31" t="s">
        <v>629</v>
      </c>
    </row>
    <row r="71" spans="1:5" s="31" customFormat="1" ht="15" customHeight="1" x14ac:dyDescent="0.45">
      <c r="B71" s="165"/>
    </row>
    <row r="72" spans="1:5" s="31" customFormat="1" ht="15" customHeight="1" x14ac:dyDescent="0.45">
      <c r="B72" s="165"/>
    </row>
    <row r="73" spans="1:5" s="31" customFormat="1" ht="15" customHeight="1" x14ac:dyDescent="0.45">
      <c r="A73" s="31" t="s">
        <v>430</v>
      </c>
      <c r="B73" s="28">
        <f>IF(EN_OUT_2=1,(NS1_*((VOUT2+VD)/(VOUT1+VD))),0)</f>
        <v>0</v>
      </c>
      <c r="C73" s="31" t="s">
        <v>436</v>
      </c>
      <c r="E73" s="31" t="s">
        <v>432</v>
      </c>
    </row>
    <row r="74" spans="1:5" x14ac:dyDescent="0.45">
      <c r="A74" s="31" t="s">
        <v>431</v>
      </c>
      <c r="B74" s="20">
        <f>IF(EN_OUT_2=1,'Design Converter'!N17,0)</f>
        <v>0</v>
      </c>
      <c r="C74" s="31" t="s">
        <v>436</v>
      </c>
      <c r="D74" s="31"/>
      <c r="E74" s="31" t="s">
        <v>433</v>
      </c>
    </row>
    <row r="75" spans="1:5" x14ac:dyDescent="0.45">
      <c r="A75" s="31" t="s">
        <v>446</v>
      </c>
      <c r="B75" s="28">
        <f>IF(EN_OUT_2=1,((NS2_*VD)-(NS1_*VD)+(NS2_*VOUT1))/NS1_,0)</f>
        <v>0</v>
      </c>
      <c r="C75" s="31" t="s">
        <v>9</v>
      </c>
      <c r="D75" s="31"/>
      <c r="E75" s="31" t="s">
        <v>447</v>
      </c>
    </row>
    <row r="76" spans="1:5" x14ac:dyDescent="0.45">
      <c r="A76" s="31" t="s">
        <v>580</v>
      </c>
      <c r="B76" s="28">
        <f>IF(EN_OUT_2=1,'Design Converter'!N18/1000,0)</f>
        <v>0</v>
      </c>
      <c r="C76" s="31"/>
      <c r="D76" s="31"/>
      <c r="E76" s="31"/>
    </row>
    <row r="77" spans="1:5" x14ac:dyDescent="0.45">
      <c r="A77" s="31"/>
      <c r="B77" s="31"/>
      <c r="C77" s="31"/>
      <c r="D77" s="31"/>
      <c r="E77" s="31"/>
    </row>
    <row r="78" spans="1:5" x14ac:dyDescent="0.45">
      <c r="A78" s="31" t="s">
        <v>441</v>
      </c>
      <c r="B78" s="28">
        <f>IF(EN_OUT_3=1,(NS1_*((VOUT3+VD)/(VOUT1+VD))),0)</f>
        <v>0</v>
      </c>
      <c r="C78" s="31" t="s">
        <v>436</v>
      </c>
      <c r="D78" s="31"/>
      <c r="E78" s="31" t="s">
        <v>443</v>
      </c>
    </row>
    <row r="79" spans="1:5" s="31" customFormat="1" x14ac:dyDescent="0.45">
      <c r="A79" s="31" t="s">
        <v>442</v>
      </c>
      <c r="B79" s="20">
        <f>'Design Converter'!N25</f>
        <v>2.4</v>
      </c>
      <c r="C79" s="31" t="s">
        <v>436</v>
      </c>
      <c r="E79" s="31" t="s">
        <v>444</v>
      </c>
    </row>
    <row r="80" spans="1:5" x14ac:dyDescent="0.45">
      <c r="A80" s="31" t="s">
        <v>448</v>
      </c>
      <c r="B80" s="28">
        <f>IF(EN_OUT_3=1,((NS3_*VD)-(NS1_*VD)+(NS3_*VOUT1))/NS1_,0)</f>
        <v>0</v>
      </c>
      <c r="C80" s="31" t="s">
        <v>9</v>
      </c>
      <c r="D80" s="31"/>
      <c r="E80" s="31" t="s">
        <v>447</v>
      </c>
    </row>
    <row r="81" spans="1:5" s="31" customFormat="1" x14ac:dyDescent="0.45">
      <c r="A81" s="31" t="s">
        <v>581</v>
      </c>
      <c r="B81" s="28">
        <f>IF(EN_OUT_3=1,'Design Converter'!N26/1000,0)</f>
        <v>0</v>
      </c>
    </row>
    <row r="82" spans="1:5" s="31" customFormat="1" x14ac:dyDescent="0.45"/>
    <row r="83" spans="1:5" x14ac:dyDescent="0.45">
      <c r="A83" s="31" t="s">
        <v>743</v>
      </c>
      <c r="B83" s="28">
        <f>IF(EN_OUT_4=1,(NS1_*((VOUT4+VD)/(VOUT1+VD))),0)</f>
        <v>0</v>
      </c>
      <c r="C83" s="31" t="s">
        <v>436</v>
      </c>
      <c r="D83" s="31"/>
      <c r="E83" s="31" t="s">
        <v>443</v>
      </c>
    </row>
    <row r="84" spans="1:5" x14ac:dyDescent="0.45">
      <c r="A84" s="31" t="s">
        <v>744</v>
      </c>
      <c r="B84" s="20">
        <f>'Design Converter'!N33</f>
        <v>2.4</v>
      </c>
      <c r="C84" s="31" t="s">
        <v>436</v>
      </c>
      <c r="D84" s="31"/>
      <c r="E84" s="31" t="s">
        <v>444</v>
      </c>
    </row>
    <row r="85" spans="1:5" s="31" customFormat="1" x14ac:dyDescent="0.45">
      <c r="A85" s="31" t="s">
        <v>745</v>
      </c>
      <c r="B85" s="28">
        <f>IF(EN_OUT_4=1,((NS4_*VD)-(NS1_*VD)+(NS4_*VOUT1))/NS1_,0)</f>
        <v>0</v>
      </c>
      <c r="C85" s="31" t="s">
        <v>9</v>
      </c>
      <c r="E85" s="31" t="s">
        <v>447</v>
      </c>
    </row>
    <row r="86" spans="1:5" x14ac:dyDescent="0.45">
      <c r="A86" s="31" t="s">
        <v>746</v>
      </c>
      <c r="B86" s="28">
        <f>IF(EN_OUT_4=1,'Design Converter'!N34/1000,0)</f>
        <v>0</v>
      </c>
      <c r="C86" s="31"/>
      <c r="D86" s="31"/>
      <c r="E86" s="31"/>
    </row>
    <row r="87" spans="1:5" x14ac:dyDescent="0.45">
      <c r="A87" s="31"/>
      <c r="B87" s="31"/>
      <c r="C87" s="31"/>
      <c r="D87" s="31"/>
      <c r="E87" s="31"/>
    </row>
    <row r="89" spans="1:5" s="31" customFormat="1" x14ac:dyDescent="0.45">
      <c r="A89" t="s">
        <v>74</v>
      </c>
      <c r="B89" s="3">
        <f>'Design Converter'!H22/100</f>
        <v>0.5</v>
      </c>
      <c r="C89"/>
      <c r="D89"/>
      <c r="E89" t="s">
        <v>89</v>
      </c>
    </row>
    <row r="90" spans="1:5" x14ac:dyDescent="0.45">
      <c r="A90" t="s">
        <v>72</v>
      </c>
      <c r="B90" s="37">
        <f>((Np^2)*(VIN_max^2)*((VOUT1+VD)^2))/(ILrip*POUT_Total*Fsw*((Np*VD)+(NS1_*VIN_max)+(Np*VOUT1))^2)</f>
        <v>2.2957312202826814E-5</v>
      </c>
      <c r="C90" t="s">
        <v>73</v>
      </c>
      <c r="E90" t="s">
        <v>456</v>
      </c>
    </row>
    <row r="91" spans="1:5" x14ac:dyDescent="0.45">
      <c r="A91" t="s">
        <v>75</v>
      </c>
      <c r="B91" s="33">
        <f>'Design Converter'!H24*10^-6</f>
        <v>2.9999999999999997E-5</v>
      </c>
      <c r="C91" t="s">
        <v>73</v>
      </c>
      <c r="E91" t="s">
        <v>76</v>
      </c>
    </row>
    <row r="92" spans="1:5" x14ac:dyDescent="0.45">
      <c r="A92" t="s">
        <v>77</v>
      </c>
      <c r="B92" s="3">
        <f>'Design Converter'!H25*(10^-3)</f>
        <v>0.05</v>
      </c>
      <c r="C92" s="2" t="s">
        <v>33</v>
      </c>
      <c r="E92" t="s">
        <v>98</v>
      </c>
    </row>
    <row r="93" spans="1:5" x14ac:dyDescent="0.45">
      <c r="A93" s="31" t="s">
        <v>99</v>
      </c>
      <c r="B93" s="21">
        <v>0.2</v>
      </c>
      <c r="C93" s="2"/>
      <c r="D93" s="31"/>
      <c r="E93" s="31" t="s">
        <v>100</v>
      </c>
    </row>
    <row r="94" spans="1:5" x14ac:dyDescent="0.45">
      <c r="B94" t="s">
        <v>79</v>
      </c>
    </row>
    <row r="95" spans="1:5" x14ac:dyDescent="0.45">
      <c r="A95" s="31" t="s">
        <v>457</v>
      </c>
      <c r="B95" s="27">
        <f>POUT_Total/(VIN_min*EFF_est*Dc_VIN_min)</f>
        <v>1.1155555555555556</v>
      </c>
      <c r="C95" s="31" t="s">
        <v>10</v>
      </c>
      <c r="D95" s="31"/>
      <c r="E95" s="31"/>
    </row>
    <row r="96" spans="1:5" s="31" customFormat="1" x14ac:dyDescent="0.45">
      <c r="A96" s="31" t="s">
        <v>82</v>
      </c>
      <c r="B96" s="27">
        <f>(VIN_min*Dc_VIN_min)/(Lm*Fsw)</f>
        <v>0.28457598178713717</v>
      </c>
      <c r="C96" s="31" t="s">
        <v>10</v>
      </c>
      <c r="E96" s="31" t="s">
        <v>83</v>
      </c>
    </row>
    <row r="97" spans="1:5" s="31" customFormat="1" x14ac:dyDescent="0.45">
      <c r="A97" t="s">
        <v>80</v>
      </c>
      <c r="B97" s="27">
        <f>(IL_avg_VIN_min/EFF_est)+(ILrip_VINmin/2)</f>
        <v>1.2578435464491242</v>
      </c>
      <c r="C97" t="s">
        <v>10</v>
      </c>
      <c r="D97"/>
      <c r="E97" t="s">
        <v>81</v>
      </c>
    </row>
    <row r="98" spans="1:5" s="31" customFormat="1" x14ac:dyDescent="0.45">
      <c r="A98"/>
      <c r="B98"/>
      <c r="C98"/>
      <c r="D98"/>
      <c r="E98"/>
    </row>
    <row r="99" spans="1:5" x14ac:dyDescent="0.45">
      <c r="A99" s="31" t="s">
        <v>457</v>
      </c>
      <c r="B99" s="27">
        <f>POUT_Total/(VIN_nom*EFF_est*Dc_VIN_nom)</f>
        <v>1.0361904761904763</v>
      </c>
      <c r="C99" s="31"/>
      <c r="D99" s="31"/>
      <c r="E99" s="31"/>
    </row>
    <row r="100" spans="1:5" x14ac:dyDescent="0.45">
      <c r="A100" s="31" t="s">
        <v>84</v>
      </c>
      <c r="B100" s="27">
        <f>(VIN_nom*Dc_VIN_nom)/(Lm*Fsw)</f>
        <v>0.30637254901960786</v>
      </c>
      <c r="C100" s="31" t="s">
        <v>10</v>
      </c>
      <c r="E100" s="31" t="s">
        <v>90</v>
      </c>
    </row>
    <row r="101" spans="1:5" s="31" customFormat="1" x14ac:dyDescent="0.45">
      <c r="A101" s="31" t="s">
        <v>85</v>
      </c>
      <c r="B101" s="27">
        <f>(IL_avg_VIN_nom/EFF_est)+(ILrip_VINnom/2)</f>
        <v>1.1893767507002804</v>
      </c>
      <c r="C101" s="31" t="s">
        <v>10</v>
      </c>
      <c r="D101"/>
      <c r="E101" s="31" t="s">
        <v>91</v>
      </c>
    </row>
    <row r="102" spans="1:5" s="31" customFormat="1" x14ac:dyDescent="0.45">
      <c r="A102"/>
      <c r="B102"/>
      <c r="C102"/>
      <c r="D102"/>
      <c r="E102"/>
    </row>
    <row r="103" spans="1:5" x14ac:dyDescent="0.45">
      <c r="A103" s="31" t="s">
        <v>457</v>
      </c>
      <c r="B103" s="27">
        <f>POUT_Total/(VIN_max*EFF_est*Dc_VIN_max)</f>
        <v>0.91087719298245629</v>
      </c>
      <c r="C103" s="31"/>
      <c r="D103" s="31"/>
      <c r="E103" s="31" t="s">
        <v>458</v>
      </c>
    </row>
    <row r="104" spans="1:5" x14ac:dyDescent="0.45">
      <c r="A104" s="31" t="s">
        <v>86</v>
      </c>
      <c r="B104" s="27">
        <f>(VIN_max*Dc_VIN_max)/(Lm*Fsw)</f>
        <v>0.34852153496221294</v>
      </c>
      <c r="C104" s="31" t="s">
        <v>10</v>
      </c>
      <c r="E104" s="31" t="s">
        <v>92</v>
      </c>
    </row>
    <row r="105" spans="1:5" x14ac:dyDescent="0.45">
      <c r="A105" s="31" t="s">
        <v>87</v>
      </c>
      <c r="B105" s="27">
        <f>(IL_avg_VIN_max/EFF_est)+(ILrip_VINmax/2)</f>
        <v>1.0851379604635627</v>
      </c>
      <c r="C105" s="31" t="s">
        <v>10</v>
      </c>
      <c r="E105" s="31" t="s">
        <v>93</v>
      </c>
    </row>
    <row r="107" spans="1:5" x14ac:dyDescent="0.45">
      <c r="A107" s="30" t="s">
        <v>88</v>
      </c>
    </row>
    <row r="108" spans="1:5" x14ac:dyDescent="0.45">
      <c r="A108" t="s">
        <v>94</v>
      </c>
      <c r="B108" s="3">
        <f>'Design Converter'!H31/100</f>
        <v>0.19251714907985198</v>
      </c>
      <c r="E108" t="s">
        <v>95</v>
      </c>
    </row>
    <row r="109" spans="1:5" x14ac:dyDescent="0.45">
      <c r="A109" t="s">
        <v>96</v>
      </c>
      <c r="B109" s="28">
        <f>(1+Ipk_margin)*ILp_VINmin</f>
        <v>1.5</v>
      </c>
      <c r="C109" t="s">
        <v>10</v>
      </c>
      <c r="E109" t="s">
        <v>97</v>
      </c>
    </row>
    <row r="110" spans="1:5" x14ac:dyDescent="0.45">
      <c r="A110" s="31"/>
      <c r="B110" s="175"/>
      <c r="C110" s="31"/>
      <c r="D110" s="31"/>
      <c r="E110" s="31"/>
    </row>
    <row r="111" spans="1:5" x14ac:dyDescent="0.45">
      <c r="A111" s="31" t="s">
        <v>103</v>
      </c>
      <c r="B111" s="21">
        <v>0.6</v>
      </c>
      <c r="C111" s="31"/>
      <c r="D111" s="31"/>
      <c r="E111" s="31" t="s">
        <v>104</v>
      </c>
    </row>
    <row r="112" spans="1:5" x14ac:dyDescent="0.45">
      <c r="A112" s="31"/>
      <c r="B112" s="26"/>
      <c r="C112" s="31"/>
      <c r="D112" s="31"/>
      <c r="E112" s="31"/>
    </row>
    <row r="113" spans="1:11" x14ac:dyDescent="0.45">
      <c r="A113" t="s">
        <v>101</v>
      </c>
      <c r="B113" s="176">
        <f>(1/B111)*((Fsw*Isl*Rsl_int*Lm)/((Np/NS1_)*ABS(VOUT1)))</f>
        <v>1.47</v>
      </c>
      <c r="C113" s="2" t="s">
        <v>33</v>
      </c>
      <c r="E113" t="s">
        <v>102</v>
      </c>
      <c r="K113">
        <f>IF(B127&lt;0.5,1,0)</f>
        <v>0</v>
      </c>
    </row>
    <row r="114" spans="1:11" s="31" customFormat="1" x14ac:dyDescent="0.45">
      <c r="A114" t="s">
        <v>109</v>
      </c>
      <c r="B114" s="37">
        <f>Vcl/Ipk_selected</f>
        <v>6.6666666666666666E-2</v>
      </c>
      <c r="C114" s="2" t="s">
        <v>33</v>
      </c>
      <c r="D114"/>
      <c r="E114" t="s">
        <v>110</v>
      </c>
      <c r="K114">
        <f>IF(IL_pk&lt;Ipk_selected,1,0)</f>
        <v>1</v>
      </c>
    </row>
    <row r="115" spans="1:11" x14ac:dyDescent="0.45">
      <c r="A115" s="31"/>
      <c r="B115" s="26"/>
      <c r="C115" s="31"/>
      <c r="D115" s="31"/>
      <c r="E115" s="31"/>
    </row>
    <row r="116" spans="1:11" x14ac:dyDescent="0.45">
      <c r="A116" s="31" t="s">
        <v>115</v>
      </c>
      <c r="B116" s="21">
        <v>0.83299999999999996</v>
      </c>
      <c r="C116" s="31"/>
      <c r="D116" s="31"/>
      <c r="E116" s="31" t="s">
        <v>116</v>
      </c>
    </row>
    <row r="117" spans="1:11" s="31" customFormat="1" x14ac:dyDescent="0.45">
      <c r="A117" t="s">
        <v>114</v>
      </c>
      <c r="B117" s="36">
        <f>(Lm*NS1_*Fsw*(Vcl+(Dc_VIN_min*Isl*Rsl_int)))/((Dc_VIN_min*Kslope*VOUT1*Np)+(Ipk_selected*Lm*NS1_*Fsw))</f>
        <v>0.20113527648446966</v>
      </c>
      <c r="C117" s="2" t="s">
        <v>33</v>
      </c>
      <c r="D117"/>
      <c r="E117" t="s">
        <v>125</v>
      </c>
    </row>
    <row r="118" spans="1:11" s="31" customFormat="1" x14ac:dyDescent="0.45">
      <c r="A118" t="s">
        <v>117</v>
      </c>
      <c r="B118" s="27">
        <f>(Vcl-(Ipk_selected*Rcs_w_sl))/(Isl*Dc_VIN_min)</f>
        <v>-40501.945277122271</v>
      </c>
      <c r="C118" s="2" t="s">
        <v>33</v>
      </c>
      <c r="D118"/>
      <c r="E118" s="31" t="s">
        <v>124</v>
      </c>
    </row>
    <row r="119" spans="1:11" s="31" customFormat="1" x14ac:dyDescent="0.45">
      <c r="A119"/>
      <c r="B119"/>
      <c r="C119"/>
      <c r="D119"/>
      <c r="E119"/>
    </row>
    <row r="120" spans="1:11" s="31" customFormat="1" x14ac:dyDescent="0.45">
      <c r="A120" t="s">
        <v>113</v>
      </c>
      <c r="B120" s="1">
        <f>IF(Rcs_wo_sl&gt;Rcs_max,1,0)</f>
        <v>0</v>
      </c>
      <c r="C120"/>
      <c r="D120"/>
      <c r="E120" t="s">
        <v>630</v>
      </c>
    </row>
    <row r="121" spans="1:11" s="31" customFormat="1" x14ac:dyDescent="0.45">
      <c r="A121" t="s">
        <v>118</v>
      </c>
      <c r="B121" s="39">
        <f>IF(B120=0,Rcs_wo_sl,Rcs_w_sl)</f>
        <v>6.6666666666666666E-2</v>
      </c>
      <c r="C121" s="2" t="s">
        <v>33</v>
      </c>
      <c r="D121"/>
      <c r="E121" t="s">
        <v>122</v>
      </c>
    </row>
    <row r="122" spans="1:11" s="31" customFormat="1" x14ac:dyDescent="0.45">
      <c r="A122" t="s">
        <v>119</v>
      </c>
      <c r="B122" s="1">
        <f>IF(B120=0,0,B118)</f>
        <v>0</v>
      </c>
      <c r="C122" s="2" t="s">
        <v>33</v>
      </c>
      <c r="D122"/>
      <c r="E122" t="s">
        <v>123</v>
      </c>
    </row>
    <row r="123" spans="1:11" s="31" customFormat="1" x14ac:dyDescent="0.45">
      <c r="A123"/>
      <c r="B123"/>
      <c r="C123"/>
      <c r="D123"/>
      <c r="E123"/>
    </row>
    <row r="124" spans="1:11" s="31" customFormat="1" x14ac:dyDescent="0.45">
      <c r="A124"/>
      <c r="B124" s="40"/>
      <c r="C124" s="2"/>
      <c r="D124"/>
      <c r="E124"/>
    </row>
    <row r="125" spans="1:11" s="31" customFormat="1" x14ac:dyDescent="0.45">
      <c r="A125" t="s">
        <v>121</v>
      </c>
      <c r="B125" s="21">
        <v>0</v>
      </c>
      <c r="C125" s="2" t="s">
        <v>33</v>
      </c>
      <c r="D125"/>
      <c r="E125" t="s">
        <v>126</v>
      </c>
    </row>
    <row r="126" spans="1:11" s="31" customFormat="1" x14ac:dyDescent="0.45">
      <c r="A126"/>
      <c r="B126"/>
      <c r="C126"/>
      <c r="D126"/>
      <c r="E126"/>
    </row>
    <row r="127" spans="1:11" s="31" customFormat="1" x14ac:dyDescent="0.45">
      <c r="A127" t="s">
        <v>129</v>
      </c>
      <c r="B127" s="28">
        <f>(Isl*(Rsl_int+R_sl)*Fsw)/(((VOUT1*(Np/NS1_))/Lm)*R_cs)</f>
        <v>4.6421052631578945</v>
      </c>
      <c r="C127" t="s">
        <v>136</v>
      </c>
      <c r="D127"/>
      <c r="E127" t="s">
        <v>127</v>
      </c>
    </row>
    <row r="128" spans="1:11" s="31" customFormat="1" x14ac:dyDescent="0.45">
      <c r="A128" s="31" t="s">
        <v>130</v>
      </c>
      <c r="B128" s="28">
        <f>(Vcl-(Isl*R_sl*Dc_VIN_min))/R_cs</f>
        <v>0.52631578947368418</v>
      </c>
      <c r="C128" s="31" t="s">
        <v>10</v>
      </c>
      <c r="E128" s="31" t="s">
        <v>132</v>
      </c>
    </row>
    <row r="129" spans="1:9" s="31" customFormat="1" x14ac:dyDescent="0.45">
      <c r="A129" t="s">
        <v>131</v>
      </c>
      <c r="B129" s="28">
        <f>(Vcl-(Isl*R_sl*Dc_VIN_max))/R_cs</f>
        <v>0.52631578947368418</v>
      </c>
      <c r="C129" t="s">
        <v>10</v>
      </c>
      <c r="D129"/>
      <c r="E129" t="s">
        <v>133</v>
      </c>
    </row>
    <row r="130" spans="1:9" s="31" customFormat="1" x14ac:dyDescent="0.45">
      <c r="A130" t="s">
        <v>134</v>
      </c>
      <c r="B130" s="1">
        <f>0.15</f>
        <v>0.15</v>
      </c>
      <c r="C130"/>
      <c r="D130"/>
      <c r="E130" t="s">
        <v>135</v>
      </c>
      <c r="H130" s="31" t="s">
        <v>677</v>
      </c>
      <c r="I130" s="31">
        <f>Variable_Management!H27</f>
        <v>0</v>
      </c>
    </row>
    <row r="131" spans="1:9" s="31" customFormat="1" x14ac:dyDescent="0.45">
      <c r="B131" s="26"/>
      <c r="H131" s="31" t="b">
        <f>Variable_Management!H27="LM5157"</f>
        <v>0</v>
      </c>
      <c r="I131" s="31" t="b">
        <f>H130="LM5157"</f>
        <v>1</v>
      </c>
    </row>
    <row r="132" spans="1:9" s="31" customFormat="1" x14ac:dyDescent="0.45">
      <c r="A132" s="31" t="s">
        <v>194</v>
      </c>
      <c r="B132" s="1">
        <f>(VOUT1-VIN_min)/Lm*R_cs</f>
        <v>-196333.33333333334</v>
      </c>
      <c r="E132" s="31" t="s">
        <v>671</v>
      </c>
    </row>
    <row r="133" spans="1:9" x14ac:dyDescent="0.45">
      <c r="A133" s="31" t="s">
        <v>668</v>
      </c>
      <c r="B133" s="1">
        <f>Sn/2</f>
        <v>-98166.666666666672</v>
      </c>
      <c r="C133" s="31"/>
      <c r="D133" s="31"/>
      <c r="E133" s="31" t="s">
        <v>672</v>
      </c>
    </row>
    <row r="134" spans="1:9" x14ac:dyDescent="0.45">
      <c r="A134" s="31" t="s">
        <v>191</v>
      </c>
      <c r="B134" s="1">
        <f>0.5*Fsw</f>
        <v>1050000</v>
      </c>
      <c r="C134" s="31"/>
      <c r="D134" s="31"/>
      <c r="E134" s="31" t="s">
        <v>673</v>
      </c>
    </row>
    <row r="135" spans="1:9" x14ac:dyDescent="0.45">
      <c r="A135" s="31"/>
      <c r="B135" s="26"/>
      <c r="C135" s="31"/>
      <c r="D135" s="31"/>
      <c r="E135" s="31"/>
    </row>
    <row r="136" spans="1:9" x14ac:dyDescent="0.45">
      <c r="A136" s="31" t="s">
        <v>669</v>
      </c>
      <c r="B136" s="1">
        <f>VLOOKUP('Design Converter'!H29,Lists!A10:B13,2,FALSE)</f>
        <v>1.5</v>
      </c>
      <c r="C136" s="31" t="s">
        <v>10</v>
      </c>
      <c r="D136" s="31"/>
      <c r="E136" s="31" t="s">
        <v>674</v>
      </c>
    </row>
    <row r="137" spans="1:9" x14ac:dyDescent="0.45">
      <c r="A137" s="31" t="s">
        <v>670</v>
      </c>
      <c r="B137" s="21">
        <f>VLOOKUP('Design Converter'!H30,Lists!A10:B13,2,FALSE)</f>
        <v>1.5</v>
      </c>
      <c r="C137" s="31" t="s">
        <v>10</v>
      </c>
      <c r="D137" s="31"/>
      <c r="E137" s="31" t="s">
        <v>675</v>
      </c>
    </row>
    <row r="138" spans="1:9" s="31" customFormat="1" x14ac:dyDescent="0.45">
      <c r="B138" s="26"/>
    </row>
    <row r="140" spans="1:9" x14ac:dyDescent="0.45">
      <c r="A140" s="34" t="s">
        <v>137</v>
      </c>
    </row>
    <row r="141" spans="1:9" x14ac:dyDescent="0.45">
      <c r="A141" t="s">
        <v>620</v>
      </c>
    </row>
    <row r="142" spans="1:9" s="31" customFormat="1" x14ac:dyDescent="0.45">
      <c r="A142"/>
      <c r="B142"/>
      <c r="C142"/>
      <c r="D142"/>
      <c r="E142"/>
    </row>
    <row r="143" spans="1:9" s="31" customFormat="1" x14ac:dyDescent="0.45">
      <c r="A143" s="42" t="s">
        <v>138</v>
      </c>
      <c r="B143"/>
      <c r="C143"/>
      <c r="D143"/>
      <c r="E143"/>
    </row>
    <row r="144" spans="1:9" s="31" customFormat="1" x14ac:dyDescent="0.45">
      <c r="A144" s="42"/>
    </row>
    <row r="145" spans="1:16" s="31" customFormat="1" x14ac:dyDescent="0.45">
      <c r="A145" s="184" t="s">
        <v>615</v>
      </c>
      <c r="B145" s="1">
        <f>fz_rhp/5</f>
        <v>34240.505685108961</v>
      </c>
      <c r="C145" s="31" t="s">
        <v>59</v>
      </c>
      <c r="E145" s="31" t="s">
        <v>616</v>
      </c>
      <c r="O145" s="177"/>
      <c r="P145" s="31" t="s">
        <v>625</v>
      </c>
    </row>
    <row r="146" spans="1:16" s="31" customFormat="1" x14ac:dyDescent="0.45">
      <c r="A146" s="42"/>
    </row>
    <row r="147" spans="1:16" s="31" customFormat="1" x14ac:dyDescent="0.45">
      <c r="A147" s="42"/>
    </row>
    <row r="148" spans="1:16" s="31" customFormat="1" x14ac:dyDescent="0.45">
      <c r="A148"/>
      <c r="B148" s="46" t="s">
        <v>467</v>
      </c>
      <c r="C148"/>
      <c r="D148"/>
      <c r="E148"/>
    </row>
    <row r="149" spans="1:16" s="31" customFormat="1" x14ac:dyDescent="0.45">
      <c r="A149" t="s">
        <v>459</v>
      </c>
      <c r="B149" s="43">
        <f>'Design Converter'!H39/1000</f>
        <v>0.1</v>
      </c>
      <c r="C149" t="s">
        <v>9</v>
      </c>
      <c r="D149"/>
      <c r="E149" t="s">
        <v>142</v>
      </c>
      <c r="O149" s="31" t="s">
        <v>628</v>
      </c>
    </row>
    <row r="150" spans="1:16" s="31" customFormat="1" x14ac:dyDescent="0.45">
      <c r="A150" s="31" t="s">
        <v>617</v>
      </c>
      <c r="B150" s="43">
        <f>IOUT1-(IOUT1/2)</f>
        <v>2</v>
      </c>
      <c r="C150" s="31" t="s">
        <v>10</v>
      </c>
      <c r="E150" s="31" t="s">
        <v>618</v>
      </c>
    </row>
    <row r="151" spans="1:16" s="31" customFormat="1" x14ac:dyDescent="0.45">
      <c r="A151" s="31" t="s">
        <v>769</v>
      </c>
      <c r="B151" s="282">
        <f>B150/(2*PI()*Vout1_rip_sel*B145)</f>
        <v>9.2962962962962959E-5</v>
      </c>
      <c r="C151" s="31" t="s">
        <v>143</v>
      </c>
      <c r="E151" s="31" t="s">
        <v>764</v>
      </c>
    </row>
    <row r="152" spans="1:16" s="31" customFormat="1" x14ac:dyDescent="0.45">
      <c r="A152" s="31" t="s">
        <v>770</v>
      </c>
      <c r="B152" s="282">
        <f>IOUT1*(1-Dc_VIN_min)/(Fsw*Vout1_rip_sel)</f>
        <v>9.561752988047808E-6</v>
      </c>
      <c r="C152" s="31" t="s">
        <v>143</v>
      </c>
      <c r="E152" s="31" t="s">
        <v>765</v>
      </c>
    </row>
    <row r="153" spans="1:16" s="31" customFormat="1" x14ac:dyDescent="0.45">
      <c r="A153" t="s">
        <v>460</v>
      </c>
      <c r="B153" s="282">
        <f>MAX(B151,B152)</f>
        <v>9.2962962962962959E-5</v>
      </c>
      <c r="C153" t="s">
        <v>143</v>
      </c>
      <c r="D153"/>
      <c r="E153" s="31" t="s">
        <v>774</v>
      </c>
    </row>
    <row r="154" spans="1:16" s="31" customFormat="1" x14ac:dyDescent="0.45">
      <c r="A154" t="s">
        <v>144</v>
      </c>
      <c r="B154" s="27"/>
      <c r="C154" t="s">
        <v>10</v>
      </c>
      <c r="D154" s="177"/>
      <c r="E154" t="s">
        <v>145</v>
      </c>
    </row>
    <row r="155" spans="1:16" s="31" customFormat="1" x14ac:dyDescent="0.45">
      <c r="A155" t="s">
        <v>460</v>
      </c>
      <c r="B155" s="277">
        <f>'Design Converter'!H41*(10^-6)</f>
        <v>9.9999999999999991E-5</v>
      </c>
      <c r="C155" t="s">
        <v>143</v>
      </c>
      <c r="D155"/>
      <c r="E155" t="s">
        <v>147</v>
      </c>
      <c r="O155" s="177"/>
      <c r="P155" s="31" t="s">
        <v>626</v>
      </c>
    </row>
    <row r="156" spans="1:16" s="31" customFormat="1" x14ac:dyDescent="0.45">
      <c r="A156" t="s">
        <v>461</v>
      </c>
      <c r="B156" s="3">
        <f>'Design Converter'!H42/1000</f>
        <v>3.0000000000000001E-3</v>
      </c>
      <c r="C156" s="2" t="s">
        <v>33</v>
      </c>
      <c r="D156"/>
      <c r="E156" t="s">
        <v>148</v>
      </c>
    </row>
    <row r="157" spans="1:16" s="31" customFormat="1" x14ac:dyDescent="0.45">
      <c r="A157" t="s">
        <v>273</v>
      </c>
      <c r="B157"/>
      <c r="C157"/>
      <c r="D157" s="177"/>
      <c r="E157" s="94" t="s">
        <v>274</v>
      </c>
    </row>
    <row r="158" spans="1:16" s="31" customFormat="1" x14ac:dyDescent="0.45">
      <c r="B158" s="46" t="s">
        <v>465</v>
      </c>
    </row>
    <row r="159" spans="1:16" s="31" customFormat="1" x14ac:dyDescent="0.45">
      <c r="A159" s="31" t="s">
        <v>470</v>
      </c>
      <c r="B159" s="43">
        <f>'Design Converter'!N39*(10^-3)</f>
        <v>0.1</v>
      </c>
      <c r="C159" s="31" t="s">
        <v>9</v>
      </c>
      <c r="E159" s="31" t="s">
        <v>142</v>
      </c>
    </row>
    <row r="160" spans="1:16" s="31" customFormat="1" x14ac:dyDescent="0.45">
      <c r="A160" s="31" t="s">
        <v>766</v>
      </c>
      <c r="B160" s="43">
        <f>IOUT2-(IOUT2/2)</f>
        <v>0</v>
      </c>
      <c r="C160" s="31" t="s">
        <v>10</v>
      </c>
      <c r="E160" s="31" t="s">
        <v>627</v>
      </c>
    </row>
    <row r="161" spans="1:11" s="31" customFormat="1" x14ac:dyDescent="0.45">
      <c r="A161" s="31" t="s">
        <v>767</v>
      </c>
      <c r="B161" s="282">
        <f>IF(EN_OUT_2=1,B160/(2*PI()*Vout2_rip_sel*B145),0)</f>
        <v>0</v>
      </c>
      <c r="C161" s="31" t="s">
        <v>143</v>
      </c>
      <c r="E161" s="31" t="s">
        <v>764</v>
      </c>
    </row>
    <row r="162" spans="1:11" s="31" customFormat="1" x14ac:dyDescent="0.45">
      <c r="A162" s="31" t="s">
        <v>768</v>
      </c>
      <c r="B162" s="282">
        <f>IF(EN_OUT_2=1,IOUT2*(1-Dc_VIN_min)/(Fsw*Vout2_rip_sel),0)</f>
        <v>0</v>
      </c>
      <c r="C162" s="31" t="s">
        <v>143</v>
      </c>
      <c r="E162" s="31" t="s">
        <v>765</v>
      </c>
    </row>
    <row r="163" spans="1:11" s="31" customFormat="1" x14ac:dyDescent="0.45">
      <c r="A163" s="31" t="s">
        <v>471</v>
      </c>
      <c r="B163" s="282">
        <f>MAX(B161,B162)</f>
        <v>0</v>
      </c>
      <c r="C163" s="31" t="s">
        <v>143</v>
      </c>
      <c r="E163" s="31" t="s">
        <v>774</v>
      </c>
      <c r="K163" s="31">
        <f>(((NS2_^2)/(NS1_^2))*Cout2)</f>
        <v>0</v>
      </c>
    </row>
    <row r="164" spans="1:11" s="31" customFormat="1" x14ac:dyDescent="0.45">
      <c r="A164" s="31" t="s">
        <v>144</v>
      </c>
      <c r="B164" s="27"/>
      <c r="C164" s="31" t="s">
        <v>10</v>
      </c>
      <c r="E164" s="31" t="s">
        <v>145</v>
      </c>
    </row>
    <row r="165" spans="1:11" s="31" customFormat="1" x14ac:dyDescent="0.45">
      <c r="A165" s="31" t="s">
        <v>472</v>
      </c>
      <c r="B165" s="277">
        <f>IF(EN_OUT_2=1,'Design Converter'!N41*(10^-6),0)</f>
        <v>0</v>
      </c>
      <c r="C165" s="31" t="s">
        <v>143</v>
      </c>
      <c r="E165" s="31" t="s">
        <v>147</v>
      </c>
    </row>
    <row r="166" spans="1:11" s="26" customFormat="1" x14ac:dyDescent="0.45">
      <c r="A166" s="31" t="s">
        <v>473</v>
      </c>
      <c r="B166" s="3">
        <f>IF(EN_OUT_2=1,'Design Converter'!N42*(10^-3),0)</f>
        <v>0</v>
      </c>
      <c r="C166" s="2" t="s">
        <v>33</v>
      </c>
      <c r="D166" s="31"/>
      <c r="E166" s="31" t="s">
        <v>148</v>
      </c>
    </row>
    <row r="167" spans="1:11" s="31" customFormat="1" x14ac:dyDescent="0.45">
      <c r="A167" s="31" t="s">
        <v>474</v>
      </c>
      <c r="B167" s="3">
        <f>IF(EN_OUT_2=1,1/(((NS1_^2)/(NS2_^2))*Resr2),0)</f>
        <v>0</v>
      </c>
      <c r="C167" s="2" t="s">
        <v>33</v>
      </c>
      <c r="E167" s="31" t="s">
        <v>475</v>
      </c>
    </row>
    <row r="168" spans="1:11" s="31" customFormat="1" x14ac:dyDescent="0.45">
      <c r="B168" s="46" t="s">
        <v>466</v>
      </c>
      <c r="E168" s="178"/>
      <c r="J168" s="31" t="s">
        <v>631</v>
      </c>
    </row>
    <row r="169" spans="1:11" s="31" customFormat="1" x14ac:dyDescent="0.45">
      <c r="A169" s="31" t="s">
        <v>462</v>
      </c>
      <c r="B169" s="43">
        <f>'Design Converter'!V39*(10^-3)</f>
        <v>0.1</v>
      </c>
      <c r="C169" s="31" t="s">
        <v>9</v>
      </c>
      <c r="E169" s="31" t="s">
        <v>142</v>
      </c>
    </row>
    <row r="170" spans="1:11" s="31" customFormat="1" x14ac:dyDescent="0.45">
      <c r="A170" s="31" t="s">
        <v>761</v>
      </c>
      <c r="B170" s="43">
        <f>IOUT3-(IOUT3/2)</f>
        <v>0</v>
      </c>
      <c r="C170" s="31" t="s">
        <v>10</v>
      </c>
      <c r="E170" s="31" t="s">
        <v>627</v>
      </c>
    </row>
    <row r="171" spans="1:11" s="31" customFormat="1" x14ac:dyDescent="0.45">
      <c r="A171" s="31" t="s">
        <v>762</v>
      </c>
      <c r="B171" s="282">
        <f>IF(EN_OUT_3=1,B170/(2*PI()*Vout3_rip_sel*B145),0)</f>
        <v>0</v>
      </c>
      <c r="C171" s="31" t="s">
        <v>143</v>
      </c>
      <c r="E171" s="31" t="s">
        <v>764</v>
      </c>
    </row>
    <row r="172" spans="1:11" s="31" customFormat="1" x14ac:dyDescent="0.45">
      <c r="A172" s="31" t="s">
        <v>763</v>
      </c>
      <c r="B172" s="282">
        <f>IF(EN_OUT_3=1,IOUT3*(1-Dc_VIN_min)/(Fsw*Vout3_rip_sel),0)</f>
        <v>0</v>
      </c>
      <c r="C172" s="31" t="s">
        <v>143</v>
      </c>
      <c r="E172" s="31" t="s">
        <v>765</v>
      </c>
    </row>
    <row r="173" spans="1:11" s="31" customFormat="1" x14ac:dyDescent="0.45">
      <c r="A173" s="31" t="s">
        <v>463</v>
      </c>
      <c r="B173" s="282">
        <f>MAX(B171,B172)</f>
        <v>0</v>
      </c>
      <c r="C173" s="31" t="s">
        <v>143</v>
      </c>
      <c r="E173" s="31" t="s">
        <v>774</v>
      </c>
    </row>
    <row r="174" spans="1:11" s="31" customFormat="1" x14ac:dyDescent="0.45">
      <c r="A174" s="31" t="s">
        <v>144</v>
      </c>
      <c r="B174" s="27"/>
      <c r="C174" s="31" t="s">
        <v>10</v>
      </c>
      <c r="E174" s="31" t="s">
        <v>145</v>
      </c>
    </row>
    <row r="175" spans="1:11" s="31" customFormat="1" x14ac:dyDescent="0.45">
      <c r="A175" s="31" t="s">
        <v>463</v>
      </c>
      <c r="B175" s="277">
        <f>IF(EN_OUT_3=1,'Design Converter'!V41*(10^-6),0)</f>
        <v>0</v>
      </c>
      <c r="C175" s="31" t="s">
        <v>143</v>
      </c>
      <c r="E175" s="31" t="s">
        <v>147</v>
      </c>
    </row>
    <row r="176" spans="1:11" s="31" customFormat="1" x14ac:dyDescent="0.45">
      <c r="A176" s="31" t="s">
        <v>464</v>
      </c>
      <c r="B176" s="3">
        <f>IF(EN_OUT_3=1,'Design Converter'!V42*(10^-3),0)</f>
        <v>0</v>
      </c>
      <c r="C176" s="2" t="s">
        <v>33</v>
      </c>
      <c r="E176" s="31" t="s">
        <v>148</v>
      </c>
    </row>
    <row r="177" spans="1:6" s="31" customFormat="1" x14ac:dyDescent="0.45">
      <c r="A177" s="31" t="s">
        <v>800</v>
      </c>
      <c r="B177" s="3">
        <f>IF(EN_OUT_3=1,1/(((NS1_^2)/(NS3_^2))*Resr3),0)</f>
        <v>0</v>
      </c>
      <c r="C177" s="2" t="s">
        <v>33</v>
      </c>
      <c r="E177" s="31" t="s">
        <v>475</v>
      </c>
    </row>
    <row r="178" spans="1:6" s="31" customFormat="1" x14ac:dyDescent="0.45">
      <c r="B178" s="46" t="s">
        <v>747</v>
      </c>
      <c r="E178" s="178"/>
    </row>
    <row r="179" spans="1:6" s="31" customFormat="1" x14ac:dyDescent="0.45">
      <c r="A179" s="31" t="s">
        <v>748</v>
      </c>
      <c r="B179" s="43">
        <f>'Design Converter'!AD39*(10^-3)</f>
        <v>0.1</v>
      </c>
      <c r="C179" s="31" t="s">
        <v>9</v>
      </c>
      <c r="E179" s="31" t="s">
        <v>142</v>
      </c>
    </row>
    <row r="180" spans="1:6" s="31" customFormat="1" x14ac:dyDescent="0.45">
      <c r="A180" s="31" t="s">
        <v>771</v>
      </c>
      <c r="B180" s="43">
        <f>IOUT4-(IOUT4/2)</f>
        <v>0</v>
      </c>
      <c r="C180" s="31" t="s">
        <v>10</v>
      </c>
      <c r="E180" s="31" t="s">
        <v>627</v>
      </c>
    </row>
    <row r="181" spans="1:6" s="31" customFormat="1" x14ac:dyDescent="0.45">
      <c r="A181" s="31" t="s">
        <v>772</v>
      </c>
      <c r="B181" s="282">
        <f>IF(EN_OUT_4=1,B180/(2*PI()*Vout4_rip_sel*B145),0)</f>
        <v>0</v>
      </c>
      <c r="C181" s="31" t="s">
        <v>143</v>
      </c>
      <c r="E181" s="31" t="s">
        <v>764</v>
      </c>
    </row>
    <row r="182" spans="1:6" s="31" customFormat="1" x14ac:dyDescent="0.45">
      <c r="A182" s="31" t="s">
        <v>773</v>
      </c>
      <c r="B182" s="282">
        <f>IF(EN_OUT_4=1,IOUT4*(1-Dc_VIN_min)/(Fsw*Vout4_rip_sel),0)</f>
        <v>0</v>
      </c>
      <c r="C182" s="31" t="s">
        <v>143</v>
      </c>
      <c r="E182" s="31" t="s">
        <v>765</v>
      </c>
    </row>
    <row r="183" spans="1:6" s="31" customFormat="1" x14ac:dyDescent="0.45">
      <c r="A183" s="31" t="s">
        <v>749</v>
      </c>
      <c r="B183" s="282">
        <f>MAX(B181,B182)</f>
        <v>0</v>
      </c>
      <c r="C183" s="31" t="s">
        <v>143</v>
      </c>
      <c r="E183" s="31" t="s">
        <v>774</v>
      </c>
    </row>
    <row r="184" spans="1:6" s="31" customFormat="1" x14ac:dyDescent="0.45">
      <c r="A184" s="31" t="s">
        <v>144</v>
      </c>
      <c r="B184" s="27"/>
      <c r="C184" s="31" t="s">
        <v>10</v>
      </c>
      <c r="E184" s="31" t="s">
        <v>145</v>
      </c>
    </row>
    <row r="185" spans="1:6" s="31" customFormat="1" x14ac:dyDescent="0.45">
      <c r="A185" s="31" t="s">
        <v>749</v>
      </c>
      <c r="B185" s="277">
        <f>IF(EN_OUT_4=1,'Design Converter'!AD41*(10^-6),0)</f>
        <v>0</v>
      </c>
      <c r="C185" s="31" t="s">
        <v>143</v>
      </c>
      <c r="E185" s="31" t="s">
        <v>147</v>
      </c>
    </row>
    <row r="186" spans="1:6" s="31" customFormat="1" x14ac:dyDescent="0.45">
      <c r="A186" s="31" t="s">
        <v>750</v>
      </c>
      <c r="B186" s="3">
        <f>IF(EN_OUT_4=1,'Design Converter'!AD42*(10^-3),0)</f>
        <v>0</v>
      </c>
      <c r="C186" s="2" t="s">
        <v>33</v>
      </c>
      <c r="E186" s="31" t="s">
        <v>148</v>
      </c>
    </row>
    <row r="187" spans="1:6" s="31" customFormat="1" x14ac:dyDescent="0.45">
      <c r="A187" s="31" t="s">
        <v>801</v>
      </c>
      <c r="B187" s="3">
        <f>IF(EN_OUT_4=1,1/(((NS1_^2)/(NS4_^2))*Resr4),0)</f>
        <v>0</v>
      </c>
      <c r="C187" s="2" t="s">
        <v>33</v>
      </c>
      <c r="E187" s="31" t="s">
        <v>475</v>
      </c>
    </row>
    <row r="188" spans="1:6" s="31" customFormat="1" x14ac:dyDescent="0.45"/>
    <row r="189" spans="1:6" s="31" customFormat="1" x14ac:dyDescent="0.45">
      <c r="A189" s="31" t="s">
        <v>468</v>
      </c>
      <c r="B189" s="277">
        <f>Cout1+(((NS2_^2)/(NS1_^2))*Cout2)+(((NS3_^2)/(NS1_^2))*Cout3)+(((NS4_^2)/(NS1_^2))*Cout4)</f>
        <v>9.9999999999999991E-5</v>
      </c>
      <c r="C189" s="31" t="s">
        <v>143</v>
      </c>
      <c r="E189" s="31" t="s">
        <v>477</v>
      </c>
    </row>
    <row r="190" spans="1:6" x14ac:dyDescent="0.45">
      <c r="A190" s="31" t="s">
        <v>469</v>
      </c>
      <c r="B190" s="277">
        <f>1/(1/Resr1+Resr2_Trans+Resr3_Trans+Resr4_Trans)</f>
        <v>3.0000000000000001E-3</v>
      </c>
      <c r="C190" s="2" t="s">
        <v>33</v>
      </c>
      <c r="D190" s="31"/>
      <c r="E190" s="31" t="s">
        <v>476</v>
      </c>
      <c r="F190" s="31"/>
    </row>
    <row r="191" spans="1:6" s="31" customFormat="1" x14ac:dyDescent="0.45"/>
    <row r="192" spans="1:6" s="31" customFormat="1" x14ac:dyDescent="0.45">
      <c r="A192" s="26"/>
      <c r="B192" s="26"/>
      <c r="C192" s="26"/>
      <c r="D192" s="26"/>
      <c r="E192" s="26" t="s">
        <v>478</v>
      </c>
    </row>
    <row r="193" spans="1:6" s="31" customFormat="1" x14ac:dyDescent="0.45">
      <c r="A193" s="42" t="s">
        <v>291</v>
      </c>
    </row>
    <row r="194" spans="1:6" s="31" customFormat="1" x14ac:dyDescent="0.45">
      <c r="A194" s="31" t="s">
        <v>276</v>
      </c>
      <c r="B194" s="21">
        <f>Iss</f>
        <v>9.9999999999999991E-6</v>
      </c>
      <c r="C194" s="31" t="s">
        <v>10</v>
      </c>
      <c r="E194" s="31" t="s">
        <v>278</v>
      </c>
    </row>
    <row r="195" spans="1:6" s="31" customFormat="1" x14ac:dyDescent="0.45">
      <c r="A195" s="31" t="s">
        <v>279</v>
      </c>
      <c r="B195" s="282">
        <f>Iss*VOUT1*Cout1/(Vref*IOUT1)</f>
        <v>1.2499999999999998E-9</v>
      </c>
      <c r="C195" s="31" t="s">
        <v>143</v>
      </c>
      <c r="E195" s="31" t="s">
        <v>280</v>
      </c>
    </row>
    <row r="196" spans="1:6" s="31" customFormat="1" x14ac:dyDescent="0.45">
      <c r="A196" s="31" t="s">
        <v>281</v>
      </c>
      <c r="B196" s="3">
        <f>'Design Converter'!H46*(10^-3)</f>
        <v>5.7000000000000002E-2</v>
      </c>
      <c r="C196" s="31" t="s">
        <v>45</v>
      </c>
      <c r="E196" s="31" t="s">
        <v>282</v>
      </c>
    </row>
    <row r="197" spans="1:6" s="31" customFormat="1" x14ac:dyDescent="0.45">
      <c r="A197" s="31" t="s">
        <v>285</v>
      </c>
      <c r="B197" s="282">
        <f>(tss*Iss)/(Vref)</f>
        <v>5.6999999999999994E-7</v>
      </c>
      <c r="C197" s="31" t="s">
        <v>143</v>
      </c>
      <c r="E197" s="31" t="s">
        <v>286</v>
      </c>
    </row>
    <row r="198" spans="1:6" s="31" customFormat="1" x14ac:dyDescent="0.45">
      <c r="F198"/>
    </row>
    <row r="199" spans="1:6" s="31" customFormat="1" x14ac:dyDescent="0.45">
      <c r="A199" s="42" t="s">
        <v>290</v>
      </c>
    </row>
    <row r="200" spans="1:6" s="31" customFormat="1" x14ac:dyDescent="0.45">
      <c r="A200" s="31" t="s">
        <v>292</v>
      </c>
      <c r="B200" s="3">
        <f>'Design Converter'!H50</f>
        <v>32</v>
      </c>
      <c r="C200" s="31" t="s">
        <v>9</v>
      </c>
      <c r="E200" s="31" t="s">
        <v>294</v>
      </c>
    </row>
    <row r="201" spans="1:6" s="31" customFormat="1" x14ac:dyDescent="0.45">
      <c r="A201" s="31" t="s">
        <v>293</v>
      </c>
      <c r="B201" s="3">
        <f>'Design Converter'!H51</f>
        <v>28</v>
      </c>
      <c r="C201" s="31" t="s">
        <v>9</v>
      </c>
      <c r="E201" s="31" t="s">
        <v>295</v>
      </c>
    </row>
    <row r="202" spans="1:6" s="31" customFormat="1" x14ac:dyDescent="0.45">
      <c r="A202" s="31" t="s">
        <v>297</v>
      </c>
      <c r="B202" s="21">
        <f>UV_rise</f>
        <v>1.5</v>
      </c>
      <c r="C202" s="31" t="s">
        <v>9</v>
      </c>
      <c r="E202" s="31" t="s">
        <v>302</v>
      </c>
    </row>
    <row r="203" spans="1:6" s="31" customFormat="1" x14ac:dyDescent="0.45">
      <c r="A203" s="31" t="s">
        <v>298</v>
      </c>
      <c r="B203" s="21">
        <f>UV_fall</f>
        <v>1.45</v>
      </c>
      <c r="C203" s="31" t="s">
        <v>9</v>
      </c>
      <c r="E203" s="31" t="s">
        <v>301</v>
      </c>
    </row>
    <row r="204" spans="1:6" s="31" customFormat="1" x14ac:dyDescent="0.45">
      <c r="A204" s="31" t="s">
        <v>303</v>
      </c>
      <c r="B204" s="21">
        <f>UV_I_hyst</f>
        <v>4.9999999999999996E-6</v>
      </c>
      <c r="C204" s="31" t="s">
        <v>10</v>
      </c>
      <c r="E204" s="31" t="s">
        <v>305</v>
      </c>
    </row>
    <row r="205" spans="1:6" s="31" customFormat="1" x14ac:dyDescent="0.45">
      <c r="A205" s="31" t="s">
        <v>306</v>
      </c>
      <c r="B205" s="29">
        <f>((Vuvlo_on*UV_fall/UV_rise)-Vuvlo_off)/(UV_I_hyst)</f>
        <v>586666.66666666674</v>
      </c>
      <c r="C205" s="2" t="s">
        <v>33</v>
      </c>
      <c r="E205" s="31" t="s">
        <v>375</v>
      </c>
    </row>
    <row r="206" spans="1:6" s="31" customFormat="1" x14ac:dyDescent="0.45">
      <c r="A206" s="31" t="s">
        <v>306</v>
      </c>
      <c r="B206" s="3">
        <f>'Design Converter'!H53*1000</f>
        <v>49900</v>
      </c>
      <c r="C206" s="2" t="s">
        <v>33</v>
      </c>
      <c r="E206" s="31" t="s">
        <v>376</v>
      </c>
    </row>
    <row r="207" spans="1:6" s="31" customFormat="1" x14ac:dyDescent="0.45">
      <c r="A207" s="31" t="s">
        <v>307</v>
      </c>
      <c r="B207" s="29">
        <f>UV_rise*Ruvlo_top/(Vuvlo_on-UV_rise)</f>
        <v>2454.0983606557379</v>
      </c>
      <c r="C207" s="2" t="s">
        <v>33</v>
      </c>
      <c r="E207" s="31" t="s">
        <v>377</v>
      </c>
    </row>
    <row r="208" spans="1:6" s="31" customFormat="1" x14ac:dyDescent="0.45">
      <c r="A208" s="31" t="s">
        <v>308</v>
      </c>
      <c r="B208" s="28">
        <f>UV_rise*(Ruvlo_top+Ruvlo_bottom_calc)/Ruvlo_bottom_calc</f>
        <v>31.999999999999993</v>
      </c>
      <c r="E208" s="31" t="s">
        <v>310</v>
      </c>
    </row>
    <row r="209" spans="1:7" s="31" customFormat="1" x14ac:dyDescent="0.45">
      <c r="A209" s="31" t="s">
        <v>309</v>
      </c>
      <c r="B209" s="28">
        <f>Ruvlo_top*((UV_fall/Ruvlo_top)-(UV_I_hyst)+(UV_fall/Ruvlo_bottom_calc))</f>
        <v>30.683833333333329</v>
      </c>
      <c r="E209" s="31" t="s">
        <v>311</v>
      </c>
    </row>
    <row r="210" spans="1:7" s="31" customFormat="1" x14ac:dyDescent="0.45"/>
    <row r="211" spans="1:7" s="31" customFormat="1" x14ac:dyDescent="0.45"/>
    <row r="212" spans="1:7" s="31" customFormat="1" x14ac:dyDescent="0.45">
      <c r="A212" s="42" t="s">
        <v>533</v>
      </c>
      <c r="B212"/>
      <c r="C212"/>
      <c r="D212"/>
      <c r="E212"/>
    </row>
    <row r="213" spans="1:7" s="31" customFormat="1" x14ac:dyDescent="0.45">
      <c r="A213" s="47" t="s">
        <v>176</v>
      </c>
      <c r="B213" s="3" t="str">
        <f>'Design Converter'!H57</f>
        <v>42V</v>
      </c>
      <c r="C213" s="31" t="s">
        <v>9</v>
      </c>
      <c r="E213" s="31" t="s">
        <v>619</v>
      </c>
      <c r="G213" s="31">
        <f>Dc_VIN_min</f>
        <v>0.49800796812748999</v>
      </c>
    </row>
    <row r="214" spans="1:7" s="31" customFormat="1" x14ac:dyDescent="0.45">
      <c r="A214" s="47" t="s">
        <v>494</v>
      </c>
      <c r="B214" s="26">
        <f>VLOOKUP('Design Converter'!$H$12,Lists!I2:J4,2)</f>
        <v>1</v>
      </c>
      <c r="E214" s="31" t="s">
        <v>733</v>
      </c>
    </row>
    <row r="215" spans="1:7" s="31" customFormat="1" x14ac:dyDescent="0.45">
      <c r="A215" s="47"/>
      <c r="B215" s="26" t="str">
        <f>CHOOSE(FB_type,"Isolated Feedback Loop Response","Non-isolated Feedback Loop Response","Primary side regulated Loop Response")</f>
        <v>Isolated Feedback Loop Response</v>
      </c>
    </row>
    <row r="216" spans="1:7" s="31" customFormat="1" x14ac:dyDescent="0.45">
      <c r="A216" s="47" t="s">
        <v>532</v>
      </c>
      <c r="B216" s="26"/>
    </row>
    <row r="217" spans="1:7" s="31" customFormat="1" x14ac:dyDescent="0.45">
      <c r="A217" s="31" t="s">
        <v>379</v>
      </c>
      <c r="B217" s="32">
        <f>Gcomp*((VOUT1^2)/(POUT_Total))*((1-Dc_VIN_min)/((1+Dc_VIN_min)*((Acs*R_cs)/(Np/NS1_))))</f>
        <v>15.747480403135496</v>
      </c>
      <c r="E217" s="31" t="s">
        <v>535</v>
      </c>
    </row>
    <row r="218" spans="1:7" s="31" customFormat="1" x14ac:dyDescent="0.45"/>
    <row r="219" spans="1:7" s="31" customFormat="1" x14ac:dyDescent="0.45">
      <c r="A219" s="31" t="s">
        <v>380</v>
      </c>
      <c r="B219" s="21">
        <f>(1+Dc_VIN_min)/(Cout_total*((VOUT1^2)/POUT_Total))</f>
        <v>11984.063745019919</v>
      </c>
      <c r="C219" s="31" t="s">
        <v>368</v>
      </c>
      <c r="E219" s="31" t="s">
        <v>367</v>
      </c>
    </row>
    <row r="220" spans="1:7" s="31" customFormat="1" x14ac:dyDescent="0.45">
      <c r="A220" s="31" t="s">
        <v>381</v>
      </c>
      <c r="B220" s="29">
        <f>B219/(2*PI())</f>
        <v>1907.3229833482915</v>
      </c>
      <c r="C220" s="31" t="s">
        <v>59</v>
      </c>
      <c r="E220" s="31" t="s">
        <v>230</v>
      </c>
    </row>
    <row r="221" spans="1:7" s="31" customFormat="1" x14ac:dyDescent="0.45">
      <c r="B221" s="26"/>
    </row>
    <row r="222" spans="1:7" s="31" customFormat="1" x14ac:dyDescent="0.45">
      <c r="A222" s="31" t="s">
        <v>382</v>
      </c>
      <c r="B222" s="21">
        <f>1/(Cout_total*Resr_total)</f>
        <v>3333333.3333333335</v>
      </c>
      <c r="C222" s="31" t="s">
        <v>368</v>
      </c>
      <c r="E222" s="31" t="s">
        <v>369</v>
      </c>
    </row>
    <row r="223" spans="1:7" s="31" customFormat="1" x14ac:dyDescent="0.45">
      <c r="A223" s="31" t="s">
        <v>383</v>
      </c>
      <c r="B223" s="1">
        <f>B222/(2*PI())</f>
        <v>530516.4769729845</v>
      </c>
      <c r="C223" s="31" t="s">
        <v>59</v>
      </c>
      <c r="E223" s="31" t="s">
        <v>232</v>
      </c>
    </row>
    <row r="224" spans="1:7" s="31" customFormat="1" x14ac:dyDescent="0.45">
      <c r="B224" s="26"/>
    </row>
    <row r="225" spans="1:13" s="31" customFormat="1" x14ac:dyDescent="0.45">
      <c r="A225" s="31" t="s">
        <v>384</v>
      </c>
      <c r="B225" s="21">
        <f>(((VOUT1^2)/POUT_Total)*((1-Dc_VIN_min)^2))/((Lm/((Np/NS1_)^2))*Dc_VIN_min)</f>
        <v>1075697.2111553785</v>
      </c>
      <c r="C225" s="31" t="s">
        <v>368</v>
      </c>
      <c r="E225" s="31" t="s">
        <v>366</v>
      </c>
    </row>
    <row r="226" spans="1:13" s="31" customFormat="1" x14ac:dyDescent="0.45">
      <c r="A226" s="31" t="s">
        <v>385</v>
      </c>
      <c r="B226" s="29">
        <f>B225/(2*PI())</f>
        <v>171202.52842554479</v>
      </c>
      <c r="C226" s="31" t="s">
        <v>59</v>
      </c>
      <c r="E226" s="31" t="s">
        <v>231</v>
      </c>
    </row>
    <row r="227" spans="1:13" s="31" customFormat="1" x14ac:dyDescent="0.45">
      <c r="B227" s="26">
        <f>Fsw/10</f>
        <v>210000</v>
      </c>
      <c r="C227" s="31" t="s">
        <v>59</v>
      </c>
      <c r="E227" s="31" t="s">
        <v>239</v>
      </c>
    </row>
    <row r="228" spans="1:13" s="31" customFormat="1" x14ac:dyDescent="0.45">
      <c r="B228" s="31">
        <f>IF((B226/5)&lt;(B227),0,1)</f>
        <v>0</v>
      </c>
      <c r="E228" s="31" t="s">
        <v>241</v>
      </c>
    </row>
    <row r="229" spans="1:13" s="31" customFormat="1" x14ac:dyDescent="0.45"/>
    <row r="230" spans="1:13" s="31" customFormat="1" x14ac:dyDescent="0.45">
      <c r="A230" s="31" t="s">
        <v>386</v>
      </c>
      <c r="B230" s="1">
        <f>(Isl*(Rsl_int+R_sl)*Fsw)</f>
        <v>1049999.9999999998</v>
      </c>
      <c r="C230" s="31" t="s">
        <v>136</v>
      </c>
      <c r="E230" s="31" t="s">
        <v>192</v>
      </c>
    </row>
    <row r="231" spans="1:13" s="31" customFormat="1" x14ac:dyDescent="0.45">
      <c r="A231" s="31" t="s">
        <v>387</v>
      </c>
      <c r="B231" s="1">
        <f>(R_cs*VIN_min*Acs)/Lm</f>
        <v>228000.00000000003</v>
      </c>
      <c r="C231" s="31" t="s">
        <v>136</v>
      </c>
      <c r="E231" s="31" t="s">
        <v>193</v>
      </c>
    </row>
    <row r="232" spans="1:13" s="31" customFormat="1" x14ac:dyDescent="0.45">
      <c r="B232" s="1"/>
      <c r="M232" s="31" t="s">
        <v>632</v>
      </c>
    </row>
    <row r="233" spans="1:13" s="31" customFormat="1" x14ac:dyDescent="0.45">
      <c r="A233" s="31" t="s">
        <v>388</v>
      </c>
      <c r="B233" s="1">
        <f>2*PI()*Fsw</f>
        <v>13194689.145077132</v>
      </c>
      <c r="C233" s="31" t="s">
        <v>195</v>
      </c>
    </row>
    <row r="234" spans="1:13" s="31" customFormat="1" x14ac:dyDescent="0.45">
      <c r="A234" s="31" t="s">
        <v>389</v>
      </c>
      <c r="B234" s="1">
        <f>1/(PI()*(((VIN_min/VOUT1)*(1+(B230/B231)))-0.5))</f>
        <v>7.9861188927664393E-3</v>
      </c>
    </row>
    <row r="235" spans="1:13" s="31" customFormat="1" x14ac:dyDescent="0.45">
      <c r="A235" s="47"/>
      <c r="B235" s="26"/>
    </row>
    <row r="236" spans="1:13" s="31" customFormat="1" x14ac:dyDescent="0.45">
      <c r="A236" s="47"/>
      <c r="B236" s="26"/>
    </row>
    <row r="237" spans="1:13" s="31" customFormat="1" x14ac:dyDescent="0.45">
      <c r="A237" s="47"/>
      <c r="B237" s="26"/>
    </row>
    <row r="238" spans="1:13" s="31" customFormat="1" x14ac:dyDescent="0.45">
      <c r="A238" s="47"/>
      <c r="B238" s="26"/>
    </row>
    <row r="239" spans="1:13" s="31" customFormat="1" x14ac:dyDescent="0.45">
      <c r="A239" s="47"/>
      <c r="B239" s="26"/>
    </row>
    <row r="240" spans="1:13" s="31" customFormat="1" x14ac:dyDescent="0.45">
      <c r="A240" s="47"/>
      <c r="B240" s="26"/>
    </row>
    <row r="241" spans="1:11" s="31" customFormat="1" x14ac:dyDescent="0.45">
      <c r="A241" s="183" t="s">
        <v>495</v>
      </c>
      <c r="B241" s="26"/>
    </row>
    <row r="242" spans="1:11" s="31" customFormat="1" x14ac:dyDescent="0.45">
      <c r="A242" s="185" t="s">
        <v>506</v>
      </c>
      <c r="B242" s="26"/>
    </row>
    <row r="243" spans="1:11" s="31" customFormat="1" x14ac:dyDescent="0.45">
      <c r="A243" s="47" t="s">
        <v>496</v>
      </c>
      <c r="B243" s="3">
        <f>'Design Converter'!H60</f>
        <v>1.24</v>
      </c>
      <c r="C243" s="31" t="s">
        <v>9</v>
      </c>
      <c r="E243" s="31" t="s">
        <v>497</v>
      </c>
    </row>
    <row r="244" spans="1:11" s="31" customFormat="1" x14ac:dyDescent="0.45">
      <c r="A244" s="47" t="s">
        <v>498</v>
      </c>
      <c r="B244" s="3">
        <f>'Design Converter'!H61*1000</f>
        <v>49900</v>
      </c>
      <c r="C244" s="2" t="s">
        <v>33</v>
      </c>
      <c r="E244" s="31" t="s">
        <v>502</v>
      </c>
    </row>
    <row r="245" spans="1:11" s="31" customFormat="1" x14ac:dyDescent="0.45">
      <c r="A245" s="47" t="s">
        <v>499</v>
      </c>
      <c r="B245" s="1">
        <f>(RFBT_iso*Vref_iso)/(VOUT1-Vref_iso)</f>
        <v>16456.382978723406</v>
      </c>
      <c r="C245" s="2" t="s">
        <v>33</v>
      </c>
      <c r="E245" s="31" t="s">
        <v>501</v>
      </c>
    </row>
    <row r="246" spans="1:11" s="31" customFormat="1" x14ac:dyDescent="0.45">
      <c r="A246" s="47" t="s">
        <v>500</v>
      </c>
      <c r="B246" s="3">
        <f>'Design Converter'!H63*1000</f>
        <v>5540</v>
      </c>
      <c r="C246" s="2" t="s">
        <v>33</v>
      </c>
      <c r="E246" s="31" t="s">
        <v>503</v>
      </c>
      <c r="K246" s="31">
        <f>Gcomp</f>
        <v>1</v>
      </c>
    </row>
    <row r="247" spans="1:11" s="31" customFormat="1" x14ac:dyDescent="0.45">
      <c r="A247" s="47"/>
      <c r="B247" s="26"/>
      <c r="F247" s="31">
        <f>Np</f>
        <v>1</v>
      </c>
      <c r="H247" s="31">
        <f>Acs</f>
        <v>1</v>
      </c>
    </row>
    <row r="248" spans="1:11" s="31" customFormat="1" x14ac:dyDescent="0.45">
      <c r="A248" s="185" t="s">
        <v>507</v>
      </c>
      <c r="B248" s="26"/>
      <c r="H248" s="31">
        <f>(NS1_/Np)</f>
        <v>0.14000000000000001</v>
      </c>
      <c r="I248" s="31">
        <f>R_cs</f>
        <v>0.19</v>
      </c>
    </row>
    <row r="249" spans="1:11" s="31" customFormat="1" x14ac:dyDescent="0.45">
      <c r="A249" s="47" t="s">
        <v>509</v>
      </c>
      <c r="B249" s="3">
        <f>'Design Converter'!H66</f>
        <v>1</v>
      </c>
      <c r="C249" s="31" t="s">
        <v>504</v>
      </c>
      <c r="E249" s="31" t="s">
        <v>511</v>
      </c>
    </row>
    <row r="250" spans="1:11" s="31" customFormat="1" x14ac:dyDescent="0.45">
      <c r="A250" s="47" t="s">
        <v>510</v>
      </c>
      <c r="B250" s="3">
        <f>'Design Converter'!H67</f>
        <v>2</v>
      </c>
      <c r="C250" s="31" t="s">
        <v>504</v>
      </c>
      <c r="E250" s="31" t="s">
        <v>512</v>
      </c>
    </row>
    <row r="251" spans="1:11" s="31" customFormat="1" x14ac:dyDescent="0.45">
      <c r="A251" s="47" t="s">
        <v>513</v>
      </c>
      <c r="B251" s="3">
        <f>'Design Converter'!H68</f>
        <v>1.4</v>
      </c>
      <c r="C251" s="31" t="s">
        <v>9</v>
      </c>
      <c r="E251" s="31" t="s">
        <v>514</v>
      </c>
    </row>
    <row r="252" spans="1:11" s="31" customFormat="1" x14ac:dyDescent="0.45">
      <c r="A252" s="47" t="s">
        <v>515</v>
      </c>
      <c r="B252" s="3">
        <f>'Design Converter'!H69/(10^9)</f>
        <v>3.2999999999999998E-9</v>
      </c>
      <c r="C252" s="31" t="s">
        <v>143</v>
      </c>
      <c r="E252" s="31" t="s">
        <v>522</v>
      </c>
    </row>
    <row r="253" spans="1:11" s="31" customFormat="1" x14ac:dyDescent="0.45">
      <c r="A253" s="47"/>
      <c r="B253" s="3">
        <f>'Design Converter'!H70/1000</f>
        <v>0.2</v>
      </c>
    </row>
    <row r="254" spans="1:11" x14ac:dyDescent="0.45">
      <c r="A254" s="47" t="s">
        <v>523</v>
      </c>
      <c r="B254" s="3">
        <f>'Design Converter'!H73</f>
        <v>6.8</v>
      </c>
      <c r="C254" s="31" t="s">
        <v>9</v>
      </c>
      <c r="D254" s="31"/>
      <c r="E254" s="31" t="s">
        <v>524</v>
      </c>
      <c r="F254" s="31"/>
    </row>
    <row r="255" spans="1:11" s="31" customFormat="1" x14ac:dyDescent="0.45">
      <c r="A255" s="47" t="s">
        <v>520</v>
      </c>
      <c r="B255" s="1">
        <f>(Vpullup-Vcomp_max)/Icomp_sink_max</f>
        <v>23888.888888888887</v>
      </c>
      <c r="C255" s="2" t="s">
        <v>33</v>
      </c>
      <c r="E255" s="31" t="s">
        <v>527</v>
      </c>
    </row>
    <row r="256" spans="1:11" s="31" customFormat="1" x14ac:dyDescent="0.45">
      <c r="A256" s="47" t="s">
        <v>526</v>
      </c>
      <c r="B256" s="3">
        <f>'Design Converter'!H75*1000</f>
        <v>4990</v>
      </c>
      <c r="C256" s="2" t="s">
        <v>33</v>
      </c>
      <c r="E256" s="31" t="s">
        <v>528</v>
      </c>
    </row>
    <row r="257" spans="1:6" x14ac:dyDescent="0.45">
      <c r="A257" s="47" t="s">
        <v>537</v>
      </c>
      <c r="B257" s="29">
        <f>1/(2*PI()*Copto*Rpullup)</f>
        <v>9665.0842953722804</v>
      </c>
      <c r="C257" s="2" t="s">
        <v>59</v>
      </c>
      <c r="D257" s="31"/>
      <c r="E257" s="31" t="s">
        <v>539</v>
      </c>
      <c r="F257" s="31">
        <f>POUT_Total</f>
        <v>20</v>
      </c>
    </row>
    <row r="258" spans="1:6" x14ac:dyDescent="0.45">
      <c r="A258" s="47" t="s">
        <v>543</v>
      </c>
      <c r="B258" s="29">
        <f>((VOUT1-Vref_iso-Vd_opto)/(Vpullup-VCE_sat))*(kopto_min*Rpullup)</f>
        <v>1784.3030303030305</v>
      </c>
      <c r="C258" s="2" t="s">
        <v>33</v>
      </c>
      <c r="D258" s="31"/>
      <c r="E258" s="31" t="s">
        <v>544</v>
      </c>
      <c r="F258" s="31"/>
    </row>
    <row r="259" spans="1:6" s="31" customFormat="1" x14ac:dyDescent="0.45">
      <c r="A259" s="47" t="s">
        <v>534</v>
      </c>
      <c r="B259" s="3">
        <f>'Design Converter'!H77*1000</f>
        <v>1000</v>
      </c>
      <c r="C259" s="2" t="s">
        <v>33</v>
      </c>
      <c r="E259" s="31" t="s">
        <v>546</v>
      </c>
    </row>
    <row r="260" spans="1:6" s="31" customFormat="1" x14ac:dyDescent="0.45">
      <c r="A260" s="47"/>
      <c r="B260" s="26"/>
    </row>
    <row r="261" spans="1:6" s="31" customFormat="1" x14ac:dyDescent="0.45">
      <c r="A261" s="47" t="s">
        <v>530</v>
      </c>
      <c r="B261" s="26"/>
      <c r="E261" s="31">
        <f>NS1_</f>
        <v>0.14000000000000001</v>
      </c>
    </row>
    <row r="262" spans="1:6" x14ac:dyDescent="0.45">
      <c r="A262" s="47" t="s">
        <v>536</v>
      </c>
      <c r="B262" s="26">
        <f>fz_rhp/5</f>
        <v>34240.505685108961</v>
      </c>
      <c r="C262" s="31" t="s">
        <v>59</v>
      </c>
      <c r="D262" s="31"/>
      <c r="E262" s="31"/>
    </row>
    <row r="263" spans="1:6" x14ac:dyDescent="0.45">
      <c r="A263" s="47" t="s">
        <v>537</v>
      </c>
      <c r="B263" s="26">
        <f>fopto</f>
        <v>9665.0842953722804</v>
      </c>
      <c r="C263" s="31" t="s">
        <v>59</v>
      </c>
      <c r="D263" s="31"/>
      <c r="E263" s="31" t="s">
        <v>538</v>
      </c>
      <c r="F263" s="31"/>
    </row>
    <row r="264" spans="1:6" x14ac:dyDescent="0.45">
      <c r="A264" s="47" t="s">
        <v>541</v>
      </c>
      <c r="B264" s="1">
        <f>IF(B262&lt;B263,B262,B263)</f>
        <v>9665.0842953722804</v>
      </c>
      <c r="C264" s="31" t="s">
        <v>59</v>
      </c>
      <c r="D264" s="31"/>
      <c r="E264" s="31" t="s">
        <v>531</v>
      </c>
      <c r="F264" s="31"/>
    </row>
    <row r="265" spans="1:6" x14ac:dyDescent="0.45">
      <c r="A265" s="47" t="s">
        <v>540</v>
      </c>
      <c r="B265" s="3">
        <f>'Design Converter'!H81*1000</f>
        <v>8000</v>
      </c>
      <c r="C265" s="31" t="s">
        <v>59</v>
      </c>
      <c r="D265" s="31"/>
      <c r="E265" s="31" t="s">
        <v>542</v>
      </c>
    </row>
    <row r="266" spans="1:6" x14ac:dyDescent="0.45">
      <c r="A266" s="47"/>
      <c r="B266" s="26"/>
      <c r="C266" s="31"/>
      <c r="D266" s="31"/>
      <c r="E266" s="31"/>
    </row>
    <row r="267" spans="1:6" x14ac:dyDescent="0.45">
      <c r="A267" s="47" t="s">
        <v>547</v>
      </c>
      <c r="B267" s="29">
        <f>(NS1_/Np)*(2*PI()*Acs*Cout_total*RLED*R_cs*fcross_iso)/(Gcomp*(1-Dc_VIN_min)*kopto_max)</f>
        <v>133.17560324417533</v>
      </c>
      <c r="C267" s="2" t="s">
        <v>33</v>
      </c>
      <c r="D267" s="31"/>
      <c r="E267" s="31" t="s">
        <v>551</v>
      </c>
      <c r="F267" s="31"/>
    </row>
    <row r="268" spans="1:6" s="31" customFormat="1" x14ac:dyDescent="0.45">
      <c r="A268" s="47" t="s">
        <v>548</v>
      </c>
      <c r="B268" s="3">
        <f>'Design Converter'!H84*1000</f>
        <v>10000</v>
      </c>
      <c r="C268" s="2" t="s">
        <v>33</v>
      </c>
      <c r="E268" s="31" t="s">
        <v>549</v>
      </c>
    </row>
    <row r="269" spans="1:6" s="31" customFormat="1" x14ac:dyDescent="0.45">
      <c r="A269" s="47" t="s">
        <v>550</v>
      </c>
      <c r="B269" s="1">
        <f>SQRT(((VOUT1^2)*Cout_total)/(2*PI()*(Rcomp_iso^2)*POUT_Total*fcross_iso*(1+Dc_VIN_max)))</f>
        <v>4.2370401693883647E-9</v>
      </c>
      <c r="C269" s="2" t="s">
        <v>143</v>
      </c>
      <c r="E269" s="31">
        <f>(2*PI()*(Rcomp_iso^2)*POUT_Total*fcross_iso*(1+Dc_VIN_max))</f>
        <v>139256298087012.58</v>
      </c>
    </row>
    <row r="270" spans="1:6" s="31" customFormat="1" x14ac:dyDescent="0.45">
      <c r="A270" s="47" t="s">
        <v>552</v>
      </c>
      <c r="B270" s="3">
        <f>'Design Converter'!$H$85*(10^-9)</f>
        <v>2.2000000000000002E-8</v>
      </c>
      <c r="C270" s="2" t="s">
        <v>143</v>
      </c>
      <c r="E270" s="31">
        <f>(1+Dc_VIN_max)</f>
        <v>1.3852080123266564</v>
      </c>
      <c r="F270"/>
    </row>
    <row r="271" spans="1:6" s="31" customFormat="1" x14ac:dyDescent="0.45">
      <c r="A271" s="47"/>
      <c r="B271" s="26"/>
      <c r="E271" s="31">
        <f>fcross_iso</f>
        <v>8000</v>
      </c>
      <c r="F271"/>
    </row>
    <row r="272" spans="1:6" s="31" customFormat="1" x14ac:dyDescent="0.45">
      <c r="A272" s="47"/>
      <c r="B272" s="26"/>
      <c r="F272"/>
    </row>
    <row r="273" spans="1:6" s="31" customFormat="1" x14ac:dyDescent="0.45">
      <c r="A273" s="47"/>
      <c r="B273" s="26"/>
      <c r="F273"/>
    </row>
    <row r="274" spans="1:6" s="31" customFormat="1" x14ac:dyDescent="0.45">
      <c r="A274" s="47"/>
      <c r="B274" s="26"/>
      <c r="F274"/>
    </row>
    <row r="275" spans="1:6" s="31" customFormat="1" x14ac:dyDescent="0.45">
      <c r="A275" s="183" t="s">
        <v>508</v>
      </c>
      <c r="B275" s="26"/>
      <c r="F275"/>
    </row>
    <row r="276" spans="1:6" s="31" customFormat="1" x14ac:dyDescent="0.45">
      <c r="A276" s="184" t="s">
        <v>233</v>
      </c>
      <c r="B276"/>
      <c r="C276"/>
      <c r="D276"/>
      <c r="E276"/>
    </row>
    <row r="277" spans="1:6" s="31" customFormat="1" x14ac:dyDescent="0.45">
      <c r="A277" s="31" t="s">
        <v>168</v>
      </c>
      <c r="B277" s="3">
        <f>'Design Converter'!H61*(10^3)</f>
        <v>49900</v>
      </c>
      <c r="C277" s="2" t="s">
        <v>33</v>
      </c>
      <c r="E277" s="31" t="s">
        <v>219</v>
      </c>
    </row>
    <row r="278" spans="1:6" s="31" customFormat="1" x14ac:dyDescent="0.45">
      <c r="A278" s="31" t="s">
        <v>223</v>
      </c>
      <c r="B278" s="29">
        <f>(RFBT*Vref)/(VOUT1-Vref)</f>
        <v>12475</v>
      </c>
      <c r="C278" s="2" t="s">
        <v>33</v>
      </c>
      <c r="E278" s="31" t="s">
        <v>226</v>
      </c>
    </row>
    <row r="279" spans="1:6" s="31" customFormat="1" x14ac:dyDescent="0.45">
      <c r="A279" t="s">
        <v>169</v>
      </c>
      <c r="B279" s="3">
        <f>'Design Converter'!H63*(10^3)</f>
        <v>5540</v>
      </c>
      <c r="C279" s="2" t="s">
        <v>33</v>
      </c>
      <c r="D279"/>
      <c r="E279" t="s">
        <v>227</v>
      </c>
    </row>
    <row r="280" spans="1:6" s="31" customFormat="1" x14ac:dyDescent="0.45">
      <c r="A280" t="s">
        <v>228</v>
      </c>
      <c r="B280" s="1">
        <f>VOUT1/(RFBB+RFBT)</f>
        <v>9.0187590187590188E-5</v>
      </c>
      <c r="C280" s="2" t="s">
        <v>10</v>
      </c>
      <c r="D280"/>
      <c r="E280" t="s">
        <v>229</v>
      </c>
    </row>
    <row r="281" spans="1:6" s="31" customFormat="1" x14ac:dyDescent="0.45">
      <c r="B281" s="26"/>
      <c r="C281" s="2"/>
    </row>
    <row r="282" spans="1:6" s="31" customFormat="1" x14ac:dyDescent="0.45">
      <c r="A282" s="46" t="s">
        <v>234</v>
      </c>
      <c r="E282" s="31" t="s">
        <v>370</v>
      </c>
    </row>
    <row r="283" spans="1:6" s="31" customFormat="1" x14ac:dyDescent="0.45">
      <c r="B283" s="31" t="str">
        <f>CCM_Loop_Modeling!A78</f>
        <v>Crossover Frequency = 58.9 kHz</v>
      </c>
    </row>
    <row r="284" spans="1:6" s="31" customFormat="1" x14ac:dyDescent="0.45">
      <c r="A284"/>
      <c r="B284" s="31" t="str">
        <f>CCM_Loop_Modeling!A79</f>
        <v>Phase Margin = -14°</v>
      </c>
      <c r="C284"/>
      <c r="D284"/>
      <c r="E284"/>
    </row>
    <row r="285" spans="1:6" x14ac:dyDescent="0.45">
      <c r="F285" s="31"/>
    </row>
    <row r="286" spans="1:6" s="31" customFormat="1" x14ac:dyDescent="0.45">
      <c r="A286"/>
      <c r="B286"/>
      <c r="C286"/>
      <c r="D286"/>
      <c r="E286"/>
    </row>
    <row r="287" spans="1:6" x14ac:dyDescent="0.45">
      <c r="F287" s="31"/>
    </row>
    <row r="288" spans="1:6" s="31" customFormat="1" x14ac:dyDescent="0.45">
      <c r="A288" s="42" t="s">
        <v>533</v>
      </c>
      <c r="B288"/>
      <c r="C288"/>
      <c r="D288"/>
      <c r="E288"/>
    </row>
    <row r="289" spans="1:8" x14ac:dyDescent="0.45">
      <c r="F289" s="31"/>
    </row>
    <row r="290" spans="1:8" x14ac:dyDescent="0.45">
      <c r="A290" s="31"/>
      <c r="B290" s="26"/>
      <c r="C290" s="31"/>
      <c r="D290" s="31"/>
      <c r="E290" s="31"/>
      <c r="F290" s="31"/>
    </row>
    <row r="291" spans="1:8" x14ac:dyDescent="0.45">
      <c r="A291" s="31" t="s">
        <v>235</v>
      </c>
      <c r="B291" s="28">
        <f>IF(B228=0,fz_rhp/5,Fsw/10)</f>
        <v>34240.505685108961</v>
      </c>
      <c r="C291" s="31" t="s">
        <v>59</v>
      </c>
      <c r="D291" s="31"/>
      <c r="E291" s="31" t="s">
        <v>240</v>
      </c>
      <c r="F291" s="31"/>
    </row>
    <row r="292" spans="1:8" x14ac:dyDescent="0.45">
      <c r="A292" s="31" t="s">
        <v>237</v>
      </c>
      <c r="B292" s="3">
        <f>'Design Converter'!H81*1000</f>
        <v>8000</v>
      </c>
      <c r="C292" s="31" t="s">
        <v>59</v>
      </c>
      <c r="D292" s="31"/>
      <c r="E292" s="31" t="s">
        <v>238</v>
      </c>
      <c r="F292" s="31"/>
    </row>
    <row r="293" spans="1:8" s="31" customFormat="1" x14ac:dyDescent="0.45">
      <c r="F293"/>
    </row>
    <row r="294" spans="1:8" x14ac:dyDescent="0.45">
      <c r="A294" s="31" t="s">
        <v>246</v>
      </c>
      <c r="B294" s="32">
        <f>Gplant_fc_dB</f>
        <v>11.250027928573017</v>
      </c>
      <c r="C294" s="31" t="s">
        <v>218</v>
      </c>
      <c r="D294" s="31"/>
      <c r="E294" s="31" t="s">
        <v>247</v>
      </c>
      <c r="F294" s="31"/>
    </row>
    <row r="295" spans="1:8" s="31" customFormat="1" x14ac:dyDescent="0.45">
      <c r="A295" s="31" t="s">
        <v>242</v>
      </c>
      <c r="B295" s="32">
        <f>10^(B294/20)</f>
        <v>3.6517530143607861</v>
      </c>
      <c r="C295" s="31" t="s">
        <v>136</v>
      </c>
      <c r="E295" s="31" t="s">
        <v>243</v>
      </c>
      <c r="F295"/>
    </row>
    <row r="296" spans="1:8" x14ac:dyDescent="0.45">
      <c r="A296" s="31" t="s">
        <v>248</v>
      </c>
      <c r="B296" s="32">
        <f>1/B295</f>
        <v>0.27384108291755405</v>
      </c>
      <c r="C296" s="31" t="s">
        <v>136</v>
      </c>
      <c r="D296" s="31"/>
      <c r="E296" s="31" t="s">
        <v>249</v>
      </c>
      <c r="F296" s="31"/>
    </row>
    <row r="297" spans="1:8" x14ac:dyDescent="0.45">
      <c r="A297" s="31"/>
      <c r="B297" s="31"/>
      <c r="C297" s="31"/>
      <c r="D297" s="31"/>
      <c r="E297" s="31"/>
    </row>
    <row r="298" spans="1:8" x14ac:dyDescent="0.45">
      <c r="A298" s="31" t="s">
        <v>255</v>
      </c>
      <c r="B298" s="31">
        <f>fcross/10</f>
        <v>800</v>
      </c>
      <c r="C298" s="31" t="s">
        <v>59</v>
      </c>
      <c r="D298" s="31"/>
      <c r="E298" s="31" t="s">
        <v>253</v>
      </c>
    </row>
    <row r="299" spans="1:8" x14ac:dyDescent="0.45">
      <c r="A299" s="31" t="s">
        <v>256</v>
      </c>
      <c r="B299" s="70">
        <f>SQRT(B220*fcross)</f>
        <v>3906.2237348603485</v>
      </c>
      <c r="C299" s="31" t="s">
        <v>59</v>
      </c>
      <c r="D299" s="31"/>
      <c r="E299" s="31" t="s">
        <v>254</v>
      </c>
    </row>
    <row r="300" spans="1:8" x14ac:dyDescent="0.45">
      <c r="A300" s="31" t="s">
        <v>252</v>
      </c>
      <c r="B300" s="70">
        <f>B299</f>
        <v>3906.2237348603485</v>
      </c>
      <c r="C300" s="31" t="s">
        <v>59</v>
      </c>
      <c r="D300" s="31"/>
      <c r="E300" s="31"/>
    </row>
    <row r="301" spans="1:8" s="31" customFormat="1" x14ac:dyDescent="0.45">
      <c r="H301" s="31" t="s">
        <v>349</v>
      </c>
    </row>
    <row r="302" spans="1:8" x14ac:dyDescent="0.45">
      <c r="A302" s="31" t="s">
        <v>259</v>
      </c>
      <c r="B302" s="44">
        <f>fz_rhp</f>
        <v>171202.52842554479</v>
      </c>
      <c r="C302" s="31" t="s">
        <v>59</v>
      </c>
      <c r="D302" s="31"/>
      <c r="E302" s="31" t="s">
        <v>395</v>
      </c>
    </row>
    <row r="303" spans="1:8" x14ac:dyDescent="0.45">
      <c r="A303" s="31"/>
      <c r="B303" s="31"/>
      <c r="C303" s="31"/>
      <c r="D303" s="31"/>
      <c r="E303" s="31" t="s">
        <v>396</v>
      </c>
      <c r="F303" s="31"/>
    </row>
    <row r="304" spans="1:8" s="31" customFormat="1" x14ac:dyDescent="0.45">
      <c r="F304"/>
    </row>
    <row r="305" spans="1:6" s="31" customFormat="1" x14ac:dyDescent="0.45">
      <c r="F305"/>
    </row>
    <row r="306" spans="1:6" s="31" customFormat="1" x14ac:dyDescent="0.45">
      <c r="A306" s="31" t="s">
        <v>250</v>
      </c>
      <c r="B306" s="28">
        <f>(2*PI()*Acs*Cout_total*NS1_*R_cs*VOUT1*fcross)/(Gcomp*Np*gm_ea*(1-Dc_VIN_min))</f>
        <v>665.8780162208767</v>
      </c>
      <c r="C306" s="2" t="s">
        <v>33</v>
      </c>
      <c r="E306" s="31" t="s">
        <v>251</v>
      </c>
      <c r="F306"/>
    </row>
    <row r="307" spans="1:6" x14ac:dyDescent="0.45">
      <c r="A307" t="s">
        <v>158</v>
      </c>
      <c r="B307" s="3">
        <f>'Design Converter'!H84*1000</f>
        <v>10000</v>
      </c>
      <c r="C307" s="2" t="s">
        <v>33</v>
      </c>
      <c r="E307" t="s">
        <v>165</v>
      </c>
    </row>
    <row r="308" spans="1:6" x14ac:dyDescent="0.45">
      <c r="A308" s="31" t="s">
        <v>257</v>
      </c>
      <c r="B308" s="22">
        <f>SQRT((Cout_total*(VOUT1^2))/(2*PI()*(RCOMP^2)*fcross*POUT_Total*(1+Dc_VIN_min)))</f>
        <v>4.0743939388711249E-9</v>
      </c>
      <c r="C308" s="2" t="s">
        <v>143</v>
      </c>
      <c r="D308" s="31"/>
      <c r="E308" s="31"/>
    </row>
    <row r="309" spans="1:6" x14ac:dyDescent="0.45">
      <c r="A309" t="s">
        <v>163</v>
      </c>
      <c r="B309" s="3">
        <f>'Design Converter'!H85*(10^-9)</f>
        <v>2.2000000000000002E-8</v>
      </c>
      <c r="C309" t="s">
        <v>143</v>
      </c>
      <c r="E309" t="s">
        <v>166</v>
      </c>
      <c r="F309" s="31"/>
    </row>
    <row r="310" spans="1:6" x14ac:dyDescent="0.45">
      <c r="A310" s="31" t="s">
        <v>258</v>
      </c>
      <c r="B310" s="22">
        <f>(Dc_VIN_min*Lm*(NS1_^2)*POUT_Total)/((Np^2)*RCOMP*(VOUT1^2)*(1-Dc_VIN_min)^2)</f>
        <v>9.2962962962962968E-11</v>
      </c>
      <c r="C310" s="31" t="s">
        <v>143</v>
      </c>
      <c r="D310" s="31"/>
      <c r="E310" s="31"/>
    </row>
    <row r="311" spans="1:6" x14ac:dyDescent="0.45">
      <c r="A311" t="s">
        <v>164</v>
      </c>
      <c r="B311" s="3">
        <f>'Design Converter'!H86*(10^-12)</f>
        <v>1.0000000000000001E-9</v>
      </c>
      <c r="C311" t="s">
        <v>143</v>
      </c>
      <c r="E311" t="s">
        <v>167</v>
      </c>
    </row>
    <row r="312" spans="1:6" x14ac:dyDescent="0.45">
      <c r="F312" s="31"/>
    </row>
    <row r="313" spans="1:6" x14ac:dyDescent="0.45">
      <c r="F313" s="31"/>
    </row>
    <row r="314" spans="1:6" x14ac:dyDescent="0.45">
      <c r="A314" s="42" t="s">
        <v>318</v>
      </c>
      <c r="F314" s="31"/>
    </row>
    <row r="315" spans="1:6" x14ac:dyDescent="0.45">
      <c r="A315" s="31"/>
      <c r="B315" s="31"/>
      <c r="C315" s="31"/>
      <c r="D315" s="31"/>
      <c r="E315" s="31"/>
    </row>
    <row r="316" spans="1:6" x14ac:dyDescent="0.45">
      <c r="A316" s="42" t="s">
        <v>330</v>
      </c>
    </row>
    <row r="317" spans="1:6" x14ac:dyDescent="0.45">
      <c r="A317" s="31" t="s">
        <v>702</v>
      </c>
      <c r="B317" s="21">
        <f>IF(OR(device_s="LM5157",device_s="LM51571"),0.045,0.133)</f>
        <v>0.13300000000000001</v>
      </c>
      <c r="C317" s="2" t="s">
        <v>33</v>
      </c>
      <c r="D317" s="31"/>
      <c r="E317" s="31" t="s">
        <v>703</v>
      </c>
    </row>
    <row r="318" spans="1:6" ht="15" x14ac:dyDescent="0.5">
      <c r="A318" t="s">
        <v>338</v>
      </c>
      <c r="B318" s="1">
        <f>IF(OR(device_s="LM5157",device_s="LM51571"),IF(Vcc_real&gt;=3.5, (51.67-1.33*Vcc_real)/1000, (93.67-13.3*Vcc_real)/1000),B317)</f>
        <v>0.13300000000000001</v>
      </c>
      <c r="C318" s="2" t="s">
        <v>33</v>
      </c>
      <c r="E318" s="95" t="s">
        <v>321</v>
      </c>
    </row>
    <row r="319" spans="1:6" ht="15" x14ac:dyDescent="0.5">
      <c r="A319" t="s">
        <v>331</v>
      </c>
      <c r="B319" s="21">
        <v>6.9999999999999998E-9</v>
      </c>
      <c r="C319" t="s">
        <v>337</v>
      </c>
      <c r="E319" s="95" t="s">
        <v>322</v>
      </c>
    </row>
    <row r="320" spans="1:6" ht="15" x14ac:dyDescent="0.5">
      <c r="A320" t="s">
        <v>333</v>
      </c>
      <c r="B320" s="21">
        <v>1.11E-8</v>
      </c>
      <c r="C320" t="s">
        <v>337</v>
      </c>
      <c r="E320" s="95" t="s">
        <v>323</v>
      </c>
    </row>
    <row r="321" spans="1:5" ht="15" x14ac:dyDescent="0.5">
      <c r="A321" t="s">
        <v>332</v>
      </c>
      <c r="B321" s="244">
        <v>1.2299999999999999E-8</v>
      </c>
      <c r="C321" t="s">
        <v>337</v>
      </c>
      <c r="E321" s="95" t="s">
        <v>324</v>
      </c>
    </row>
    <row r="322" spans="1:5" ht="15" x14ac:dyDescent="0.5">
      <c r="A322" t="s">
        <v>334</v>
      </c>
      <c r="B322" s="21">
        <v>1.5</v>
      </c>
      <c r="C322" s="2" t="s">
        <v>33</v>
      </c>
      <c r="E322" s="95" t="s">
        <v>325</v>
      </c>
    </row>
    <row r="323" spans="1:5" x14ac:dyDescent="0.45">
      <c r="A323" s="31" t="s">
        <v>339</v>
      </c>
      <c r="B323" s="21">
        <v>1.5</v>
      </c>
      <c r="C323" s="2"/>
      <c r="D323" s="31"/>
      <c r="E323" s="95" t="s">
        <v>340</v>
      </c>
    </row>
    <row r="324" spans="1:5" ht="15" x14ac:dyDescent="0.5">
      <c r="A324" t="s">
        <v>335</v>
      </c>
      <c r="B324" s="21">
        <v>60</v>
      </c>
      <c r="C324" s="2" t="s">
        <v>328</v>
      </c>
      <c r="E324" s="232" t="s">
        <v>634</v>
      </c>
    </row>
    <row r="325" spans="1:5" ht="15" x14ac:dyDescent="0.5">
      <c r="A325" t="s">
        <v>336</v>
      </c>
      <c r="B325" s="21">
        <v>1.7</v>
      </c>
      <c r="C325" s="2" t="s">
        <v>9</v>
      </c>
      <c r="E325" s="95" t="s">
        <v>326</v>
      </c>
    </row>
    <row r="326" spans="1:5" x14ac:dyDescent="0.45">
      <c r="A326" s="31" t="s">
        <v>345</v>
      </c>
      <c r="B326" s="1">
        <f>IF(VIN_var&lt;5, VIN_var, 5)</f>
        <v>5</v>
      </c>
      <c r="C326" s="2" t="s">
        <v>9</v>
      </c>
      <c r="D326" s="31"/>
      <c r="E326" s="95" t="s">
        <v>350</v>
      </c>
    </row>
    <row r="327" spans="1:5" x14ac:dyDescent="0.45">
      <c r="A327" s="31"/>
      <c r="B327" s="26"/>
      <c r="C327" s="2"/>
      <c r="D327" s="31"/>
      <c r="E327" s="95"/>
    </row>
    <row r="328" spans="1:5" x14ac:dyDescent="0.45">
      <c r="A328" s="31"/>
      <c r="B328" s="26"/>
      <c r="C328" s="2"/>
      <c r="D328" s="31"/>
      <c r="E328" s="95"/>
    </row>
    <row r="329" spans="1:5" x14ac:dyDescent="0.45">
      <c r="A329" t="s">
        <v>341</v>
      </c>
      <c r="B329" s="39">
        <f>Vth+(((VOUT1*IOUT1)/VIN_min)/gfs)</f>
        <v>1.7092592592592593</v>
      </c>
      <c r="C329" s="2" t="s">
        <v>9</v>
      </c>
      <c r="E329" s="95" t="s">
        <v>342</v>
      </c>
    </row>
    <row r="330" spans="1:5" x14ac:dyDescent="0.45">
      <c r="A330" t="s">
        <v>351</v>
      </c>
      <c r="B330" s="1">
        <f>(Qgd+(Qgs/2))*((Rgate+B323)/(Vcc-B329))</f>
        <v>1.572594259988745E-8</v>
      </c>
      <c r="C330" s="2" t="s">
        <v>45</v>
      </c>
      <c r="E330" s="95" t="s">
        <v>343</v>
      </c>
    </row>
    <row r="331" spans="1:5" ht="14.65" thickBot="1" x14ac:dyDescent="0.5">
      <c r="A331" t="s">
        <v>352</v>
      </c>
      <c r="B331" s="1">
        <f>(Qgd+(Qgs/2))*((B323+Rgate)/B329)</f>
        <v>3.0276273022751891E-8</v>
      </c>
      <c r="C331" t="s">
        <v>45</v>
      </c>
      <c r="E331" s="96" t="s">
        <v>344</v>
      </c>
    </row>
    <row r="333" spans="1:5" x14ac:dyDescent="0.45">
      <c r="A333" s="31" t="s">
        <v>704</v>
      </c>
      <c r="B333" s="245">
        <v>4.6999999999999999E-9</v>
      </c>
      <c r="C333" s="31" t="s">
        <v>45</v>
      </c>
    </row>
    <row r="334" spans="1:5" x14ac:dyDescent="0.45">
      <c r="A334" s="31" t="s">
        <v>705</v>
      </c>
      <c r="B334" s="245">
        <v>4.6999999999999999E-9</v>
      </c>
      <c r="C334" s="31" t="s">
        <v>45</v>
      </c>
    </row>
    <row r="336" spans="1:5" x14ac:dyDescent="0.45">
      <c r="A336" s="42" t="s">
        <v>706</v>
      </c>
    </row>
    <row r="337" spans="1:5" x14ac:dyDescent="0.45">
      <c r="A337" s="31" t="s">
        <v>707</v>
      </c>
      <c r="B337" s="31">
        <v>45</v>
      </c>
      <c r="C337" s="31" t="s">
        <v>709</v>
      </c>
      <c r="D337" s="31"/>
      <c r="E337" s="31" t="s">
        <v>710</v>
      </c>
    </row>
    <row r="338" spans="1:5" x14ac:dyDescent="0.45">
      <c r="A338" s="31" t="s">
        <v>708</v>
      </c>
      <c r="B338">
        <f>'Design Converter'!H91</f>
        <v>25</v>
      </c>
      <c r="C338" s="31" t="s">
        <v>711</v>
      </c>
      <c r="D338" s="31"/>
      <c r="E338" s="31" t="s">
        <v>712</v>
      </c>
    </row>
  </sheetData>
  <mergeCells count="2">
    <mergeCell ref="A1:J1"/>
    <mergeCell ref="E5:H5"/>
  </mergeCells>
  <conditionalFormatting sqref="Q11:U18">
    <cfRule type="expression" priority="48">
      <formula>$B$24=0</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Mathcad" shapeId="2053" r:id="rId4">
          <objectPr defaultSize="0" autoPict="0" r:id="rId5">
            <anchor moveWithCells="1">
              <from>
                <xdr:col>8</xdr:col>
                <xdr:colOff>57150</xdr:colOff>
                <xdr:row>138</xdr:row>
                <xdr:rowOff>133350</xdr:rowOff>
              </from>
              <to>
                <xdr:col>13</xdr:col>
                <xdr:colOff>161925</xdr:colOff>
                <xdr:row>141</xdr:row>
                <xdr:rowOff>19050</xdr:rowOff>
              </to>
            </anchor>
          </objectPr>
        </oleObject>
      </mc:Choice>
      <mc:Fallback>
        <oleObject progId="Mathcad" shapeId="20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70"/>
  <sheetViews>
    <sheetView topLeftCell="A36" zoomScale="110" zoomScaleNormal="110" workbookViewId="0">
      <selection activeCell="B37" sqref="B37"/>
    </sheetView>
  </sheetViews>
  <sheetFormatPr defaultRowHeight="14.25" x14ac:dyDescent="0.45"/>
  <cols>
    <col min="1" max="1" width="26.73046875" customWidth="1"/>
    <col min="2" max="2" width="25.59765625" customWidth="1"/>
    <col min="3" max="3" width="10.1328125" customWidth="1"/>
  </cols>
  <sheetData>
    <row r="1" spans="1:9" ht="27.75" x14ac:dyDescent="0.75">
      <c r="A1" s="324" t="s">
        <v>69</v>
      </c>
      <c r="B1" s="324"/>
      <c r="C1" s="324"/>
      <c r="D1" s="324"/>
      <c r="E1" s="324"/>
      <c r="F1" s="324"/>
      <c r="G1" s="324"/>
      <c r="H1" s="324"/>
      <c r="I1" s="324"/>
    </row>
    <row r="2" spans="1:9" x14ac:dyDescent="0.45">
      <c r="A2" s="11"/>
      <c r="B2" s="11" t="s">
        <v>15</v>
      </c>
      <c r="C2" s="12"/>
      <c r="D2" s="17"/>
      <c r="E2" s="11"/>
      <c r="F2" s="11"/>
      <c r="G2" s="11"/>
      <c r="H2" s="11"/>
      <c r="I2" s="11"/>
    </row>
    <row r="3" spans="1:9" x14ac:dyDescent="0.45">
      <c r="A3" s="11"/>
      <c r="B3" s="11" t="s">
        <v>16</v>
      </c>
      <c r="C3" s="13"/>
      <c r="D3" s="17"/>
      <c r="E3" s="11"/>
      <c r="F3" s="11"/>
      <c r="G3" s="11"/>
      <c r="H3" s="11"/>
      <c r="I3" s="11"/>
    </row>
    <row r="4" spans="1:9" x14ac:dyDescent="0.45">
      <c r="A4" s="11"/>
      <c r="B4" s="11" t="s">
        <v>17</v>
      </c>
      <c r="C4" s="14"/>
      <c r="D4" s="17"/>
      <c r="E4" s="11"/>
      <c r="F4" s="11"/>
      <c r="G4" s="11"/>
      <c r="H4" s="11"/>
      <c r="I4" s="11"/>
    </row>
    <row r="5" spans="1:9" x14ac:dyDescent="0.45">
      <c r="A5" s="10" t="s">
        <v>18</v>
      </c>
      <c r="B5" s="10" t="s">
        <v>19</v>
      </c>
      <c r="C5" s="10" t="s">
        <v>20</v>
      </c>
      <c r="D5" s="17"/>
      <c r="E5" s="325" t="s">
        <v>21</v>
      </c>
      <c r="F5" s="325"/>
      <c r="G5" s="325"/>
      <c r="H5" s="325"/>
      <c r="I5" s="10"/>
    </row>
    <row r="6" spans="1:9" s="4" customFormat="1" x14ac:dyDescent="0.45">
      <c r="A6" s="10"/>
      <c r="B6" s="10"/>
      <c r="C6" s="10"/>
      <c r="D6" s="17"/>
      <c r="E6" s="19"/>
      <c r="F6" s="19"/>
      <c r="G6" s="19"/>
      <c r="H6" s="19"/>
      <c r="I6" s="10"/>
    </row>
    <row r="7" spans="1:9" s="31" customFormat="1" x14ac:dyDescent="0.45">
      <c r="A7" s="10" t="s">
        <v>424</v>
      </c>
      <c r="B7" s="10"/>
      <c r="C7" s="10"/>
      <c r="D7" s="17"/>
      <c r="E7" s="166"/>
      <c r="F7" s="166"/>
      <c r="G7" s="166"/>
      <c r="H7" s="166"/>
      <c r="I7" s="10"/>
    </row>
    <row r="8" spans="1:9" s="31" customFormat="1" x14ac:dyDescent="0.45">
      <c r="A8" s="170" t="s">
        <v>425</v>
      </c>
      <c r="B8" s="171">
        <v>0</v>
      </c>
      <c r="C8" s="170" t="s">
        <v>9</v>
      </c>
      <c r="D8" s="170" t="s">
        <v>426</v>
      </c>
      <c r="E8" s="166"/>
      <c r="F8" s="166"/>
      <c r="G8" s="166"/>
      <c r="H8" s="166"/>
      <c r="I8" s="10"/>
    </row>
    <row r="9" spans="1:9" s="4" customFormat="1" x14ac:dyDescent="0.45">
      <c r="A9" s="10" t="s">
        <v>49</v>
      </c>
      <c r="B9" s="10"/>
      <c r="C9" s="10"/>
      <c r="D9" s="17"/>
      <c r="E9" s="19"/>
      <c r="F9" s="19"/>
      <c r="G9" s="19"/>
      <c r="H9" s="19"/>
      <c r="I9" s="10"/>
    </row>
    <row r="10" spans="1:9" s="4" customFormat="1" x14ac:dyDescent="0.45">
      <c r="A10" s="10"/>
      <c r="B10" s="10"/>
      <c r="C10" s="10"/>
      <c r="D10" s="17"/>
      <c r="E10" s="19"/>
      <c r="F10" s="19"/>
      <c r="G10" s="19"/>
      <c r="H10" s="19"/>
      <c r="I10" s="10"/>
    </row>
    <row r="11" spans="1:9" x14ac:dyDescent="0.45">
      <c r="A11" t="s">
        <v>38</v>
      </c>
      <c r="B11" s="21">
        <v>0.8</v>
      </c>
      <c r="D11" t="s">
        <v>41</v>
      </c>
    </row>
    <row r="12" spans="1:9" s="4" customFormat="1" x14ac:dyDescent="0.45">
      <c r="A12" s="4" t="s">
        <v>42</v>
      </c>
      <c r="B12" s="22">
        <f>(1-B11)/(2.2*10^6)</f>
        <v>9.0909090909090888E-8</v>
      </c>
      <c r="C12" s="4" t="s">
        <v>45</v>
      </c>
      <c r="D12" s="4" t="s">
        <v>48</v>
      </c>
    </row>
    <row r="13" spans="1:9" x14ac:dyDescent="0.45">
      <c r="A13" s="4" t="s">
        <v>39</v>
      </c>
      <c r="B13" s="21">
        <v>0.85</v>
      </c>
      <c r="D13" s="4" t="s">
        <v>41</v>
      </c>
    </row>
    <row r="14" spans="1:9" s="4" customFormat="1" x14ac:dyDescent="0.45">
      <c r="A14" s="4" t="s">
        <v>43</v>
      </c>
      <c r="B14" s="22">
        <f>(1-B13)/(2.2*10^6)</f>
        <v>6.8181818181818186E-8</v>
      </c>
      <c r="C14" s="4" t="s">
        <v>45</v>
      </c>
      <c r="D14" s="4" t="s">
        <v>47</v>
      </c>
    </row>
    <row r="15" spans="1:9" x14ac:dyDescent="0.45">
      <c r="A15" s="4" t="s">
        <v>40</v>
      </c>
      <c r="B15" s="21">
        <v>0.9</v>
      </c>
      <c r="D15" s="4" t="s">
        <v>41</v>
      </c>
    </row>
    <row r="16" spans="1:9" x14ac:dyDescent="0.45">
      <c r="A16" t="s">
        <v>44</v>
      </c>
      <c r="B16" s="22">
        <f>(1-B15)/(2.2*10^6)</f>
        <v>4.5454545454545444E-8</v>
      </c>
      <c r="C16" t="s">
        <v>45</v>
      </c>
      <c r="D16" t="s">
        <v>46</v>
      </c>
    </row>
    <row r="18" spans="1:4" x14ac:dyDescent="0.45">
      <c r="A18" t="s">
        <v>50</v>
      </c>
      <c r="B18" s="21">
        <v>0.9</v>
      </c>
      <c r="D18" s="4" t="s">
        <v>55</v>
      </c>
    </row>
    <row r="19" spans="1:4" x14ac:dyDescent="0.45">
      <c r="A19" t="s">
        <v>51</v>
      </c>
      <c r="B19" s="21">
        <v>0.93</v>
      </c>
      <c r="D19" t="s">
        <v>53</v>
      </c>
    </row>
    <row r="20" spans="1:4" x14ac:dyDescent="0.45">
      <c r="A20" t="s">
        <v>52</v>
      </c>
      <c r="B20" s="21">
        <v>0.96</v>
      </c>
      <c r="D20" s="4" t="s">
        <v>56</v>
      </c>
    </row>
    <row r="21" spans="1:4" x14ac:dyDescent="0.45">
      <c r="B21" s="4">
        <f>IF(((1-D_limit_nom)/Constants!B14)&lt;Fsw,2,1)</f>
        <v>2</v>
      </c>
      <c r="D21" s="4" t="s">
        <v>62</v>
      </c>
    </row>
    <row r="22" spans="1:4" x14ac:dyDescent="0.45">
      <c r="A22" t="s">
        <v>67</v>
      </c>
      <c r="B22" s="1">
        <f>CHOOSE(B21,D_limit_nom,(1-Constants!B14*Fsw))</f>
        <v>0.85681818181818181</v>
      </c>
      <c r="D22" s="4" t="s">
        <v>68</v>
      </c>
    </row>
    <row r="24" spans="1:4" x14ac:dyDescent="0.45">
      <c r="A24" t="s">
        <v>70</v>
      </c>
      <c r="B24" s="315">
        <f>80*10^-9</f>
        <v>8.0000000000000002E-8</v>
      </c>
      <c r="C24" t="s">
        <v>45</v>
      </c>
      <c r="D24" t="s">
        <v>71</v>
      </c>
    </row>
    <row r="25" spans="1:4" s="31" customFormat="1" x14ac:dyDescent="0.45">
      <c r="B25" s="21"/>
    </row>
    <row r="26" spans="1:4" ht="15.75" x14ac:dyDescent="0.5">
      <c r="A26" s="41" t="s">
        <v>128</v>
      </c>
    </row>
    <row r="27" spans="1:4" x14ac:dyDescent="0.45">
      <c r="A27" t="s">
        <v>105</v>
      </c>
      <c r="B27" s="21">
        <f>10*10^-6</f>
        <v>9.9999999999999991E-6</v>
      </c>
      <c r="C27" t="s">
        <v>10</v>
      </c>
      <c r="D27" t="s">
        <v>106</v>
      </c>
    </row>
    <row r="28" spans="1:4" x14ac:dyDescent="0.45">
      <c r="A28" t="s">
        <v>107</v>
      </c>
      <c r="B28" s="21">
        <v>50000</v>
      </c>
      <c r="C28" s="2" t="s">
        <v>33</v>
      </c>
      <c r="D28" t="s">
        <v>108</v>
      </c>
    </row>
    <row r="29" spans="1:4" x14ac:dyDescent="0.45">
      <c r="A29" t="s">
        <v>111</v>
      </c>
      <c r="B29" s="21">
        <f>0.1</f>
        <v>0.1</v>
      </c>
      <c r="C29" s="2" t="s">
        <v>9</v>
      </c>
      <c r="D29" t="s">
        <v>112</v>
      </c>
    </row>
    <row r="31" spans="1:4" x14ac:dyDescent="0.45">
      <c r="A31" t="s">
        <v>180</v>
      </c>
      <c r="B31" s="21">
        <v>1</v>
      </c>
      <c r="C31" t="s">
        <v>136</v>
      </c>
      <c r="D31" t="s">
        <v>182</v>
      </c>
    </row>
    <row r="32" spans="1:4" x14ac:dyDescent="0.45">
      <c r="A32" t="s">
        <v>184</v>
      </c>
      <c r="B32" s="21">
        <v>1</v>
      </c>
      <c r="C32" t="s">
        <v>136</v>
      </c>
      <c r="D32" t="s">
        <v>185</v>
      </c>
    </row>
    <row r="33" spans="1:14" s="31" customFormat="1" x14ac:dyDescent="0.45">
      <c r="A33" s="31" t="s">
        <v>120</v>
      </c>
      <c r="B33" s="21">
        <f>IF(OR(device_s="LM5157",device_s="LM51571"),0.095,0.19)</f>
        <v>0.19</v>
      </c>
      <c r="C33" s="31" t="s">
        <v>666</v>
      </c>
      <c r="D33" s="31" t="s">
        <v>667</v>
      </c>
      <c r="N33" s="31" t="s">
        <v>794</v>
      </c>
    </row>
    <row r="35" spans="1:14" s="31" customFormat="1" x14ac:dyDescent="0.45">
      <c r="A35" s="46" t="s">
        <v>205</v>
      </c>
    </row>
    <row r="36" spans="1:14" s="31" customFormat="1" x14ac:dyDescent="0.45">
      <c r="A36" s="31" t="s">
        <v>224</v>
      </c>
      <c r="B36" s="31">
        <v>1</v>
      </c>
      <c r="C36" s="31" t="s">
        <v>9</v>
      </c>
      <c r="D36" s="31" t="s">
        <v>225</v>
      </c>
    </row>
    <row r="37" spans="1:14" x14ac:dyDescent="0.45">
      <c r="A37" t="s">
        <v>209</v>
      </c>
      <c r="B37">
        <f>(2*10^-3)/1</f>
        <v>2E-3</v>
      </c>
      <c r="C37" t="s">
        <v>211</v>
      </c>
      <c r="D37" t="s">
        <v>210</v>
      </c>
    </row>
    <row r="38" spans="1:14" s="31" customFormat="1" x14ac:dyDescent="0.45">
      <c r="A38" s="31" t="s">
        <v>516</v>
      </c>
      <c r="B38" s="31">
        <v>2.5</v>
      </c>
      <c r="C38" s="31" t="s">
        <v>9</v>
      </c>
      <c r="D38" s="31" t="s">
        <v>517</v>
      </c>
    </row>
    <row r="39" spans="1:14" s="31" customFormat="1" x14ac:dyDescent="0.45">
      <c r="A39" s="31" t="s">
        <v>518</v>
      </c>
      <c r="B39" s="31">
        <f>0.00018</f>
        <v>1.8000000000000001E-4</v>
      </c>
      <c r="C39" s="31" t="s">
        <v>10</v>
      </c>
      <c r="D39" s="31" t="s">
        <v>519</v>
      </c>
    </row>
    <row r="40" spans="1:14" s="31" customFormat="1" x14ac:dyDescent="0.45"/>
    <row r="41" spans="1:14" s="31" customFormat="1" x14ac:dyDescent="0.45"/>
    <row r="42" spans="1:14" s="31" customFormat="1" x14ac:dyDescent="0.45"/>
    <row r="43" spans="1:14" s="31" customFormat="1" x14ac:dyDescent="0.45"/>
    <row r="45" spans="1:14" x14ac:dyDescent="0.45">
      <c r="A45" s="46" t="s">
        <v>275</v>
      </c>
    </row>
    <row r="46" spans="1:14" x14ac:dyDescent="0.45">
      <c r="A46" t="s">
        <v>276</v>
      </c>
      <c r="B46" s="316">
        <f>10*10^-6</f>
        <v>9.9999999999999991E-6</v>
      </c>
      <c r="C46" t="s">
        <v>10</v>
      </c>
      <c r="D46" t="s">
        <v>277</v>
      </c>
    </row>
    <row r="48" spans="1:14" x14ac:dyDescent="0.45">
      <c r="A48" s="46" t="s">
        <v>296</v>
      </c>
    </row>
    <row r="49" spans="1:18" x14ac:dyDescent="0.45">
      <c r="A49" t="s">
        <v>297</v>
      </c>
      <c r="B49">
        <v>1.5</v>
      </c>
      <c r="C49" t="s">
        <v>9</v>
      </c>
      <c r="D49" t="s">
        <v>300</v>
      </c>
    </row>
    <row r="50" spans="1:18" x14ac:dyDescent="0.45">
      <c r="A50" t="s">
        <v>298</v>
      </c>
      <c r="B50">
        <v>1.45</v>
      </c>
      <c r="C50" t="s">
        <v>9</v>
      </c>
      <c r="D50" t="s">
        <v>299</v>
      </c>
    </row>
    <row r="51" spans="1:18" x14ac:dyDescent="0.45">
      <c r="A51" t="s">
        <v>303</v>
      </c>
      <c r="B51" s="316">
        <f>5*10^-6</f>
        <v>4.9999999999999996E-6</v>
      </c>
      <c r="C51" t="s">
        <v>10</v>
      </c>
      <c r="D51" t="s">
        <v>304</v>
      </c>
    </row>
    <row r="53" spans="1:18" x14ac:dyDescent="0.45">
      <c r="A53" s="46" t="s">
        <v>346</v>
      </c>
    </row>
    <row r="54" spans="1:18" x14ac:dyDescent="0.45">
      <c r="A54" t="s">
        <v>347</v>
      </c>
      <c r="B54">
        <v>5</v>
      </c>
      <c r="C54" t="s">
        <v>9</v>
      </c>
      <c r="D54" t="s">
        <v>348</v>
      </c>
    </row>
    <row r="56" spans="1:18" x14ac:dyDescent="0.45">
      <c r="A56" s="46" t="s">
        <v>360</v>
      </c>
    </row>
    <row r="57" spans="1:18" x14ac:dyDescent="0.45">
      <c r="A57" t="s">
        <v>361</v>
      </c>
      <c r="B57" s="316">
        <f>770*(10^-6)</f>
        <v>7.6999999999999996E-4</v>
      </c>
      <c r="C57" t="s">
        <v>10</v>
      </c>
      <c r="D57" t="s">
        <v>362</v>
      </c>
      <c r="K57" s="31" t="s">
        <v>716</v>
      </c>
      <c r="L57" s="31" t="s">
        <v>717</v>
      </c>
      <c r="M57" s="31" t="s">
        <v>718</v>
      </c>
      <c r="N57" s="31"/>
    </row>
    <row r="58" spans="1:18" x14ac:dyDescent="0.45">
      <c r="K58" s="31">
        <v>80</v>
      </c>
      <c r="L58" s="31">
        <v>10</v>
      </c>
      <c r="M58" s="31">
        <v>4</v>
      </c>
      <c r="N58" s="31" t="str">
        <f>IF(OR(K58&gt;Vout_op_max_58,L58&gt;Vin_op_max_58,M58&gt;Isw_lim_57),"No Device",IF(M58&lt;=Isw_lim_581,"LM51581",IF(M58&lt;=Isw_lim_58,"LM5158",IF(AND(L58&lt;=Vin_op_max_57,K58&lt;=Vout_op_max_57),IF(M58&lt;=Isw_lim_571,"LM51571","LM5157"),"No Device"))))</f>
        <v>No Device</v>
      </c>
    </row>
    <row r="59" spans="1:18" x14ac:dyDescent="0.45">
      <c r="A59" s="46" t="s">
        <v>732</v>
      </c>
    </row>
    <row r="60" spans="1:18" x14ac:dyDescent="0.45">
      <c r="A60" t="s">
        <v>390</v>
      </c>
      <c r="B60">
        <v>1.5</v>
      </c>
      <c r="C60" t="s">
        <v>9</v>
      </c>
      <c r="D60" t="s">
        <v>391</v>
      </c>
      <c r="Q60" s="31" t="s">
        <v>719</v>
      </c>
      <c r="R60" s="31" t="s">
        <v>720</v>
      </c>
    </row>
    <row r="61" spans="1:18" x14ac:dyDescent="0.45">
      <c r="A61" s="31" t="s">
        <v>684</v>
      </c>
      <c r="B61">
        <v>45</v>
      </c>
      <c r="C61" s="31" t="s">
        <v>9</v>
      </c>
      <c r="D61" s="31" t="s">
        <v>693</v>
      </c>
      <c r="Q61" s="31" t="s">
        <v>721</v>
      </c>
      <c r="R61" s="31" t="s">
        <v>722</v>
      </c>
    </row>
    <row r="62" spans="1:18" x14ac:dyDescent="0.45">
      <c r="A62" s="31" t="s">
        <v>685</v>
      </c>
      <c r="B62">
        <v>48</v>
      </c>
      <c r="C62" s="31" t="s">
        <v>9</v>
      </c>
      <c r="D62" s="31" t="s">
        <v>694</v>
      </c>
    </row>
    <row r="63" spans="1:18" x14ac:dyDescent="0.45">
      <c r="A63" s="31" t="s">
        <v>686</v>
      </c>
      <c r="B63">
        <v>60</v>
      </c>
      <c r="C63" s="31" t="s">
        <v>9</v>
      </c>
      <c r="D63" s="31" t="s">
        <v>695</v>
      </c>
    </row>
    <row r="64" spans="1:18" x14ac:dyDescent="0.45">
      <c r="A64" s="31" t="s">
        <v>687</v>
      </c>
      <c r="B64">
        <v>83</v>
      </c>
      <c r="C64" s="31" t="s">
        <v>9</v>
      </c>
      <c r="D64" s="31" t="s">
        <v>696</v>
      </c>
      <c r="N64" s="31" t="s">
        <v>723</v>
      </c>
      <c r="O64" s="31" t="s">
        <v>724</v>
      </c>
    </row>
    <row r="65" spans="1:15" x14ac:dyDescent="0.45">
      <c r="A65" s="31" t="s">
        <v>688</v>
      </c>
      <c r="B65">
        <v>6.5</v>
      </c>
      <c r="C65" s="31" t="s">
        <v>10</v>
      </c>
      <c r="D65" s="31" t="s">
        <v>697</v>
      </c>
      <c r="N65" s="31" t="s">
        <v>725</v>
      </c>
      <c r="O65" s="31" t="s">
        <v>726</v>
      </c>
    </row>
    <row r="66" spans="1:15" x14ac:dyDescent="0.45">
      <c r="A66" s="31" t="s">
        <v>689</v>
      </c>
      <c r="B66">
        <v>4.33</v>
      </c>
      <c r="C66" s="31" t="s">
        <v>10</v>
      </c>
      <c r="D66" s="31" t="s">
        <v>698</v>
      </c>
      <c r="N66" s="31" t="s">
        <v>727</v>
      </c>
      <c r="O66" s="31" t="s">
        <v>728</v>
      </c>
    </row>
    <row r="67" spans="1:15" x14ac:dyDescent="0.45">
      <c r="A67" s="31" t="s">
        <v>690</v>
      </c>
      <c r="B67">
        <v>3</v>
      </c>
      <c r="C67" s="31" t="s">
        <v>10</v>
      </c>
      <c r="D67" s="31" t="s">
        <v>699</v>
      </c>
      <c r="N67" s="31" t="s">
        <v>729</v>
      </c>
      <c r="O67" s="31" t="s">
        <v>730</v>
      </c>
    </row>
    <row r="68" spans="1:15" x14ac:dyDescent="0.45">
      <c r="A68" s="31" t="s">
        <v>691</v>
      </c>
      <c r="B68">
        <v>1.5</v>
      </c>
      <c r="C68" s="31" t="s">
        <v>10</v>
      </c>
      <c r="D68" s="31" t="s">
        <v>700</v>
      </c>
      <c r="N68" s="31"/>
      <c r="O68" s="31" t="s">
        <v>731</v>
      </c>
    </row>
    <row r="69" spans="1:15" x14ac:dyDescent="0.45">
      <c r="A69" s="31"/>
      <c r="C69" s="31"/>
      <c r="D69" s="31"/>
    </row>
    <row r="70" spans="1:15" x14ac:dyDescent="0.45">
      <c r="A70" s="31" t="s">
        <v>692</v>
      </c>
      <c r="B70">
        <v>15</v>
      </c>
      <c r="C70" s="31" t="s">
        <v>12</v>
      </c>
      <c r="D70" s="31" t="s">
        <v>701</v>
      </c>
    </row>
  </sheetData>
  <mergeCells count="2">
    <mergeCell ref="A1:I1"/>
    <mergeCell ref="E5:H5"/>
  </mergeCells>
  <conditionalFormatting sqref="H14">
    <cfRule type="cellIs" priority="1" operator="lessThan">
      <formula>100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9209-9A1C-4A7D-AA1E-D58C76FF232F}">
  <dimension ref="A1:BB708"/>
  <sheetViews>
    <sheetView topLeftCell="T31" zoomScaleNormal="100" workbookViewId="0">
      <selection activeCell="B71" sqref="B71"/>
    </sheetView>
  </sheetViews>
  <sheetFormatPr defaultColWidth="8.86328125" defaultRowHeight="14.25" x14ac:dyDescent="0.45"/>
  <cols>
    <col min="1" max="1" width="13.1328125" style="31" customWidth="1"/>
    <col min="2" max="2" width="25" style="31" customWidth="1"/>
    <col min="3" max="13" width="8.86328125" style="31"/>
    <col min="14" max="14" width="15.59765625" style="31" bestFit="1" customWidth="1"/>
    <col min="15" max="15" width="16.73046875" style="50" bestFit="1" customWidth="1"/>
    <col min="16" max="16" width="16.73046875" style="31" customWidth="1"/>
    <col min="17" max="32" width="8.86328125" style="31"/>
    <col min="33" max="33" width="10.1328125" style="31" customWidth="1"/>
    <col min="34" max="34" width="12" style="31" bestFit="1" customWidth="1"/>
    <col min="35" max="44" width="8.86328125" style="31"/>
    <col min="45" max="45" width="9.1328125" style="31" customWidth="1"/>
    <col min="46" max="50" width="8.86328125" style="31"/>
    <col min="51" max="51" width="11.73046875" style="31" bestFit="1" customWidth="1"/>
    <col min="52" max="16384" width="8.86328125" style="31"/>
  </cols>
  <sheetData>
    <row r="1" spans="1:54" ht="27.75" x14ac:dyDescent="0.75">
      <c r="A1" s="324" t="s">
        <v>14</v>
      </c>
      <c r="B1" s="324"/>
      <c r="C1" s="324"/>
      <c r="D1" s="324"/>
      <c r="E1" s="324"/>
      <c r="F1" s="324"/>
      <c r="G1" s="324"/>
      <c r="H1" s="324"/>
      <c r="I1" s="324"/>
      <c r="J1" s="324"/>
      <c r="K1" s="324"/>
      <c r="L1" s="324"/>
      <c r="M1" s="324"/>
      <c r="N1" s="324" t="s">
        <v>173</v>
      </c>
      <c r="O1" s="324"/>
      <c r="P1" s="324"/>
      <c r="Q1" s="324"/>
      <c r="R1" s="324"/>
      <c r="S1" s="324"/>
      <c r="T1" s="324"/>
      <c r="U1" s="324"/>
      <c r="V1" s="324"/>
      <c r="W1" s="324"/>
      <c r="X1" s="324"/>
    </row>
    <row r="2" spans="1:54" x14ac:dyDescent="0.45">
      <c r="A2" s="11"/>
      <c r="B2" s="11" t="s">
        <v>15</v>
      </c>
      <c r="C2" s="12"/>
      <c r="D2" s="17"/>
      <c r="E2" s="11"/>
      <c r="F2" s="11"/>
      <c r="G2" s="11"/>
      <c r="H2" s="11"/>
      <c r="I2" s="11"/>
      <c r="J2" s="11"/>
      <c r="K2" s="11"/>
      <c r="L2" s="11"/>
      <c r="M2" s="11"/>
      <c r="O2" s="31"/>
    </row>
    <row r="3" spans="1:54" ht="14.65" thickBot="1" x14ac:dyDescent="0.5">
      <c r="A3" s="11"/>
      <c r="B3" s="11" t="s">
        <v>16</v>
      </c>
      <c r="C3" s="13"/>
      <c r="D3" s="17"/>
      <c r="E3" s="11"/>
      <c r="F3" s="23"/>
      <c r="G3" s="24"/>
      <c r="H3" s="24"/>
      <c r="I3" s="24"/>
      <c r="J3" s="24"/>
      <c r="K3" s="38"/>
      <c r="L3" s="11"/>
      <c r="M3" s="11"/>
      <c r="O3" s="31"/>
    </row>
    <row r="4" spans="1:54" ht="14.65" thickBot="1" x14ac:dyDescent="0.5">
      <c r="A4" s="11"/>
      <c r="B4" s="11" t="s">
        <v>17</v>
      </c>
      <c r="C4" s="14"/>
      <c r="D4" s="17"/>
      <c r="E4" s="11"/>
      <c r="F4" s="23"/>
      <c r="G4" s="24"/>
      <c r="H4" s="24"/>
      <c r="I4" s="24"/>
      <c r="J4" s="24"/>
      <c r="K4" s="38"/>
      <c r="L4" s="11"/>
      <c r="M4" s="11"/>
      <c r="N4" s="84"/>
      <c r="O4" s="90"/>
      <c r="P4" s="328" t="s">
        <v>204</v>
      </c>
      <c r="Q4" s="328"/>
      <c r="R4" s="328"/>
      <c r="S4" s="328"/>
      <c r="T4" s="328"/>
      <c r="U4" s="328"/>
      <c r="V4" s="328"/>
      <c r="W4" s="328"/>
      <c r="X4" s="328"/>
      <c r="Y4" s="328"/>
      <c r="Z4" s="328"/>
      <c r="AA4" s="328"/>
      <c r="AB4" s="328"/>
      <c r="AC4" s="328"/>
      <c r="AD4" s="328"/>
      <c r="AE4" s="329"/>
      <c r="AF4" s="330" t="s">
        <v>205</v>
      </c>
      <c r="AG4" s="328"/>
      <c r="AH4" s="328"/>
      <c r="AI4" s="328"/>
      <c r="AJ4" s="328"/>
      <c r="AK4" s="328"/>
      <c r="AL4" s="328"/>
      <c r="AM4" s="328"/>
      <c r="AN4" s="328"/>
      <c r="AO4" s="328"/>
      <c r="AP4" s="328"/>
      <c r="AQ4" s="328"/>
      <c r="AR4" s="328"/>
      <c r="AS4" s="328"/>
      <c r="AT4" s="328"/>
      <c r="AU4" s="329"/>
      <c r="AV4" s="330" t="s">
        <v>216</v>
      </c>
      <c r="AW4" s="328"/>
      <c r="AX4" s="329"/>
    </row>
    <row r="5" spans="1:54" x14ac:dyDescent="0.45">
      <c r="A5" s="11"/>
      <c r="D5" s="17"/>
      <c r="E5" s="11"/>
      <c r="F5" s="11"/>
      <c r="G5" s="11"/>
      <c r="H5" s="11"/>
      <c r="I5" s="11"/>
      <c r="J5" s="11"/>
      <c r="K5" s="11"/>
      <c r="L5" s="11"/>
      <c r="M5" s="11"/>
      <c r="N5" s="58"/>
      <c r="O5" s="61"/>
      <c r="P5" s="49"/>
      <c r="Q5" s="331" t="s">
        <v>196</v>
      </c>
      <c r="R5" s="331"/>
      <c r="S5" s="331"/>
      <c r="T5" s="327" t="s">
        <v>198</v>
      </c>
      <c r="U5" s="327"/>
      <c r="V5" s="327"/>
      <c r="W5" s="327" t="s">
        <v>197</v>
      </c>
      <c r="X5" s="327"/>
      <c r="Y5" s="327"/>
      <c r="Z5" s="327" t="s">
        <v>201</v>
      </c>
      <c r="AA5" s="327"/>
      <c r="AB5" s="327"/>
      <c r="AC5" s="326" t="s">
        <v>203</v>
      </c>
      <c r="AD5" s="327"/>
      <c r="AE5" s="332"/>
      <c r="AF5" s="49"/>
      <c r="AG5" s="327" t="s">
        <v>212</v>
      </c>
      <c r="AH5" s="327"/>
      <c r="AI5" s="327"/>
      <c r="AJ5" s="333" t="s">
        <v>213</v>
      </c>
      <c r="AK5" s="333"/>
      <c r="AL5" s="333"/>
      <c r="AM5" s="333" t="s">
        <v>553</v>
      </c>
      <c r="AN5" s="333"/>
      <c r="AO5" s="333"/>
      <c r="AP5" s="327" t="s">
        <v>554</v>
      </c>
      <c r="AQ5" s="327"/>
      <c r="AR5" s="327"/>
      <c r="AS5" s="326" t="s">
        <v>203</v>
      </c>
      <c r="AT5" s="327"/>
      <c r="AU5" s="332"/>
      <c r="AV5" s="326" t="s">
        <v>203</v>
      </c>
      <c r="AW5" s="327"/>
      <c r="AX5" s="327"/>
      <c r="AY5" s="308"/>
    </row>
    <row r="6" spans="1:54" ht="14.65" thickBot="1" x14ac:dyDescent="0.5">
      <c r="A6" s="10" t="s">
        <v>18</v>
      </c>
      <c r="B6" s="10" t="s">
        <v>19</v>
      </c>
      <c r="C6" s="10" t="s">
        <v>20</v>
      </c>
      <c r="D6" s="17"/>
      <c r="E6" s="325" t="s">
        <v>21</v>
      </c>
      <c r="F6" s="325"/>
      <c r="G6" s="325"/>
      <c r="H6" s="325"/>
      <c r="I6" s="325"/>
      <c r="J6" s="325"/>
      <c r="K6" s="325"/>
      <c r="L6" s="317"/>
      <c r="M6" s="25"/>
      <c r="N6" s="58"/>
      <c r="O6" s="61"/>
      <c r="P6" s="79" t="s">
        <v>179</v>
      </c>
      <c r="Q6" s="49" t="s">
        <v>202</v>
      </c>
      <c r="R6" s="79" t="s">
        <v>199</v>
      </c>
      <c r="S6" s="79" t="s">
        <v>200</v>
      </c>
      <c r="T6" s="79" t="s">
        <v>202</v>
      </c>
      <c r="U6" s="79" t="s">
        <v>199</v>
      </c>
      <c r="V6" s="79" t="s">
        <v>200</v>
      </c>
      <c r="W6" s="81" t="s">
        <v>202</v>
      </c>
      <c r="X6" s="79" t="s">
        <v>199</v>
      </c>
      <c r="Y6" s="79" t="s">
        <v>200</v>
      </c>
      <c r="Z6" s="81" t="s">
        <v>202</v>
      </c>
      <c r="AA6" s="81" t="s">
        <v>199</v>
      </c>
      <c r="AB6" s="81" t="s">
        <v>200</v>
      </c>
      <c r="AC6" s="82" t="s">
        <v>217</v>
      </c>
      <c r="AD6" s="81" t="s">
        <v>199</v>
      </c>
      <c r="AE6" s="83" t="s">
        <v>200</v>
      </c>
      <c r="AF6" s="79" t="s">
        <v>214</v>
      </c>
      <c r="AG6" s="81" t="s">
        <v>202</v>
      </c>
      <c r="AH6" s="81" t="s">
        <v>215</v>
      </c>
      <c r="AI6" s="81" t="s">
        <v>200</v>
      </c>
      <c r="AJ6" s="81" t="s">
        <v>202</v>
      </c>
      <c r="AK6" s="81" t="s">
        <v>215</v>
      </c>
      <c r="AL6" s="81" t="s">
        <v>200</v>
      </c>
      <c r="AM6" s="81" t="s">
        <v>202</v>
      </c>
      <c r="AN6" s="81" t="s">
        <v>215</v>
      </c>
      <c r="AO6" s="81" t="s">
        <v>200</v>
      </c>
      <c r="AP6" s="81" t="s">
        <v>202</v>
      </c>
      <c r="AQ6" s="81" t="s">
        <v>215</v>
      </c>
      <c r="AR6" s="81" t="s">
        <v>200</v>
      </c>
      <c r="AS6" s="82" t="s">
        <v>217</v>
      </c>
      <c r="AT6" s="81" t="s">
        <v>199</v>
      </c>
      <c r="AU6" s="83" t="s">
        <v>200</v>
      </c>
      <c r="AV6" s="82" t="s">
        <v>217</v>
      </c>
      <c r="AW6" s="81" t="s">
        <v>199</v>
      </c>
      <c r="AX6" s="81" t="s">
        <v>200</v>
      </c>
      <c r="AY6" s="309"/>
    </row>
    <row r="7" spans="1:54" ht="14.65" thickBot="1" x14ac:dyDescent="0.5">
      <c r="A7" s="10"/>
      <c r="B7" s="10"/>
      <c r="C7" s="10"/>
      <c r="D7" s="17"/>
      <c r="E7" s="317"/>
      <c r="F7" s="317"/>
      <c r="G7" s="317"/>
      <c r="H7" s="317"/>
      <c r="I7" s="317"/>
      <c r="J7" s="317"/>
      <c r="K7" s="317"/>
      <c r="L7" s="317"/>
      <c r="M7" s="25"/>
      <c r="N7" s="31" t="s">
        <v>378</v>
      </c>
      <c r="O7" s="90">
        <f>fcross</f>
        <v>8000</v>
      </c>
      <c r="P7" s="48" t="str">
        <f>COMPLEX(ADC_VINmin,0)</f>
        <v>15.7474804031355</v>
      </c>
      <c r="Q7" s="17" t="str">
        <f>IMSUM(COMPLEX(1,0),IMDIV(COMPLEX(0,2*PI()*O7),COMPLEX(wp_lf_VINmin,0)))</f>
        <v>1+4.19436040452681i</v>
      </c>
      <c r="R7" s="17">
        <f t="shared" ref="R7:R13" si="0">IMABS(Q7)</f>
        <v>4.3119205933159659</v>
      </c>
      <c r="S7" s="17">
        <f t="shared" ref="S7:S13" si="1">IMARGUMENT(Q7)</f>
        <v>1.3367502075789168</v>
      </c>
      <c r="T7" s="17" t="str">
        <f>IMSUM(COMPLEX(1,0),IMDIV(COMPLEX(0,2*PI()*O7),COMPLEX(wz_esr_VINmin,0)))</f>
        <v>1+0.015079644737231i</v>
      </c>
      <c r="U7" s="17">
        <f t="shared" ref="U7:U13" si="2">IMABS(T7)</f>
        <v>1.0001136913798356</v>
      </c>
      <c r="V7" s="17">
        <f t="shared" ref="V7:V13" si="3">IMARGUMENT(T7)</f>
        <v>1.5078501877772191E-2</v>
      </c>
      <c r="W7" s="31" t="str">
        <f>IMSUB(COMPLEX(1,0),IMDIV(COMPLEX(0,2*PI()*O7),COMPLEX(wz_RHP_VINmin,0)))</f>
        <v>1-0.0467282818400615i</v>
      </c>
      <c r="X7" s="17">
        <f t="shared" ref="X7:X13" si="4">IMABS(W7)</f>
        <v>1.0010911708349666</v>
      </c>
      <c r="Y7" s="17">
        <f t="shared" ref="Y7:Y13" si="5">IMARGUMENT(W7)</f>
        <v>-4.6694315424418972E-2</v>
      </c>
      <c r="Z7" s="31" t="str">
        <f>IMSUM(COMPLEX(1,0),IMDIV(COMPLEX(0,2*PI()*O7),COMPLEX(Q*(wsl_VINmin/2),0)),IMDIV(IMPOWER(COMPLEX(0,2*PI()*O7),2),IMPOWER(COMPLEX(wsl_VINmin/2,0),2)))</f>
        <v>0.999941950113379+0.0520310362235408i</v>
      </c>
      <c r="AA7" s="17">
        <f t="shared" ref="AA7:AA13" si="6">IMABS(Z7)</f>
        <v>1.0012947280032203</v>
      </c>
      <c r="AB7" s="17">
        <f t="shared" ref="AB7:AB13" si="7">IMARGUMENT(Z7)</f>
        <v>5.1987171454316937E-2</v>
      </c>
      <c r="AC7" s="66" t="str">
        <f t="shared" ref="AC7:AC13" si="8">(IMDIV(IMPRODUCT(P7,T7,W7),IMPRODUCT(Q7,Z7)))</f>
        <v>0.547311142964645-3.61050558657369i</v>
      </c>
      <c r="AD7" s="64">
        <f t="shared" ref="AD7:AD13" si="9">20*LOG(IMABS(AC7))</f>
        <v>11.250027928573017</v>
      </c>
      <c r="AE7" s="61">
        <f t="shared" ref="AE7:AE13" si="10">(180/PI())*IMARGUMENT(AC7)</f>
        <v>-81.380243352759393</v>
      </c>
      <c r="AF7" s="31" t="str">
        <f t="shared" ref="AF7:AF13" si="11">IF(FB_type=1,COMPLEX(Adc_ea_iso,0),COMPLEX(Adc_ea,0))</f>
        <v>-9090.90909090909</v>
      </c>
      <c r="AG7" s="31" t="str">
        <f t="shared" ref="AG7:AG13" si="12">IF(FB_type=1,COMPLEX(0,2*PI()*O7),COMPLEX(0,2*PI()*O7*wp0_ea))</f>
        <v>50265.4824574367i</v>
      </c>
      <c r="AH7" s="31">
        <f t="shared" ref="AH7:AH13" si="13">IMABS(AG7)</f>
        <v>50265.482457436701</v>
      </c>
      <c r="AI7" s="31">
        <f t="shared" ref="AI7:AI13" si="14">IMARGUMENT(AG7)</f>
        <v>1.5707963267948966</v>
      </c>
      <c r="AJ7" s="31" t="str">
        <f t="shared" ref="AJ7:AJ13" si="15">IF(FB_type=1,IMSUM(IMPRODUCT(COMPLEX(wpA_ea_iso,0),IMPOWER(COMPLEX(0,2*PI()*O7),2)),COMPLEX(0,wpB_ea_iso*2*PI()*O7),COMPLEX(1,0)),IMSUM(COMPLEX(1,0),IMDIV(COMPLEX(0,2*PI()*O7),COMPLEX(wp1_ea,0))))</f>
        <v>-8.15328272588865+17.4042725044401i</v>
      </c>
      <c r="AK7" s="31">
        <f t="shared" ref="AK7:AK13" si="16">IMABS(AJ7)</f>
        <v>19.219383981207201</v>
      </c>
      <c r="AL7" s="31">
        <f t="shared" ref="AL7:AL13" si="17">IMARGUMENT(AJ7)</f>
        <v>2.0088987407236294</v>
      </c>
      <c r="AM7" s="31" t="str">
        <f t="shared" ref="AM7:AM13" si="18">IMSUM(COMPLEX(1,0),IMDIV(COMPLEX(0,2*PI()*O7),COMPLEX(wz1_ea_iso,0)))</f>
        <v>1+66.2398527824101i</v>
      </c>
      <c r="AN7" s="31">
        <f t="shared" ref="AN7:AN13" si="19">IMABS(AM7)</f>
        <v>66.247400678331246</v>
      </c>
      <c r="AO7" s="31">
        <f t="shared" ref="AO7:AO13" si="20">IMARGUMENT(AM7)</f>
        <v>1.555700821615583</v>
      </c>
      <c r="AP7" s="31" t="str">
        <f t="shared" ref="AP7:AP13" si="21">IF(FB_type=1,IMSUM(COMPLEX(1,0),IMDIV(COMPLEX(0,2*PI()*O7),COMPLEX(wz2_ea_iso,0))),1)</f>
        <v>1+11.0584061406361i</v>
      </c>
      <c r="AQ7" s="31">
        <f t="shared" ref="AQ7:AQ13" si="22">IMABS(AP7)</f>
        <v>11.103528554980088</v>
      </c>
      <c r="AR7" s="31">
        <f t="shared" ref="AR7:AR13" si="23">IMARGUMENT(AP7)</f>
        <v>1.4806126705228735</v>
      </c>
      <c r="AS7" s="58" t="str">
        <f t="shared" ref="AS7:AS13" si="24">IMDIV(IMPRODUCT(AF7,AM7,AP7),IMPRODUCT(AG7,AJ7))</f>
        <v>-5.92493999425318+3.57887472120313i</v>
      </c>
      <c r="AT7" s="49">
        <f t="shared" ref="AT7:AT13" si="25">20*LOG(IMABS(AS7))</f>
        <v>16.804557048298758</v>
      </c>
      <c r="AU7" s="61">
        <f t="shared" ref="AU7:AU13" si="26">(180/PI())*IMARGUMENT(AS7)</f>
        <v>148.86652906555213</v>
      </c>
      <c r="AV7" s="58" t="str">
        <f>IMPRODUCT(AC7,AS7)</f>
        <v>9.67876149429961+23.350786963554i</v>
      </c>
      <c r="AW7" s="64">
        <f t="shared" ref="AW7:AW13" si="27">20*LOG(IMABS(AV7))</f>
        <v>28.054584976871794</v>
      </c>
      <c r="AX7" s="49">
        <f t="shared" ref="AX7:AX13" si="28">(180/PI())*IMARGUMENT(AV7)</f>
        <v>67.486285712792807</v>
      </c>
      <c r="AY7" s="312"/>
    </row>
    <row r="8" spans="1:54" ht="14.65" thickBot="1" x14ac:dyDescent="0.5">
      <c r="A8" s="10"/>
      <c r="B8" s="10"/>
      <c r="C8" s="10"/>
      <c r="D8" s="17"/>
      <c r="E8" s="317"/>
      <c r="F8" s="317"/>
      <c r="G8" s="317"/>
      <c r="H8" s="317"/>
      <c r="I8" s="317"/>
      <c r="J8" s="317"/>
      <c r="K8" s="317"/>
      <c r="L8" s="317"/>
      <c r="M8" s="25"/>
      <c r="N8" s="84" t="s">
        <v>244</v>
      </c>
      <c r="O8" s="90">
        <f>fcross</f>
        <v>8000</v>
      </c>
      <c r="P8" s="48" t="str">
        <f t="shared" ref="P8:P13" si="29">COMPLEX(Adc,0)</f>
        <v>17.4002386318441</v>
      </c>
      <c r="Q8" s="17" t="str">
        <f t="shared" ref="Q8:Q13" si="30">IMSUM(COMPLEX(1,0),IMDIV(COMPLEX(0,2*PI()*O8),COMPLEX(wp_lf,0)))</f>
        <v>1+4.30485240189634i</v>
      </c>
      <c r="R8" s="17">
        <f t="shared" si="0"/>
        <v>4.4194744260050527</v>
      </c>
      <c r="S8" s="17">
        <f t="shared" si="1"/>
        <v>1.3425483900446531</v>
      </c>
      <c r="T8" s="17" t="str">
        <f t="shared" ref="T8:T13" si="31">IMSUM(COMPLEX(1,0),IMDIV(COMPLEX(0,2*PI()*O8),COMPLEX(wz_esr,0)))</f>
        <v>1+0.015079644737231i</v>
      </c>
      <c r="U8" s="17">
        <f t="shared" si="2"/>
        <v>1.0001136913798356</v>
      </c>
      <c r="V8" s="17">
        <f t="shared" si="3"/>
        <v>1.5078501877772191E-2</v>
      </c>
      <c r="W8" s="31" t="str">
        <f t="shared" ref="W8:W13" si="32">IMSUB(COMPLEX(1,0),IMDIV(COMPLEX(0,2*PI()*O8),COMPLEX(wz_rhp,0)))</f>
        <v>1-0.0372032958596539i</v>
      </c>
      <c r="X8" s="17">
        <f t="shared" si="4"/>
        <v>1.0006918033154968</v>
      </c>
      <c r="Y8" s="17">
        <f t="shared" si="5"/>
        <v>-3.7186145922241086E-2</v>
      </c>
      <c r="Z8" s="31" t="str">
        <f t="shared" ref="Z8:Z13" si="33">IMSUM(COMPLEX(1,0),IMDIV(COMPLEX(0,2*PI()*O8),COMPLEX(Q*(wsl/2),0)),IMDIV(IMPOWER(COMPLEX(0,2*PI()*O8),2),IMPOWER(COMPLEX(wsl/2,0),2)))</f>
        <v>0.999941950113379+0.0520310362235408i</v>
      </c>
      <c r="AA8" s="17">
        <f t="shared" si="6"/>
        <v>1.0012947280032203</v>
      </c>
      <c r="AB8" s="17">
        <f t="shared" si="7"/>
        <v>5.1987171454316937E-2</v>
      </c>
      <c r="AC8" s="66" t="str">
        <f t="shared" si="8"/>
        <v>0.604231394337016-3.88858581579171i</v>
      </c>
      <c r="AD8" s="64">
        <f t="shared" si="9"/>
        <v>11.899447298381656</v>
      </c>
      <c r="AE8" s="61">
        <f t="shared" si="10"/>
        <v>-81.16767675352304</v>
      </c>
      <c r="AF8" s="31" t="str">
        <f t="shared" si="11"/>
        <v>-9090.90909090909</v>
      </c>
      <c r="AG8" s="31" t="str">
        <f t="shared" si="12"/>
        <v>50265.4824574367i</v>
      </c>
      <c r="AH8" s="31">
        <f t="shared" si="13"/>
        <v>50265.482457436701</v>
      </c>
      <c r="AI8" s="31">
        <f t="shared" si="14"/>
        <v>1.5707963267948966</v>
      </c>
      <c r="AJ8" s="31" t="str">
        <f t="shared" si="15"/>
        <v>-8.15328272588865+17.4042725044401i</v>
      </c>
      <c r="AK8" s="31">
        <f t="shared" si="16"/>
        <v>19.219383981207201</v>
      </c>
      <c r="AL8" s="31">
        <f t="shared" si="17"/>
        <v>2.0088987407236294</v>
      </c>
      <c r="AM8" s="31" t="str">
        <f t="shared" si="18"/>
        <v>1+66.2398527824101i</v>
      </c>
      <c r="AN8" s="31">
        <f t="shared" si="19"/>
        <v>66.247400678331246</v>
      </c>
      <c r="AO8" s="31">
        <f t="shared" si="20"/>
        <v>1.555700821615583</v>
      </c>
      <c r="AP8" s="31" t="str">
        <f t="shared" si="21"/>
        <v>1+11.0584061406361i</v>
      </c>
      <c r="AQ8" s="31">
        <f t="shared" si="22"/>
        <v>11.103528554980088</v>
      </c>
      <c r="AR8" s="31">
        <f t="shared" si="23"/>
        <v>1.4806126705228735</v>
      </c>
      <c r="AS8" s="58" t="str">
        <f t="shared" si="24"/>
        <v>-5.92493999425318+3.57887472120313i</v>
      </c>
      <c r="AT8" s="49">
        <f t="shared" si="25"/>
        <v>16.804557048298758</v>
      </c>
      <c r="AU8" s="61">
        <f t="shared" si="26"/>
        <v>148.86652906555213</v>
      </c>
      <c r="AV8" s="58" t="str">
        <f t="shared" ref="AV8:AV13" si="34">IMPRODUCT(AC8,AS8)</f>
        <v>10.3367267232753+25.20210608402i</v>
      </c>
      <c r="AW8" s="64">
        <f t="shared" si="27"/>
        <v>28.704004346680421</v>
      </c>
      <c r="AX8" s="49">
        <f t="shared" si="28"/>
        <v>67.698852312029018</v>
      </c>
      <c r="AY8" s="310"/>
    </row>
    <row r="9" spans="1:54" x14ac:dyDescent="0.45">
      <c r="A9" s="69" t="s">
        <v>149</v>
      </c>
      <c r="B9" s="10"/>
      <c r="C9" s="10"/>
      <c r="D9" s="17"/>
      <c r="E9" s="317"/>
      <c r="F9" s="317"/>
      <c r="G9" s="317"/>
      <c r="H9" s="317"/>
      <c r="I9" s="317"/>
      <c r="J9" s="317"/>
      <c r="K9" s="317"/>
      <c r="L9" s="317"/>
      <c r="M9" s="25"/>
      <c r="N9" s="71" t="s">
        <v>245</v>
      </c>
      <c r="O9" s="91">
        <f>wz_rhp/(2*PI())</f>
        <v>215034.71171423368</v>
      </c>
      <c r="P9" s="48" t="str">
        <f t="shared" si="29"/>
        <v>17.4002386318441</v>
      </c>
      <c r="Q9" s="17" t="str">
        <f t="shared" si="30"/>
        <v>1+115.711586901763i</v>
      </c>
      <c r="R9" s="17">
        <f t="shared" si="0"/>
        <v>115.71590790951886</v>
      </c>
      <c r="S9" s="17">
        <f t="shared" si="1"/>
        <v>1.5621543650678988</v>
      </c>
      <c r="T9" s="17" t="str">
        <f t="shared" si="31"/>
        <v>1+0.405330882352941i</v>
      </c>
      <c r="U9" s="17">
        <f t="shared" si="2"/>
        <v>1.0790241536633987</v>
      </c>
      <c r="V9" s="17">
        <f t="shared" si="3"/>
        <v>0.38509350090176203</v>
      </c>
      <c r="W9" s="31" t="str">
        <f t="shared" si="32"/>
        <v>1-i</v>
      </c>
      <c r="X9" s="17">
        <f t="shared" si="4"/>
        <v>1.4142135623730951</v>
      </c>
      <c r="Y9" s="17">
        <f t="shared" si="5"/>
        <v>-0.78539816339744828</v>
      </c>
      <c r="Z9" s="31" t="str">
        <f t="shared" si="33"/>
        <v>0.958059022909729+1.39855985931524i</v>
      </c>
      <c r="AA9" s="17">
        <f t="shared" si="6"/>
        <v>1.6952423931304361</v>
      </c>
      <c r="AB9" s="17">
        <f t="shared" si="7"/>
        <v>0.97018642303925218</v>
      </c>
      <c r="AC9" s="66" t="str">
        <f t="shared" si="8"/>
        <v>-0.132411675794968-0.028076845248989i</v>
      </c>
      <c r="AD9" s="64">
        <f t="shared" si="9"/>
        <v>-17.370470058526276</v>
      </c>
      <c r="AE9" s="61">
        <f t="shared" si="10"/>
        <v>-168.02820712778419</v>
      </c>
      <c r="AF9" s="31" t="str">
        <f t="shared" si="11"/>
        <v>-9090.90909090909</v>
      </c>
      <c r="AG9" s="31" t="str">
        <f t="shared" si="12"/>
        <v>1351102.94117647i</v>
      </c>
      <c r="AH9" s="31">
        <f t="shared" si="13"/>
        <v>1351102.9411764699</v>
      </c>
      <c r="AI9" s="31">
        <f t="shared" si="14"/>
        <v>1.5707963267948966</v>
      </c>
      <c r="AJ9" s="31" t="str">
        <f t="shared" si="15"/>
        <v>-6612.23636360565+467.815340073531i</v>
      </c>
      <c r="AK9" s="31">
        <f t="shared" si="16"/>
        <v>6628.7646602211626</v>
      </c>
      <c r="AL9" s="31">
        <f t="shared" si="17"/>
        <v>3.0709604057459083</v>
      </c>
      <c r="AM9" s="31" t="str">
        <f t="shared" si="18"/>
        <v>1+1780.48345588235i</v>
      </c>
      <c r="AN9" s="31">
        <f t="shared" si="19"/>
        <v>1780.4837367049317</v>
      </c>
      <c r="AO9" s="31">
        <f t="shared" si="20"/>
        <v>1.5702346816464692</v>
      </c>
      <c r="AP9" s="31" t="str">
        <f t="shared" si="21"/>
        <v>1+297.242647058823i</v>
      </c>
      <c r="AQ9" s="31">
        <f t="shared" si="22"/>
        <v>297.24432918145976</v>
      </c>
      <c r="AR9" s="31">
        <f t="shared" si="23"/>
        <v>1.5674320846944321</v>
      </c>
      <c r="AS9" s="58" t="str">
        <f t="shared" si="24"/>
        <v>-0.0358082403619627+0.53600753878376i</v>
      </c>
      <c r="AT9" s="49">
        <f t="shared" si="25"/>
        <v>-5.3972427230500299</v>
      </c>
      <c r="AU9" s="61">
        <f t="shared" si="26"/>
        <v>93.821992928770868</v>
      </c>
      <c r="AV9" s="58" t="str">
        <f t="shared" si="34"/>
        <v>0.0197908298323196-0.0699682740258125i</v>
      </c>
      <c r="AW9" s="64">
        <f t="shared" si="27"/>
        <v>-22.767712781576304</v>
      </c>
      <c r="AX9" s="49">
        <f t="shared" si="28"/>
        <v>-74.206214199013317</v>
      </c>
      <c r="AY9" s="310"/>
    </row>
    <row r="10" spans="1:54" x14ac:dyDescent="0.45">
      <c r="A10" s="31" t="s">
        <v>24</v>
      </c>
      <c r="B10" s="3">
        <f>VIN_min</f>
        <v>36</v>
      </c>
      <c r="C10" s="31" t="s">
        <v>9</v>
      </c>
      <c r="E10" s="31" t="s">
        <v>27</v>
      </c>
      <c r="N10" s="58" t="s">
        <v>198</v>
      </c>
      <c r="O10" s="92">
        <f>wz_esr/(2*PI())</f>
        <v>530516.4769729845</v>
      </c>
      <c r="P10" s="48" t="str">
        <f t="shared" si="29"/>
        <v>17.4002386318441</v>
      </c>
      <c r="Q10" s="17" t="str">
        <f t="shared" si="30"/>
        <v>1+285.474391267842i</v>
      </c>
      <c r="R10" s="17">
        <f t="shared" si="0"/>
        <v>285.47614273305737</v>
      </c>
      <c r="S10" s="17">
        <f t="shared" si="1"/>
        <v>1.567293399946047</v>
      </c>
      <c r="T10" s="17" t="str">
        <f t="shared" si="31"/>
        <v>1+i</v>
      </c>
      <c r="U10" s="17">
        <f t="shared" si="2"/>
        <v>1.4142135623730951</v>
      </c>
      <c r="V10" s="17">
        <f t="shared" si="3"/>
        <v>0.78539816339744828</v>
      </c>
      <c r="W10" s="31" t="str">
        <f t="shared" si="32"/>
        <v>1-2.46712018140589i</v>
      </c>
      <c r="X10" s="17">
        <f t="shared" si="4"/>
        <v>2.6620822657273822</v>
      </c>
      <c r="Y10" s="17">
        <f t="shared" si="5"/>
        <v>-1.1857028258931337</v>
      </c>
      <c r="Z10" s="31" t="str">
        <f t="shared" si="33"/>
        <v>0.744718610122606+3.45041525382082i</v>
      </c>
      <c r="AA10" s="17">
        <f t="shared" si="6"/>
        <v>3.5298684440163401</v>
      </c>
      <c r="AB10" s="17">
        <f t="shared" si="7"/>
        <v>1.3582226854809782</v>
      </c>
      <c r="AC10" s="66" t="str">
        <f t="shared" si="8"/>
        <v>-0.0639074205071659+0.0119085737491802i</v>
      </c>
      <c r="AD10" s="64">
        <f t="shared" si="9"/>
        <v>-23.740733308627341</v>
      </c>
      <c r="AE10" s="61">
        <f t="shared" si="10"/>
        <v>169.44450772698576</v>
      </c>
      <c r="AF10" s="31" t="str">
        <f t="shared" si="11"/>
        <v>-9090.90909090909</v>
      </c>
      <c r="AG10" s="31" t="str">
        <f t="shared" si="12"/>
        <v>3333333.33333333i</v>
      </c>
      <c r="AH10" s="31">
        <f t="shared" si="13"/>
        <v>3333333.3333333302</v>
      </c>
      <c r="AI10" s="31">
        <f t="shared" si="14"/>
        <v>1.5707963267948966</v>
      </c>
      <c r="AJ10" s="31" t="str">
        <f t="shared" si="15"/>
        <v>-40251.6666666666+1154.15666666667i</v>
      </c>
      <c r="AK10" s="31">
        <f t="shared" si="16"/>
        <v>40268.210129774205</v>
      </c>
      <c r="AL10" s="31">
        <f t="shared" si="17"/>
        <v>3.1129269954019541</v>
      </c>
      <c r="AM10" s="31" t="str">
        <f t="shared" si="18"/>
        <v>1+4392.66666666666i</v>
      </c>
      <c r="AN10" s="31">
        <f t="shared" si="19"/>
        <v>4392.666780492732</v>
      </c>
      <c r="AO10" s="31">
        <f t="shared" si="20"/>
        <v>1.5705686746513108</v>
      </c>
      <c r="AP10" s="31" t="str">
        <f t="shared" si="21"/>
        <v>1+733.333333333332i</v>
      </c>
      <c r="AQ10" s="31">
        <f t="shared" si="22"/>
        <v>733.33401515119692</v>
      </c>
      <c r="AR10" s="31">
        <f t="shared" si="23"/>
        <v>1.5694326912764884</v>
      </c>
      <c r="AS10" s="58" t="str">
        <f t="shared" si="24"/>
        <v>-0.00590611150449551+0.21809069673538i</v>
      </c>
      <c r="AT10" s="49">
        <f t="shared" si="25"/>
        <v>-13.224073340180817</v>
      </c>
      <c r="AU10" s="61">
        <f t="shared" si="26"/>
        <v>91.551247164104296</v>
      </c>
      <c r="AV10" s="58" t="str">
        <f t="shared" si="34"/>
        <v>-0.00221970479460336-0.0140079472293909i</v>
      </c>
      <c r="AW10" s="64">
        <f t="shared" si="27"/>
        <v>-36.964806648808157</v>
      </c>
      <c r="AX10" s="49">
        <f t="shared" si="28"/>
        <v>-99.004245108909899</v>
      </c>
      <c r="AY10" s="310"/>
    </row>
    <row r="11" spans="1:54" ht="14.65" thickBot="1" x14ac:dyDescent="0.5">
      <c r="A11" s="31" t="s">
        <v>25</v>
      </c>
      <c r="B11" s="3">
        <f>VIN_nom</f>
        <v>42</v>
      </c>
      <c r="C11" s="31" t="s">
        <v>9</v>
      </c>
      <c r="E11" s="31" t="s">
        <v>28</v>
      </c>
      <c r="N11" s="62" t="s">
        <v>196</v>
      </c>
      <c r="O11" s="93">
        <f>wp_lf/(2*PI())</f>
        <v>1858.3680119847779</v>
      </c>
      <c r="P11" s="48" t="str">
        <f t="shared" si="29"/>
        <v>17.4002386318441</v>
      </c>
      <c r="Q11" s="17" t="str">
        <f t="shared" si="30"/>
        <v>1+i</v>
      </c>
      <c r="R11" s="17">
        <f t="shared" si="0"/>
        <v>1.4142135623730951</v>
      </c>
      <c r="S11" s="17">
        <f t="shared" si="1"/>
        <v>0.78539816339744828</v>
      </c>
      <c r="T11" s="17" t="str">
        <f t="shared" si="31"/>
        <v>1+0.00350294117647059i</v>
      </c>
      <c r="U11" s="17">
        <f t="shared" si="2"/>
        <v>1.0000061352796221</v>
      </c>
      <c r="V11" s="17">
        <f t="shared" si="3"/>
        <v>3.5029268488497114E-3</v>
      </c>
      <c r="W11" s="31" t="str">
        <f t="shared" si="32"/>
        <v>1-0.00864217687074831i</v>
      </c>
      <c r="X11" s="17">
        <f t="shared" si="4"/>
        <v>1.0000373429132861</v>
      </c>
      <c r="Y11" s="17">
        <f t="shared" si="5"/>
        <v>-8.641961726997844E-3</v>
      </c>
      <c r="Z11" s="31" t="str">
        <f t="shared" si="33"/>
        <v>0.999996867544972+0.0120866016685312i</v>
      </c>
      <c r="AA11" s="17">
        <f t="shared" si="6"/>
        <v>1.0000699080762554</v>
      </c>
      <c r="AB11" s="17">
        <f t="shared" si="7"/>
        <v>1.2086051014583758E-2</v>
      </c>
      <c r="AC11" s="66" t="str">
        <f t="shared" si="8"/>
        <v>8.54874984694126-8.84844771021918i</v>
      </c>
      <c r="AD11" s="64">
        <f t="shared" si="9"/>
        <v>21.800574578555395</v>
      </c>
      <c r="AE11" s="61">
        <f t="shared" si="10"/>
        <v>-45.986924723403796</v>
      </c>
      <c r="AF11" s="31" t="str">
        <f t="shared" si="11"/>
        <v>-9090.90909090909</v>
      </c>
      <c r="AG11" s="31" t="str">
        <f t="shared" si="12"/>
        <v>11676.4705882353i</v>
      </c>
      <c r="AH11" s="31">
        <f t="shared" si="13"/>
        <v>11676.470588235299</v>
      </c>
      <c r="AI11" s="31">
        <f t="shared" si="14"/>
        <v>1.5707963267948966</v>
      </c>
      <c r="AJ11" s="31" t="str">
        <f t="shared" si="15"/>
        <v>0.506075753754325+4.04294291176471i</v>
      </c>
      <c r="AK11" s="31">
        <f t="shared" si="16"/>
        <v>4.0744938405066362</v>
      </c>
      <c r="AL11" s="31">
        <f t="shared" si="17"/>
        <v>1.4462689370003994</v>
      </c>
      <c r="AM11" s="31" t="str">
        <f t="shared" si="18"/>
        <v>1+15.3872529411765i</v>
      </c>
      <c r="AN11" s="31">
        <f t="shared" si="19"/>
        <v>15.419713132083388</v>
      </c>
      <c r="AO11" s="31">
        <f t="shared" si="20"/>
        <v>1.5058987319998651</v>
      </c>
      <c r="AP11" s="31" t="str">
        <f t="shared" si="21"/>
        <v>1+2.56882352941176i</v>
      </c>
      <c r="AQ11" s="31">
        <f t="shared" si="22"/>
        <v>2.7566019526328951</v>
      </c>
      <c r="AR11" s="31">
        <f t="shared" si="23"/>
        <v>1.1995625192675881</v>
      </c>
      <c r="AS11" s="58" t="str">
        <f t="shared" si="24"/>
        <v>-7.73103689559035+2.49014391137353i</v>
      </c>
      <c r="AT11" s="49">
        <f t="shared" si="25"/>
        <v>18.193448262950675</v>
      </c>
      <c r="AU11" s="61">
        <f t="shared" si="26"/>
        <v>162.14640520281293</v>
      </c>
      <c r="AV11" s="58" t="str">
        <f t="shared" si="34"/>
        <v>-44.0567922871659+89.6952930976226i</v>
      </c>
      <c r="AW11" s="64">
        <f t="shared" si="27"/>
        <v>39.994022841506066</v>
      </c>
      <c r="AX11" s="49">
        <f t="shared" si="28"/>
        <v>116.15948047940915</v>
      </c>
      <c r="AY11" s="310"/>
      <c r="BA11" s="297" t="s">
        <v>784</v>
      </c>
      <c r="BB11" s="297"/>
    </row>
    <row r="12" spans="1:54" x14ac:dyDescent="0.45">
      <c r="A12" s="31" t="s">
        <v>26</v>
      </c>
      <c r="B12" s="3">
        <f>VIN_max</f>
        <v>57</v>
      </c>
      <c r="C12" s="31" t="s">
        <v>9</v>
      </c>
      <c r="E12" s="31" t="s">
        <v>29</v>
      </c>
      <c r="N12" s="71" t="s">
        <v>207</v>
      </c>
      <c r="O12" s="77">
        <f>IF(FB_type=1,wz2_ea_iso/(2*PI()),wz_ea/(2*PI()))</f>
        <v>723.43155950861512</v>
      </c>
      <c r="P12" s="48" t="str">
        <f t="shared" si="29"/>
        <v>17.4002386318441</v>
      </c>
      <c r="Q12" s="17" t="str">
        <f t="shared" si="30"/>
        <v>1+0.389283260819785i</v>
      </c>
      <c r="R12" s="17">
        <f t="shared" si="0"/>
        <v>1.0730989969031213</v>
      </c>
      <c r="S12" s="17">
        <f t="shared" si="1"/>
        <v>0.37123380752730806</v>
      </c>
      <c r="T12" s="17" t="str">
        <f t="shared" si="31"/>
        <v>1+0.00136363636363637i</v>
      </c>
      <c r="U12" s="17">
        <f t="shared" si="2"/>
        <v>1.0000009297516339</v>
      </c>
      <c r="V12" s="17">
        <f t="shared" si="3"/>
        <v>1.3636355184081621E-3</v>
      </c>
      <c r="W12" s="31" t="str">
        <f t="shared" si="32"/>
        <v>1-0.00336425479282623i</v>
      </c>
      <c r="X12" s="17">
        <f t="shared" si="4"/>
        <v>1.0000056590891429</v>
      </c>
      <c r="Y12" s="17">
        <f t="shared" si="5"/>
        <v>-3.3642421004646613E-3</v>
      </c>
      <c r="Z12" s="31" t="str">
        <f t="shared" si="33"/>
        <v>0.999999525303201+0.00470511170975567i</v>
      </c>
      <c r="AA12" s="17">
        <f t="shared" si="6"/>
        <v>1.0000105942852948</v>
      </c>
      <c r="AB12" s="17">
        <f t="shared" si="7"/>
        <v>4.7050792229627473E-3</v>
      </c>
      <c r="AC12" s="66" t="str">
        <f t="shared" si="8"/>
        <v>15.0705442384182-5.98338979486428i</v>
      </c>
      <c r="AD12" s="64">
        <f t="shared" si="9"/>
        <v>24.198273518637833</v>
      </c>
      <c r="AE12" s="61">
        <f t="shared" si="10"/>
        <v>-21.654337879255113</v>
      </c>
      <c r="AF12" s="31" t="str">
        <f t="shared" si="11"/>
        <v>-9090.90909090909</v>
      </c>
      <c r="AG12" s="31" t="str">
        <f t="shared" si="12"/>
        <v>4545.45454545455i</v>
      </c>
      <c r="AH12" s="31">
        <f t="shared" si="13"/>
        <v>4545.4545454545496</v>
      </c>
      <c r="AI12" s="31">
        <f t="shared" si="14"/>
        <v>1.5707963267948966</v>
      </c>
      <c r="AJ12" s="31" t="str">
        <f t="shared" si="15"/>
        <v>0.92515+1.57385i</v>
      </c>
      <c r="AK12" s="31">
        <f t="shared" si="16"/>
        <v>1.8256249190345752</v>
      </c>
      <c r="AL12" s="31">
        <f t="shared" si="17"/>
        <v>1.0393763674836523</v>
      </c>
      <c r="AM12" s="31" t="str">
        <f t="shared" si="18"/>
        <v>1+5.99i</v>
      </c>
      <c r="AN12" s="31">
        <f t="shared" si="19"/>
        <v>6.0728988135815332</v>
      </c>
      <c r="AO12" s="31">
        <f t="shared" si="20"/>
        <v>1.405376940128626</v>
      </c>
      <c r="AP12" s="31" t="str">
        <f t="shared" si="21"/>
        <v>1+i</v>
      </c>
      <c r="AQ12" s="31">
        <f t="shared" si="22"/>
        <v>1.4142135623730951</v>
      </c>
      <c r="AR12" s="31">
        <f t="shared" si="23"/>
        <v>0.78539816339744828</v>
      </c>
      <c r="AS12" s="58" t="str">
        <f t="shared" si="24"/>
        <v>-8.59328676995872+3.83131857850028i</v>
      </c>
      <c r="AT12" s="49">
        <f t="shared" si="25"/>
        <v>19.470589668461869</v>
      </c>
      <c r="AU12" s="61">
        <f t="shared" si="26"/>
        <v>155.97028811192831</v>
      </c>
      <c r="AV12" s="58" t="str">
        <f t="shared" si="34"/>
        <v>-106.581235936604+109.157040492475i</v>
      </c>
      <c r="AW12" s="64">
        <f t="shared" si="27"/>
        <v>43.668863187099689</v>
      </c>
      <c r="AX12" s="49">
        <f t="shared" si="28"/>
        <v>134.3159502326732</v>
      </c>
      <c r="AY12" s="310"/>
      <c r="BA12" s="31" t="s">
        <v>785</v>
      </c>
      <c r="BB12" s="31">
        <f>SUM(BA19:BA559)/1000</f>
        <v>58.884365535558935</v>
      </c>
    </row>
    <row r="13" spans="1:54" ht="14.65" thickBot="1" x14ac:dyDescent="0.5">
      <c r="A13" s="31" t="s">
        <v>58</v>
      </c>
      <c r="B13" s="3">
        <f>Fsw</f>
        <v>2100000</v>
      </c>
      <c r="C13" s="31" t="s">
        <v>59</v>
      </c>
      <c r="E13" s="31" t="s">
        <v>60</v>
      </c>
      <c r="M13" s="190"/>
      <c r="N13" s="62" t="s">
        <v>213</v>
      </c>
      <c r="O13" s="63">
        <f>IF(FB_type=1,wpB_ea_iso/(2*PI()),wp1_ea/(2*PI()))</f>
        <v>5.5106921580739487E-5</v>
      </c>
      <c r="P13" s="48" t="str">
        <f t="shared" si="29"/>
        <v>17.4002386318441</v>
      </c>
      <c r="Q13" s="17" t="str">
        <f t="shared" si="30"/>
        <v>1+2.96533954659949E-08i</v>
      </c>
      <c r="R13" s="17">
        <f t="shared" si="0"/>
        <v>1.0000000000000004</v>
      </c>
      <c r="S13" s="17">
        <f t="shared" si="1"/>
        <v>2.9653395465994889E-8</v>
      </c>
      <c r="T13" s="17" t="str">
        <f t="shared" si="31"/>
        <v>1+0.0000000001038741i</v>
      </c>
      <c r="U13" s="17">
        <f t="shared" si="2"/>
        <v>1</v>
      </c>
      <c r="V13" s="17">
        <f t="shared" si="3"/>
        <v>1.038741E-10</v>
      </c>
      <c r="W13" s="31" t="str">
        <f t="shared" si="32"/>
        <v>1-2.56269888435374E-10i</v>
      </c>
      <c r="X13" s="17">
        <f t="shared" si="4"/>
        <v>1</v>
      </c>
      <c r="Y13" s="17">
        <f t="shared" si="5"/>
        <v>-2.5626988843537398E-10</v>
      </c>
      <c r="Z13" s="31" t="str">
        <f t="shared" si="33"/>
        <v>1+3.5840877911691E-10i</v>
      </c>
      <c r="AA13" s="17">
        <f t="shared" si="6"/>
        <v>1</v>
      </c>
      <c r="AB13" s="17">
        <f t="shared" si="7"/>
        <v>3.5840877911690999E-10</v>
      </c>
      <c r="AC13" s="66" t="str">
        <f t="shared" si="8"/>
        <v>17.4002386318441-0.0000005248642787224i</v>
      </c>
      <c r="AD13" s="64">
        <f t="shared" si="9"/>
        <v>24.81110408724102</v>
      </c>
      <c r="AE13" s="61">
        <f t="shared" si="10"/>
        <v>-1.7282813543106268E-6</v>
      </c>
      <c r="AF13" s="31" t="str">
        <f t="shared" si="11"/>
        <v>-9090.90909090909</v>
      </c>
      <c r="AG13" s="31" t="str">
        <f t="shared" si="12"/>
        <v>0.000346247i</v>
      </c>
      <c r="AH13" s="31">
        <f t="shared" si="13"/>
        <v>3.4624699999999999E-4</v>
      </c>
      <c r="AI13" s="31">
        <f t="shared" si="14"/>
        <v>1.5707963267948966</v>
      </c>
      <c r="AJ13" s="31" t="str">
        <f t="shared" si="15"/>
        <v>1+0.000000119886985009i</v>
      </c>
      <c r="AK13" s="31">
        <f t="shared" si="16"/>
        <v>1.0000000000000071</v>
      </c>
      <c r="AL13" s="31">
        <f t="shared" si="17"/>
        <v>1.1988698500899943E-7</v>
      </c>
      <c r="AM13" s="31" t="str">
        <f t="shared" si="18"/>
        <v>1+0.0000004562842966i</v>
      </c>
      <c r="AN13" s="31">
        <f t="shared" si="19"/>
        <v>1.0000000000001041</v>
      </c>
      <c r="AO13" s="31">
        <f t="shared" si="20"/>
        <v>4.5628429659996834E-7</v>
      </c>
      <c r="AP13" s="31" t="str">
        <f t="shared" si="21"/>
        <v>1+7.61743399999999E-08i</v>
      </c>
      <c r="AQ13" s="31">
        <f t="shared" si="22"/>
        <v>1.0000000000000029</v>
      </c>
      <c r="AR13" s="31">
        <f t="shared" si="23"/>
        <v>7.6174339999999755E-8</v>
      </c>
      <c r="AS13" s="58" t="str">
        <f t="shared" si="24"/>
        <v>-10.8323+26255560.5995408i</v>
      </c>
      <c r="AT13" s="49">
        <f t="shared" si="25"/>
        <v>148.3844259125178</v>
      </c>
      <c r="AU13" s="61">
        <f t="shared" si="26"/>
        <v>90.00002363861438</v>
      </c>
      <c r="AV13" s="58" t="str">
        <f t="shared" si="34"/>
        <v>-174.703999055195+456853019.844859i</v>
      </c>
      <c r="AW13" s="64">
        <f t="shared" si="27"/>
        <v>173.1955299997588</v>
      </c>
      <c r="AX13" s="49">
        <f t="shared" si="28"/>
        <v>90.000021910333018</v>
      </c>
      <c r="AY13" s="311"/>
    </row>
    <row r="14" spans="1:54" x14ac:dyDescent="0.45">
      <c r="B14" s="26"/>
      <c r="BA14" s="31" t="s">
        <v>786</v>
      </c>
      <c r="BB14" s="298">
        <f>SUM(BB19:BB559)</f>
        <v>-14.498064554523356</v>
      </c>
    </row>
    <row r="15" spans="1:54" ht="14.65" thickBot="1" x14ac:dyDescent="0.5">
      <c r="A15" s="68" t="s">
        <v>206</v>
      </c>
      <c r="O15" s="50" t="s">
        <v>175</v>
      </c>
      <c r="P15" s="31">
        <f>B16</f>
        <v>42</v>
      </c>
      <c r="Q15" s="31" t="s">
        <v>9</v>
      </c>
      <c r="BA15" s="299"/>
      <c r="BB15" s="299"/>
    </row>
    <row r="16" spans="1:54" ht="14.65" thickBot="1" x14ac:dyDescent="0.5">
      <c r="A16" s="31" t="s">
        <v>177</v>
      </c>
      <c r="B16" s="43">
        <f>VIN_var</f>
        <v>42</v>
      </c>
      <c r="C16" s="31" t="s">
        <v>9</v>
      </c>
      <c r="E16" s="31" t="s">
        <v>178</v>
      </c>
      <c r="O16" s="67"/>
      <c r="P16" s="328" t="s">
        <v>204</v>
      </c>
      <c r="Q16" s="328"/>
      <c r="R16" s="328"/>
      <c r="S16" s="328"/>
      <c r="T16" s="328"/>
      <c r="U16" s="328"/>
      <c r="V16" s="328"/>
      <c r="W16" s="328"/>
      <c r="X16" s="328"/>
      <c r="Y16" s="328"/>
      <c r="Z16" s="328"/>
      <c r="AA16" s="328"/>
      <c r="AB16" s="328"/>
      <c r="AC16" s="328"/>
      <c r="AD16" s="328"/>
      <c r="AE16" s="329"/>
      <c r="AF16" s="330" t="s">
        <v>205</v>
      </c>
      <c r="AG16" s="328"/>
      <c r="AH16" s="328"/>
      <c r="AI16" s="328"/>
      <c r="AJ16" s="328"/>
      <c r="AK16" s="328"/>
      <c r="AL16" s="328"/>
      <c r="AM16" s="328"/>
      <c r="AN16" s="328"/>
      <c r="AO16" s="328"/>
      <c r="AP16" s="328"/>
      <c r="AQ16" s="328"/>
      <c r="AR16" s="328"/>
      <c r="AS16" s="328"/>
      <c r="AT16" s="328"/>
      <c r="AU16" s="329"/>
      <c r="AV16" s="330" t="s">
        <v>216</v>
      </c>
      <c r="AW16" s="328"/>
      <c r="AX16" s="329"/>
      <c r="AY16" s="308"/>
      <c r="BA16" s="299"/>
      <c r="BB16" s="299"/>
    </row>
    <row r="17" spans="1:54" x14ac:dyDescent="0.45">
      <c r="A17" s="31" t="s">
        <v>479</v>
      </c>
      <c r="B17" s="43">
        <f>POUT_Total</f>
        <v>20</v>
      </c>
      <c r="C17" s="31" t="s">
        <v>34</v>
      </c>
      <c r="E17" s="31" t="s">
        <v>480</v>
      </c>
      <c r="O17" s="52"/>
      <c r="P17" s="49"/>
      <c r="Q17" s="331" t="s">
        <v>196</v>
      </c>
      <c r="R17" s="331"/>
      <c r="S17" s="331"/>
      <c r="T17" s="327" t="s">
        <v>198</v>
      </c>
      <c r="U17" s="327"/>
      <c r="V17" s="327"/>
      <c r="W17" s="327" t="s">
        <v>198</v>
      </c>
      <c r="X17" s="327"/>
      <c r="Y17" s="327"/>
      <c r="Z17" s="327" t="s">
        <v>201</v>
      </c>
      <c r="AA17" s="327"/>
      <c r="AB17" s="327"/>
      <c r="AC17" s="326" t="s">
        <v>203</v>
      </c>
      <c r="AD17" s="327"/>
      <c r="AE17" s="332"/>
      <c r="AF17" s="71"/>
      <c r="AG17" s="333" t="s">
        <v>212</v>
      </c>
      <c r="AH17" s="333"/>
      <c r="AI17" s="333"/>
      <c r="AJ17" s="333" t="s">
        <v>213</v>
      </c>
      <c r="AK17" s="333"/>
      <c r="AL17" s="333"/>
      <c r="AM17" s="333" t="s">
        <v>553</v>
      </c>
      <c r="AN17" s="333"/>
      <c r="AO17" s="333"/>
      <c r="AP17" s="333" t="s">
        <v>207</v>
      </c>
      <c r="AQ17" s="333"/>
      <c r="AR17" s="334"/>
      <c r="AS17" s="326" t="s">
        <v>203</v>
      </c>
      <c r="AT17" s="327"/>
      <c r="AU17" s="332"/>
      <c r="AV17" s="326" t="s">
        <v>203</v>
      </c>
      <c r="AW17" s="327"/>
      <c r="AX17" s="332"/>
      <c r="AY17" s="313"/>
      <c r="BA17" s="299"/>
      <c r="BB17" s="299"/>
    </row>
    <row r="18" spans="1:54" ht="14.65" thickBot="1" x14ac:dyDescent="0.5">
      <c r="A18" s="31" t="s">
        <v>481</v>
      </c>
      <c r="B18" s="282">
        <f>Cout_total</f>
        <v>9.9999999999999991E-5</v>
      </c>
      <c r="C18" s="31" t="s">
        <v>143</v>
      </c>
      <c r="N18" s="10"/>
      <c r="O18" s="53" t="s">
        <v>174</v>
      </c>
      <c r="P18" s="54" t="s">
        <v>179</v>
      </c>
      <c r="Q18" s="55" t="s">
        <v>202</v>
      </c>
      <c r="R18" s="54" t="s">
        <v>199</v>
      </c>
      <c r="S18" s="54" t="s">
        <v>200</v>
      </c>
      <c r="T18" s="54" t="s">
        <v>202</v>
      </c>
      <c r="U18" s="54" t="s">
        <v>199</v>
      </c>
      <c r="V18" s="54" t="s">
        <v>200</v>
      </c>
      <c r="W18" s="56" t="s">
        <v>202</v>
      </c>
      <c r="X18" s="54" t="s">
        <v>199</v>
      </c>
      <c r="Y18" s="54" t="s">
        <v>200</v>
      </c>
      <c r="Z18" s="56" t="s">
        <v>202</v>
      </c>
      <c r="AA18" s="56" t="s">
        <v>199</v>
      </c>
      <c r="AB18" s="56" t="s">
        <v>200</v>
      </c>
      <c r="AC18" s="60" t="s">
        <v>217</v>
      </c>
      <c r="AD18" s="56" t="s">
        <v>199</v>
      </c>
      <c r="AE18" s="57" t="s">
        <v>200</v>
      </c>
      <c r="AF18" s="59" t="s">
        <v>214</v>
      </c>
      <c r="AG18" s="56" t="s">
        <v>202</v>
      </c>
      <c r="AH18" s="56" t="s">
        <v>215</v>
      </c>
      <c r="AI18" s="56" t="s">
        <v>200</v>
      </c>
      <c r="AJ18" s="56" t="s">
        <v>202</v>
      </c>
      <c r="AK18" s="56" t="s">
        <v>215</v>
      </c>
      <c r="AL18" s="56" t="s">
        <v>200</v>
      </c>
      <c r="AM18" s="56" t="s">
        <v>202</v>
      </c>
      <c r="AN18" s="56" t="s">
        <v>215</v>
      </c>
      <c r="AO18" s="56" t="s">
        <v>200</v>
      </c>
      <c r="AP18" s="56" t="s">
        <v>202</v>
      </c>
      <c r="AQ18" s="56" t="s">
        <v>215</v>
      </c>
      <c r="AR18" s="57" t="s">
        <v>200</v>
      </c>
      <c r="AS18" s="60" t="s">
        <v>217</v>
      </c>
      <c r="AT18" s="56" t="s">
        <v>199</v>
      </c>
      <c r="AU18" s="57" t="s">
        <v>200</v>
      </c>
      <c r="AV18" s="60" t="s">
        <v>217</v>
      </c>
      <c r="AW18" s="56" t="s">
        <v>199</v>
      </c>
      <c r="AX18" s="57" t="s">
        <v>200</v>
      </c>
      <c r="AY18" s="314"/>
      <c r="BA18" s="299" t="s">
        <v>787</v>
      </c>
      <c r="BB18" s="299" t="s">
        <v>788</v>
      </c>
    </row>
    <row r="19" spans="1:54" x14ac:dyDescent="0.45">
      <c r="A19" s="31" t="s">
        <v>469</v>
      </c>
      <c r="B19" s="282">
        <f>Resr_total</f>
        <v>3.0000000000000001E-3</v>
      </c>
      <c r="C19" s="2" t="s">
        <v>33</v>
      </c>
      <c r="N19" s="10">
        <v>1</v>
      </c>
      <c r="O19" s="50">
        <f>10^(1+(N19/100))</f>
        <v>10.232929922807543</v>
      </c>
      <c r="P19" s="48" t="str">
        <f>COMPLEX(Adc,0)</f>
        <v>17.4002386318441</v>
      </c>
      <c r="Q19" s="17" t="str">
        <f t="shared" ref="Q19:Q82" si="35">IMSUM(COMPLEX(1,0),IMDIV(COMPLEX(0,2*PI()*O19),COMPLEX(wp_lf,0)))</f>
        <v>1+0.00550640661957937i</v>
      </c>
      <c r="R19" s="17">
        <f>IMABS(Q19)</f>
        <v>1.0000151601420151</v>
      </c>
      <c r="S19" s="17">
        <f>IMARGUMENT(Q19)</f>
        <v>5.5063509682323833E-3</v>
      </c>
      <c r="T19" s="17" t="str">
        <f t="shared" ref="T19:T82" si="36">IMSUM(COMPLEX(1,0),IMDIV(COMPLEX(0,2*PI()*O19),COMPLEX(wz_esr,0)))</f>
        <v>1+0.0000192886184821148i</v>
      </c>
      <c r="U19" s="17">
        <f>IMABS(T19)</f>
        <v>1.0000000001860254</v>
      </c>
      <c r="V19" s="17">
        <f>IMARGUMENT(T19)</f>
        <v>1.9288618479722683E-5</v>
      </c>
      <c r="W19" s="31" t="str">
        <f t="shared" ref="W19:W82" si="37">IMSUB(COMPLEX(1,0),IMDIV(COMPLEX(0,2*PI()*O19),COMPLEX(wz_rhp,0)))</f>
        <v>1-0.0000475873399286642i</v>
      </c>
      <c r="X19" s="17">
        <f>IMABS(W19)</f>
        <v>1.0000000011322774</v>
      </c>
      <c r="Y19" s="17">
        <f>IMARGUMENT(W19)</f>
        <v>-4.758733989274282E-5</v>
      </c>
      <c r="Z19" s="31" t="str">
        <f t="shared" ref="Z19:Z82" si="38">IMSUM(COMPLEX(1,0),IMDIV(COMPLEX(0,2*PI()*O19),COMPLEX(Q*(wsl/2),0)),IMDIV(IMPOWER(COMPLEX(0,2*PI()*O19),2),IMPOWER(COMPLEX(wsl/2,0),2)))</f>
        <v>0.999999999905022+0.0000665537434358192i</v>
      </c>
      <c r="AA19" s="17">
        <f>IMABS(Z19)</f>
        <v>1.0000000021197224</v>
      </c>
      <c r="AB19" s="17">
        <f>IMARGUMENT(Z19)</f>
        <v>6.6553743343875939E-5</v>
      </c>
      <c r="AC19" s="66" t="str">
        <f>(IMDIV(IMPRODUCT(P19,T19,W19),IMPRODUCT(Q19,Z19)))</f>
        <v>17.399701883643-0.0974602891485906i</v>
      </c>
      <c r="AD19" s="64">
        <f>20*LOG(IMABS(AC19))</f>
        <v>24.810972401957656</v>
      </c>
      <c r="AE19" s="61">
        <f>(180/PI())*IMARGUMENT(AC19)</f>
        <v>-0.32092531690447401</v>
      </c>
      <c r="AF19" s="31" t="str">
        <f t="shared" ref="AF19:AF82" si="39">IF(FB_type=1,COMPLEX(Adc_ea_iso,0),COMPLEX(Adc_ea,0))</f>
        <v>-9090.90909090909</v>
      </c>
      <c r="AG19" s="31" t="str">
        <f t="shared" ref="AG19:AG82" si="40">IF(FB_type=1,COMPLEX(0,2*PI()*O19),COMPLEX(0,2*PI()*O19*wp0_ea))</f>
        <v>64.2953949403827i</v>
      </c>
      <c r="AH19" s="31">
        <f>IMABS(AG19)</f>
        <v>64.295394940382707</v>
      </c>
      <c r="AI19" s="31">
        <f>IMARGUMENT(AG19)</f>
        <v>1.5707963267948966</v>
      </c>
      <c r="AJ19" s="31" t="str">
        <f t="shared" ref="AJ19:AJ82" si="41">IF(FB_type=1,IMSUM(IMPRODUCT(COMPLEX(wpA_ea_iso,0),IMPOWER(COMPLEX(0,2*PI()*O19),2)),COMPLEX(0,wpB_ea_iso*2*PI()*O19),COMPLEX(1,0)),IMSUM(COMPLEX(1,0),IMDIV(COMPLEX(0,2*PI()*O19),COMPLEX(wp1_ea,0))))</f>
        <v>0.999985023963046+0.0222620876119227i</v>
      </c>
      <c r="AK19" s="31">
        <f>IMABS(AJ19)</f>
        <v>1.0002327972503275</v>
      </c>
      <c r="AL19" s="31">
        <f>IMARGUMENT(AJ19)</f>
        <v>2.2258744241906023E-2</v>
      </c>
      <c r="AM19" s="31" t="str">
        <f t="shared" ref="AM19:AM82" si="42">IMSUM(COMPLEX(1,0),IMDIV(COMPLEX(0,2*PI()*O19),COMPLEX(wz1_ea_iso,0)))</f>
        <v>1+0.0847284714524363i</v>
      </c>
      <c r="AN19" s="31">
        <f>IMABS(AM19)</f>
        <v>1.0035830378571902</v>
      </c>
      <c r="AO19" s="31">
        <f>IMARGUMENT(AM19)</f>
        <v>8.4526587526222358E-2</v>
      </c>
      <c r="AP19" s="31" t="str">
        <f t="shared" ref="AP19:AP82" si="43">IF(FB_type=1,IMSUM(COMPLEX(1,0),IMDIV(COMPLEX(0,2*PI()*O19),COMPLEX(wz2_ea_iso,0))),1)</f>
        <v>1+0.0141449868868842i</v>
      </c>
      <c r="AQ19" s="31">
        <f>IMABS(AP19)</f>
        <v>1.0001000353234821</v>
      </c>
      <c r="AR19" s="31">
        <f>IMARGUMENT(AP19)</f>
        <v>1.4144043620710006E-2</v>
      </c>
      <c r="AS19" s="58" t="str">
        <f>IMDIV(IMPRODUCT(AF19,AM19,AP19),IMPRODUCT(AG19,AJ19))</f>
        <v>-10.8308197432312+141.466627677757i</v>
      </c>
      <c r="AT19" s="49">
        <f>20*LOG(IMABS(AS19))</f>
        <v>43.038462214899205</v>
      </c>
      <c r="AU19" s="61">
        <f>(180/PI())*IMARGUMENT(AS19)</f>
        <v>94.37807862428896</v>
      </c>
      <c r="AV19" s="58" t="str">
        <f t="shared" ref="AV19:AV82" si="44">IMPRODUCT(AC19,AS19)</f>
        <v>-174.665656249348+2462.53272290118i</v>
      </c>
      <c r="AW19" s="64">
        <f>20*LOG(IMABS(AV19))</f>
        <v>67.84943461685684</v>
      </c>
      <c r="AX19" s="49">
        <f>(180/PI())*IMARGUMENT(AV19)</f>
        <v>94.057153307384496</v>
      </c>
      <c r="AY19" s="310"/>
      <c r="BA19" s="31">
        <f>SUM((AW20&lt;0)*(AW19&gt;0))*O19</f>
        <v>0</v>
      </c>
      <c r="BB19" s="31">
        <f>IF(BA19&gt;0,AX19,0)</f>
        <v>0</v>
      </c>
    </row>
    <row r="20" spans="1:54" x14ac:dyDescent="0.45">
      <c r="N20" s="10">
        <v>2</v>
      </c>
      <c r="O20" s="50">
        <f t="shared" ref="O20:O83" si="45">10^(1+(N20/100))</f>
        <v>10.471285480509</v>
      </c>
      <c r="P20" s="48" t="str">
        <f t="shared" ref="P20:P82" si="46">COMPLEX(Adc,0)</f>
        <v>17.4002386318441</v>
      </c>
      <c r="Q20" s="17" t="str">
        <f t="shared" si="35"/>
        <v>1+0.00563466730646393i</v>
      </c>
      <c r="R20" s="17">
        <f t="shared" ref="R20:R83" si="47">IMABS(Q20)</f>
        <v>1.0000158746118257</v>
      </c>
      <c r="S20" s="17">
        <f t="shared" ref="S20:S83" si="48">IMARGUMENT(Q20)</f>
        <v>5.6346076750223972E-3</v>
      </c>
      <c r="T20" s="17" t="str">
        <f t="shared" si="36"/>
        <v>1+0.0000197379081235251i</v>
      </c>
      <c r="U20" s="17">
        <f t="shared" ref="U20:U83" si="49">IMABS(T20)</f>
        <v>1.0000000001947926</v>
      </c>
      <c r="V20" s="17">
        <f t="shared" ref="V20:V83" si="50">IMARGUMENT(T20)</f>
        <v>1.9737908120961903E-5</v>
      </c>
      <c r="W20" s="31" t="str">
        <f t="shared" si="37"/>
        <v>1-0.0000486957914702842i</v>
      </c>
      <c r="X20" s="17">
        <f t="shared" ref="X20:X83" si="51">IMABS(W20)</f>
        <v>1.00000000118564</v>
      </c>
      <c r="Y20" s="17">
        <f t="shared" ref="Y20:Y83" si="52">IMARGUMENT(W20)</f>
        <v>-4.8695791431793752E-5</v>
      </c>
      <c r="Z20" s="31" t="str">
        <f t="shared" si="38"/>
        <v>0.999999999900546+0.0000681039792679251i</v>
      </c>
      <c r="AA20" s="17">
        <f t="shared" ref="AA20:AA83" si="53">IMABS(Z20)</f>
        <v>1.000000002219622</v>
      </c>
      <c r="AB20" s="17">
        <f t="shared" ref="AB20:AB83" si="54">IMARGUMENT(Z20)</f>
        <v>6.8103979169406115E-5</v>
      </c>
      <c r="AC20" s="66" t="str">
        <f t="shared" ref="AC20:AC83" si="55">(IMDIV(IMPRODUCT(P20,T20,W20),IMPRODUCT(Q20,Z20)))</f>
        <v>17.3996765882827-0.0997302883801809i</v>
      </c>
      <c r="AD20" s="64">
        <f t="shared" ref="AD20:AD83" si="56">20*LOG(IMABS(AC20))</f>
        <v>24.810966195919946</v>
      </c>
      <c r="AE20" s="61">
        <f t="shared" ref="AE20:AE83" si="57">(180/PI())*IMARGUMENT(AC20)</f>
        <v>-0.32840047406260253</v>
      </c>
      <c r="AF20" s="31" t="str">
        <f t="shared" si="39"/>
        <v>-9090.90909090909</v>
      </c>
      <c r="AG20" s="31" t="str">
        <f t="shared" si="40"/>
        <v>65.7930270784171i</v>
      </c>
      <c r="AH20" s="31">
        <f t="shared" ref="AH20:AH83" si="58">IMABS(AG20)</f>
        <v>65.793027078417097</v>
      </c>
      <c r="AI20" s="31">
        <f t="shared" ref="AI20:AI83" si="59">IMARGUMENT(AG20)</f>
        <v>1.5707963267948966</v>
      </c>
      <c r="AJ20" s="31" t="str">
        <f t="shared" si="41"/>
        <v>0.999984318164169+0.0227806382468207i</v>
      </c>
      <c r="AK20" s="31">
        <f t="shared" ref="AK20:AK83" si="60">IMABS(AJ20)</f>
        <v>1.0002437673153433</v>
      </c>
      <c r="AL20" s="31">
        <f t="shared" ref="AL20:AL83" si="61">IMARGUMENT(AJ20)</f>
        <v>2.2777055808405281E-2</v>
      </c>
      <c r="AM20" s="31" t="str">
        <f t="shared" si="42"/>
        <v>1+0.086702051083938i</v>
      </c>
      <c r="AN20" s="31">
        <f t="shared" ref="AN20:AN83" si="62">IMABS(AM20)</f>
        <v>1.0037515856336974</v>
      </c>
      <c r="AO20" s="31">
        <f t="shared" ref="AO20:AO83" si="63">IMARGUMENT(AM20)</f>
        <v>8.6485772202834613E-2</v>
      </c>
      <c r="AP20" s="31" t="str">
        <f t="shared" si="43"/>
        <v>1+0.0144744659572517i</v>
      </c>
      <c r="AQ20" s="31">
        <f t="shared" ref="AQ20:AQ83" si="64">IMABS(AP20)</f>
        <v>1.0001047495961348</v>
      </c>
      <c r="AR20" s="31">
        <f t="shared" ref="AR20:AR83" si="65">IMARGUMENT(AP20)</f>
        <v>1.447345523505349E-2</v>
      </c>
      <c r="AS20" s="58" t="str">
        <f t="shared" ref="AS20:AS83" si="66">IMDIV(IMPRODUCT(AF20,AM20,AP20),IMPRODUCT(AG20,AJ20))</f>
        <v>-10.8307500147583+138.249850472249i</v>
      </c>
      <c r="AT20" s="49">
        <f t="shared" ref="AT20:AT83" si="67">20*LOG(IMABS(AS20))</f>
        <v>42.83986653439235</v>
      </c>
      <c r="AU20" s="61">
        <f t="shared" ref="AU20:AU83" si="68">(180/PI())*IMARGUMENT(AS20)</f>
        <v>94.479508467536817</v>
      </c>
      <c r="AV20" s="58" t="str">
        <f t="shared" si="44"/>
        <v>-174.663850009218+2406.58284041792i</v>
      </c>
      <c r="AW20" s="64">
        <f t="shared" ref="AW20:AW83" si="69">20*LOG(IMABS(AV20))</f>
        <v>67.650832730312288</v>
      </c>
      <c r="AX20" s="49">
        <f t="shared" ref="AX20:AX83" si="70">(180/PI())*IMARGUMENT(AV20)</f>
        <v>94.151107993474213</v>
      </c>
      <c r="AY20" s="310"/>
      <c r="BA20" s="31">
        <f t="shared" ref="BA20:BA83" si="71">SUM((AW21&lt;0)*(AW20&gt;0))*O20</f>
        <v>0</v>
      </c>
      <c r="BB20" s="31">
        <f t="shared" ref="BB20:BB83" si="72">IF(BA20&gt;0,AX20,0)</f>
        <v>0</v>
      </c>
    </row>
    <row r="21" spans="1:54" x14ac:dyDescent="0.45">
      <c r="N21" s="10">
        <v>3</v>
      </c>
      <c r="O21" s="50">
        <f t="shared" si="45"/>
        <v>10.715193052376069</v>
      </c>
      <c r="P21" s="48" t="str">
        <f t="shared" si="46"/>
        <v>17.4002386318441</v>
      </c>
      <c r="Q21" s="17" t="str">
        <f t="shared" si="35"/>
        <v>1+0.00576591556853801i</v>
      </c>
      <c r="R21" s="17">
        <f t="shared" si="47"/>
        <v>1.0000166227530138</v>
      </c>
      <c r="S21" s="17">
        <f t="shared" si="48"/>
        <v>5.7658516723545711E-3</v>
      </c>
      <c r="T21" s="17" t="str">
        <f t="shared" si="36"/>
        <v>1+0.0000201976630650846i</v>
      </c>
      <c r="U21" s="17">
        <f t="shared" si="49"/>
        <v>1.0000000002039728</v>
      </c>
      <c r="V21" s="17">
        <f t="shared" si="50"/>
        <v>2.0197663062338085E-5</v>
      </c>
      <c r="W21" s="31" t="str">
        <f t="shared" si="37"/>
        <v>1-0.0000498300621651068i</v>
      </c>
      <c r="X21" s="17">
        <f t="shared" si="51"/>
        <v>1.0000000012415176</v>
      </c>
      <c r="Y21" s="17">
        <f t="shared" si="52"/>
        <v>-4.9830062123863531E-5</v>
      </c>
      <c r="Z21" s="31" t="str">
        <f t="shared" si="38"/>
        <v>0.999999999895859+0.0000696903247313015i</v>
      </c>
      <c r="AA21" s="17">
        <f t="shared" si="53"/>
        <v>1.0000000023242295</v>
      </c>
      <c r="AB21" s="17">
        <f t="shared" si="54"/>
        <v>6.9690324625736494E-5</v>
      </c>
      <c r="AC21" s="66" t="str">
        <f t="shared" si="55"/>
        <v>17.3996501008663-0.102053152493062i</v>
      </c>
      <c r="AD21" s="64">
        <f t="shared" si="56"/>
        <v>24.810959697410212</v>
      </c>
      <c r="AE21" s="61">
        <f t="shared" si="57"/>
        <v>-0.33604973900138918</v>
      </c>
      <c r="AF21" s="31" t="str">
        <f t="shared" si="39"/>
        <v>-9090.90909090909</v>
      </c>
      <c r="AG21" s="31" t="str">
        <f t="shared" si="40"/>
        <v>67.3255435502821i</v>
      </c>
      <c r="AH21" s="31">
        <f t="shared" si="58"/>
        <v>67.325543550282106</v>
      </c>
      <c r="AI21" s="31">
        <f t="shared" si="59"/>
        <v>1.5707963267948966</v>
      </c>
      <c r="AJ21" s="31" t="str">
        <f t="shared" si="41"/>
        <v>0.999983579102015+0.0233112674776545i</v>
      </c>
      <c r="AK21" s="31">
        <f t="shared" si="60"/>
        <v>1.0002552542551779</v>
      </c>
      <c r="AL21" s="31">
        <f t="shared" si="61"/>
        <v>2.3307428878580186E-2</v>
      </c>
      <c r="AM21" s="31" t="str">
        <f t="shared" si="42"/>
        <v>1+0.0887216012905617i</v>
      </c>
      <c r="AN21" s="31">
        <f t="shared" si="62"/>
        <v>1.0039280464931546</v>
      </c>
      <c r="AO21" s="31">
        <f t="shared" si="63"/>
        <v>8.8489903238622339E-2</v>
      </c>
      <c r="AP21" s="31" t="str">
        <f t="shared" si="43"/>
        <v>1+0.014811619581062i</v>
      </c>
      <c r="AQ21" s="31">
        <f t="shared" si="64"/>
        <v>1.0001096860217953</v>
      </c>
      <c r="AR21" s="31">
        <f t="shared" si="65"/>
        <v>1.4810536579129344E-2</v>
      </c>
      <c r="AS21" s="58" t="str">
        <f t="shared" si="66"/>
        <v>-10.8306770033506+135.106375022747i</v>
      </c>
      <c r="AT21" s="49">
        <f t="shared" si="67"/>
        <v>42.641336514346726</v>
      </c>
      <c r="AU21" s="61">
        <f t="shared" si="68"/>
        <v>94.583261917358357</v>
      </c>
      <c r="AV21" s="58" t="str">
        <f t="shared" si="44"/>
        <v>-174.661958720818+2351.90895652405i</v>
      </c>
      <c r="AW21" s="64">
        <f t="shared" si="69"/>
        <v>67.452296211756945</v>
      </c>
      <c r="AX21" s="49">
        <f t="shared" si="70"/>
        <v>94.247212178356946</v>
      </c>
      <c r="AY21" s="310"/>
      <c r="BA21" s="31">
        <f t="shared" si="71"/>
        <v>0</v>
      </c>
      <c r="BB21" s="31">
        <f t="shared" si="72"/>
        <v>0</v>
      </c>
    </row>
    <row r="22" spans="1:54" x14ac:dyDescent="0.45">
      <c r="N22" s="10">
        <v>4</v>
      </c>
      <c r="O22" s="50">
        <f t="shared" si="45"/>
        <v>10.964781961431854</v>
      </c>
      <c r="P22" s="48" t="str">
        <f t="shared" si="46"/>
        <v>17.4002386318441</v>
      </c>
      <c r="Q22" s="17" t="str">
        <f t="shared" si="35"/>
        <v>1+0.00590022099536745i</v>
      </c>
      <c r="R22" s="17">
        <f t="shared" si="47"/>
        <v>1.0000174061524101</v>
      </c>
      <c r="S22" s="17">
        <f t="shared" si="48"/>
        <v>5.9001525294377277E-3</v>
      </c>
      <c r="T22" s="17" t="str">
        <f t="shared" si="36"/>
        <v>1+0.0000206681270749489i</v>
      </c>
      <c r="U22" s="17">
        <f t="shared" si="49"/>
        <v>1.0000000002135856</v>
      </c>
      <c r="V22" s="17">
        <f t="shared" si="50"/>
        <v>2.0668127072005956E-5</v>
      </c>
      <c r="W22" s="31" t="str">
        <f t="shared" si="37"/>
        <v>1-0.0000509907534184681i</v>
      </c>
      <c r="X22" s="17">
        <f t="shared" si="51"/>
        <v>1.0000000013000283</v>
      </c>
      <c r="Y22" s="17">
        <f t="shared" si="52"/>
        <v>-5.0990753374275146E-5</v>
      </c>
      <c r="Z22" s="31" t="str">
        <f t="shared" si="38"/>
        <v>0.999999999890951+0.0000713136209273109i</v>
      </c>
      <c r="AA22" s="17">
        <f t="shared" si="53"/>
        <v>1.0000000024337672</v>
      </c>
      <c r="AB22" s="17">
        <f t="shared" si="54"/>
        <v>7.1313620814195962E-5</v>
      </c>
      <c r="AC22" s="66" t="str">
        <f t="shared" si="55"/>
        <v>17.3996223652214-0.104430112139544i</v>
      </c>
      <c r="AD22" s="64">
        <f t="shared" si="56"/>
        <v>24.810952892645581</v>
      </c>
      <c r="AE22" s="61">
        <f t="shared" si="57"/>
        <v>-0.34387716642554145</v>
      </c>
      <c r="AF22" s="31" t="str">
        <f t="shared" si="39"/>
        <v>-9090.90909090909</v>
      </c>
      <c r="AG22" s="31" t="str">
        <f t="shared" si="40"/>
        <v>68.8937569164964i</v>
      </c>
      <c r="AH22" s="31">
        <f t="shared" si="58"/>
        <v>68.8937569164964</v>
      </c>
      <c r="AI22" s="31">
        <f t="shared" si="59"/>
        <v>1.5707963267948966</v>
      </c>
      <c r="AJ22" s="31" t="str">
        <f t="shared" si="41"/>
        <v>0.999982805208935+0.0238542566510661i</v>
      </c>
      <c r="AK22" s="31">
        <f t="shared" si="60"/>
        <v>1.0002672824170078</v>
      </c>
      <c r="AL22" s="31">
        <f t="shared" si="61"/>
        <v>2.3850143577346935E-2</v>
      </c>
      <c r="AM22" s="31" t="str">
        <f t="shared" si="42"/>
        <v>1+0.0907881928645589i</v>
      </c>
      <c r="AN22" s="31">
        <f t="shared" si="62"/>
        <v>1.0041127904591258</v>
      </c>
      <c r="AO22" s="31">
        <f t="shared" si="63"/>
        <v>9.0539978817287384E-2</v>
      </c>
      <c r="AP22" s="31" t="str">
        <f t="shared" si="43"/>
        <v>1+0.0151566265216292i</v>
      </c>
      <c r="AQ22" s="31">
        <f t="shared" si="64"/>
        <v>1.0001148550679149</v>
      </c>
      <c r="AR22" s="31">
        <f t="shared" si="65"/>
        <v>1.5155466071348345E-2</v>
      </c>
      <c r="AS22" s="58" t="str">
        <f t="shared" si="66"/>
        <v>-10.8306005546032+132.034534606623i</v>
      </c>
      <c r="AT22" s="49">
        <f t="shared" si="67"/>
        <v>42.442875199183689</v>
      </c>
      <c r="AU22" s="61">
        <f t="shared" si="68"/>
        <v>94.689390338113384</v>
      </c>
      <c r="AV22" s="58" t="str">
        <f t="shared" si="44"/>
        <v>-174.659978383391+2298.48208215345i</v>
      </c>
      <c r="AW22" s="64">
        <f t="shared" si="69"/>
        <v>67.253828091829263</v>
      </c>
      <c r="AX22" s="49">
        <f t="shared" si="70"/>
        <v>94.345513171687841</v>
      </c>
      <c r="AY22" s="310"/>
      <c r="BA22" s="31">
        <f t="shared" si="71"/>
        <v>0</v>
      </c>
      <c r="BB22" s="31">
        <f t="shared" si="72"/>
        <v>0</v>
      </c>
    </row>
    <row r="23" spans="1:54" x14ac:dyDescent="0.45">
      <c r="N23" s="10">
        <v>5</v>
      </c>
      <c r="O23" s="50">
        <f t="shared" si="45"/>
        <v>11.220184543019636</v>
      </c>
      <c r="P23" s="48" t="str">
        <f t="shared" si="46"/>
        <v>17.4002386318441</v>
      </c>
      <c r="Q23" s="17" t="str">
        <f t="shared" si="35"/>
        <v>1+0.00603765479746728i</v>
      </c>
      <c r="R23" s="17">
        <f t="shared" si="47"/>
        <v>1.0000182264716244</v>
      </c>
      <c r="S23" s="17">
        <f t="shared" si="48"/>
        <v>6.0375814349740466E-3</v>
      </c>
      <c r="T23" s="17" t="str">
        <f t="shared" si="36"/>
        <v>1+0.0000211495495993634i</v>
      </c>
      <c r="U23" s="17">
        <f t="shared" si="49"/>
        <v>1.0000000002236518</v>
      </c>
      <c r="V23" s="17">
        <f t="shared" si="50"/>
        <v>2.1149549596209977E-5</v>
      </c>
      <c r="W23" s="31" t="str">
        <f t="shared" si="37"/>
        <v>1-0.0000521784806442343i</v>
      </c>
      <c r="X23" s="17">
        <f t="shared" si="51"/>
        <v>1.0000000013612969</v>
      </c>
      <c r="Y23" s="17">
        <f t="shared" si="52"/>
        <v>-5.21784805968807E-5</v>
      </c>
      <c r="Z23" s="31" t="str">
        <f t="shared" si="38"/>
        <v>0.999999999885812+0.0000729747285490834i</v>
      </c>
      <c r="AA23" s="17">
        <f t="shared" si="53"/>
        <v>1.0000000025484674</v>
      </c>
      <c r="AB23" s="17">
        <f t="shared" si="54"/>
        <v>7.2974728427878532E-5</v>
      </c>
      <c r="AC23" s="66" t="str">
        <f t="shared" si="55"/>
        <v>17.399593322529-0.106862426585383i</v>
      </c>
      <c r="AD23" s="64">
        <f t="shared" si="56"/>
        <v>24.810945767193708</v>
      </c>
      <c r="AE23" s="61">
        <f t="shared" si="57"/>
        <v>-0.35188690542972567</v>
      </c>
      <c r="AF23" s="31" t="str">
        <f t="shared" si="39"/>
        <v>-9090.90909090909</v>
      </c>
      <c r="AG23" s="31" t="str">
        <f t="shared" si="40"/>
        <v>70.4984986645445i</v>
      </c>
      <c r="AH23" s="31">
        <f t="shared" si="58"/>
        <v>70.498498664544499</v>
      </c>
      <c r="AI23" s="31">
        <f t="shared" si="59"/>
        <v>1.5707963267948966</v>
      </c>
      <c r="AJ23" s="31" t="str">
        <f t="shared" si="41"/>
        <v>0.999981994843399+0.0244098936671025i</v>
      </c>
      <c r="AK23" s="31">
        <f t="shared" si="60"/>
        <v>1.0002798772942616</v>
      </c>
      <c r="AL23" s="31">
        <f t="shared" si="61"/>
        <v>2.4405486495735172E-2</v>
      </c>
      <c r="AM23" s="31" t="str">
        <f t="shared" si="42"/>
        <v>1+0.0929029215401367i</v>
      </c>
      <c r="AN23" s="31">
        <f t="shared" si="62"/>
        <v>1.0043062047158191</v>
      </c>
      <c r="AO23" s="31">
        <f t="shared" si="63"/>
        <v>9.2637016949264489E-2</v>
      </c>
      <c r="AP23" s="31" t="str">
        <f t="shared" si="43"/>
        <v>1+0.0155096697061998i</v>
      </c>
      <c r="AQ23" s="31">
        <f t="shared" si="64"/>
        <v>1.0001202676950385</v>
      </c>
      <c r="AR23" s="31">
        <f t="shared" si="65"/>
        <v>1.5508426269396809E-2</v>
      </c>
      <c r="AS23" s="58" t="str">
        <f t="shared" si="66"/>
        <v>-10.8305205068645+129.032700482353i</v>
      </c>
      <c r="AT23" s="49">
        <f t="shared" si="67"/>
        <v>42.244485772033357</v>
      </c>
      <c r="AU23" s="61">
        <f t="shared" si="68"/>
        <v>94.797946096831836</v>
      </c>
      <c r="AV23" s="58" t="str">
        <f t="shared" si="44"/>
        <v>-174.657904808344+2246.27388940318i</v>
      </c>
      <c r="AW23" s="64">
        <f t="shared" si="69"/>
        <v>67.055431539227058</v>
      </c>
      <c r="AX23" s="49">
        <f t="shared" si="70"/>
        <v>94.446059191402114</v>
      </c>
      <c r="AY23" s="310"/>
      <c r="BA23" s="31">
        <f t="shared" si="71"/>
        <v>0</v>
      </c>
      <c r="BB23" s="31">
        <f t="shared" si="72"/>
        <v>0</v>
      </c>
    </row>
    <row r="24" spans="1:54" x14ac:dyDescent="0.45">
      <c r="N24" s="10">
        <v>6</v>
      </c>
      <c r="O24" s="50">
        <f t="shared" si="45"/>
        <v>11.481536214968834</v>
      </c>
      <c r="P24" s="48" t="str">
        <f t="shared" si="46"/>
        <v>17.4002386318441</v>
      </c>
      <c r="Q24" s="17" t="str">
        <f t="shared" si="35"/>
        <v>1+0.00617828984405855i</v>
      </c>
      <c r="R24" s="17">
        <f t="shared" si="47"/>
        <v>1.0000190854505713</v>
      </c>
      <c r="S24" s="17">
        <f t="shared" si="48"/>
        <v>6.1782112348117979E-3</v>
      </c>
      <c r="T24" s="17" t="str">
        <f t="shared" si="36"/>
        <v>1+0.0000216421858949228i</v>
      </c>
      <c r="U24" s="17">
        <f t="shared" si="49"/>
        <v>1.0000000002341922</v>
      </c>
      <c r="V24" s="17">
        <f t="shared" si="50"/>
        <v>2.1642185891543847E-5</v>
      </c>
      <c r="W24" s="31" t="str">
        <f t="shared" si="37"/>
        <v>1-0.000053393873591102i</v>
      </c>
      <c r="X24" s="17">
        <f t="shared" si="51"/>
        <v>1.0000000014254529</v>
      </c>
      <c r="Y24" s="17">
        <f t="shared" si="52"/>
        <v>-5.3393873540361697E-5</v>
      </c>
      <c r="Z24" s="31" t="str">
        <f t="shared" si="38"/>
        <v>0.99999999988043+0.0000746745283378673i</v>
      </c>
      <c r="AA24" s="17">
        <f t="shared" si="53"/>
        <v>1.0000000026685725</v>
      </c>
      <c r="AB24" s="17">
        <f t="shared" si="54"/>
        <v>7.4674528207993983E-5</v>
      </c>
      <c r="AC24" s="66" t="str">
        <f t="shared" si="55"/>
        <v>17.3995629111987-0.109351384372546i</v>
      </c>
      <c r="AD24" s="64">
        <f t="shared" si="56"/>
        <v>24.810938305942102</v>
      </c>
      <c r="AE24" s="61">
        <f t="shared" si="57"/>
        <v>-0.36008320169317098</v>
      </c>
      <c r="AF24" s="31" t="str">
        <f t="shared" si="39"/>
        <v>-9090.90909090909</v>
      </c>
      <c r="AG24" s="31" t="str">
        <f t="shared" si="40"/>
        <v>72.1406196497425i</v>
      </c>
      <c r="AH24" s="31">
        <f t="shared" si="58"/>
        <v>72.140619649742504</v>
      </c>
      <c r="AI24" s="31">
        <f t="shared" si="59"/>
        <v>1.5707963267948966</v>
      </c>
      <c r="AJ24" s="31" t="str">
        <f t="shared" si="41"/>
        <v>0.99998114628651+0.0249784731318644i</v>
      </c>
      <c r="AK24" s="31">
        <f t="shared" si="60"/>
        <v>1.0002930655805236</v>
      </c>
      <c r="AL24" s="31">
        <f t="shared" si="61"/>
        <v>2.4973750837304222E-2</v>
      </c>
      <c r="AM24" s="31" t="str">
        <f t="shared" si="42"/>
        <v>1+0.0950669085744306i</v>
      </c>
      <c r="AN24" s="31">
        <f t="shared" si="62"/>
        <v>1.0045086943903965</v>
      </c>
      <c r="AO24" s="31">
        <f t="shared" si="63"/>
        <v>9.4782055696210663E-2</v>
      </c>
      <c r="AP24" s="31" t="str">
        <f t="shared" si="43"/>
        <v>1+0.0158709363229433i</v>
      </c>
      <c r="AQ24" s="31">
        <f t="shared" si="64"/>
        <v>1.0001259353800236</v>
      </c>
      <c r="AR24" s="31">
        <f t="shared" si="65"/>
        <v>1.586960396546501E-2</v>
      </c>
      <c r="AS24" s="58" t="str">
        <f t="shared" si="66"/>
        <v>-10.8304366908978+126.099281025887i</v>
      </c>
      <c r="AT24" s="49">
        <f t="shared" si="67"/>
        <v>42.04617156082044</v>
      </c>
      <c r="AU24" s="61">
        <f t="shared" si="68"/>
        <v>94.908982573143135</v>
      </c>
      <c r="AV24" s="58" t="str">
        <f t="shared" si="44"/>
        <v>-174.655733610467+2195.25669651235i</v>
      </c>
      <c r="AW24" s="64">
        <f t="shared" si="69"/>
        <v>66.857109866762528</v>
      </c>
      <c r="AX24" s="49">
        <f t="shared" si="70"/>
        <v>94.548899371449963</v>
      </c>
      <c r="AY24" s="310"/>
      <c r="BA24" s="31">
        <f t="shared" si="71"/>
        <v>0</v>
      </c>
      <c r="BB24" s="31">
        <f t="shared" si="72"/>
        <v>0</v>
      </c>
    </row>
    <row r="25" spans="1:54" x14ac:dyDescent="0.45">
      <c r="A25" s="31" t="s">
        <v>30</v>
      </c>
      <c r="B25" s="43">
        <f>VOUT1</f>
        <v>5</v>
      </c>
      <c r="C25" s="31" t="s">
        <v>9</v>
      </c>
      <c r="E25" s="31" t="s">
        <v>150</v>
      </c>
      <c r="N25" s="10">
        <v>7</v>
      </c>
      <c r="O25" s="50">
        <f t="shared" si="45"/>
        <v>11.748975549395301</v>
      </c>
      <c r="P25" s="48" t="str">
        <f t="shared" si="46"/>
        <v>17.4002386318441</v>
      </c>
      <c r="Q25" s="17" t="str">
        <f t="shared" si="35"/>
        <v>1+0.00632220070170447i</v>
      </c>
      <c r="R25" s="17">
        <f t="shared" si="47"/>
        <v>1.000019984911158</v>
      </c>
      <c r="S25" s="17">
        <f t="shared" si="48"/>
        <v>6.3221164704699191E-3</v>
      </c>
      <c r="T25" s="17" t="str">
        <f t="shared" si="36"/>
        <v>1+0.0000221462971639119i</v>
      </c>
      <c r="U25" s="17">
        <f t="shared" si="49"/>
        <v>1.0000000002452292</v>
      </c>
      <c r="V25" s="17">
        <f t="shared" si="50"/>
        <v>2.2146297160291289E-5</v>
      </c>
      <c r="W25" s="31" t="str">
        <f t="shared" si="37"/>
        <v>1-0.0000546375766764991i</v>
      </c>
      <c r="X25" s="17">
        <f t="shared" si="51"/>
        <v>1.0000000014926322</v>
      </c>
      <c r="Y25" s="17">
        <f t="shared" si="52"/>
        <v>-5.4637576622129892E-5</v>
      </c>
      <c r="Z25" s="31" t="str">
        <f t="shared" si="38"/>
        <v>0.999999999874795+0.0000764139215500103i</v>
      </c>
      <c r="AA25" s="17">
        <f t="shared" si="53"/>
        <v>1.0000000027943388</v>
      </c>
      <c r="AB25" s="17">
        <f t="shared" si="54"/>
        <v>7.6413921410848514E-5</v>
      </c>
      <c r="AC25" s="66" t="str">
        <f t="shared" si="55"/>
        <v>17.3995310667387-0.11189830399715i</v>
      </c>
      <c r="AD25" s="64">
        <f t="shared" si="56"/>
        <v>24.810930493066358</v>
      </c>
      <c r="AE25" s="61">
        <f t="shared" si="57"/>
        <v>-0.36847039972510026</v>
      </c>
      <c r="AF25" s="31" t="str">
        <f t="shared" si="39"/>
        <v>-9090.90909090909</v>
      </c>
      <c r="AG25" s="31" t="str">
        <f t="shared" si="40"/>
        <v>73.8209905463728i</v>
      </c>
      <c r="AH25" s="31">
        <f t="shared" si="58"/>
        <v>73.820990546372798</v>
      </c>
      <c r="AI25" s="31">
        <f t="shared" si="59"/>
        <v>1.5707963267948966</v>
      </c>
      <c r="AJ25" s="31" t="str">
        <f t="shared" si="41"/>
        <v>0.999980257738368+0.0255602965137099i</v>
      </c>
      <c r="AK25" s="31">
        <f t="shared" si="60"/>
        <v>1.0003068752259787</v>
      </c>
      <c r="AL25" s="31">
        <f t="shared" si="61"/>
        <v>2.5555236567669431E-2</v>
      </c>
      <c r="AM25" s="31" t="str">
        <f t="shared" si="42"/>
        <v>1+0.09728130134201i</v>
      </c>
      <c r="AN25" s="31">
        <f t="shared" si="62"/>
        <v>1.0047206833696591</v>
      </c>
      <c r="AO25" s="31">
        <f t="shared" si="63"/>
        <v>9.6976153384651487E-2</v>
      </c>
      <c r="AP25" s="31" t="str">
        <f t="shared" si="43"/>
        <v>1+0.016240617920202i</v>
      </c>
      <c r="AQ25" s="31">
        <f t="shared" si="64"/>
        <v>1.0001318701403481</v>
      </c>
      <c r="AR25" s="31">
        <f t="shared" si="65"/>
        <v>1.6239190283608925E-2</v>
      </c>
      <c r="AS25" s="58" t="str">
        <f t="shared" si="66"/>
        <v>-10.8303489295271+123.232720886689i</v>
      </c>
      <c r="AT25" s="49">
        <f t="shared" si="67"/>
        <v>41.847936044594142</v>
      </c>
      <c r="AU25" s="61">
        <f t="shared" si="68"/>
        <v>95.022554168528615</v>
      </c>
      <c r="AV25" s="58" t="str">
        <f t="shared" si="44"/>
        <v>-174.653460198752+2145.4034531836i</v>
      </c>
      <c r="AW25" s="64">
        <f t="shared" si="69"/>
        <v>66.658866537660529</v>
      </c>
      <c r="AX25" s="49">
        <f t="shared" si="70"/>
        <v>94.654083768803503</v>
      </c>
      <c r="AY25" s="310"/>
      <c r="BA25" s="31">
        <f t="shared" si="71"/>
        <v>0</v>
      </c>
      <c r="BB25" s="31">
        <f t="shared" si="72"/>
        <v>0</v>
      </c>
    </row>
    <row r="26" spans="1:54" x14ac:dyDescent="0.45">
      <c r="A26" s="31" t="s">
        <v>31</v>
      </c>
      <c r="B26" s="43">
        <f>IOUT1</f>
        <v>4</v>
      </c>
      <c r="C26" s="31" t="s">
        <v>10</v>
      </c>
      <c r="E26" s="31" t="s">
        <v>32</v>
      </c>
      <c r="N26" s="10">
        <v>8</v>
      </c>
      <c r="O26" s="50">
        <f t="shared" si="45"/>
        <v>12.022644346174133</v>
      </c>
      <c r="P26" s="48" t="str">
        <f t="shared" si="46"/>
        <v>17.4002386318441</v>
      </c>
      <c r="Q26" s="17" t="str">
        <f t="shared" si="35"/>
        <v>1+0.00646946367384664i</v>
      </c>
      <c r="R26" s="17">
        <f t="shared" si="47"/>
        <v>1.0000209267611488</v>
      </c>
      <c r="S26" s="17">
        <f t="shared" si="48"/>
        <v>6.4693734185547217E-3</v>
      </c>
      <c r="T26" s="17" t="str">
        <f t="shared" si="36"/>
        <v>1+0.0000226621506927981i</v>
      </c>
      <c r="U26" s="17">
        <f t="shared" si="49"/>
        <v>1.0000000002567866</v>
      </c>
      <c r="V26" s="17">
        <f t="shared" si="50"/>
        <v>2.2662150688918545E-5</v>
      </c>
      <c r="W26" s="31" t="str">
        <f t="shared" si="37"/>
        <v>1-0.0000559102493282638i</v>
      </c>
      <c r="X26" s="17">
        <f t="shared" si="51"/>
        <v>1.000000001562978</v>
      </c>
      <c r="Y26" s="17">
        <f t="shared" si="52"/>
        <v>-5.5910249270006144E-5</v>
      </c>
      <c r="Z26" s="31" t="str">
        <f t="shared" si="38"/>
        <v>0.999999999868894+0.0000781938304348167i</v>
      </c>
      <c r="AA26" s="17">
        <f t="shared" si="53"/>
        <v>1.0000000029260314</v>
      </c>
      <c r="AB26" s="17">
        <f t="shared" si="54"/>
        <v>7.8193830285702186E-5</v>
      </c>
      <c r="AC26" s="66" t="str">
        <f t="shared" si="55"/>
        <v>17.3994977216183-0.114504534602903i</v>
      </c>
      <c r="AD26" s="64">
        <f t="shared" si="56"/>
        <v>24.810922311996173</v>
      </c>
      <c r="AE26" s="61">
        <f t="shared" si="57"/>
        <v>-0.37705294516217053</v>
      </c>
      <c r="AF26" s="31" t="str">
        <f t="shared" si="39"/>
        <v>-9090.90909090909</v>
      </c>
      <c r="AG26" s="31" t="str">
        <f t="shared" si="40"/>
        <v>75.540502309327i</v>
      </c>
      <c r="AH26" s="31">
        <f t="shared" si="58"/>
        <v>75.540502309326996</v>
      </c>
      <c r="AI26" s="31">
        <f t="shared" si="59"/>
        <v>1.5707963267948966</v>
      </c>
      <c r="AJ26" s="31" t="str">
        <f t="shared" si="41"/>
        <v>0.999979327314242+0.0261556723030976i</v>
      </c>
      <c r="AK26" s="31">
        <f t="shared" si="60"/>
        <v>1.0003213354964851</v>
      </c>
      <c r="AL26" s="31">
        <f t="shared" si="61"/>
        <v>2.6150250567192296E-2</v>
      </c>
      <c r="AM26" s="31" t="str">
        <f t="shared" si="42"/>
        <v>1+0.0995472739432311i</v>
      </c>
      <c r="AN26" s="31">
        <f t="shared" si="62"/>
        <v>1.0049426151524916</v>
      </c>
      <c r="AO26" s="31">
        <f t="shared" si="63"/>
        <v>9.9220388807488513E-2</v>
      </c>
      <c r="AP26" s="31" t="str">
        <f t="shared" si="43"/>
        <v>1+0.0166189105080519i</v>
      </c>
      <c r="AQ26" s="31">
        <f t="shared" si="64"/>
        <v>1.0001380845595644</v>
      </c>
      <c r="AR26" s="31">
        <f t="shared" si="65"/>
        <v>1.6617380779288239E-2</v>
      </c>
      <c r="AS26" s="58" t="str">
        <f t="shared" si="66"/>
        <v>-10.8302570372662+120.431500163011i</v>
      </c>
      <c r="AT26" s="49">
        <f t="shared" si="67"/>
        <v>41.649782860110555</v>
      </c>
      <c r="AU26" s="61">
        <f t="shared" si="68"/>
        <v>95.13871631482148</v>
      </c>
      <c r="AV26" s="58" t="str">
        <f t="shared" si="44"/>
        <v>-174.651079766759+2096.68772623907i</v>
      </c>
      <c r="AW26" s="64">
        <f t="shared" si="69"/>
        <v>66.460705172106742</v>
      </c>
      <c r="AX26" s="49">
        <f t="shared" si="70"/>
        <v>94.761663369659303</v>
      </c>
      <c r="AY26" s="310"/>
      <c r="BA26" s="31">
        <f t="shared" si="71"/>
        <v>0</v>
      </c>
      <c r="BB26" s="31">
        <f t="shared" si="72"/>
        <v>0</v>
      </c>
    </row>
    <row r="27" spans="1:54" x14ac:dyDescent="0.45">
      <c r="N27" s="10">
        <v>9</v>
      </c>
      <c r="O27" s="50">
        <f t="shared" si="45"/>
        <v>12.302687708123818</v>
      </c>
      <c r="P27" s="48" t="str">
        <f t="shared" si="46"/>
        <v>17.4002386318441</v>
      </c>
      <c r="Q27" s="17" t="str">
        <f t="shared" si="35"/>
        <v>1+0.00662015684126218i</v>
      </c>
      <c r="R27" s="17">
        <f t="shared" si="47"/>
        <v>1.0000219129982117</v>
      </c>
      <c r="S27" s="17">
        <f t="shared" si="48"/>
        <v>6.6200601310889432E-3</v>
      </c>
      <c r="T27" s="17" t="str">
        <f t="shared" si="36"/>
        <v>1+0.0000231900199939508i</v>
      </c>
      <c r="U27" s="17">
        <f t="shared" si="49"/>
        <v>1.0000000002688885</v>
      </c>
      <c r="V27" s="17">
        <f t="shared" si="50"/>
        <v>2.3190019989793779E-5</v>
      </c>
      <c r="W27" s="31" t="str">
        <f t="shared" si="37"/>
        <v>1-0.0000572125663342822i</v>
      </c>
      <c r="X27" s="17">
        <f t="shared" si="51"/>
        <v>1.0000000016366388</v>
      </c>
      <c r="Y27" s="17">
        <f t="shared" si="52"/>
        <v>-5.7212566271857991E-5</v>
      </c>
      <c r="Z27" s="31" t="str">
        <f t="shared" si="38"/>
        <v>0.999999999862715+0.0000800151987235376i</v>
      </c>
      <c r="AA27" s="17">
        <f t="shared" si="53"/>
        <v>1.0000000030639309</v>
      </c>
      <c r="AB27" s="17">
        <f t="shared" si="54"/>
        <v>8.001519856375852E-5</v>
      </c>
      <c r="AC27" s="66" t="str">
        <f t="shared" si="55"/>
        <v>17.3994628051253-0.117171456690392i</v>
      </c>
      <c r="AD27" s="64">
        <f t="shared" si="56"/>
        <v>24.810913745380475</v>
      </c>
      <c r="AE27" s="61">
        <f t="shared" si="57"/>
        <v>-0.38583538711907323</v>
      </c>
      <c r="AF27" s="31" t="str">
        <f t="shared" si="39"/>
        <v>-9090.90909090909</v>
      </c>
      <c r="AG27" s="31" t="str">
        <f t="shared" si="40"/>
        <v>77.3000666465025i</v>
      </c>
      <c r="AH27" s="31">
        <f t="shared" si="58"/>
        <v>77.300066646502501</v>
      </c>
      <c r="AI27" s="31">
        <f t="shared" si="59"/>
        <v>1.5707963267948966</v>
      </c>
      <c r="AJ27" s="31" t="str">
        <f t="shared" si="41"/>
        <v>0.999978353040578+0.0267649161761515i</v>
      </c>
      <c r="AK27" s="31">
        <f t="shared" si="60"/>
        <v>1.0003364770354339</v>
      </c>
      <c r="AL27" s="31">
        <f t="shared" si="61"/>
        <v>2.675910678688205E-2</v>
      </c>
      <c r="AM27" s="31" t="str">
        <f t="shared" si="42"/>
        <v>1+0.101866027826761i</v>
      </c>
      <c r="AN27" s="31">
        <f t="shared" si="62"/>
        <v>1.0051749537394983</v>
      </c>
      <c r="AO27" s="31">
        <f t="shared" si="63"/>
        <v>0.10151586141198143</v>
      </c>
      <c r="AP27" s="31" t="str">
        <f t="shared" si="43"/>
        <v>1+0.0170060146622305i</v>
      </c>
      <c r="AQ27" s="31">
        <f t="shared" si="64"/>
        <v>1.0001445918139498</v>
      </c>
      <c r="AR27" s="31">
        <f t="shared" si="65"/>
        <v>1.7004375541126736E-2</v>
      </c>
      <c r="AS27" s="58" t="str">
        <f t="shared" si="66"/>
        <v>-10.8301608199312+117.694133595958i</v>
      </c>
      <c r="AT27" s="49">
        <f t="shared" si="67"/>
        <v>41.451715808674827</v>
      </c>
      <c r="AU27" s="61">
        <f t="shared" si="68"/>
        <v>95.257525481875319</v>
      </c>
      <c r="AV27" s="58" t="str">
        <f t="shared" si="44"/>
        <v>-174.648587282566+2049.08368560378i</v>
      </c>
      <c r="AW27" s="64">
        <f t="shared" si="69"/>
        <v>66.262629554055295</v>
      </c>
      <c r="AX27" s="49">
        <f t="shared" si="70"/>
        <v>94.871690094756232</v>
      </c>
      <c r="AY27" s="310"/>
      <c r="BA27" s="31">
        <f t="shared" si="71"/>
        <v>0</v>
      </c>
      <c r="BB27" s="31">
        <f t="shared" si="72"/>
        <v>0</v>
      </c>
    </row>
    <row r="28" spans="1:54" x14ac:dyDescent="0.45">
      <c r="A28" s="31" t="s">
        <v>151</v>
      </c>
      <c r="N28" s="10">
        <v>10</v>
      </c>
      <c r="O28" s="50">
        <f t="shared" si="45"/>
        <v>12.58925411794168</v>
      </c>
      <c r="P28" s="48" t="str">
        <f t="shared" si="46"/>
        <v>17.4002386318441</v>
      </c>
      <c r="Q28" s="17" t="str">
        <f t="shared" si="35"/>
        <v>1+0.00677436010346308i</v>
      </c>
      <c r="R28" s="17">
        <f t="shared" si="47"/>
        <v>1.0000229457141527</v>
      </c>
      <c r="S28" s="17">
        <f t="shared" si="48"/>
        <v>6.7742564767738628E-3</v>
      </c>
      <c r="T28" s="17" t="str">
        <f t="shared" si="36"/>
        <v>1+0.0000237301849506604i</v>
      </c>
      <c r="U28" s="17">
        <f t="shared" si="49"/>
        <v>1.000000000281561</v>
      </c>
      <c r="V28" s="17">
        <f t="shared" si="50"/>
        <v>2.3730184946206073E-5</v>
      </c>
      <c r="W28" s="31" t="str">
        <f t="shared" si="37"/>
        <v>1-0.0000585452182002687i</v>
      </c>
      <c r="X28" s="17">
        <f t="shared" si="51"/>
        <v>1.0000000017137711</v>
      </c>
      <c r="Y28" s="17">
        <f t="shared" si="52"/>
        <v>-5.854521813337996E-5</v>
      </c>
      <c r="Z28" s="31" t="str">
        <f t="shared" si="38"/>
        <v>0.999999999856246+0.000081878992129748i</v>
      </c>
      <c r="AA28" s="17">
        <f t="shared" si="53"/>
        <v>1.0000000032083305</v>
      </c>
      <c r="AB28" s="17">
        <f t="shared" si="54"/>
        <v>8.1878991958541571E-5</v>
      </c>
      <c r="AC28" s="66" t="str">
        <f t="shared" si="55"/>
        <v>17.3994262432165-0.119900482842569i</v>
      </c>
      <c r="AD28" s="64">
        <f t="shared" si="56"/>
        <v>24.810904775050822</v>
      </c>
      <c r="AE28" s="61">
        <f t="shared" si="57"/>
        <v>-0.39482238059354863</v>
      </c>
      <c r="AF28" s="31" t="str">
        <f t="shared" si="39"/>
        <v>-9090.90909090909</v>
      </c>
      <c r="AG28" s="31" t="str">
        <f t="shared" si="40"/>
        <v>79.1006165022013i</v>
      </c>
      <c r="AH28" s="31">
        <f t="shared" si="58"/>
        <v>79.100616502201305</v>
      </c>
      <c r="AI28" s="31">
        <f t="shared" si="59"/>
        <v>1.5707963267948966</v>
      </c>
      <c r="AJ28" s="31" t="str">
        <f t="shared" si="41"/>
        <v>0.999977332850811+0.0273883511620377i</v>
      </c>
      <c r="AK28" s="31">
        <f t="shared" si="60"/>
        <v>1.0003523319285046</v>
      </c>
      <c r="AL28" s="31">
        <f t="shared" si="61"/>
        <v>2.73821264075629E-2</v>
      </c>
      <c r="AM28" s="31" t="str">
        <f t="shared" si="42"/>
        <v>1+0.104238792426601i</v>
      </c>
      <c r="AN28" s="31">
        <f t="shared" si="62"/>
        <v>1.0054181845613079</v>
      </c>
      <c r="AO28" s="31">
        <f t="shared" si="63"/>
        <v>0.10386369147271805</v>
      </c>
      <c r="AP28" s="31" t="str">
        <f t="shared" si="43"/>
        <v>1+0.0174021356304843i</v>
      </c>
      <c r="AQ28" s="31">
        <f t="shared" si="64"/>
        <v>1.0001514057004077</v>
      </c>
      <c r="AR28" s="31">
        <f t="shared" si="65"/>
        <v>1.740037929493762E-2</v>
      </c>
      <c r="AS28" s="58" t="str">
        <f t="shared" si="66"/>
        <v>-10.8300600742345+115.019169781909i</v>
      </c>
      <c r="AT28" s="49">
        <f t="shared" si="67"/>
        <v>41.253738863250248</v>
      </c>
      <c r="AU28" s="61">
        <f t="shared" si="68"/>
        <v>95.37903918431536</v>
      </c>
      <c r="AV28" s="58" t="str">
        <f t="shared" si="44"/>
        <v>-174.645977478245+2002.56609060844i</v>
      </c>
      <c r="AW28" s="64">
        <f t="shared" si="69"/>
        <v>66.064643638301078</v>
      </c>
      <c r="AX28" s="49">
        <f t="shared" si="70"/>
        <v>94.984216803721807</v>
      </c>
      <c r="AY28" s="310"/>
      <c r="BA28" s="31">
        <f t="shared" si="71"/>
        <v>0</v>
      </c>
      <c r="BB28" s="31">
        <f t="shared" si="72"/>
        <v>0</v>
      </c>
    </row>
    <row r="29" spans="1:54" x14ac:dyDescent="0.45">
      <c r="A29" s="31" t="s">
        <v>152</v>
      </c>
      <c r="B29" s="43">
        <f>Lm</f>
        <v>2.9999999999999997E-5</v>
      </c>
      <c r="C29" s="31" t="s">
        <v>73</v>
      </c>
      <c r="E29" s="31" t="s">
        <v>153</v>
      </c>
      <c r="N29" s="10">
        <v>11</v>
      </c>
      <c r="O29" s="50">
        <f t="shared" si="45"/>
        <v>12.882495516931346</v>
      </c>
      <c r="P29" s="48" t="str">
        <f t="shared" si="46"/>
        <v>17.4002386318441</v>
      </c>
      <c r="Q29" s="17" t="str">
        <f t="shared" si="35"/>
        <v>1+0.00693215522106009i</v>
      </c>
      <c r="R29" s="17">
        <f t="shared" si="47"/>
        <v>1.0000240270993537</v>
      </c>
      <c r="S29" s="17">
        <f t="shared" si="48"/>
        <v>6.932044183206143E-3</v>
      </c>
      <c r="T29" s="17" t="str">
        <f t="shared" si="36"/>
        <v>1+0.000024282931965537i</v>
      </c>
      <c r="U29" s="17">
        <f t="shared" si="49"/>
        <v>1.0000000002948304</v>
      </c>
      <c r="V29" s="17">
        <f t="shared" si="50"/>
        <v>2.4282931960764101E-5</v>
      </c>
      <c r="W29" s="31" t="str">
        <f t="shared" si="37"/>
        <v>1-0.0000599089115158826i</v>
      </c>
      <c r="X29" s="17">
        <f t="shared" si="51"/>
        <v>1.0000000017945387</v>
      </c>
      <c r="Y29" s="17">
        <f t="shared" si="52"/>
        <v>-5.9908911444210019E-5</v>
      </c>
      <c r="Z29" s="31" t="str">
        <f t="shared" si="38"/>
        <v>0.999999999849471+0.0000837861988613821i</v>
      </c>
      <c r="AA29" s="17">
        <f t="shared" si="53"/>
        <v>1.0000000033595344</v>
      </c>
      <c r="AB29" s="17">
        <f t="shared" si="54"/>
        <v>8.3786198677931095E-5</v>
      </c>
      <c r="AC29" s="66" t="str">
        <f t="shared" si="55"/>
        <v>17.3993879583597-0.122693058466772i</v>
      </c>
      <c r="AD29" s="64">
        <f t="shared" si="56"/>
        <v>24.810895381982313</v>
      </c>
      <c r="AE29" s="61">
        <f t="shared" si="57"/>
        <v>-0.40401868892703402</v>
      </c>
      <c r="AF29" s="31" t="str">
        <f t="shared" si="39"/>
        <v>-9090.90909090909</v>
      </c>
      <c r="AG29" s="31" t="str">
        <f t="shared" si="40"/>
        <v>80.9431065517899i</v>
      </c>
      <c r="AH29" s="31">
        <f t="shared" si="58"/>
        <v>80.943106551789896</v>
      </c>
      <c r="AI29" s="31">
        <f t="shared" si="59"/>
        <v>1.5707963267948966</v>
      </c>
      <c r="AJ29" s="31" t="str">
        <f t="shared" si="41"/>
        <v>0.999976264580981+0.0280263078142376i</v>
      </c>
      <c r="AK29" s="31">
        <f t="shared" si="60"/>
        <v>1.0003689337714514</v>
      </c>
      <c r="AL29" s="31">
        <f t="shared" si="61"/>
        <v>2.8019638002352642E-2</v>
      </c>
      <c r="AM29" s="31" t="str">
        <f t="shared" si="42"/>
        <v>1+0.106666825813949i</v>
      </c>
      <c r="AN29" s="31">
        <f t="shared" si="62"/>
        <v>1.0056728154470636</v>
      </c>
      <c r="AO29" s="31">
        <f t="shared" si="63"/>
        <v>0.10626502024798654</v>
      </c>
      <c r="AP29" s="31" t="str">
        <f t="shared" si="43"/>
        <v>1+0.0178074834413938i</v>
      </c>
      <c r="AQ29" s="31">
        <f t="shared" si="64"/>
        <v>1.0001585406656863</v>
      </c>
      <c r="AR29" s="31">
        <f t="shared" si="65"/>
        <v>1.7805601510060505E-2</v>
      </c>
      <c r="AS29" s="58" t="str">
        <f t="shared" si="66"/>
        <v>-10.8299545873606+112.405190402898i</v>
      </c>
      <c r="AT29" s="49">
        <f t="shared" si="67"/>
        <v>41.055856175843232</v>
      </c>
      <c r="AU29" s="61">
        <f t="shared" si="68"/>
        <v>95.503315987280942</v>
      </c>
      <c r="AV29" s="58" t="str">
        <f t="shared" si="44"/>
        <v>-174.643244838833+1957.11027660469i</v>
      </c>
      <c r="AW29" s="64">
        <f t="shared" si="69"/>
        <v>65.866751557825523</v>
      </c>
      <c r="AX29" s="49">
        <f t="shared" si="70"/>
        <v>95.099297298353918</v>
      </c>
      <c r="AY29" s="310"/>
      <c r="BA29" s="31">
        <f t="shared" si="71"/>
        <v>0</v>
      </c>
      <c r="BB29" s="31">
        <f t="shared" si="72"/>
        <v>0</v>
      </c>
    </row>
    <row r="30" spans="1:54" x14ac:dyDescent="0.45">
      <c r="N30" s="10">
        <v>12</v>
      </c>
      <c r="O30" s="50">
        <f t="shared" si="45"/>
        <v>13.182567385564075</v>
      </c>
      <c r="P30" s="48" t="str">
        <f t="shared" si="46"/>
        <v>17.4002386318441</v>
      </c>
      <c r="Q30" s="17" t="str">
        <f t="shared" si="35"/>
        <v>1+0.00709362585911323i</v>
      </c>
      <c r="R30" s="17">
        <f t="shared" si="47"/>
        <v>1.0000251594474157</v>
      </c>
      <c r="S30" s="17">
        <f t="shared" si="48"/>
        <v>7.0935068800707822E-3</v>
      </c>
      <c r="T30" s="17" t="str">
        <f t="shared" si="36"/>
        <v>1+0.0000248485541123643i</v>
      </c>
      <c r="U30" s="17">
        <f t="shared" si="49"/>
        <v>1.0000000003087253</v>
      </c>
      <c r="V30" s="17">
        <f t="shared" si="50"/>
        <v>2.4848554107250047E-5</v>
      </c>
      <c r="W30" s="31" t="str">
        <f t="shared" si="37"/>
        <v>1-0.0000613043693293705i</v>
      </c>
      <c r="X30" s="17">
        <f t="shared" si="51"/>
        <v>1.0000000018791129</v>
      </c>
      <c r="Y30" s="17">
        <f t="shared" si="52"/>
        <v>-6.1304369252571941E-5</v>
      </c>
      <c r="Z30" s="31" t="str">
        <f t="shared" si="38"/>
        <v>0.999999999842376+0.000085737830144694i</v>
      </c>
      <c r="AA30" s="17">
        <f t="shared" si="53"/>
        <v>1.0000000035178636</v>
      </c>
      <c r="AB30" s="17">
        <f t="shared" si="54"/>
        <v>8.5737829948122782E-5</v>
      </c>
      <c r="AC30" s="66" t="str">
        <f t="shared" si="55"/>
        <v>17.3993478693708-0.125550662553677i</v>
      </c>
      <c r="AD30" s="64">
        <f t="shared" si="56"/>
        <v>24.810885546253957</v>
      </c>
      <c r="AE30" s="61">
        <f t="shared" si="57"/>
        <v>-0.4134291863222414</v>
      </c>
      <c r="AF30" s="31" t="str">
        <f t="shared" si="39"/>
        <v>-9090.90909090909</v>
      </c>
      <c r="AG30" s="31" t="str">
        <f t="shared" si="40"/>
        <v>82.828513707881i</v>
      </c>
      <c r="AH30" s="31">
        <f t="shared" si="58"/>
        <v>82.828513707881001</v>
      </c>
      <c r="AI30" s="31">
        <f t="shared" si="59"/>
        <v>1.5707963267948966</v>
      </c>
      <c r="AJ30" s="31" t="str">
        <f t="shared" si="41"/>
        <v>0.999975145965146+0.0286791243858127i</v>
      </c>
      <c r="AK30" s="31">
        <f t="shared" si="60"/>
        <v>1.0003863177410774</v>
      </c>
      <c r="AL30" s="31">
        <f t="shared" si="61"/>
        <v>2.8671977702506044E-2</v>
      </c>
      <c r="AM30" s="31" t="str">
        <f t="shared" si="42"/>
        <v>1+0.109151415364246i</v>
      </c>
      <c r="AN30" s="31">
        <f t="shared" si="62"/>
        <v>1.0059393776346655</v>
      </c>
      <c r="AO30" s="31">
        <f t="shared" si="63"/>
        <v>0.10872101011785326</v>
      </c>
      <c r="AP30" s="31" t="str">
        <f t="shared" si="43"/>
        <v>1+0.0182222730157338i</v>
      </c>
      <c r="AQ30" s="31">
        <f t="shared" si="64"/>
        <v>1.0001660118369651</v>
      </c>
      <c r="AR30" s="31">
        <f t="shared" si="65"/>
        <v>1.8220256508056004E-2</v>
      </c>
      <c r="AS30" s="58" t="str">
        <f t="shared" si="66"/>
        <v>-10.8298441365219+109.850809474514i</v>
      </c>
      <c r="AT30" s="49">
        <f t="shared" si="67"/>
        <v>40.858072085169503</v>
      </c>
      <c r="AU30" s="61">
        <f t="shared" si="68"/>
        <v>95.630415511062722</v>
      </c>
      <c r="AV30" s="58" t="str">
        <f t="shared" si="44"/>
        <v>-174.640383590827+1912.69214188574i</v>
      </c>
      <c r="AW30" s="64">
        <f t="shared" si="69"/>
        <v>65.668957631423481</v>
      </c>
      <c r="AX30" s="49">
        <f t="shared" si="70"/>
        <v>95.216986324740475</v>
      </c>
      <c r="AY30" s="310"/>
      <c r="BA30" s="31">
        <f t="shared" si="71"/>
        <v>0</v>
      </c>
      <c r="BB30" s="31">
        <f t="shared" si="72"/>
        <v>0</v>
      </c>
    </row>
    <row r="31" spans="1:54" x14ac:dyDescent="0.45">
      <c r="A31" s="31" t="s">
        <v>120</v>
      </c>
      <c r="B31" s="43">
        <f>R_cs</f>
        <v>0.19</v>
      </c>
      <c r="C31" s="2" t="s">
        <v>33</v>
      </c>
      <c r="E31" s="31" t="s">
        <v>154</v>
      </c>
      <c r="N31" s="10">
        <v>13</v>
      </c>
      <c r="O31" s="50">
        <f t="shared" si="45"/>
        <v>13.489628825916535</v>
      </c>
      <c r="P31" s="48" t="str">
        <f t="shared" si="46"/>
        <v>17.4002386318441</v>
      </c>
      <c r="Q31" s="17" t="str">
        <f t="shared" si="35"/>
        <v>1+0.00725885763149211i</v>
      </c>
      <c r="R31" s="17">
        <f t="shared" si="47"/>
        <v>1.0000263451600235</v>
      </c>
      <c r="S31" s="17">
        <f t="shared" si="48"/>
        <v>7.2587301433326024E-3</v>
      </c>
      <c r="T31" s="17" t="str">
        <f t="shared" si="36"/>
        <v>1+0.0000254273512914915i</v>
      </c>
      <c r="U31" s="17">
        <f t="shared" si="49"/>
        <v>1.0000000003232752</v>
      </c>
      <c r="V31" s="17">
        <f t="shared" si="50"/>
        <v>2.5427351286011482E-5</v>
      </c>
      <c r="W31" s="31" t="str">
        <f t="shared" si="37"/>
        <v>1-0.000062732331530936i</v>
      </c>
      <c r="X31" s="17">
        <f t="shared" si="51"/>
        <v>1.0000000019676727</v>
      </c>
      <c r="Y31" s="17">
        <f t="shared" si="52"/>
        <v>-6.2732331448644865E-5</v>
      </c>
      <c r="Z31" s="31" t="str">
        <f t="shared" si="38"/>
        <v>0.999999999834948+0.0000877349207604229i</v>
      </c>
      <c r="AA31" s="17">
        <f t="shared" si="53"/>
        <v>1.000000003683656</v>
      </c>
      <c r="AB31" s="17">
        <f t="shared" si="54"/>
        <v>8.7734920549792979E-5</v>
      </c>
      <c r="AC31" s="66" t="str">
        <f t="shared" si="55"/>
        <v>17.3993058912407-0.128474808453496i</v>
      </c>
      <c r="AD31" s="64">
        <f t="shared" si="56"/>
        <v>24.810875247005892</v>
      </c>
      <c r="AE31" s="61">
        <f t="shared" si="57"/>
        <v>-0.4230588604189035</v>
      </c>
      <c r="AF31" s="31" t="str">
        <f t="shared" si="39"/>
        <v>-9090.90909090909</v>
      </c>
      <c r="AG31" s="31" t="str">
        <f t="shared" si="40"/>
        <v>84.757837638305i</v>
      </c>
      <c r="AH31" s="31">
        <f t="shared" si="58"/>
        <v>84.757837638305006</v>
      </c>
      <c r="AI31" s="31">
        <f t="shared" si="59"/>
        <v>1.5707963267948966</v>
      </c>
      <c r="AJ31" s="31" t="str">
        <f t="shared" si="41"/>
        <v>0.99997397463057+0.0293471470087502i</v>
      </c>
      <c r="AK31" s="31">
        <f t="shared" si="60"/>
        <v>1.0004045206695207</v>
      </c>
      <c r="AL31" s="31">
        <f t="shared" si="61"/>
        <v>2.9339489366667998E-2</v>
      </c>
      <c r="AM31" s="31" t="str">
        <f t="shared" si="42"/>
        <v>1+0.111693878439758i</v>
      </c>
      <c r="AN31" s="31">
        <f t="shared" si="62"/>
        <v>1.0062184268243726</v>
      </c>
      <c r="AO31" s="31">
        <f t="shared" si="63"/>
        <v>0.111232844702134</v>
      </c>
      <c r="AP31" s="31" t="str">
        <f t="shared" si="43"/>
        <v>1+0.0186467242804271i</v>
      </c>
      <c r="AQ31" s="31">
        <f t="shared" si="64"/>
        <v>1.0001738350538822</v>
      </c>
      <c r="AR31" s="31">
        <f t="shared" si="65"/>
        <v>1.8644563573803428E-2</v>
      </c>
      <c r="AS31" s="58" t="str">
        <f t="shared" si="66"/>
        <v>-10.8297284884947+107.354672610958i</v>
      </c>
      <c r="AT31" s="49">
        <f t="shared" si="67"/>
        <v>40.660391124611451</v>
      </c>
      <c r="AU31" s="61">
        <f t="shared" si="68"/>
        <v>95.760398434529662</v>
      </c>
      <c r="AV31" s="58" t="str">
        <f t="shared" si="44"/>
        <v>-174.637387690122+1869.28813490522i</v>
      </c>
      <c r="AW31" s="64">
        <f t="shared" si="69"/>
        <v>65.471266371617347</v>
      </c>
      <c r="AX31" s="49">
        <f t="shared" si="70"/>
        <v>95.337339574110757</v>
      </c>
      <c r="AY31" s="310"/>
      <c r="BA31" s="31">
        <f t="shared" si="71"/>
        <v>0</v>
      </c>
      <c r="BB31" s="31">
        <f t="shared" si="72"/>
        <v>0</v>
      </c>
    </row>
    <row r="32" spans="1:54" x14ac:dyDescent="0.45">
      <c r="A32" s="31" t="s">
        <v>121</v>
      </c>
      <c r="B32" s="43">
        <f>R_sl</f>
        <v>0</v>
      </c>
      <c r="C32" s="2" t="s">
        <v>33</v>
      </c>
      <c r="E32" s="31" t="s">
        <v>155</v>
      </c>
      <c r="N32" s="10">
        <v>14</v>
      </c>
      <c r="O32" s="50">
        <f t="shared" si="45"/>
        <v>13.803842646028857</v>
      </c>
      <c r="P32" s="48" t="str">
        <f t="shared" si="46"/>
        <v>17.4002386318441</v>
      </c>
      <c r="Q32" s="17" t="str">
        <f t="shared" si="35"/>
        <v>1+0.00742793814626956i</v>
      </c>
      <c r="R32" s="17">
        <f t="shared" si="47"/>
        <v>1.0000275867520378</v>
      </c>
      <c r="S32" s="17">
        <f t="shared" si="48"/>
        <v>7.4278015404489854E-3</v>
      </c>
      <c r="T32" s="17" t="str">
        <f t="shared" si="36"/>
        <v>1+0.0000260196303888443i</v>
      </c>
      <c r="U32" s="17">
        <f t="shared" si="49"/>
        <v>1.0000000003385106</v>
      </c>
      <c r="V32" s="17">
        <f t="shared" si="50"/>
        <v>2.6019630382972353E-5</v>
      </c>
      <c r="W32" s="31" t="str">
        <f t="shared" si="37"/>
        <v>1-0.0000641935552450398i</v>
      </c>
      <c r="X32" s="17">
        <f t="shared" si="51"/>
        <v>1.0000000020604063</v>
      </c>
      <c r="Y32" s="17">
        <f t="shared" si="52"/>
        <v>-6.419355515686327E-5</v>
      </c>
      <c r="Z32" s="31" t="str">
        <f t="shared" si="38"/>
        <v>0.999999999827169+0.0000897785295924481i</v>
      </c>
      <c r="AA32" s="17">
        <f t="shared" si="53"/>
        <v>1.000000003857261</v>
      </c>
      <c r="AB32" s="17">
        <f t="shared" si="54"/>
        <v>8.9778529366754106E-5</v>
      </c>
      <c r="AC32" s="66" t="str">
        <f t="shared" si="55"/>
        <v>17.3992619349556-0.131467044669848i</v>
      </c>
      <c r="AD32" s="64">
        <f t="shared" si="56"/>
        <v>24.810864462395365</v>
      </c>
      <c r="AE32" s="61">
        <f t="shared" si="57"/>
        <v>-0.43291281492909844</v>
      </c>
      <c r="AF32" s="31" t="str">
        <f t="shared" si="39"/>
        <v>-9090.90909090909</v>
      </c>
      <c r="AG32" s="31" t="str">
        <f t="shared" si="40"/>
        <v>86.7321012961475i</v>
      </c>
      <c r="AH32" s="31">
        <f t="shared" si="58"/>
        <v>86.732101296147505</v>
      </c>
      <c r="AI32" s="31">
        <f t="shared" si="59"/>
        <v>1.5707963267948966</v>
      </c>
      <c r="AJ32" s="31" t="str">
        <f t="shared" si="41"/>
        <v>0.999972748092696+0.0300307298774872i</v>
      </c>
      <c r="AK32" s="31">
        <f t="shared" si="60"/>
        <v>1.0004235811220332</v>
      </c>
      <c r="AL32" s="31">
        <f t="shared" si="61"/>
        <v>3.0022524753585959E-2</v>
      </c>
      <c r="AM32" s="31" t="str">
        <f t="shared" si="42"/>
        <v>1+0.114295563088063i</v>
      </c>
      <c r="AN32" s="31">
        <f t="shared" si="62"/>
        <v>1.0065105442774147</v>
      </c>
      <c r="AO32" s="31">
        <f t="shared" si="63"/>
        <v>0.11380172895633663</v>
      </c>
      <c r="AP32" s="31" t="str">
        <f t="shared" si="43"/>
        <v>1+0.0190810622851524i</v>
      </c>
      <c r="AQ32" s="31">
        <f t="shared" si="64"/>
        <v>1.0001820269020683</v>
      </c>
      <c r="AR32" s="31">
        <f t="shared" si="65"/>
        <v>1.9078747069048708E-2</v>
      </c>
      <c r="AS32" s="58" t="str">
        <f t="shared" si="66"/>
        <v>-10.8296073991332+104.915456306831i</v>
      </c>
      <c r="AT32" s="49">
        <f t="shared" si="67"/>
        <v>40.462818030471119</v>
      </c>
      <c r="AU32" s="61">
        <f t="shared" si="68"/>
        <v>95.893326497236359</v>
      </c>
      <c r="AV32" s="58" t="str">
        <f t="shared" si="44"/>
        <v>-174.634250809404+1826.87524178764i</v>
      </c>
      <c r="AW32" s="64">
        <f t="shared" si="69"/>
        <v>65.273682492866484</v>
      </c>
      <c r="AX32" s="49">
        <f t="shared" si="70"/>
        <v>95.460413682307248</v>
      </c>
      <c r="AY32" s="310"/>
      <c r="BA32" s="31">
        <f t="shared" si="71"/>
        <v>0</v>
      </c>
      <c r="BB32" s="31">
        <f t="shared" si="72"/>
        <v>0</v>
      </c>
    </row>
    <row r="33" spans="1:54" x14ac:dyDescent="0.45">
      <c r="A33" s="31" t="s">
        <v>107</v>
      </c>
      <c r="B33" s="21">
        <f>Rsl_int</f>
        <v>50000</v>
      </c>
      <c r="C33" s="2" t="s">
        <v>33</v>
      </c>
      <c r="E33" s="31" t="s">
        <v>156</v>
      </c>
      <c r="N33" s="10">
        <v>15</v>
      </c>
      <c r="O33" s="50">
        <f t="shared" si="45"/>
        <v>14.125375446227544</v>
      </c>
      <c r="P33" s="48" t="str">
        <f t="shared" si="46"/>
        <v>17.4002386318441</v>
      </c>
      <c r="Q33" s="17" t="str">
        <f t="shared" si="35"/>
        <v>1+0.00760095705217253i</v>
      </c>
      <c r="R33" s="17">
        <f t="shared" si="47"/>
        <v>1.0000288868568292</v>
      </c>
      <c r="S33" s="17">
        <f t="shared" si="48"/>
        <v>7.6008106766269371E-3</v>
      </c>
      <c r="T33" s="17" t="str">
        <f t="shared" si="36"/>
        <v>1+0.0000266257054386397i</v>
      </c>
      <c r="U33" s="17">
        <f t="shared" si="49"/>
        <v>1.000000000354464</v>
      </c>
      <c r="V33" s="17">
        <f t="shared" si="50"/>
        <v>2.6625705432347797E-5</v>
      </c>
      <c r="W33" s="31" t="str">
        <f t="shared" si="37"/>
        <v>1-0.0000656888152318367i</v>
      </c>
      <c r="X33" s="17">
        <f t="shared" si="51"/>
        <v>1.0000000021575102</v>
      </c>
      <c r="Y33" s="17">
        <f t="shared" si="52"/>
        <v>-6.5688815137353827E-5</v>
      </c>
      <c r="Z33" s="31" t="str">
        <f t="shared" si="38"/>
        <v>0.999999999819024+0.0000918697401892224i</v>
      </c>
      <c r="AA33" s="17">
        <f t="shared" si="53"/>
        <v>1.0000000040390484</v>
      </c>
      <c r="AB33" s="17">
        <f t="shared" si="54"/>
        <v>9.1869739947386903E-5</v>
      </c>
      <c r="AC33" s="66" t="str">
        <f t="shared" si="55"/>
        <v>17.3992159073086-0.13452895567164i</v>
      </c>
      <c r="AD33" s="64">
        <f t="shared" si="56"/>
        <v>24.810853169550512</v>
      </c>
      <c r="AE33" s="61">
        <f t="shared" si="57"/>
        <v>-0.4429962723334015</v>
      </c>
      <c r="AF33" s="31" t="str">
        <f t="shared" si="39"/>
        <v>-9090.90909090909</v>
      </c>
      <c r="AG33" s="31" t="str">
        <f t="shared" si="40"/>
        <v>88.7523514621322i</v>
      </c>
      <c r="AH33" s="31">
        <f t="shared" si="58"/>
        <v>88.752351462132197</v>
      </c>
      <c r="AI33" s="31">
        <f t="shared" si="59"/>
        <v>1.5707963267948966</v>
      </c>
      <c r="AJ33" s="31" t="str">
        <f t="shared" si="41"/>
        <v>0.999971463749873+0.0307302354367089i</v>
      </c>
      <c r="AK33" s="31">
        <f t="shared" si="60"/>
        <v>1.0004435394783953</v>
      </c>
      <c r="AL33" s="31">
        <f t="shared" si="61"/>
        <v>3.0721443698326582E-2</v>
      </c>
      <c r="AM33" s="31" t="str">
        <f t="shared" si="42"/>
        <v>1+0.116957848756798i</v>
      </c>
      <c r="AN33" s="31">
        <f t="shared" si="62"/>
        <v>1.0068163379613078</v>
      </c>
      <c r="AO33" s="31">
        <f t="shared" si="63"/>
        <v>0.11642888924350452</v>
      </c>
      <c r="AP33" s="31" t="str">
        <f t="shared" si="43"/>
        <v>1+0.0195255173216691i</v>
      </c>
      <c r="AQ33" s="31">
        <f t="shared" si="64"/>
        <v>1.0001906047482543</v>
      </c>
      <c r="AR33" s="31">
        <f t="shared" si="65"/>
        <v>1.952303654845083E-2</v>
      </c>
      <c r="AS33" s="58" t="str">
        <f t="shared" si="66"/>
        <v>-10.8294806128614+102.5318672353i</v>
      </c>
      <c r="AT33" s="49">
        <f t="shared" si="67"/>
        <v>40.265357750527961</v>
      </c>
      <c r="AU33" s="61">
        <f t="shared" si="68"/>
        <v>96.029262500091889</v>
      </c>
      <c r="AV33" s="58" t="str">
        <f t="shared" si="44"/>
        <v>-174.63096632496+1785.4309741238i</v>
      </c>
      <c r="AW33" s="64">
        <f t="shared" si="69"/>
        <v>65.076210920078466</v>
      </c>
      <c r="AX33" s="49">
        <f t="shared" si="70"/>
        <v>95.586266227758486</v>
      </c>
      <c r="AY33" s="310"/>
      <c r="BA33" s="31">
        <f t="shared" si="71"/>
        <v>0</v>
      </c>
      <c r="BB33" s="31">
        <f t="shared" si="72"/>
        <v>0</v>
      </c>
    </row>
    <row r="34" spans="1:54" x14ac:dyDescent="0.45">
      <c r="A34" s="31" t="s">
        <v>105</v>
      </c>
      <c r="B34" s="21">
        <f>Isl</f>
        <v>9.9999999999999991E-6</v>
      </c>
      <c r="C34" s="2" t="s">
        <v>10</v>
      </c>
      <c r="E34" s="31" t="s">
        <v>157</v>
      </c>
      <c r="N34" s="10">
        <v>16</v>
      </c>
      <c r="O34" s="50">
        <f t="shared" si="45"/>
        <v>14.454397707459275</v>
      </c>
      <c r="P34" s="48" t="str">
        <f t="shared" si="46"/>
        <v>17.4002386318441</v>
      </c>
      <c r="Q34" s="17" t="str">
        <f t="shared" si="35"/>
        <v>1+0.00777800608611512i</v>
      </c>
      <c r="R34" s="17">
        <f t="shared" si="47"/>
        <v>1.0000302482318602</v>
      </c>
      <c r="S34" s="17">
        <f t="shared" si="48"/>
        <v>7.7778492421484253E-3</v>
      </c>
      <c r="T34" s="17" t="str">
        <f t="shared" si="36"/>
        <v>1+0.0000272458977898915i</v>
      </c>
      <c r="U34" s="17">
        <f t="shared" si="49"/>
        <v>1.0000000003711693</v>
      </c>
      <c r="V34" s="17">
        <f t="shared" si="50"/>
        <v>2.7245897783149602E-5</v>
      </c>
      <c r="W34" s="31" t="str">
        <f t="shared" si="37"/>
        <v>1-0.0000672189042979637i</v>
      </c>
      <c r="X34" s="17">
        <f t="shared" si="51"/>
        <v>1.0000000022591904</v>
      </c>
      <c r="Y34" s="17">
        <f t="shared" si="52"/>
        <v>-6.7218904196723496E-5</v>
      </c>
      <c r="Z34" s="31" t="str">
        <f t="shared" si="38"/>
        <v>0.999999999810495+0.0000940096613382848i</v>
      </c>
      <c r="AA34" s="17">
        <f t="shared" si="53"/>
        <v>1.0000000042294031</v>
      </c>
      <c r="AB34" s="17">
        <f t="shared" si="54"/>
        <v>9.4009661079153388E-5</v>
      </c>
      <c r="AC34" s="66" t="str">
        <f t="shared" si="55"/>
        <v>17.399167710702-0.137662162723379i</v>
      </c>
      <c r="AD34" s="64">
        <f t="shared" si="56"/>
        <v>24.810841344521766</v>
      </c>
      <c r="AE34" s="61">
        <f t="shared" si="57"/>
        <v>-0.45331457663936747</v>
      </c>
      <c r="AF34" s="31" t="str">
        <f t="shared" si="39"/>
        <v>-9090.90909090909</v>
      </c>
      <c r="AG34" s="31" t="str">
        <f t="shared" si="40"/>
        <v>90.8196592996384i</v>
      </c>
      <c r="AH34" s="31">
        <f t="shared" si="58"/>
        <v>90.819659299638403</v>
      </c>
      <c r="AI34" s="31">
        <f t="shared" si="59"/>
        <v>1.5707963267948966</v>
      </c>
      <c r="AJ34" s="31" t="str">
        <f t="shared" si="41"/>
        <v>0.999970118877838+0.0314460345735219i</v>
      </c>
      <c r="AK34" s="31">
        <f t="shared" si="60"/>
        <v>1.000464438018142</v>
      </c>
      <c r="AL34" s="31">
        <f t="shared" si="61"/>
        <v>3.1436614292042614E-2</v>
      </c>
      <c r="AM34" s="31" t="str">
        <f t="shared" si="42"/>
        <v>1+0.119682147025063i</v>
      </c>
      <c r="AN34" s="31">
        <f t="shared" si="62"/>
        <v>1.0071364437436117</v>
      </c>
      <c r="AO34" s="31">
        <f t="shared" si="63"/>
        <v>0.11911557337979163</v>
      </c>
      <c r="AP34" s="31" t="str">
        <f t="shared" si="43"/>
        <v>1+0.0199803250459204i</v>
      </c>
      <c r="AQ34" s="31">
        <f t="shared" si="64"/>
        <v>1.0001995867770295</v>
      </c>
      <c r="AR34" s="31">
        <f t="shared" si="65"/>
        <v>1.9977666878172477E-2</v>
      </c>
      <c r="AS34" s="58" t="str">
        <f t="shared" si="66"/>
        <v>-10.8293478621415+100.202641562254i</v>
      </c>
      <c r="AT34" s="49">
        <f t="shared" si="67"/>
        <v>40.068015452906806</v>
      </c>
      <c r="AU34" s="61">
        <f t="shared" si="68"/>
        <v>96.168270304465821</v>
      </c>
      <c r="AV34" s="58" t="str">
        <f t="shared" si="44"/>
        <v>-174.627527302877+1744.9333570446i</v>
      </c>
      <c r="AW34" s="64">
        <f t="shared" si="69"/>
        <v>64.878856797428568</v>
      </c>
      <c r="AX34" s="49">
        <f t="shared" si="70"/>
        <v>95.714955727826464</v>
      </c>
      <c r="AY34" s="310"/>
      <c r="BA34" s="31">
        <f t="shared" si="71"/>
        <v>0</v>
      </c>
      <c r="BB34" s="31">
        <f t="shared" si="72"/>
        <v>0</v>
      </c>
    </row>
    <row r="35" spans="1:54" x14ac:dyDescent="0.45">
      <c r="B35" s="26"/>
      <c r="C35" s="2"/>
      <c r="N35" s="10">
        <v>17</v>
      </c>
      <c r="O35" s="50">
        <f t="shared" si="45"/>
        <v>14.791083881682074</v>
      </c>
      <c r="P35" s="48" t="str">
        <f t="shared" si="46"/>
        <v>17.4002386318441</v>
      </c>
      <c r="Q35" s="17" t="str">
        <f t="shared" si="35"/>
        <v>1+0.00795917912183866i</v>
      </c>
      <c r="R35" s="17">
        <f t="shared" si="47"/>
        <v>1.0000316737645332</v>
      </c>
      <c r="S35" s="17">
        <f t="shared" si="48"/>
        <v>7.9590110607879218E-3</v>
      </c>
      <c r="T35" s="17" t="str">
        <f t="shared" si="36"/>
        <v>1+0.0000278805362767937i</v>
      </c>
      <c r="U35" s="17">
        <f t="shared" si="49"/>
        <v>1.000000000388662</v>
      </c>
      <c r="V35" s="17">
        <f t="shared" si="50"/>
        <v>2.7880536269569628E-5</v>
      </c>
      <c r="W35" s="31" t="str">
        <f t="shared" si="37"/>
        <v>1-0.0000687846337168969i</v>
      </c>
      <c r="X35" s="17">
        <f t="shared" si="51"/>
        <v>1.0000000023656628</v>
      </c>
      <c r="Y35" s="17">
        <f t="shared" si="52"/>
        <v>-6.8784633608416057E-5</v>
      </c>
      <c r="Z35" s="31" t="str">
        <f t="shared" si="38"/>
        <v>0.999999999801564+0.0000961994276541538i</v>
      </c>
      <c r="AA35" s="17">
        <f t="shared" si="53"/>
        <v>1.0000000044287287</v>
      </c>
      <c r="AB35" s="17">
        <f t="shared" si="54"/>
        <v>9.6199427376489482E-5</v>
      </c>
      <c r="AC35" s="66" t="str">
        <f t="shared" si="55"/>
        <v>17.3991172429405-0.140868324734281i</v>
      </c>
      <c r="AD35" s="64">
        <f t="shared" si="56"/>
        <v>24.810828962231035</v>
      </c>
      <c r="AE35" s="61">
        <f t="shared" si="57"/>
        <v>-0.46387319620364664</v>
      </c>
      <c r="AF35" s="31" t="str">
        <f t="shared" si="39"/>
        <v>-9090.90909090909</v>
      </c>
      <c r="AG35" s="31" t="str">
        <f t="shared" si="40"/>
        <v>92.9351209226456i</v>
      </c>
      <c r="AH35" s="31">
        <f t="shared" si="58"/>
        <v>92.935120922645595</v>
      </c>
      <c r="AI35" s="31">
        <f t="shared" si="59"/>
        <v>1.5707963267948966</v>
      </c>
      <c r="AJ35" s="31" t="str">
        <f t="shared" si="41"/>
        <v>0.999968710623936+0.0321785068141033i</v>
      </c>
      <c r="AK35" s="31">
        <f t="shared" si="60"/>
        <v>1.000486321009779</v>
      </c>
      <c r="AL35" s="31">
        <f t="shared" si="61"/>
        <v>3.2168413065332385E-2</v>
      </c>
      <c r="AM35" s="31" t="str">
        <f t="shared" si="42"/>
        <v>1+0.122469902351862i</v>
      </c>
      <c r="AN35" s="31">
        <f t="shared" si="62"/>
        <v>1.0074715266359018</v>
      </c>
      <c r="AO35" s="31">
        <f t="shared" si="63"/>
        <v>0.12186305065143672</v>
      </c>
      <c r="AP35" s="31" t="str">
        <f t="shared" si="43"/>
        <v>1+0.020445726602982i</v>
      </c>
      <c r="AQ35" s="31">
        <f t="shared" si="64"/>
        <v>1.0002089920293278</v>
      </c>
      <c r="AR35" s="31">
        <f t="shared" si="65"/>
        <v>2.0442878357065573E-2</v>
      </c>
      <c r="AS35" s="58" t="str">
        <f t="shared" si="66"/>
        <v>-10.8292088669188+97.9265442760915i</v>
      </c>
      <c r="AT35" s="49">
        <f t="shared" si="67"/>
        <v>39.870796535262826</v>
      </c>
      <c r="AU35" s="61">
        <f t="shared" si="68"/>
        <v>96.3104148295984</v>
      </c>
      <c r="AV35" s="58" t="str">
        <f t="shared" si="44"/>
        <v>-174.623926484621+1705.360917567i</v>
      </c>
      <c r="AW35" s="64">
        <f t="shared" si="69"/>
        <v>64.681625497493854</v>
      </c>
      <c r="AX35" s="49">
        <f t="shared" si="70"/>
        <v>95.846541633394779</v>
      </c>
      <c r="AY35" s="310"/>
      <c r="BA35" s="31">
        <f t="shared" si="71"/>
        <v>0</v>
      </c>
      <c r="BB35" s="31">
        <f t="shared" si="72"/>
        <v>0</v>
      </c>
    </row>
    <row r="36" spans="1:54" x14ac:dyDescent="0.45">
      <c r="A36" s="31" t="s">
        <v>180</v>
      </c>
      <c r="B36" s="21">
        <f>Gcomp</f>
        <v>1</v>
      </c>
      <c r="C36" s="2"/>
      <c r="E36" s="31" t="s">
        <v>181</v>
      </c>
      <c r="N36" s="10">
        <v>18</v>
      </c>
      <c r="O36" s="50">
        <f t="shared" si="45"/>
        <v>15.135612484362087</v>
      </c>
      <c r="P36" s="48" t="str">
        <f t="shared" si="46"/>
        <v>17.4002386318441</v>
      </c>
      <c r="Q36" s="17" t="str">
        <f t="shared" si="35"/>
        <v>1+0.0081445722196848i</v>
      </c>
      <c r="R36" s="17">
        <f t="shared" si="47"/>
        <v>1.0000331664783131</v>
      </c>
      <c r="S36" s="17">
        <f t="shared" si="48"/>
        <v>8.1443921393470411E-3</v>
      </c>
      <c r="T36" s="17" t="str">
        <f t="shared" si="36"/>
        <v>1+0.0000285299573930724i</v>
      </c>
      <c r="U36" s="17">
        <f t="shared" si="49"/>
        <v>1.0000000004069791</v>
      </c>
      <c r="V36" s="17">
        <f t="shared" si="50"/>
        <v>2.8529957385331668E-5</v>
      </c>
      <c r="W36" s="31" t="str">
        <f t="shared" si="37"/>
        <v>1-0.0000703868336590991i</v>
      </c>
      <c r="X36" s="17">
        <f t="shared" si="51"/>
        <v>1.0000000024771531</v>
      </c>
      <c r="Y36" s="17">
        <f t="shared" si="52"/>
        <v>-7.0386833542859789E-5</v>
      </c>
      <c r="Z36" s="31" t="str">
        <f t="shared" si="38"/>
        <v>0.999999999792212+0.000098440200179915i</v>
      </c>
      <c r="AA36" s="17">
        <f t="shared" si="53"/>
        <v>1.0000000046374484</v>
      </c>
      <c r="AB36" s="17">
        <f t="shared" si="54"/>
        <v>9.8440199882392335E-5</v>
      </c>
      <c r="AC36" s="66" t="str">
        <f t="shared" si="55"/>
        <v>17.3990643970152-0.144149139126593i</v>
      </c>
      <c r="AD36" s="64">
        <f t="shared" si="56"/>
        <v>24.810815996418807</v>
      </c>
      <c r="AE36" s="61">
        <f t="shared" si="57"/>
        <v>-0.47467772661922303</v>
      </c>
      <c r="AF36" s="31" t="str">
        <f t="shared" si="39"/>
        <v>-9090.90909090909</v>
      </c>
      <c r="AG36" s="31" t="str">
        <f t="shared" si="40"/>
        <v>95.0998579769078i</v>
      </c>
      <c r="AH36" s="31">
        <f t="shared" si="58"/>
        <v>95.099857976907799</v>
      </c>
      <c r="AI36" s="31">
        <f t="shared" si="59"/>
        <v>1.5707963267948966</v>
      </c>
      <c r="AJ36" s="31" t="str">
        <f t="shared" si="41"/>
        <v>0.999967236001073+0.0329280405249304i</v>
      </c>
      <c r="AK36" s="31">
        <f t="shared" si="60"/>
        <v>1.0005092348041755</v>
      </c>
      <c r="AL36" s="31">
        <f t="shared" si="61"/>
        <v>3.2917225175233725E-2</v>
      </c>
      <c r="AM36" s="31" t="str">
        <f t="shared" si="42"/>
        <v>1+0.125322592841969i</v>
      </c>
      <c r="AN36" s="31">
        <f t="shared" si="62"/>
        <v>1.0078222820897711</v>
      </c>
      <c r="AO36" s="31">
        <f t="shared" si="63"/>
        <v>0.12467261180065892</v>
      </c>
      <c r="AP36" s="31" t="str">
        <f t="shared" si="43"/>
        <v>1+0.0209219687549197i</v>
      </c>
      <c r="AQ36" s="31">
        <f t="shared" si="64"/>
        <v>1.0002188404427212</v>
      </c>
      <c r="AR36" s="31">
        <f t="shared" si="65"/>
        <v>2.0918916840497143E-2</v>
      </c>
      <c r="AS36" s="58" t="str">
        <f t="shared" si="66"/>
        <v>-10.8290633340403+95.7023685327781i</v>
      </c>
      <c r="AT36" s="49">
        <f t="shared" si="67"/>
        <v>39.673706634288777</v>
      </c>
      <c r="AU36" s="61">
        <f t="shared" si="68"/>
        <v>96.455762048173611</v>
      </c>
      <c r="AV36" s="58" t="str">
        <f t="shared" si="44"/>
        <v>-174.620156271947+1666.69267320584i</v>
      </c>
      <c r="AW36" s="64">
        <f t="shared" si="69"/>
        <v>64.484522630707602</v>
      </c>
      <c r="AX36" s="49">
        <f t="shared" si="70"/>
        <v>95.981084321554349</v>
      </c>
      <c r="AY36" s="310"/>
      <c r="BA36" s="31">
        <f t="shared" si="71"/>
        <v>0</v>
      </c>
      <c r="BB36" s="31">
        <f t="shared" si="72"/>
        <v>0</v>
      </c>
    </row>
    <row r="37" spans="1:54" x14ac:dyDescent="0.45">
      <c r="N37" s="10">
        <v>19</v>
      </c>
      <c r="O37" s="50">
        <f t="shared" si="45"/>
        <v>15.488166189124817</v>
      </c>
      <c r="P37" s="48" t="str">
        <f t="shared" si="46"/>
        <v>17.4002386318441</v>
      </c>
      <c r="Q37" s="17" t="str">
        <f t="shared" si="35"/>
        <v>1+0.00833428367752796i</v>
      </c>
      <c r="R37" s="17">
        <f t="shared" si="47"/>
        <v>1.0000347295391383</v>
      </c>
      <c r="S37" s="17">
        <f t="shared" si="48"/>
        <v>8.3340907183314782E-3</v>
      </c>
      <c r="T37" s="17" t="str">
        <f t="shared" si="36"/>
        <v>1+0.0000291945054703994i</v>
      </c>
      <c r="U37" s="17">
        <f t="shared" si="49"/>
        <v>1.0000000004261596</v>
      </c>
      <c r="V37" s="17">
        <f t="shared" si="50"/>
        <v>2.9194505462105052E-5</v>
      </c>
      <c r="W37" s="31" t="str">
        <f t="shared" si="37"/>
        <v>1-0.0000720263536321872i</v>
      </c>
      <c r="X37" s="17">
        <f t="shared" si="51"/>
        <v>1.0000000025938978</v>
      </c>
      <c r="Y37" s="17">
        <f t="shared" si="52"/>
        <v>-7.2026353507634533E-5</v>
      </c>
      <c r="Z37" s="31" t="str">
        <f t="shared" si="38"/>
        <v>0.999999999782419+0.000100733167002822i</v>
      </c>
      <c r="AA37" s="17">
        <f t="shared" si="53"/>
        <v>1.0000000048560043</v>
      </c>
      <c r="AB37" s="17">
        <f t="shared" si="54"/>
        <v>1.0073316668402074E-4</v>
      </c>
      <c r="AC37" s="66" t="str">
        <f t="shared" si="55"/>
        <v>17.3990090608763-0.147506342723533i</v>
      </c>
      <c r="AD37" s="64">
        <f t="shared" si="56"/>
        <v>24.810802419588128</v>
      </c>
      <c r="AE37" s="61">
        <f t="shared" si="57"/>
        <v>-0.48573389366928205</v>
      </c>
      <c r="AF37" s="31" t="str">
        <f t="shared" si="39"/>
        <v>-9090.90909090909</v>
      </c>
      <c r="AG37" s="31" t="str">
        <f t="shared" si="40"/>
        <v>97.3150182346647i</v>
      </c>
      <c r="AH37" s="31">
        <f t="shared" si="58"/>
        <v>97.315018234664706</v>
      </c>
      <c r="AI37" s="31">
        <f t="shared" si="59"/>
        <v>1.5707963267948966</v>
      </c>
      <c r="AJ37" s="31" t="str">
        <f t="shared" si="41"/>
        <v>0.999965691881375+0.0336950331186979i</v>
      </c>
      <c r="AK37" s="31">
        <f t="shared" si="60"/>
        <v>1.0005332279323198</v>
      </c>
      <c r="AL37" s="31">
        <f t="shared" si="61"/>
        <v>3.3683444595892571E-2</v>
      </c>
      <c r="AM37" s="31" t="str">
        <f t="shared" si="42"/>
        <v>1+0.128241731029641i</v>
      </c>
      <c r="AN37" s="31">
        <f t="shared" si="62"/>
        <v>1.0081894373467115</v>
      </c>
      <c r="AO37" s="31">
        <f t="shared" si="63"/>
        <v>0.12754556897787167</v>
      </c>
      <c r="AP37" s="31" t="str">
        <f t="shared" si="43"/>
        <v>1+0.0214093040116262i</v>
      </c>
      <c r="AQ37" s="31">
        <f t="shared" si="64"/>
        <v>1.0002291528936067</v>
      </c>
      <c r="AR37" s="31">
        <f t="shared" si="65"/>
        <v>2.1406033866866642E-2</v>
      </c>
      <c r="AS37" s="58" t="str">
        <f t="shared" si="66"/>
        <v>-10.8289109566465+93.5289350158364i</v>
      </c>
      <c r="AT37" s="49">
        <f t="shared" si="67"/>
        <v>39.476751635550904</v>
      </c>
      <c r="AU37" s="61">
        <f t="shared" si="68"/>
        <v>96.604378979904936</v>
      </c>
      <c r="AV37" s="58" t="str">
        <f t="shared" si="44"/>
        <v>-174.616208711102+1628.90812084554i</v>
      </c>
      <c r="AW37" s="64">
        <f t="shared" si="69"/>
        <v>64.287554055139026</v>
      </c>
      <c r="AX37" s="49">
        <f t="shared" si="70"/>
        <v>96.118645086235659</v>
      </c>
      <c r="AY37" s="310"/>
      <c r="BA37" s="31">
        <f t="shared" si="71"/>
        <v>0</v>
      </c>
      <c r="BB37" s="31">
        <f t="shared" si="72"/>
        <v>0</v>
      </c>
    </row>
    <row r="38" spans="1:54" x14ac:dyDescent="0.45">
      <c r="N38" s="10">
        <v>20</v>
      </c>
      <c r="O38" s="50">
        <f t="shared" si="45"/>
        <v>15.848931924611136</v>
      </c>
      <c r="P38" s="48" t="str">
        <f t="shared" si="46"/>
        <v>17.4002386318441</v>
      </c>
      <c r="Q38" s="17" t="str">
        <f t="shared" si="35"/>
        <v>1+0.00852841408289423i</v>
      </c>
      <c r="R38" s="17">
        <f t="shared" si="47"/>
        <v>1.0000363662621321</v>
      </c>
      <c r="S38" s="17">
        <f t="shared" si="48"/>
        <v>8.5282073237961543E-3</v>
      </c>
      <c r="T38" s="17" t="str">
        <f t="shared" si="36"/>
        <v>1+0.0000298745328609619i</v>
      </c>
      <c r="U38" s="17">
        <f t="shared" si="49"/>
        <v>1.0000000004462437</v>
      </c>
      <c r="V38" s="17">
        <f t="shared" si="50"/>
        <v>2.9874532852074349E-5</v>
      </c>
      <c r="W38" s="31" t="str">
        <f t="shared" si="37"/>
        <v>1-0.0000737040629313527i</v>
      </c>
      <c r="X38" s="17">
        <f t="shared" si="51"/>
        <v>1.0000000027161444</v>
      </c>
      <c r="Y38" s="17">
        <f t="shared" si="52"/>
        <v>-7.3704062797892115E-5</v>
      </c>
      <c r="Z38" s="31" t="str">
        <f t="shared" si="38"/>
        <v>0.999999999772164+0.000103079543884234i</v>
      </c>
      <c r="AA38" s="17">
        <f t="shared" si="53"/>
        <v>1.0000000050848601</v>
      </c>
      <c r="AB38" s="17">
        <f t="shared" si="54"/>
        <v>1.0307954354263236E-4</v>
      </c>
      <c r="AC38" s="66" t="str">
        <f t="shared" si="55"/>
        <v>17.3989511171963-0.150941712657258i</v>
      </c>
      <c r="AD38" s="64">
        <f t="shared" si="56"/>
        <v>24.810788202946618</v>
      </c>
      <c r="AE38" s="61">
        <f t="shared" si="57"/>
        <v>-0.49704755634914349</v>
      </c>
      <c r="AF38" s="31" t="str">
        <f t="shared" si="39"/>
        <v>-9090.90909090909</v>
      </c>
      <c r="AG38" s="31" t="str">
        <f t="shared" si="40"/>
        <v>99.5817762032062i</v>
      </c>
      <c r="AH38" s="31">
        <f t="shared" si="58"/>
        <v>99.581776203206203</v>
      </c>
      <c r="AI38" s="31">
        <f t="shared" si="59"/>
        <v>1.5707963267948966</v>
      </c>
      <c r="AJ38" s="31" t="str">
        <f t="shared" si="41"/>
        <v>0.999964074989558+0.0344798912650315i</v>
      </c>
      <c r="AK38" s="31">
        <f t="shared" si="60"/>
        <v>1.0005583512076499</v>
      </c>
      <c r="AL38" s="31">
        <f t="shared" si="61"/>
        <v>3.4467474312942788E-2</v>
      </c>
      <c r="AM38" s="31" t="str">
        <f t="shared" si="42"/>
        <v>1+0.131228864680585i</v>
      </c>
      <c r="AN38" s="31">
        <f t="shared" si="62"/>
        <v>1.0085737528437646</v>
      </c>
      <c r="AO38" s="31">
        <f t="shared" si="63"/>
        <v>0.13048325565743138</v>
      </c>
      <c r="AP38" s="31" t="str">
        <f t="shared" si="43"/>
        <v>1+0.0219079907647053i</v>
      </c>
      <c r="AQ38" s="31">
        <f t="shared" si="64"/>
        <v>1.000239951241374</v>
      </c>
      <c r="AR38" s="31">
        <f t="shared" si="65"/>
        <v>2.1904486786862416E-2</v>
      </c>
      <c r="AS38" s="58" t="str">
        <f t="shared" si="66"/>
        <v>-10.8287514135369+91.4050913109175i</v>
      </c>
      <c r="AT38" s="49">
        <f t="shared" si="67"/>
        <v>39.279937683657302</v>
      </c>
      <c r="AU38" s="61">
        <f t="shared" si="68"/>
        <v>96.756333682977456</v>
      </c>
      <c r="AV38" s="58" t="str">
        <f t="shared" si="44"/>
        <v>-174.612075476336+1591.98722586582i</v>
      </c>
      <c r="AW38" s="64">
        <f t="shared" si="69"/>
        <v>64.090725886603934</v>
      </c>
      <c r="AX38" s="49">
        <f t="shared" si="70"/>
        <v>96.259286126628297</v>
      </c>
      <c r="AY38" s="310"/>
      <c r="BA38" s="31">
        <f t="shared" si="71"/>
        <v>0</v>
      </c>
      <c r="BB38" s="31">
        <f t="shared" si="72"/>
        <v>0</v>
      </c>
    </row>
    <row r="39" spans="1:54" x14ac:dyDescent="0.45">
      <c r="A39" s="31" t="s">
        <v>482</v>
      </c>
      <c r="N39" s="10">
        <v>21</v>
      </c>
      <c r="O39" s="50">
        <f t="shared" si="45"/>
        <v>16.218100973589298</v>
      </c>
      <c r="P39" s="48" t="str">
        <f t="shared" si="46"/>
        <v>17.4002386318441</v>
      </c>
      <c r="Q39" s="17" t="str">
        <f t="shared" si="35"/>
        <v>1+0.00872706636629414i</v>
      </c>
      <c r="R39" s="17">
        <f t="shared" si="47"/>
        <v>1.000038080118633</v>
      </c>
      <c r="S39" s="17">
        <f t="shared" si="48"/>
        <v>8.7268448203846466E-3</v>
      </c>
      <c r="T39" s="17" t="str">
        <f t="shared" si="36"/>
        <v>1+0.0000305704001242833i</v>
      </c>
      <c r="U39" s="17">
        <f t="shared" si="49"/>
        <v>1.0000000004672747</v>
      </c>
      <c r="V39" s="17">
        <f t="shared" si="50"/>
        <v>3.0570400114760118E-5</v>
      </c>
      <c r="W39" s="31" t="str">
        <f t="shared" si="37"/>
        <v>1-0.0000754208511002727i</v>
      </c>
      <c r="X39" s="17">
        <f t="shared" si="51"/>
        <v>1.0000000028441522</v>
      </c>
      <c r="Y39" s="17">
        <f t="shared" si="52"/>
        <v>-7.5420850957267114E-5</v>
      </c>
      <c r="Z39" s="31" t="str">
        <f t="shared" si="38"/>
        <v>0.999999999761427+0.000105480574904233i</v>
      </c>
      <c r="AA39" s="17">
        <f t="shared" si="53"/>
        <v>1.0000000053245026</v>
      </c>
      <c r="AB39" s="17">
        <f t="shared" si="54"/>
        <v>1.0548057453820019E-4</v>
      </c>
      <c r="AC39" s="66" t="str">
        <f t="shared" si="55"/>
        <v>17.3988904431215-0.154457067297278i</v>
      </c>
      <c r="AD39" s="64">
        <f t="shared" si="56"/>
        <v>24.810773316345369</v>
      </c>
      <c r="AE39" s="61">
        <f t="shared" si="57"/>
        <v>-0.50862470995783204</v>
      </c>
      <c r="AF39" s="31" t="str">
        <f t="shared" si="39"/>
        <v>-9090.90909090909</v>
      </c>
      <c r="AG39" s="31" t="str">
        <f t="shared" si="40"/>
        <v>101.901333747611i</v>
      </c>
      <c r="AH39" s="31">
        <f t="shared" si="58"/>
        <v>101.90133374761101</v>
      </c>
      <c r="AI39" s="31">
        <f t="shared" si="59"/>
        <v>1.5707963267948966</v>
      </c>
      <c r="AJ39" s="31" t="str">
        <f t="shared" si="41"/>
        <v>0.999962381895977+0.0352830311061091i</v>
      </c>
      <c r="AK39" s="31">
        <f t="shared" si="60"/>
        <v>1.0005846578331641</v>
      </c>
      <c r="AL39" s="31">
        <f t="shared" si="61"/>
        <v>3.5269726521631947E-2</v>
      </c>
      <c r="AM39" s="31" t="str">
        <f t="shared" si="42"/>
        <v>1+0.134285577612602i</v>
      </c>
      <c r="AN39" s="31">
        <f t="shared" si="62"/>
        <v>1.0089760236768515</v>
      </c>
      <c r="AO39" s="31">
        <f t="shared" si="63"/>
        <v>0.13348702651398073</v>
      </c>
      <c r="AP39" s="31" t="str">
        <f t="shared" si="43"/>
        <v>1+0.0224182934244744i</v>
      </c>
      <c r="AQ39" s="31">
        <f t="shared" si="64"/>
        <v>1.0002512583746475</v>
      </c>
      <c r="AR39" s="31">
        <f t="shared" si="65"/>
        <v>2.2414538895506299E-2</v>
      </c>
      <c r="AS39" s="58" t="str">
        <f t="shared" si="66"/>
        <v>-10.828584368505+89.3297112946299i</v>
      </c>
      <c r="AT39" s="49">
        <f t="shared" si="67"/>
        <v>39.083271192763547</v>
      </c>
      <c r="AU39" s="61">
        <f t="shared" si="68"/>
        <v>96.911695243176183</v>
      </c>
      <c r="AV39" s="58" t="str">
        <f t="shared" si="44"/>
        <v>-174.607747852635+1555.91041151548i</v>
      </c>
      <c r="AW39" s="64">
        <f t="shared" si="69"/>
        <v>63.894044509108916</v>
      </c>
      <c r="AX39" s="49">
        <f t="shared" si="70"/>
        <v>96.403070533218326</v>
      </c>
      <c r="AY39" s="310"/>
      <c r="BA39" s="31">
        <f t="shared" si="71"/>
        <v>0</v>
      </c>
      <c r="BB39" s="31">
        <f t="shared" si="72"/>
        <v>0</v>
      </c>
    </row>
    <row r="40" spans="1:54" x14ac:dyDescent="0.45">
      <c r="A40" s="31" t="s">
        <v>483</v>
      </c>
      <c r="B40" s="319">
        <f>((Np/NS1_)*(VOUT1+VD))/((VIN_var+(Np/NS1_)*(VOUT1+VD)))</f>
        <v>0.45955882352941174</v>
      </c>
      <c r="C40" s="31" t="s">
        <v>12</v>
      </c>
      <c r="E40" s="31" t="s">
        <v>484</v>
      </c>
      <c r="N40" s="10">
        <v>22</v>
      </c>
      <c r="O40" s="50">
        <f t="shared" si="45"/>
        <v>16.595869074375614</v>
      </c>
      <c r="P40" s="48" t="str">
        <f t="shared" si="46"/>
        <v>17.4002386318441</v>
      </c>
      <c r="Q40" s="17" t="str">
        <f t="shared" si="35"/>
        <v>1+0.00893034585579789i</v>
      </c>
      <c r="R40" s="17">
        <f t="shared" si="47"/>
        <v>1.0000398747435546</v>
      </c>
      <c r="S40" s="17">
        <f t="shared" si="48"/>
        <v>8.9301084655900899E-3</v>
      </c>
      <c r="T40" s="17" t="str">
        <f t="shared" si="36"/>
        <v>1+0.0000312824762183979i</v>
      </c>
      <c r="U40" s="17">
        <f t="shared" si="49"/>
        <v>1.0000000004892966</v>
      </c>
      <c r="V40" s="17">
        <f t="shared" si="50"/>
        <v>3.1282476208193629E-5</v>
      </c>
      <c r="W40" s="31" t="str">
        <f t="shared" si="37"/>
        <v>1-0.0000771776284027595i</v>
      </c>
      <c r="X40" s="17">
        <f t="shared" si="51"/>
        <v>1.000000002978193</v>
      </c>
      <c r="Y40" s="17">
        <f t="shared" si="52"/>
        <v>-7.7177628249526238E-5</v>
      </c>
      <c r="Z40" s="31" t="str">
        <f t="shared" si="38"/>
        <v>0.999999999750183+0.000107937533121247i</v>
      </c>
      <c r="AA40" s="17">
        <f t="shared" si="53"/>
        <v>1.0000000055754383</v>
      </c>
      <c r="AB40" s="17">
        <f t="shared" si="54"/>
        <v>1.0793753272903582E-4</v>
      </c>
      <c r="AC40" s="66" t="str">
        <f t="shared" si="55"/>
        <v>17.3988269100113-0.158054267199746i</v>
      </c>
      <c r="AD40" s="64">
        <f t="shared" si="56"/>
        <v>24.810757728214831</v>
      </c>
      <c r="AE40" s="61">
        <f t="shared" si="57"/>
        <v>-0.52047148926086728</v>
      </c>
      <c r="AF40" s="31" t="str">
        <f t="shared" si="39"/>
        <v>-9090.90909090909</v>
      </c>
      <c r="AG40" s="31" t="str">
        <f t="shared" si="40"/>
        <v>104.274920727993i</v>
      </c>
      <c r="AH40" s="31">
        <f t="shared" si="58"/>
        <v>104.27492072799301</v>
      </c>
      <c r="AI40" s="31">
        <f t="shared" si="59"/>
        <v>1.5707963267948966</v>
      </c>
      <c r="AJ40" s="31" t="str">
        <f t="shared" si="41"/>
        <v>0.999960609009354+0.0361048784773054i</v>
      </c>
      <c r="AK40" s="31">
        <f t="shared" si="60"/>
        <v>1.0006122035135385</v>
      </c>
      <c r="AL40" s="31">
        <f t="shared" si="61"/>
        <v>3.6090622828726236E-2</v>
      </c>
      <c r="AM40" s="31" t="str">
        <f t="shared" si="42"/>
        <v>1+0.137413490535349i</v>
      </c>
      <c r="AN40" s="31">
        <f t="shared" si="62"/>
        <v>1.0093970811237314</v>
      </c>
      <c r="AO40" s="31">
        <f t="shared" si="63"/>
        <v>0.13655825725628726</v>
      </c>
      <c r="AP40" s="31" t="str">
        <f t="shared" si="43"/>
        <v>1+0.0229404825601584i</v>
      </c>
      <c r="AQ40" s="31">
        <f t="shared" si="64"/>
        <v>1.0002630982596994</v>
      </c>
      <c r="AR40" s="31">
        <f t="shared" si="65"/>
        <v>2.2936459567035886E-2</v>
      </c>
      <c r="AS40" s="58" t="str">
        <f t="shared" si="66"/>
        <v>-10.8284094696443+87.3016945372938i</v>
      </c>
      <c r="AT40" s="49">
        <f t="shared" si="67"/>
        <v>38.886758857418357</v>
      </c>
      <c r="AU40" s="61">
        <f t="shared" si="68"/>
        <v>97.070533760526118</v>
      </c>
      <c r="AV40" s="58" t="str">
        <f t="shared" si="44"/>
        <v>-174.60321671768+1520.65854852872i</v>
      </c>
      <c r="AW40" s="64">
        <f t="shared" si="69"/>
        <v>63.697516585633203</v>
      </c>
      <c r="AX40" s="49">
        <f t="shared" si="70"/>
        <v>96.550062271265219</v>
      </c>
      <c r="AY40" s="310"/>
      <c r="BA40" s="31">
        <f t="shared" si="71"/>
        <v>0</v>
      </c>
      <c r="BB40" s="31">
        <f t="shared" si="72"/>
        <v>0</v>
      </c>
    </row>
    <row r="41" spans="1:54" x14ac:dyDescent="0.45">
      <c r="A41" s="31" t="s">
        <v>179</v>
      </c>
      <c r="B41" s="27">
        <f>Gcomp*((VOUT1^2)/(Pout_var))*((1-Dc_var_ccm)/((1+Dc_var_ccm)*((Acs*R_cs)/(Np/NS1_))))</f>
        <v>17.400238631844093</v>
      </c>
      <c r="C41" s="31" t="s">
        <v>136</v>
      </c>
      <c r="E41" s="31" t="s">
        <v>183</v>
      </c>
      <c r="N41" s="10">
        <v>23</v>
      </c>
      <c r="O41" s="50">
        <f t="shared" si="45"/>
        <v>16.982436524617448</v>
      </c>
      <c r="P41" s="48" t="str">
        <f t="shared" si="46"/>
        <v>17.4002386318441</v>
      </c>
      <c r="Q41" s="17" t="str">
        <f t="shared" si="35"/>
        <v>1+0.00913836033288142i</v>
      </c>
      <c r="R41" s="17">
        <f t="shared" si="47"/>
        <v>1.0000417539430908</v>
      </c>
      <c r="S41" s="17">
        <f t="shared" si="48"/>
        <v>9.1381059652644835E-3</v>
      </c>
      <c r="T41" s="17" t="str">
        <f t="shared" si="36"/>
        <v>1+0.0000320111386954758i</v>
      </c>
      <c r="U41" s="17">
        <f t="shared" si="49"/>
        <v>1.0000000005123564</v>
      </c>
      <c r="V41" s="17">
        <f t="shared" si="50"/>
        <v>3.2011138684541724E-5</v>
      </c>
      <c r="W41" s="31" t="str">
        <f t="shared" si="37"/>
        <v>1-0.0000789753263053916i</v>
      </c>
      <c r="X41" s="17">
        <f t="shared" si="51"/>
        <v>1.000000003118551</v>
      </c>
      <c r="Y41" s="17">
        <f t="shared" si="52"/>
        <v>-7.8975326141199207E-5</v>
      </c>
      <c r="Z41" s="31" t="str">
        <f t="shared" si="38"/>
        <v>0.99999999973841+0.000110451721247044i</v>
      </c>
      <c r="AA41" s="17">
        <f t="shared" si="53"/>
        <v>1.0000000058382013</v>
      </c>
      <c r="AB41" s="17">
        <f t="shared" si="54"/>
        <v>1.104517208267821E-4</v>
      </c>
      <c r="AC41" s="66" t="str">
        <f t="shared" si="55"/>
        <v>17.3987603831667-0.161735216078061i</v>
      </c>
      <c r="AD41" s="64">
        <f t="shared" si="56"/>
        <v>24.810741405498312</v>
      </c>
      <c r="AE41" s="61">
        <f t="shared" si="57"/>
        <v>-0.53259417172583423</v>
      </c>
      <c r="AF41" s="31" t="str">
        <f t="shared" si="39"/>
        <v>-9090.90909090909</v>
      </c>
      <c r="AG41" s="31" t="str">
        <f t="shared" si="40"/>
        <v>106.703795651586i</v>
      </c>
      <c r="AH41" s="31">
        <f t="shared" si="58"/>
        <v>106.70379565158601</v>
      </c>
      <c r="AI41" s="31">
        <f t="shared" si="59"/>
        <v>1.5707963267948966</v>
      </c>
      <c r="AJ41" s="31" t="str">
        <f t="shared" si="41"/>
        <v>0.999958752569159+0.0369458691329748i</v>
      </c>
      <c r="AK41" s="31">
        <f t="shared" si="60"/>
        <v>1.0006410465724755</v>
      </c>
      <c r="AL41" s="31">
        <f t="shared" si="61"/>
        <v>3.6930594458221451E-2</v>
      </c>
      <c r="AM41" s="31" t="str">
        <f t="shared" si="42"/>
        <v>1+0.14061426190966i</v>
      </c>
      <c r="AN41" s="31">
        <f t="shared" si="62"/>
        <v>1.0098377942285575</v>
      </c>
      <c r="AO41" s="31">
        <f t="shared" si="63"/>
        <v>0.1396983444152925</v>
      </c>
      <c r="AP41" s="31" t="str">
        <f t="shared" si="43"/>
        <v>1+0.0234748350433489i</v>
      </c>
      <c r="AQ41" s="31">
        <f t="shared" si="64"/>
        <v>1.0002754959911357</v>
      </c>
      <c r="AR41" s="31">
        <f t="shared" si="65"/>
        <v>2.3470524392673168E-2</v>
      </c>
      <c r="AS41" s="58" t="str">
        <f t="shared" si="66"/>
        <v>-10.8282263486218+85.3199657193145i</v>
      </c>
      <c r="AT41" s="49">
        <f t="shared" si="67"/>
        <v>38.69040766375268</v>
      </c>
      <c r="AU41" s="61">
        <f t="shared" si="68"/>
        <v>97.232920333254938</v>
      </c>
      <c r="AV41" s="58" t="str">
        <f t="shared" si="44"/>
        <v>-174.598472522977+1486.21294497859i</v>
      </c>
      <c r="AW41" s="64">
        <f t="shared" si="69"/>
        <v>63.501149069251007</v>
      </c>
      <c r="AX41" s="49">
        <f t="shared" si="70"/>
        <v>96.700326161529091</v>
      </c>
      <c r="AY41" s="310"/>
      <c r="BA41" s="31">
        <f t="shared" si="71"/>
        <v>0</v>
      </c>
      <c r="BB41" s="31">
        <f t="shared" si="72"/>
        <v>0</v>
      </c>
    </row>
    <row r="42" spans="1:54" x14ac:dyDescent="0.45">
      <c r="A42" s="31" t="s">
        <v>196</v>
      </c>
      <c r="B42" s="29">
        <f>(1+Dc_var_ccm)/(Cout_total*((VOUT1^2)/Pout_var))</f>
        <v>11676.470588235294</v>
      </c>
      <c r="C42" s="31" t="s">
        <v>195</v>
      </c>
      <c r="E42" s="31" t="s">
        <v>186</v>
      </c>
      <c r="I42" s="31">
        <f>(1+Dc_var_ccm)</f>
        <v>1.4595588235294117</v>
      </c>
      <c r="J42" s="31">
        <f>Cout_total</f>
        <v>9.9999999999999991E-5</v>
      </c>
      <c r="K42" s="31">
        <f>((VOUT1^2)/Pout_var)</f>
        <v>1.25</v>
      </c>
      <c r="N42" s="10">
        <v>24</v>
      </c>
      <c r="O42" s="50">
        <f t="shared" si="45"/>
        <v>17.378008287493756</v>
      </c>
      <c r="P42" s="48" t="str">
        <f t="shared" si="46"/>
        <v>17.4002386318441</v>
      </c>
      <c r="Q42" s="17" t="str">
        <f t="shared" si="35"/>
        <v>1+0.00935122008957401i</v>
      </c>
      <c r="R42" s="17">
        <f t="shared" si="47"/>
        <v>1.0000437217027882</v>
      </c>
      <c r="S42" s="17">
        <f t="shared" si="48"/>
        <v>9.3509475304054141E-3</v>
      </c>
      <c r="T42" s="17" t="str">
        <f t="shared" si="36"/>
        <v>1+0.0000327567739020078i</v>
      </c>
      <c r="U42" s="17">
        <f t="shared" si="49"/>
        <v>1.0000000005365031</v>
      </c>
      <c r="V42" s="17">
        <f t="shared" si="50"/>
        <v>3.275677389029173E-5</v>
      </c>
      <c r="W42" s="31" t="str">
        <f t="shared" si="37"/>
        <v>1-0.0000808148979713934i</v>
      </c>
      <c r="X42" s="17">
        <f t="shared" si="51"/>
        <v>1.0000000032655239</v>
      </c>
      <c r="Y42" s="17">
        <f t="shared" si="52"/>
        <v>-8.0814897795458083E-5</v>
      </c>
      <c r="Z42" s="31" t="str">
        <f t="shared" si="38"/>
        <v>0.999999999726081+0.000113024472337448i</v>
      </c>
      <c r="AA42" s="17">
        <f t="shared" si="53"/>
        <v>1.0000000061133465</v>
      </c>
      <c r="AB42" s="17">
        <f t="shared" si="54"/>
        <v>1.1302447188712934E-4</v>
      </c>
      <c r="AC42" s="66" t="str">
        <f t="shared" si="55"/>
        <v>17.3986907215444-0.165501861795214i</v>
      </c>
      <c r="AD42" s="64">
        <f t="shared" si="56"/>
        <v>24.810724313581581</v>
      </c>
      <c r="AE42" s="61">
        <f t="shared" si="57"/>
        <v>-0.54499918083242027</v>
      </c>
      <c r="AF42" s="31" t="str">
        <f t="shared" si="39"/>
        <v>-9090.90909090909</v>
      </c>
      <c r="AG42" s="31" t="str">
        <f t="shared" si="40"/>
        <v>109.189246340026i</v>
      </c>
      <c r="AH42" s="31">
        <f t="shared" si="58"/>
        <v>109.189246340026</v>
      </c>
      <c r="AI42" s="31">
        <f t="shared" si="59"/>
        <v>1.5707963267948966</v>
      </c>
      <c r="AJ42" s="31" t="str">
        <f t="shared" si="41"/>
        <v>0.999956808637632+0.0378064489774949i</v>
      </c>
      <c r="AK42" s="31">
        <f t="shared" si="60"/>
        <v>1.0006712480755335</v>
      </c>
      <c r="AL42" s="31">
        <f t="shared" si="61"/>
        <v>3.7790082460888039E-2</v>
      </c>
      <c r="AM42" s="31" t="str">
        <f t="shared" si="42"/>
        <v>1+0.143889588826886i</v>
      </c>
      <c r="AN42" s="31">
        <f t="shared" si="62"/>
        <v>1.0102990714500188</v>
      </c>
      <c r="AO42" s="31">
        <f t="shared" si="63"/>
        <v>0.14290870508291775</v>
      </c>
      <c r="AP42" s="31" t="str">
        <f t="shared" si="43"/>
        <v>1+0.0240216341948057i</v>
      </c>
      <c r="AQ42" s="31">
        <f t="shared" si="64"/>
        <v>1.000288477844961</v>
      </c>
      <c r="AR42" s="31">
        <f t="shared" si="65"/>
        <v>2.4017015321329594E-2</v>
      </c>
      <c r="AS42" s="58" t="str">
        <f t="shared" si="66"/>
        <v>-10.8280346199193+83.3834740608458i</v>
      </c>
      <c r="AT42" s="49">
        <f t="shared" si="67"/>
        <v>38.494224901011947</v>
      </c>
      <c r="AU42" s="61">
        <f t="shared" si="68"/>
        <v>97.398927038883954</v>
      </c>
      <c r="AV42" s="58" t="str">
        <f t="shared" si="44"/>
        <v>-174.593505274129+1452.55533636176i</v>
      </c>
      <c r="AW42" s="64">
        <f t="shared" si="69"/>
        <v>63.304949214593549</v>
      </c>
      <c r="AX42" s="49">
        <f t="shared" si="70"/>
        <v>96.853927858051534</v>
      </c>
      <c r="AY42" s="310"/>
      <c r="BA42" s="31">
        <f t="shared" si="71"/>
        <v>0</v>
      </c>
      <c r="BB42" s="31">
        <f t="shared" si="72"/>
        <v>0</v>
      </c>
    </row>
    <row r="43" spans="1:54" x14ac:dyDescent="0.45">
      <c r="B43" s="29">
        <f>wp_lf/(2*PI())</f>
        <v>1858.3680119847779</v>
      </c>
      <c r="C43" s="31" t="s">
        <v>59</v>
      </c>
      <c r="N43" s="10">
        <v>25</v>
      </c>
      <c r="O43" s="50">
        <f t="shared" si="45"/>
        <v>17.782794100389236</v>
      </c>
      <c r="P43" s="48" t="str">
        <f t="shared" si="46"/>
        <v>17.4002386318441</v>
      </c>
      <c r="Q43" s="17" t="str">
        <f t="shared" si="35"/>
        <v>1+0.00956903798693604i</v>
      </c>
      <c r="R43" s="17">
        <f t="shared" si="47"/>
        <v>1.0000457821959929</v>
      </c>
      <c r="S43" s="17">
        <f t="shared" si="48"/>
        <v>9.5687459352471749E-3</v>
      </c>
      <c r="T43" s="17" t="str">
        <f t="shared" si="36"/>
        <v>1+0.0000335197771836495i</v>
      </c>
      <c r="U43" s="17">
        <f t="shared" si="49"/>
        <v>1.0000000005617877</v>
      </c>
      <c r="V43" s="17">
        <f t="shared" si="50"/>
        <v>3.35197771710955E-5</v>
      </c>
      <c r="W43" s="31" t="str">
        <f t="shared" si="37"/>
        <v>1-0.0000826973187660106i</v>
      </c>
      <c r="X43" s="17">
        <f t="shared" si="51"/>
        <v>1.0000000034194232</v>
      </c>
      <c r="Y43" s="17">
        <f t="shared" si="52"/>
        <v>-8.2697318577492509E-5</v>
      </c>
      <c r="Z43" s="31" t="str">
        <f t="shared" si="38"/>
        <v>0.999999999713172+0.000115657150499139i</v>
      </c>
      <c r="AA43" s="17">
        <f t="shared" si="53"/>
        <v>1.00000000640146</v>
      </c>
      <c r="AB43" s="17">
        <f t="shared" si="54"/>
        <v>1.156571500166138E-4</v>
      </c>
      <c r="AC43" s="66" t="str">
        <f t="shared" si="55"/>
        <v>17.3986177774588-0.169356197378321i</v>
      </c>
      <c r="AD43" s="64">
        <f t="shared" si="56"/>
        <v>24.810706416219798</v>
      </c>
      <c r="AE43" s="61">
        <f t="shared" si="57"/>
        <v>-0.55769308945850515</v>
      </c>
      <c r="AF43" s="31" t="str">
        <f t="shared" si="39"/>
        <v>-9090.90909090909</v>
      </c>
      <c r="AG43" s="31" t="str">
        <f t="shared" si="40"/>
        <v>111.732590612165i</v>
      </c>
      <c r="AH43" s="31">
        <f t="shared" si="58"/>
        <v>111.732590612165</v>
      </c>
      <c r="AI43" s="31">
        <f t="shared" si="59"/>
        <v>1.5707963267948966</v>
      </c>
      <c r="AJ43" s="31" t="str">
        <f t="shared" si="41"/>
        <v>0.999954773091436+0.0386870743016905i</v>
      </c>
      <c r="AK43" s="31">
        <f t="shared" si="60"/>
        <v>1.0007028719586897</v>
      </c>
      <c r="AL43" s="31">
        <f t="shared" si="61"/>
        <v>3.8669537927668862E-2</v>
      </c>
      <c r="AM43" s="31" t="str">
        <f t="shared" si="42"/>
        <v>1+0.147241207908711i</v>
      </c>
      <c r="AN43" s="31">
        <f t="shared" si="62"/>
        <v>1.0107818623750706</v>
      </c>
      <c r="AO43" s="31">
        <f t="shared" si="63"/>
        <v>0.14619077659797364</v>
      </c>
      <c r="AP43" s="31" t="str">
        <f t="shared" si="43"/>
        <v>1+0.0245811699346763i</v>
      </c>
      <c r="AQ43" s="31">
        <f t="shared" si="64"/>
        <v>1.0003020713341333</v>
      </c>
      <c r="AR43" s="31">
        <f t="shared" si="65"/>
        <v>2.4576220803294357E-2</v>
      </c>
      <c r="AS43" s="58" t="str">
        <f t="shared" si="66"/>
        <v>-10.8278338800404+81.4911927644692i</v>
      </c>
      <c r="AT43" s="49">
        <f t="shared" si="67"/>
        <v>38.298218173434627</v>
      </c>
      <c r="AU43" s="61">
        <f t="shared" si="68"/>
        <v>97.568626912237661</v>
      </c>
      <c r="AV43" s="58" t="str">
        <f t="shared" si="44"/>
        <v>-174.588304510227+1419.66787590998i</v>
      </c>
      <c r="AW43" s="64">
        <f t="shared" si="69"/>
        <v>63.108924589654407</v>
      </c>
      <c r="AX43" s="49">
        <f t="shared" si="70"/>
        <v>97.010933822779165</v>
      </c>
      <c r="AY43" s="310"/>
      <c r="BA43" s="31">
        <f t="shared" si="71"/>
        <v>0</v>
      </c>
      <c r="BB43" s="31">
        <f t="shared" si="72"/>
        <v>0</v>
      </c>
    </row>
    <row r="44" spans="1:54" x14ac:dyDescent="0.45">
      <c r="B44" s="26"/>
      <c r="N44" s="10">
        <v>26</v>
      </c>
      <c r="O44" s="50">
        <f t="shared" si="45"/>
        <v>18.197008586099841</v>
      </c>
      <c r="P44" s="48" t="str">
        <f t="shared" si="46"/>
        <v>17.4002386318441</v>
      </c>
      <c r="Q44" s="17" t="str">
        <f t="shared" si="35"/>
        <v>1+0.0097919295149i</v>
      </c>
      <c r="R44" s="17">
        <f t="shared" si="47"/>
        <v>1.0000479397927005</v>
      </c>
      <c r="S44" s="17">
        <f t="shared" si="48"/>
        <v>9.7916165766874629E-3</v>
      </c>
      <c r="T44" s="17" t="str">
        <f t="shared" si="36"/>
        <v>1+0.0000343005530948409i</v>
      </c>
      <c r="U44" s="17">
        <f t="shared" si="49"/>
        <v>1.0000000005882639</v>
      </c>
      <c r="V44" s="17">
        <f t="shared" si="50"/>
        <v>3.4300553081389051E-5</v>
      </c>
      <c r="W44" s="31" t="str">
        <f t="shared" si="37"/>
        <v>1-0.0000846235867736665i</v>
      </c>
      <c r="X44" s="17">
        <f t="shared" si="51"/>
        <v>1.0000000035805756</v>
      </c>
      <c r="Y44" s="17">
        <f t="shared" si="52"/>
        <v>-8.462358657166573E-5</v>
      </c>
      <c r="Z44" s="31" t="str">
        <f t="shared" si="38"/>
        <v>0.999999999699654+0.00011835115161293i</v>
      </c>
      <c r="AA44" s="17">
        <f t="shared" si="53"/>
        <v>1.0000000067031516</v>
      </c>
      <c r="AB44" s="17">
        <f t="shared" si="54"/>
        <v>1.1835115109589496E-4</v>
      </c>
      <c r="AC44" s="66" t="str">
        <f t="shared" si="55"/>
        <v>17.3985413962686-0.173300262055808i</v>
      </c>
      <c r="AD44" s="64">
        <f t="shared" si="56"/>
        <v>24.810687675460343</v>
      </c>
      <c r="AE44" s="61">
        <f t="shared" si="57"/>
        <v>-0.57068262334412567</v>
      </c>
      <c r="AF44" s="31" t="str">
        <f t="shared" si="39"/>
        <v>-9090.90909090909</v>
      </c>
      <c r="AG44" s="31" t="str">
        <f t="shared" si="40"/>
        <v>114.335176982803i</v>
      </c>
      <c r="AH44" s="31">
        <f t="shared" si="58"/>
        <v>114.33517698280301</v>
      </c>
      <c r="AI44" s="31">
        <f t="shared" si="59"/>
        <v>1.5707963267948966</v>
      </c>
      <c r="AJ44" s="31" t="str">
        <f t="shared" si="41"/>
        <v>0.999952641612902+0.0395882120247647i</v>
      </c>
      <c r="AK44" s="31">
        <f t="shared" si="60"/>
        <v>1.0007359851628892</v>
      </c>
      <c r="AL44" s="31">
        <f t="shared" si="61"/>
        <v>3.9569422206949055E-2</v>
      </c>
      <c r="AM44" s="31" t="str">
        <f t="shared" si="42"/>
        <v>1+0.150670896227938i</v>
      </c>
      <c r="AN44" s="31">
        <f t="shared" si="62"/>
        <v>1.0112871595002726</v>
      </c>
      <c r="AO44" s="31">
        <f t="shared" si="63"/>
        <v>0.14954601617535743</v>
      </c>
      <c r="AP44" s="31" t="str">
        <f t="shared" si="43"/>
        <v>1+0.0251537389362166i</v>
      </c>
      <c r="AQ44" s="31">
        <f t="shared" si="64"/>
        <v>1.0003163052667248</v>
      </c>
      <c r="AR44" s="31">
        <f t="shared" si="65"/>
        <v>2.5148435936958102E-2</v>
      </c>
      <c r="AS44" s="58" t="str">
        <f t="shared" si="66"/>
        <v>-10.8276237066811+79.6421184705539i</v>
      </c>
      <c r="AT44" s="49">
        <f t="shared" si="67"/>
        <v>38.102395412472241</v>
      </c>
      <c r="AU44" s="61">
        <f t="shared" si="68"/>
        <v>97.742093920156549</v>
      </c>
      <c r="AV44" s="58" t="str">
        <f t="shared" si="44"/>
        <v>-174.582859282284+1387.53312512227i</v>
      </c>
      <c r="AW44" s="64">
        <f t="shared" si="69"/>
        <v>62.913083087932584</v>
      </c>
      <c r="AX44" s="49">
        <f t="shared" si="70"/>
        <v>97.171411296812437</v>
      </c>
      <c r="AY44" s="310"/>
      <c r="BA44" s="31">
        <f t="shared" si="71"/>
        <v>0</v>
      </c>
      <c r="BB44" s="31">
        <f t="shared" si="72"/>
        <v>0</v>
      </c>
    </row>
    <row r="45" spans="1:54" x14ac:dyDescent="0.45">
      <c r="A45" s="31" t="s">
        <v>197</v>
      </c>
      <c r="B45" s="29">
        <f>(((VOUT1^2)/Pout_var)*((1-Dc_var_ccm)^2))/((Lm/((Np/NS1_)^2))*Dc_var_ccm)</f>
        <v>1351102.9411764711</v>
      </c>
      <c r="C45" s="31" t="s">
        <v>195</v>
      </c>
      <c r="E45" s="31" t="s">
        <v>187</v>
      </c>
      <c r="N45" s="10">
        <v>27</v>
      </c>
      <c r="O45" s="50">
        <f t="shared" si="45"/>
        <v>18.62087136662868</v>
      </c>
      <c r="P45" s="48" t="str">
        <f t="shared" si="46"/>
        <v>17.4002386318441</v>
      </c>
      <c r="Q45" s="17" t="str">
        <f t="shared" si="35"/>
        <v>1+0.0100200128535042i</v>
      </c>
      <c r="R45" s="17">
        <f t="shared" si="47"/>
        <v>1.0000501990688189</v>
      </c>
      <c r="S45" s="17">
        <f t="shared" si="48"/>
        <v>1.0019677535077183E-2</v>
      </c>
      <c r="T45" s="17" t="str">
        <f t="shared" si="36"/>
        <v>1+0.0000350995156133046i</v>
      </c>
      <c r="U45" s="17">
        <f t="shared" si="49"/>
        <v>1.0000000006159879</v>
      </c>
      <c r="V45" s="17">
        <f t="shared" si="50"/>
        <v>3.5099515598890681E-5</v>
      </c>
      <c r="W45" s="31" t="str">
        <f t="shared" si="37"/>
        <v>1-0.0000865947233271552i</v>
      </c>
      <c r="X45" s="17">
        <f t="shared" si="51"/>
        <v>1.0000000037493231</v>
      </c>
      <c r="Y45" s="17">
        <f t="shared" si="52"/>
        <v>-8.659472311070748E-5</v>
      </c>
      <c r="Z45" s="31" t="str">
        <f t="shared" si="38"/>
        <v>0.999999999685499+0.000121107904073868i</v>
      </c>
      <c r="AA45" s="17">
        <f t="shared" si="53"/>
        <v>1.0000000070190611</v>
      </c>
      <c r="AB45" s="17">
        <f t="shared" si="54"/>
        <v>1.2110790351985499E-4</v>
      </c>
      <c r="AC45" s="66" t="str">
        <f t="shared" si="55"/>
        <v>17.3984614160503-0.177336142317689i</v>
      </c>
      <c r="AD45" s="64">
        <f t="shared" si="56"/>
        <v>24.810668051562761</v>
      </c>
      <c r="AE45" s="61">
        <f t="shared" si="57"/>
        <v>-0.58397466463491221</v>
      </c>
      <c r="AF45" s="31" t="str">
        <f t="shared" si="39"/>
        <v>-9090.90909090909</v>
      </c>
      <c r="AG45" s="31" t="str">
        <f t="shared" si="40"/>
        <v>116.998385377682i</v>
      </c>
      <c r="AH45" s="31">
        <f t="shared" si="58"/>
        <v>116.998385377682</v>
      </c>
      <c r="AI45" s="31">
        <f t="shared" si="59"/>
        <v>1.5707963267948966</v>
      </c>
      <c r="AJ45" s="31" t="str">
        <f t="shared" si="41"/>
        <v>0.99995040968088+0.0405103399418664i</v>
      </c>
      <c r="AK45" s="31">
        <f t="shared" si="60"/>
        <v>1.0007706577748796</v>
      </c>
      <c r="AL45" s="31">
        <f t="shared" si="61"/>
        <v>4.049020712571038E-2</v>
      </c>
      <c r="AM45" s="31" t="str">
        <f t="shared" si="42"/>
        <v>1+0.154180472250709i</v>
      </c>
      <c r="AN45" s="31">
        <f t="shared" si="62"/>
        <v>1.0118160000827481</v>
      </c>
      <c r="AO45" s="31">
        <f t="shared" si="63"/>
        <v>0.15297590047448942</v>
      </c>
      <c r="AP45" s="31" t="str">
        <f t="shared" si="43"/>
        <v>1+0.02573964478309i</v>
      </c>
      <c r="AQ45" s="31">
        <f t="shared" si="64"/>
        <v>1.0003312098068118</v>
      </c>
      <c r="AR45" s="31">
        <f t="shared" si="65"/>
        <v>2.5733962618616213E-2</v>
      </c>
      <c r="AS45" s="58" t="str">
        <f t="shared" si="66"/>
        <v>-10.8274036578636+77.8352707250495i</v>
      </c>
      <c r="AT45" s="49">
        <f t="shared" si="67"/>
        <v>37.906764889352679</v>
      </c>
      <c r="AU45" s="61">
        <f t="shared" si="68"/>
        <v>97.919402932681962</v>
      </c>
      <c r="AV45" s="58" t="str">
        <f t="shared" si="44"/>
        <v>-174.577158130708+1356.1340445136i</v>
      </c>
      <c r="AW45" s="64">
        <f t="shared" si="69"/>
        <v>62.717432940915401</v>
      </c>
      <c r="AX45" s="49">
        <f t="shared" si="70"/>
        <v>97.335428268047067</v>
      </c>
      <c r="AY45" s="310"/>
      <c r="BA45" s="31">
        <f t="shared" si="71"/>
        <v>0</v>
      </c>
      <c r="BB45" s="31">
        <f t="shared" si="72"/>
        <v>0</v>
      </c>
    </row>
    <row r="46" spans="1:54" x14ac:dyDescent="0.45">
      <c r="B46" s="29">
        <f>wz_rhp/(2*PI())</f>
        <v>215034.71171423368</v>
      </c>
      <c r="C46" s="31" t="s">
        <v>59</v>
      </c>
      <c r="N46" s="10">
        <v>28</v>
      </c>
      <c r="O46" s="50">
        <f t="shared" si="45"/>
        <v>19.054607179632477</v>
      </c>
      <c r="P46" s="48" t="str">
        <f t="shared" si="46"/>
        <v>17.4002386318441</v>
      </c>
      <c r="Q46" s="17" t="str">
        <f t="shared" si="35"/>
        <v>1+0.010253408935554i</v>
      </c>
      <c r="R46" s="17">
        <f t="shared" si="47"/>
        <v>1.0000525648158698</v>
      </c>
      <c r="S46" s="17">
        <f t="shared" si="48"/>
        <v>1.025304963640603E-2</v>
      </c>
      <c r="T46" s="17" t="str">
        <f t="shared" si="36"/>
        <v>1+0.0000359170883595435i</v>
      </c>
      <c r="U46" s="17">
        <f t="shared" si="49"/>
        <v>1.0000000006450185</v>
      </c>
      <c r="V46" s="17">
        <f t="shared" si="50"/>
        <v>3.5917088344098708E-5</v>
      </c>
      <c r="W46" s="31" t="str">
        <f t="shared" si="37"/>
        <v>1-0.0000886117735491686i</v>
      </c>
      <c r="X46" s="17">
        <f t="shared" si="51"/>
        <v>1.0000000039260231</v>
      </c>
      <c r="Y46" s="17">
        <f t="shared" si="52"/>
        <v>-8.8611773317240683E-5</v>
      </c>
      <c r="Z46" s="31" t="str">
        <f t="shared" si="38"/>
        <v>0.999999999670678+0.000123928869548599i</v>
      </c>
      <c r="AA46" s="17">
        <f t="shared" si="53"/>
        <v>1.0000000073498603</v>
      </c>
      <c r="AB46" s="17">
        <f t="shared" si="54"/>
        <v>1.2392886895496325E-4</v>
      </c>
      <c r="AC46" s="66" t="str">
        <f t="shared" si="55"/>
        <v>17.398377667255-0.18146597299941i</v>
      </c>
      <c r="AD46" s="64">
        <f t="shared" si="56"/>
        <v>24.810647502914374</v>
      </c>
      <c r="AE46" s="61">
        <f t="shared" si="57"/>
        <v>-0.59757625550689097</v>
      </c>
      <c r="AF46" s="31" t="str">
        <f t="shared" si="39"/>
        <v>-9090.90909090909</v>
      </c>
      <c r="AG46" s="31" t="str">
        <f t="shared" si="40"/>
        <v>119.723627865145i</v>
      </c>
      <c r="AH46" s="31">
        <f t="shared" si="58"/>
        <v>119.723627865145</v>
      </c>
      <c r="AI46" s="31">
        <f t="shared" si="59"/>
        <v>1.5707963267948966</v>
      </c>
      <c r="AJ46" s="31" t="str">
        <f t="shared" si="41"/>
        <v>0.999948072561143+0.041453946977423i</v>
      </c>
      <c r="AK46" s="31">
        <f t="shared" si="60"/>
        <v>1.0008069631745935</v>
      </c>
      <c r="AL46" s="31">
        <f t="shared" si="61"/>
        <v>4.1432375214576586E-2</v>
      </c>
      <c r="AM46" s="31" t="str">
        <f t="shared" si="42"/>
        <v>1+0.157771796800688i</v>
      </c>
      <c r="AN46" s="31">
        <f t="shared" si="62"/>
        <v>1.0123694680627808</v>
      </c>
      <c r="AO46" s="31">
        <f t="shared" si="63"/>
        <v>0.15648192510279524</v>
      </c>
      <c r="AP46" s="31" t="str">
        <f t="shared" si="43"/>
        <v>1+0.0263391981303319i</v>
      </c>
      <c r="AQ46" s="31">
        <f t="shared" si="64"/>
        <v>1.0003468165382188</v>
      </c>
      <c r="AR46" s="31">
        <f t="shared" si="65"/>
        <v>2.6333109695403051E-2</v>
      </c>
      <c r="AS46" s="58" t="str">
        <f t="shared" si="66"/>
        <v>-10.8271732710314+76.0696914593936i</v>
      </c>
      <c r="AT46" s="49">
        <f t="shared" si="67"/>
        <v>37.711335227979326</v>
      </c>
      <c r="AU46" s="61">
        <f t="shared" si="68"/>
        <v>98.100629690476353</v>
      </c>
      <c r="AV46" s="58" t="str">
        <f t="shared" si="44"/>
        <v>-174.571189061769+1325.45398457455i</v>
      </c>
      <c r="AW46" s="64">
        <f t="shared" si="69"/>
        <v>62.521982730893683</v>
      </c>
      <c r="AX46" s="49">
        <f t="shared" si="70"/>
        <v>97.503053434969459</v>
      </c>
      <c r="AY46" s="310"/>
      <c r="BA46" s="31">
        <f t="shared" si="71"/>
        <v>0</v>
      </c>
      <c r="BB46" s="31">
        <f t="shared" si="72"/>
        <v>0</v>
      </c>
    </row>
    <row r="47" spans="1:54" x14ac:dyDescent="0.45">
      <c r="B47" s="1"/>
      <c r="N47" s="10">
        <v>29</v>
      </c>
      <c r="O47" s="50">
        <f t="shared" si="45"/>
        <v>19.498445997580465</v>
      </c>
      <c r="P47" s="48" t="str">
        <f t="shared" si="46"/>
        <v>17.4002386318441</v>
      </c>
      <c r="Q47" s="17" t="str">
        <f t="shared" si="35"/>
        <v>1+0.0104922415107413i</v>
      </c>
      <c r="R47" s="17">
        <f t="shared" si="47"/>
        <v>1.0000550420511463</v>
      </c>
      <c r="S47" s="17">
        <f t="shared" si="48"/>
        <v>1.0491856515912322E-2</v>
      </c>
      <c r="T47" s="17" t="str">
        <f t="shared" si="36"/>
        <v>1+0.0000367537048214496i</v>
      </c>
      <c r="U47" s="17">
        <f t="shared" si="49"/>
        <v>1.0000000006754173</v>
      </c>
      <c r="V47" s="17">
        <f t="shared" si="50"/>
        <v>3.6753704804900205E-5</v>
      </c>
      <c r="W47" s="31" t="str">
        <f t="shared" si="37"/>
        <v>1-0.0000906758069064335i</v>
      </c>
      <c r="X47" s="17">
        <f t="shared" si="51"/>
        <v>1.0000000041110508</v>
      </c>
      <c r="Y47" s="17">
        <f t="shared" si="52"/>
        <v>-9.0675806657918259E-5</v>
      </c>
      <c r="Z47" s="31" t="str">
        <f t="shared" si="38"/>
        <v>0.999999999655157+0.000126815543750358i</v>
      </c>
      <c r="AA47" s="17">
        <f t="shared" si="53"/>
        <v>1.0000000076962481</v>
      </c>
      <c r="AB47" s="17">
        <f t="shared" si="54"/>
        <v>1.2681554311426592E-4</v>
      </c>
      <c r="AC47" s="66" t="str">
        <f t="shared" si="55"/>
        <v>17.3982899723501-0.185691938389722i</v>
      </c>
      <c r="AD47" s="64">
        <f t="shared" si="56"/>
        <v>24.810625985942288</v>
      </c>
      <c r="AE47" s="61">
        <f t="shared" si="57"/>
        <v>-0.61149460187436999</v>
      </c>
      <c r="AF47" s="31" t="str">
        <f t="shared" si="39"/>
        <v>-9090.90909090909</v>
      </c>
      <c r="AG47" s="31" t="str">
        <f t="shared" si="40"/>
        <v>122.512349404832i</v>
      </c>
      <c r="AH47" s="31">
        <f t="shared" si="58"/>
        <v>122.51234940483199</v>
      </c>
      <c r="AI47" s="31">
        <f t="shared" si="59"/>
        <v>1.5707963267948966</v>
      </c>
      <c r="AJ47" s="31" t="str">
        <f t="shared" si="41"/>
        <v>0.999945625296345+0.0424195334443749i</v>
      </c>
      <c r="AK47" s="31">
        <f t="shared" si="60"/>
        <v>1.000844978189398</v>
      </c>
      <c r="AL47" s="31">
        <f t="shared" si="61"/>
        <v>4.2396419936752992E-2</v>
      </c>
      <c r="AM47" s="31" t="str">
        <f t="shared" si="42"/>
        <v>1+0.161446774045688i</v>
      </c>
      <c r="AN47" s="31">
        <f t="shared" si="62"/>
        <v>1.012948696060052</v>
      </c>
      <c r="AO47" s="31">
        <f t="shared" si="63"/>
        <v>0.16006560404978398</v>
      </c>
      <c r="AP47" s="31" t="str">
        <f t="shared" si="43"/>
        <v>1+0.026952716869063i</v>
      </c>
      <c r="AQ47" s="31">
        <f t="shared" si="64"/>
        <v>1.0003631585312525</v>
      </c>
      <c r="AR47" s="31">
        <f t="shared" si="65"/>
        <v>2.6946193121402721E-2</v>
      </c>
      <c r="AS47" s="58" t="str">
        <f t="shared" si="66"/>
        <v>-10.8269320621029+74.3444444822781i</v>
      </c>
      <c r="AT47" s="49">
        <f t="shared" si="67"/>
        <v>37.516115418162364</v>
      </c>
      <c r="AU47" s="61">
        <f t="shared" si="68"/>
        <v>98.285850768225316</v>
      </c>
      <c r="AV47" s="58" t="str">
        <f t="shared" si="44"/>
        <v>-174.564939522979+1295.47667693738i</v>
      </c>
      <c r="AW47" s="64">
        <f t="shared" si="69"/>
        <v>62.326741404104631</v>
      </c>
      <c r="AX47" s="49">
        <f t="shared" si="70"/>
        <v>97.674356166350947</v>
      </c>
      <c r="AY47" s="310"/>
      <c r="BA47" s="31">
        <f t="shared" si="71"/>
        <v>0</v>
      </c>
      <c r="BB47" s="31">
        <f t="shared" si="72"/>
        <v>0</v>
      </c>
    </row>
    <row r="48" spans="1:54" x14ac:dyDescent="0.45">
      <c r="A48" s="31" t="s">
        <v>198</v>
      </c>
      <c r="B48" s="29">
        <f>1/(Cout_total*Resr_total)</f>
        <v>3333333.3333333335</v>
      </c>
      <c r="C48" s="31" t="s">
        <v>195</v>
      </c>
      <c r="E48" s="31" t="s">
        <v>188</v>
      </c>
      <c r="N48" s="10">
        <v>30</v>
      </c>
      <c r="O48" s="50">
        <f t="shared" si="45"/>
        <v>19.952623149688804</v>
      </c>
      <c r="P48" s="48" t="str">
        <f t="shared" si="46"/>
        <v>17.4002386318441</v>
      </c>
      <c r="Q48" s="17" t="str">
        <f t="shared" si="35"/>
        <v>1+0.0107366372112588i</v>
      </c>
      <c r="R48" s="17">
        <f t="shared" si="47"/>
        <v>1.0000576360283473</v>
      </c>
      <c r="S48" s="17">
        <f t="shared" si="48"/>
        <v>1.0736224683151196E-2</v>
      </c>
      <c r="T48" s="17" t="str">
        <f t="shared" si="36"/>
        <v>1+0.0000376098085841448i</v>
      </c>
      <c r="U48" s="17">
        <f t="shared" si="49"/>
        <v>1.0000000007072487</v>
      </c>
      <c r="V48" s="17">
        <f t="shared" si="50"/>
        <v>3.7609808566411808E-5</v>
      </c>
      <c r="W48" s="31" t="str">
        <f t="shared" si="37"/>
        <v>1-0.0000927879177767564i</v>
      </c>
      <c r="X48" s="17">
        <f t="shared" si="51"/>
        <v>1.0000000043047987</v>
      </c>
      <c r="Y48" s="17">
        <f t="shared" si="52"/>
        <v>-9.2787917510467522E-5</v>
      </c>
      <c r="Z48" s="31" t="str">
        <f t="shared" si="38"/>
        <v>0.999999999638905+0.000129769457232015i</v>
      </c>
      <c r="AA48" s="17">
        <f t="shared" si="53"/>
        <v>1.0000000080589608</v>
      </c>
      <c r="AB48" s="17">
        <f t="shared" si="54"/>
        <v>1.2976945655043007E-4</v>
      </c>
      <c r="AC48" s="66" t="str">
        <f t="shared" si="55"/>
        <v>17.3981981454429-0.190016273363047i</v>
      </c>
      <c r="AD48" s="64">
        <f t="shared" si="56"/>
        <v>24.810603455020768</v>
      </c>
      <c r="AE48" s="61">
        <f t="shared" si="57"/>
        <v>-0.62573707718279625</v>
      </c>
      <c r="AF48" s="31" t="str">
        <f t="shared" si="39"/>
        <v>-9090.90909090909</v>
      </c>
      <c r="AG48" s="31" t="str">
        <f t="shared" si="40"/>
        <v>125.366028613816i</v>
      </c>
      <c r="AH48" s="31">
        <f t="shared" si="58"/>
        <v>125.366028613816</v>
      </c>
      <c r="AI48" s="31">
        <f t="shared" si="59"/>
        <v>1.5707963267948966</v>
      </c>
      <c r="AJ48" s="31" t="str">
        <f t="shared" si="41"/>
        <v>0.999943062695511+0.0434076113094479i</v>
      </c>
      <c r="AK48" s="31">
        <f t="shared" si="60"/>
        <v>1.0008847832555308</v>
      </c>
      <c r="AL48" s="31">
        <f t="shared" si="61"/>
        <v>4.3382845920854972E-2</v>
      </c>
      <c r="AM48" s="31" t="str">
        <f t="shared" si="42"/>
        <v>1+0.165207352507287i</v>
      </c>
      <c r="AN48" s="31">
        <f t="shared" si="62"/>
        <v>1.0135548674455008</v>
      </c>
      <c r="AO48" s="31">
        <f t="shared" si="63"/>
        <v>0.16372846904712288</v>
      </c>
      <c r="AP48" s="31" t="str">
        <f t="shared" si="43"/>
        <v>1+0.0275805262950395i</v>
      </c>
      <c r="AQ48" s="31">
        <f t="shared" si="64"/>
        <v>1.0003802704125624</v>
      </c>
      <c r="AR48" s="31">
        <f t="shared" si="65"/>
        <v>2.7573536116983551E-2</v>
      </c>
      <c r="AS48" s="58" t="str">
        <f t="shared" si="66"/>
        <v>-10.8266795244839+72.6586149829986i</v>
      </c>
      <c r="AT48" s="49">
        <f t="shared" si="67"/>
        <v>37.321114829174064</v>
      </c>
      <c r="AU48" s="61">
        <f t="shared" si="68"/>
        <v>98.475143533761837</v>
      </c>
      <c r="AV48" s="58" t="str">
        <f t="shared" si="44"/>
        <v>-174.558396377391+1266.18622574379i</v>
      </c>
      <c r="AW48" s="64">
        <f t="shared" si="69"/>
        <v>62.131718284194797</v>
      </c>
      <c r="AX48" s="49">
        <f t="shared" si="70"/>
        <v>97.849406456579075</v>
      </c>
      <c r="AY48" s="310"/>
      <c r="BA48" s="31">
        <f t="shared" si="71"/>
        <v>0</v>
      </c>
      <c r="BB48" s="31">
        <f t="shared" si="72"/>
        <v>0</v>
      </c>
    </row>
    <row r="49" spans="1:54" x14ac:dyDescent="0.45">
      <c r="B49" s="29">
        <f>wz_esr/(2*PI())</f>
        <v>530516.4769729845</v>
      </c>
      <c r="C49" s="31" t="s">
        <v>59</v>
      </c>
      <c r="N49" s="10">
        <v>31</v>
      </c>
      <c r="O49" s="50">
        <f t="shared" si="45"/>
        <v>20.4173794466953</v>
      </c>
      <c r="P49" s="48" t="str">
        <f t="shared" si="46"/>
        <v>17.4002386318441</v>
      </c>
      <c r="Q49" s="17" t="str">
        <f t="shared" si="35"/>
        <v>1+0.0109867256189419i</v>
      </c>
      <c r="R49" s="17">
        <f t="shared" si="47"/>
        <v>1.0000603522487161</v>
      </c>
      <c r="S49" s="17">
        <f t="shared" si="48"/>
        <v>1.0986283588551379E-2</v>
      </c>
      <c r="T49" s="17" t="str">
        <f t="shared" si="36"/>
        <v>1+0.0000384858535651758i</v>
      </c>
      <c r="U49" s="17">
        <f t="shared" si="49"/>
        <v>1.0000000007405805</v>
      </c>
      <c r="V49" s="17">
        <f t="shared" si="50"/>
        <v>3.8485853546174551E-5</v>
      </c>
      <c r="W49" s="31" t="str">
        <f t="shared" si="37"/>
        <v>1-0.0000949492260292773i</v>
      </c>
      <c r="X49" s="17">
        <f t="shared" si="51"/>
        <v>1.0000000045076778</v>
      </c>
      <c r="Y49" s="17">
        <f t="shared" si="52"/>
        <v>-9.4949225743943627E-5</v>
      </c>
      <c r="Z49" s="31" t="str">
        <f t="shared" si="38"/>
        <v>0.999999999621887+0.000132792176197597i</v>
      </c>
      <c r="AA49" s="17">
        <f t="shared" si="53"/>
        <v>1.0000000084387679</v>
      </c>
      <c r="AB49" s="17">
        <f t="shared" si="54"/>
        <v>1.3279217546726559E-4</v>
      </c>
      <c r="AC49" s="66" t="str">
        <f t="shared" si="55"/>
        <v>17.3981019918881-0.194441264536848i</v>
      </c>
      <c r="AD49" s="64">
        <f t="shared" si="56"/>
        <v>24.810579862374937</v>
      </c>
      <c r="AE49" s="61">
        <f t="shared" si="57"/>
        <v>-0.64031122628847825</v>
      </c>
      <c r="AF49" s="31" t="str">
        <f t="shared" si="39"/>
        <v>-9090.90909090909</v>
      </c>
      <c r="AG49" s="31" t="str">
        <f t="shared" si="40"/>
        <v>128.286178550586i</v>
      </c>
      <c r="AH49" s="31">
        <f t="shared" si="58"/>
        <v>128.28617855058599</v>
      </c>
      <c r="AI49" s="31">
        <f t="shared" si="59"/>
        <v>1.5707963267948966</v>
      </c>
      <c r="AJ49" s="31" t="str">
        <f t="shared" si="41"/>
        <v>0.999940379323021+0.0444187044646049i</v>
      </c>
      <c r="AK49" s="31">
        <f t="shared" si="60"/>
        <v>1.000926462587028</v>
      </c>
      <c r="AL49" s="31">
        <f t="shared" si="61"/>
        <v>4.4392169197615725E-2</v>
      </c>
      <c r="AM49" s="31" t="str">
        <f t="shared" si="42"/>
        <v>1+0.169055526093962i</v>
      </c>
      <c r="AN49" s="31">
        <f t="shared" si="62"/>
        <v>1.0141892184907639</v>
      </c>
      <c r="AO49" s="31">
        <f t="shared" si="63"/>
        <v>0.16747206884988039</v>
      </c>
      <c r="AP49" s="31" t="str">
        <f t="shared" si="43"/>
        <v>1+0.0282229592811289i</v>
      </c>
      <c r="AQ49" s="31">
        <f t="shared" si="64"/>
        <v>1.000398188438276</v>
      </c>
      <c r="AR49" s="31">
        <f t="shared" si="65"/>
        <v>2.8215469331401587E-2</v>
      </c>
      <c r="AS49" s="58" t="str">
        <f t="shared" si="66"/>
        <v>-10.8264151280351+71.0113090461146i</v>
      </c>
      <c r="AT49" s="49">
        <f t="shared" si="67"/>
        <v>37.126343223617305</v>
      </c>
      <c r="AU49" s="61">
        <f t="shared" si="68"/>
        <v>98.668586102638614</v>
      </c>
      <c r="AV49" s="58" t="str">
        <f t="shared" si="44"/>
        <v>-174.551545876731+1237.56709920968i</v>
      </c>
      <c r="AW49" s="64">
        <f t="shared" si="69"/>
        <v>61.936923085992213</v>
      </c>
      <c r="AX49" s="49">
        <f t="shared" si="70"/>
        <v>98.028274876350125</v>
      </c>
      <c r="AY49" s="310"/>
      <c r="BA49" s="31">
        <f t="shared" si="71"/>
        <v>0</v>
      </c>
      <c r="BB49" s="31">
        <f t="shared" si="72"/>
        <v>0</v>
      </c>
    </row>
    <row r="50" spans="1:54" x14ac:dyDescent="0.45">
      <c r="B50" s="26"/>
      <c r="N50" s="10">
        <v>32</v>
      </c>
      <c r="O50" s="50">
        <f t="shared" si="45"/>
        <v>20.8929613085404</v>
      </c>
      <c r="P50" s="48" t="str">
        <f t="shared" si="46"/>
        <v>17.4002386318441</v>
      </c>
      <c r="Q50" s="17" t="str">
        <f t="shared" si="35"/>
        <v>1+0.0112426393339747i</v>
      </c>
      <c r="R50" s="17">
        <f t="shared" si="47"/>
        <v>1.0000631964726998</v>
      </c>
      <c r="S50" s="17">
        <f t="shared" si="48"/>
        <v>1.1242165691494267E-2</v>
      </c>
      <c r="T50" s="17" t="str">
        <f t="shared" si="36"/>
        <v>1+0.0000393823042551879i</v>
      </c>
      <c r="U50" s="17">
        <f t="shared" si="49"/>
        <v>1.0000000007754828</v>
      </c>
      <c r="V50" s="17">
        <f t="shared" si="50"/>
        <v>3.9382304234827696E-5</v>
      </c>
      <c r="W50" s="31" t="str">
        <f t="shared" si="37"/>
        <v>1-0.0000971608776182414i</v>
      </c>
      <c r="X50" s="17">
        <f t="shared" si="51"/>
        <v>1.0000000047201181</v>
      </c>
      <c r="Y50" s="17">
        <f t="shared" si="52"/>
        <v>-9.7160877312500856E-5</v>
      </c>
      <c r="Z50" s="31" t="str">
        <f t="shared" si="38"/>
        <v>0.999999999604067+0.000135885303332713i</v>
      </c>
      <c r="AA50" s="17">
        <f t="shared" si="53"/>
        <v>1.0000000088364747</v>
      </c>
      <c r="AB50" s="17">
        <f t="shared" si="54"/>
        <v>1.3588530255014881E-4</v>
      </c>
      <c r="AC50" s="66" t="str">
        <f t="shared" si="55"/>
        <v>17.3980013078754-0.198969251454433i</v>
      </c>
      <c r="AD50" s="64">
        <f t="shared" si="56"/>
        <v>24.810555157979259</v>
      </c>
      <c r="AE50" s="61">
        <f t="shared" si="57"/>
        <v>-0.65522476942701591</v>
      </c>
      <c r="AF50" s="31" t="str">
        <f t="shared" si="39"/>
        <v>-9090.90909090909</v>
      </c>
      <c r="AG50" s="31" t="str">
        <f t="shared" si="40"/>
        <v>131.274347517293i</v>
      </c>
      <c r="AH50" s="31">
        <f t="shared" si="58"/>
        <v>131.27434751729299</v>
      </c>
      <c r="AI50" s="31">
        <f t="shared" si="59"/>
        <v>1.5707963267948966</v>
      </c>
      <c r="AJ50" s="31" t="str">
        <f t="shared" si="41"/>
        <v>0.999937569487081+0.04545334900482i</v>
      </c>
      <c r="AK50" s="31">
        <f t="shared" si="60"/>
        <v>1.0009701043525152</v>
      </c>
      <c r="AL50" s="31">
        <f t="shared" si="61"/>
        <v>4.5424917440453703E-2</v>
      </c>
      <c r="AM50" s="31" t="str">
        <f t="shared" si="42"/>
        <v>1+0.172993335158289i</v>
      </c>
      <c r="AN50" s="31">
        <f t="shared" si="62"/>
        <v>1.0148530405971043</v>
      </c>
      <c r="AO50" s="31">
        <f t="shared" si="63"/>
        <v>0.1712979684339169</v>
      </c>
      <c r="AP50" s="31" t="str">
        <f t="shared" si="43"/>
        <v>1+0.0288803564538044i</v>
      </c>
      <c r="AQ50" s="31">
        <f t="shared" si="64"/>
        <v>1.0004169505705602</v>
      </c>
      <c r="AR50" s="31">
        <f t="shared" si="65"/>
        <v>2.8872331008719332E-2</v>
      </c>
      <c r="AS50" s="58" t="str">
        <f t="shared" si="66"/>
        <v>-10.8261383179946+69.4016531771747i</v>
      </c>
      <c r="AT50" s="49">
        <f t="shared" si="67"/>
        <v>36.931810771596616</v>
      </c>
      <c r="AU50" s="61">
        <f t="shared" si="68"/>
        <v>98.866257287864755</v>
      </c>
      <c r="AV50" s="58" t="str">
        <f t="shared" si="44"/>
        <v>-174.544373633347+1209.60412138247i</v>
      </c>
      <c r="AW50" s="64">
        <f t="shared" si="69"/>
        <v>61.742365929575847</v>
      </c>
      <c r="AX50" s="49">
        <f t="shared" si="70"/>
        <v>98.211032518437747</v>
      </c>
      <c r="AY50" s="310"/>
      <c r="BA50" s="31">
        <f t="shared" si="71"/>
        <v>0</v>
      </c>
      <c r="BB50" s="31">
        <f t="shared" si="72"/>
        <v>0</v>
      </c>
    </row>
    <row r="51" spans="1:54" x14ac:dyDescent="0.45">
      <c r="A51" s="31" t="s">
        <v>191</v>
      </c>
      <c r="B51" s="1">
        <f>(Isl*(Rsl_int+R_sl)*Fsw)</f>
        <v>1049999.9999999998</v>
      </c>
      <c r="C51" s="31" t="s">
        <v>136</v>
      </c>
      <c r="E51" s="31" t="s">
        <v>192</v>
      </c>
      <c r="N51" s="10">
        <v>33</v>
      </c>
      <c r="O51" s="50">
        <f t="shared" si="45"/>
        <v>21.379620895022335</v>
      </c>
      <c r="P51" s="48" t="str">
        <f t="shared" si="46"/>
        <v>17.4002386318441</v>
      </c>
      <c r="Q51" s="17" t="str">
        <f t="shared" si="35"/>
        <v>1+0.0115045140451963i</v>
      </c>
      <c r="R51" s="17">
        <f t="shared" si="47"/>
        <v>1.0000661747321604</v>
      </c>
      <c r="S51" s="17">
        <f t="shared" si="48"/>
        <v>1.1504006529948475E-2</v>
      </c>
      <c r="T51" s="17" t="str">
        <f t="shared" si="36"/>
        <v>1+0.0000402996359642022i</v>
      </c>
      <c r="U51" s="17">
        <f t="shared" si="49"/>
        <v>1.0000000008120302</v>
      </c>
      <c r="V51" s="17">
        <f t="shared" si="50"/>
        <v>4.029963594238585E-5</v>
      </c>
      <c r="W51" s="31" t="str">
        <f t="shared" si="37"/>
        <v>1-0.0000994240451905941i</v>
      </c>
      <c r="X51" s="17">
        <f t="shared" si="51"/>
        <v>1.0000000049425704</v>
      </c>
      <c r="Y51" s="17">
        <f t="shared" si="52"/>
        <v>-9.9424044862987202E-5</v>
      </c>
      <c r="Z51" s="31" t="str">
        <f t="shared" si="38"/>
        <v>0.999999999585408+0.00013905047865431i</v>
      </c>
      <c r="AA51" s="17">
        <f t="shared" si="53"/>
        <v>1.0000000092529255</v>
      </c>
      <c r="AB51" s="17">
        <f t="shared" si="54"/>
        <v>1.3905047781577725E-4</v>
      </c>
      <c r="AC51" s="66" t="str">
        <f t="shared" si="55"/>
        <v>17.3978958799991-0.203602627793729i</v>
      </c>
      <c r="AD51" s="64">
        <f t="shared" si="56"/>
        <v>24.810529289451928</v>
      </c>
      <c r="AE51" s="61">
        <f t="shared" si="57"/>
        <v>-0.67048560627246145</v>
      </c>
      <c r="AF51" s="31" t="str">
        <f t="shared" si="39"/>
        <v>-9090.90909090909</v>
      </c>
      <c r="AG51" s="31" t="str">
        <f t="shared" si="40"/>
        <v>134.332119880674i</v>
      </c>
      <c r="AH51" s="31">
        <f t="shared" si="58"/>
        <v>134.33211988067399</v>
      </c>
      <c r="AI51" s="31">
        <f t="shared" si="59"/>
        <v>1.5707963267948966</v>
      </c>
      <c r="AJ51" s="31" t="str">
        <f t="shared" si="41"/>
        <v>0.999934627227653+0.0465120935123237i</v>
      </c>
      <c r="AK51" s="31">
        <f t="shared" si="60"/>
        <v>1.0010158008602086</v>
      </c>
      <c r="AL51" s="31">
        <f t="shared" si="61"/>
        <v>4.6481630209875141E-2</v>
      </c>
      <c r="AM51" s="31" t="str">
        <f t="shared" si="42"/>
        <v>1+0.177022867578752i</v>
      </c>
      <c r="AN51" s="31">
        <f t="shared" si="62"/>
        <v>1.0155476826056984</v>
      </c>
      <c r="AO51" s="31">
        <f t="shared" si="63"/>
        <v>0.17520774810418663</v>
      </c>
      <c r="AP51" s="31" t="str">
        <f t="shared" si="43"/>
        <v>1+0.0295530663737483i</v>
      </c>
      <c r="AQ51" s="31">
        <f t="shared" si="64"/>
        <v>1.0004365965577684</v>
      </c>
      <c r="AR51" s="31">
        <f t="shared" si="65"/>
        <v>2.9544467157080194E-2</v>
      </c>
      <c r="AS51" s="58" t="str">
        <f t="shared" si="66"/>
        <v>-10.8258485138513+67.8287938392433i</v>
      </c>
      <c r="AT51" s="49">
        <f t="shared" si="67"/>
        <v>36.737528065175574</v>
      </c>
      <c r="AU51" s="61">
        <f t="shared" si="68"/>
        <v>99.068236544511024</v>
      </c>
      <c r="AV51" s="58" t="str">
        <f t="shared" si="44"/>
        <v>-174.536864590879+1182.2824640866i</v>
      </c>
      <c r="AW51" s="64">
        <f t="shared" si="69"/>
        <v>61.548057354627531</v>
      </c>
      <c r="AX51" s="49">
        <f t="shared" si="70"/>
        <v>98.397750938238545</v>
      </c>
      <c r="AY51" s="310"/>
      <c r="BA51" s="31">
        <f t="shared" si="71"/>
        <v>0</v>
      </c>
      <c r="BB51" s="31">
        <f t="shared" si="72"/>
        <v>0</v>
      </c>
    </row>
    <row r="52" spans="1:54" x14ac:dyDescent="0.45">
      <c r="A52" s="31" t="s">
        <v>194</v>
      </c>
      <c r="B52" s="1">
        <f>(R_cs*VIN_var*Acs)/Lm</f>
        <v>266000.00000000006</v>
      </c>
      <c r="C52" s="31" t="s">
        <v>136</v>
      </c>
      <c r="E52" s="31" t="s">
        <v>193</v>
      </c>
      <c r="N52" s="10">
        <v>34</v>
      </c>
      <c r="O52" s="50">
        <f t="shared" si="45"/>
        <v>21.877616239495538</v>
      </c>
      <c r="P52" s="48" t="str">
        <f t="shared" si="46"/>
        <v>17.4002386318441</v>
      </c>
      <c r="Q52" s="17" t="str">
        <f t="shared" si="35"/>
        <v>1+0.0117724886020449i</v>
      </c>
      <c r="R52" s="17">
        <f t="shared" si="47"/>
        <v>1.000069293343159</v>
      </c>
      <c r="S52" s="17">
        <f t="shared" si="48"/>
        <v>1.1771944791694185E-2</v>
      </c>
      <c r="T52" s="17" t="str">
        <f t="shared" si="36"/>
        <v>1+0.0000412383350736336i</v>
      </c>
      <c r="U52" s="17">
        <f t="shared" si="49"/>
        <v>1.0000000008503001</v>
      </c>
      <c r="V52" s="17">
        <f t="shared" si="50"/>
        <v>4.1238335050256962E-5</v>
      </c>
      <c r="W52" s="31" t="str">
        <f t="shared" si="37"/>
        <v>1-0.00010173992870774i</v>
      </c>
      <c r="X52" s="17">
        <f t="shared" si="51"/>
        <v>1.0000000051755065</v>
      </c>
      <c r="Y52" s="17">
        <f t="shared" si="52"/>
        <v>-1.017399283567029E-4</v>
      </c>
      <c r="Z52" s="31" t="str">
        <f t="shared" si="38"/>
        <v>0.999999999565868+0.00014228938038024i</v>
      </c>
      <c r="AA52" s="17">
        <f t="shared" si="53"/>
        <v>1.0000000096890018</v>
      </c>
      <c r="AB52" s="17">
        <f t="shared" si="54"/>
        <v>1.4228937948173608E-4</v>
      </c>
      <c r="AC52" s="66" t="str">
        <f t="shared" si="55"/>
        <v>17.3977854848061-0.208343842602488i</v>
      </c>
      <c r="AD52" s="64">
        <f t="shared" si="56"/>
        <v>24.810502201943585</v>
      </c>
      <c r="AE52" s="61">
        <f t="shared" si="57"/>
        <v>-0.68610182008919973</v>
      </c>
      <c r="AF52" s="31" t="str">
        <f t="shared" si="39"/>
        <v>-9090.90909090909</v>
      </c>
      <c r="AG52" s="31" t="str">
        <f t="shared" si="40"/>
        <v>137.461116912112i</v>
      </c>
      <c r="AH52" s="31">
        <f t="shared" si="58"/>
        <v>137.461116912112</v>
      </c>
      <c r="AI52" s="31">
        <f t="shared" si="59"/>
        <v>1.5707963267948966</v>
      </c>
      <c r="AJ52" s="31" t="str">
        <f t="shared" si="41"/>
        <v>0.99993154630381+0.047595499347468i</v>
      </c>
      <c r="AK52" s="31">
        <f t="shared" si="60"/>
        <v>1.0010636487514983</v>
      </c>
      <c r="AL52" s="31">
        <f t="shared" si="61"/>
        <v>4.7562859201675391E-2</v>
      </c>
      <c r="AM52" s="31" t="str">
        <f t="shared" si="42"/>
        <v>1+0.181146259866781i</v>
      </c>
      <c r="AN52" s="31">
        <f t="shared" si="62"/>
        <v>1.0162745531910771</v>
      </c>
      <c r="AO52" s="31">
        <f t="shared" si="63"/>
        <v>0.1792030025085842</v>
      </c>
      <c r="AP52" s="31" t="str">
        <f t="shared" si="43"/>
        <v>1+0.0302414457206646i</v>
      </c>
      <c r="AQ52" s="31">
        <f t="shared" si="64"/>
        <v>1.0004571680183394</v>
      </c>
      <c r="AR52" s="31">
        <f t="shared" si="65"/>
        <v>3.0232231721385346E-2</v>
      </c>
      <c r="AS52" s="58" t="str">
        <f t="shared" si="66"/>
        <v>-10.8255451081706+66.2918969999871i</v>
      </c>
      <c r="AT52" s="49">
        <f t="shared" si="67"/>
        <v>36.543506133103691</v>
      </c>
      <c r="AU52" s="61">
        <f t="shared" si="68"/>
        <v>99.27460390888011</v>
      </c>
      <c r="AV52" s="58" t="str">
        <f t="shared" si="44"/>
        <v>-174.529002993658+1155.58763905274i</v>
      </c>
      <c r="AW52" s="64">
        <f t="shared" si="69"/>
        <v>61.354008335047283</v>
      </c>
      <c r="AX52" s="49">
        <f t="shared" si="70"/>
        <v>98.588502088790875</v>
      </c>
      <c r="AY52" s="310"/>
      <c r="BA52" s="31">
        <f t="shared" si="71"/>
        <v>0</v>
      </c>
      <c r="BB52" s="31">
        <f t="shared" si="72"/>
        <v>0</v>
      </c>
    </row>
    <row r="53" spans="1:54" x14ac:dyDescent="0.45">
      <c r="A53" s="31" t="s">
        <v>485</v>
      </c>
      <c r="B53" s="1">
        <f>1+(B51/B52)</f>
        <v>4.9473684210526301</v>
      </c>
      <c r="N53" s="10">
        <v>35</v>
      </c>
      <c r="O53" s="50">
        <f t="shared" si="45"/>
        <v>22.387211385683404</v>
      </c>
      <c r="P53" s="48" t="str">
        <f t="shared" si="46"/>
        <v>17.4002386318441</v>
      </c>
      <c r="Q53" s="17" t="str">
        <f t="shared" si="35"/>
        <v>1+0.0120467050881776i</v>
      </c>
      <c r="R53" s="17">
        <f t="shared" si="47"/>
        <v>1.0000725589193424</v>
      </c>
      <c r="S53" s="17">
        <f t="shared" si="48"/>
        <v>1.2046122387171745E-2</v>
      </c>
      <c r="T53" s="17" t="str">
        <f t="shared" si="36"/>
        <v>1+0.000042198899294175i</v>
      </c>
      <c r="U53" s="17">
        <f t="shared" si="49"/>
        <v>1.0000000008903736</v>
      </c>
      <c r="V53" s="17">
        <f t="shared" si="50"/>
        <v>4.2198899269126481E-5</v>
      </c>
      <c r="W53" s="31" t="str">
        <f t="shared" si="37"/>
        <v>1-0.000104109756081774i</v>
      </c>
      <c r="X53" s="17">
        <f t="shared" si="51"/>
        <v>1.0000000054194207</v>
      </c>
      <c r="Y53" s="17">
        <f t="shared" si="52"/>
        <v>-1.0410975570563096E-4</v>
      </c>
      <c r="Z53" s="31" t="str">
        <f t="shared" si="38"/>
        <v>0.999999999545408+0.00014560372581907i</v>
      </c>
      <c r="AA53" s="17">
        <f t="shared" si="53"/>
        <v>1.0000000101456303</v>
      </c>
      <c r="AB53" s="17">
        <f t="shared" si="54"/>
        <v>1.4560372485630571E-4</v>
      </c>
      <c r="AC53" s="66" t="str">
        <f t="shared" si="55"/>
        <v>17.3976698883238-0.21319540156042i</v>
      </c>
      <c r="AD53" s="64">
        <f t="shared" si="56"/>
        <v>24.810473838021352</v>
      </c>
      <c r="AE53" s="61">
        <f t="shared" si="57"/>
        <v>-0.7020816819784953</v>
      </c>
      <c r="AF53" s="31" t="str">
        <f t="shared" si="39"/>
        <v>-9090.90909090909</v>
      </c>
      <c r="AG53" s="31" t="str">
        <f t="shared" si="40"/>
        <v>140.66299764725i</v>
      </c>
      <c r="AH53" s="31">
        <f t="shared" si="58"/>
        <v>140.66299764724999</v>
      </c>
      <c r="AI53" s="31">
        <f t="shared" si="59"/>
        <v>1.5707963267948966</v>
      </c>
      <c r="AJ53" s="31" t="str">
        <f t="shared" si="41"/>
        <v>0.9999283201805+0.0487041409463672i</v>
      </c>
      <c r="AK53" s="31">
        <f t="shared" si="60"/>
        <v>1.001113749203516</v>
      </c>
      <c r="AL53" s="31">
        <f t="shared" si="61"/>
        <v>4.8669168498895958E-2</v>
      </c>
      <c r="AM53" s="31" t="str">
        <f t="shared" si="42"/>
        <v>1+0.185365698299546i</v>
      </c>
      <c r="AN53" s="31">
        <f t="shared" si="62"/>
        <v>1.0170351233394441</v>
      </c>
      <c r="AO53" s="31">
        <f t="shared" si="63"/>
        <v>0.18328533955167794</v>
      </c>
      <c r="AP53" s="31" t="str">
        <f t="shared" si="43"/>
        <v>1+0.030945859482395i</v>
      </c>
      <c r="AQ53" s="31">
        <f t="shared" si="64"/>
        <v>1.0004787085286244</v>
      </c>
      <c r="AR53" s="31">
        <f t="shared" si="65"/>
        <v>3.0935986759409874E-2</v>
      </c>
      <c r="AS53" s="58" t="str">
        <f t="shared" si="66"/>
        <v>-10.8252274653659+64.7901476890785i</v>
      </c>
      <c r="AT53" s="49">
        <f t="shared" si="67"/>
        <v>36.349756455791713</v>
      </c>
      <c r="AU53" s="61">
        <f t="shared" si="68"/>
        <v>99.485439931922286</v>
      </c>
      <c r="AV53" s="58" t="str">
        <f t="shared" si="44"/>
        <v>-174.52077235472+1129.50549022679i</v>
      </c>
      <c r="AW53" s="64">
        <f t="shared" si="69"/>
        <v>61.160230293813029</v>
      </c>
      <c r="AX53" s="49">
        <f t="shared" si="70"/>
        <v>98.783358249943817</v>
      </c>
      <c r="AY53" s="310"/>
      <c r="BA53" s="31">
        <f t="shared" si="71"/>
        <v>0</v>
      </c>
      <c r="BB53" s="31">
        <f t="shared" si="72"/>
        <v>0</v>
      </c>
    </row>
    <row r="54" spans="1:54" x14ac:dyDescent="0.45">
      <c r="A54" s="31" t="s">
        <v>189</v>
      </c>
      <c r="B54" s="1">
        <f>2*PI()*Fsw</f>
        <v>13194689.145077132</v>
      </c>
      <c r="C54" s="31" t="s">
        <v>195</v>
      </c>
      <c r="N54" s="10">
        <v>36</v>
      </c>
      <c r="O54" s="50">
        <f t="shared" si="45"/>
        <v>22.908676527677727</v>
      </c>
      <c r="P54" s="48" t="str">
        <f t="shared" si="46"/>
        <v>17.4002386318441</v>
      </c>
      <c r="Q54" s="17" t="str">
        <f t="shared" si="35"/>
        <v>1+0.012327308896805i</v>
      </c>
      <c r="R54" s="17">
        <f t="shared" si="47"/>
        <v>1.0000759783859612</v>
      </c>
      <c r="S54" s="17">
        <f t="shared" si="48"/>
        <v>1.2326684523989951E-2</v>
      </c>
      <c r="T54" s="17" t="str">
        <f t="shared" si="36"/>
        <v>1+0.0000431818379296905i</v>
      </c>
      <c r="U54" s="17">
        <f t="shared" si="49"/>
        <v>1.0000000009323355</v>
      </c>
      <c r="V54" s="17">
        <f t="shared" si="50"/>
        <v>4.318183790285053E-5</v>
      </c>
      <c r="W54" s="31" t="str">
        <f t="shared" si="37"/>
        <v>1-0.000106534783826538i</v>
      </c>
      <c r="X54" s="17">
        <f t="shared" si="51"/>
        <v>1.0000000056748299</v>
      </c>
      <c r="Y54" s="17">
        <f t="shared" si="52"/>
        <v>-1.0653478342349347E-4</v>
      </c>
      <c r="Z54" s="31" t="str">
        <f t="shared" si="38"/>
        <v>0.999999999523984+0.000148995272280623i</v>
      </c>
      <c r="AA54" s="17">
        <f t="shared" si="53"/>
        <v>1.0000000106237794</v>
      </c>
      <c r="AB54" s="17">
        <f t="shared" si="54"/>
        <v>1.4899527124900245E-4</v>
      </c>
      <c r="AC54" s="66" t="str">
        <f t="shared" si="55"/>
        <v>17.3975488455653-0.218159868268765i</v>
      </c>
      <c r="AD54" s="64">
        <f t="shared" si="56"/>
        <v>24.81044413754713</v>
      </c>
      <c r="AE54" s="61">
        <f t="shared" si="57"/>
        <v>-0.71843365522187985</v>
      </c>
      <c r="AF54" s="31" t="str">
        <f t="shared" si="39"/>
        <v>-9090.90909090909</v>
      </c>
      <c r="AG54" s="31" t="str">
        <f t="shared" si="40"/>
        <v>143.939459765635i</v>
      </c>
      <c r="AH54" s="31">
        <f t="shared" si="58"/>
        <v>143.93945976563501</v>
      </c>
      <c r="AI54" s="31">
        <f t="shared" si="59"/>
        <v>1.5707963267948966</v>
      </c>
      <c r="AJ54" s="31" t="str">
        <f t="shared" si="41"/>
        <v>0.999924942014683+0.0498386061254717i</v>
      </c>
      <c r="AK54" s="31">
        <f t="shared" si="60"/>
        <v>1.0011662081410844</v>
      </c>
      <c r="AL54" s="31">
        <f t="shared" si="61"/>
        <v>4.9801134827482843E-2</v>
      </c>
      <c r="AM54" s="31" t="str">
        <f t="shared" si="42"/>
        <v>1+0.189683420079154i</v>
      </c>
      <c r="AN54" s="31">
        <f t="shared" si="62"/>
        <v>1.0178309289135032</v>
      </c>
      <c r="AO54" s="31">
        <f t="shared" si="63"/>
        <v>0.18745637920259728</v>
      </c>
      <c r="AP54" s="31" t="str">
        <f t="shared" si="43"/>
        <v>1+0.0316666811484397i</v>
      </c>
      <c r="AQ54" s="31">
        <f t="shared" si="64"/>
        <v>1.0005012637148225</v>
      </c>
      <c r="AR54" s="31">
        <f t="shared" si="65"/>
        <v>3.1656102621398362E-2</v>
      </c>
      <c r="AS54" s="58" t="str">
        <f t="shared" si="66"/>
        <v>-10.8248949204183+63.322749565678i</v>
      </c>
      <c r="AT54" s="49">
        <f t="shared" si="67"/>
        <v>36.156290980511187</v>
      </c>
      <c r="AU54" s="61">
        <f t="shared" si="68"/>
        <v>99.700825606575137</v>
      </c>
      <c r="AV54" s="58" t="str">
        <f t="shared" si="44"/>
        <v>-174.512155422425+1104.02218625424i</v>
      </c>
      <c r="AW54" s="64">
        <f t="shared" si="69"/>
        <v>60.966735118058295</v>
      </c>
      <c r="AX54" s="49">
        <f t="shared" si="70"/>
        <v>98.982391951353293</v>
      </c>
      <c r="AY54" s="310"/>
      <c r="BA54" s="31">
        <f t="shared" si="71"/>
        <v>0</v>
      </c>
      <c r="BB54" s="31">
        <f t="shared" si="72"/>
        <v>0</v>
      </c>
    </row>
    <row r="55" spans="1:54" x14ac:dyDescent="0.45">
      <c r="A55" s="31" t="s">
        <v>190</v>
      </c>
      <c r="B55" s="1">
        <f>1/(PI()*(((1-Dc_var_ccm)*mc)-0.5))</f>
        <v>0.1464327480681708</v>
      </c>
      <c r="N55" s="10">
        <v>37</v>
      </c>
      <c r="O55" s="50">
        <f t="shared" si="45"/>
        <v>23.442288153199236</v>
      </c>
      <c r="P55" s="48" t="str">
        <f t="shared" si="46"/>
        <v>17.4002386318441</v>
      </c>
      <c r="Q55" s="17" t="str">
        <f t="shared" si="35"/>
        <v>1+0.0126144488077808i</v>
      </c>
      <c r="R55" s="17">
        <f t="shared" si="47"/>
        <v>1.0000795589945453</v>
      </c>
      <c r="S55" s="17">
        <f t="shared" si="48"/>
        <v>1.2613779783130287E-2</v>
      </c>
      <c r="T55" s="17" t="str">
        <f t="shared" si="36"/>
        <v>1+0.0000441876721472556i</v>
      </c>
      <c r="U55" s="17">
        <f t="shared" si="49"/>
        <v>1.0000000009762751</v>
      </c>
      <c r="V55" s="17">
        <f t="shared" si="50"/>
        <v>4.4187672118496047E-5</v>
      </c>
      <c r="W55" s="31" t="str">
        <f t="shared" si="37"/>
        <v>1-0.000109016297723842i</v>
      </c>
      <c r="X55" s="17">
        <f t="shared" si="51"/>
        <v>1.0000000059422764</v>
      </c>
      <c r="Y55" s="17">
        <f t="shared" si="52"/>
        <v>-1.0901629729197201E-4</v>
      </c>
      <c r="Z55" s="31" t="str">
        <f t="shared" si="38"/>
        <v>0.99999999950155+0.000152465818007724i</v>
      </c>
      <c r="AA55" s="17">
        <f t="shared" si="53"/>
        <v>1.0000000111244629</v>
      </c>
      <c r="AB55" s="17">
        <f t="shared" si="54"/>
        <v>1.5246581690232265E-4</v>
      </c>
      <c r="AC55" s="66" t="str">
        <f t="shared" si="55"/>
        <v>17.3974221000117-0.223239865567789i</v>
      </c>
      <c r="AD55" s="64">
        <f t="shared" si="56"/>
        <v>24.810413037550365</v>
      </c>
      <c r="AE55" s="61">
        <f t="shared" si="57"/>
        <v>-0.73516639972340647</v>
      </c>
      <c r="AF55" s="31" t="str">
        <f t="shared" si="39"/>
        <v>-9090.90909090909</v>
      </c>
      <c r="AG55" s="31" t="str">
        <f t="shared" si="40"/>
        <v>147.292240490852i</v>
      </c>
      <c r="AH55" s="31">
        <f t="shared" si="58"/>
        <v>147.29224049085201</v>
      </c>
      <c r="AI55" s="31">
        <f t="shared" si="59"/>
        <v>1.5707963267948966</v>
      </c>
      <c r="AJ55" s="31" t="str">
        <f t="shared" si="41"/>
        <v>0.999921404640815+0.0509994963932359i</v>
      </c>
      <c r="AK55" s="31">
        <f t="shared" si="60"/>
        <v>1.0012211364584869</v>
      </c>
      <c r="AL55" s="31">
        <f t="shared" si="61"/>
        <v>5.0959347815580161E-2</v>
      </c>
      <c r="AM55" s="31" t="str">
        <f t="shared" si="42"/>
        <v>1+0.194101714518845i</v>
      </c>
      <c r="AN55" s="31">
        <f t="shared" si="62"/>
        <v>1.0186635733053162</v>
      </c>
      <c r="AO55" s="31">
        <f t="shared" si="63"/>
        <v>0.19171775219110948</v>
      </c>
      <c r="AP55" s="31" t="str">
        <f t="shared" si="43"/>
        <v>1+0.0324042929079874i</v>
      </c>
      <c r="AQ55" s="31">
        <f t="shared" si="64"/>
        <v>1.000524881349218</v>
      </c>
      <c r="AR55" s="31">
        <f t="shared" si="65"/>
        <v>3.2392958133178586E-2</v>
      </c>
      <c r="AS55" s="58" t="str">
        <f t="shared" si="66"/>
        <v>-10.8245467775389+61.8889244957663i</v>
      </c>
      <c r="AT55" s="49">
        <f t="shared" si="67"/>
        <v>35.963122136790574</v>
      </c>
      <c r="AU55" s="61">
        <f t="shared" si="68"/>
        <v>99.920842288688647</v>
      </c>
      <c r="AV55" s="58" t="str">
        <f t="shared" si="44"/>
        <v>-174.503134145596+1079.12421313605i</v>
      </c>
      <c r="AW55" s="64">
        <f t="shared" si="69"/>
        <v>60.773535174340942</v>
      </c>
      <c r="AX55" s="49">
        <f t="shared" si="70"/>
        <v>99.18567588896525</v>
      </c>
      <c r="AY55" s="310"/>
      <c r="BA55" s="31">
        <f t="shared" si="71"/>
        <v>0</v>
      </c>
      <c r="BB55" s="31">
        <f t="shared" si="72"/>
        <v>0</v>
      </c>
    </row>
    <row r="56" spans="1:54" x14ac:dyDescent="0.45">
      <c r="N56" s="10">
        <v>38</v>
      </c>
      <c r="O56" s="50">
        <f t="shared" si="45"/>
        <v>23.988329190194907</v>
      </c>
      <c r="P56" s="48" t="str">
        <f t="shared" si="46"/>
        <v>17.4002386318441</v>
      </c>
      <c r="Q56" s="17" t="str">
        <f t="shared" si="35"/>
        <v>1+0.0129082770664863i</v>
      </c>
      <c r="R56" s="17">
        <f t="shared" si="47"/>
        <v>1.000083308338273</v>
      </c>
      <c r="S56" s="17">
        <f t="shared" si="48"/>
        <v>1.2907560196882779E-2</v>
      </c>
      <c r="T56" s="17" t="str">
        <f t="shared" si="36"/>
        <v>1+0.000045216935253486i</v>
      </c>
      <c r="U56" s="17">
        <f t="shared" si="49"/>
        <v>1.0000000010222856</v>
      </c>
      <c r="V56" s="17">
        <f t="shared" si="50"/>
        <v>4.5216935222669586E-5</v>
      </c>
      <c r="W56" s="31" t="str">
        <f t="shared" si="37"/>
        <v>1-0.000111555613505199i</v>
      </c>
      <c r="X56" s="17">
        <f t="shared" si="51"/>
        <v>1.0000000062223273</v>
      </c>
      <c r="Y56" s="17">
        <f t="shared" si="52"/>
        <v>-1.1155561304244196E-4</v>
      </c>
      <c r="Z56" s="31" t="str">
        <f t="shared" si="38"/>
        <v>0.999999999478059+0.000156017203129657i</v>
      </c>
      <c r="AA56" s="17">
        <f t="shared" si="53"/>
        <v>1.0000000116487426</v>
      </c>
      <c r="AB56" s="17">
        <f t="shared" si="54"/>
        <v>1.5601720194519808E-4</v>
      </c>
      <c r="AC56" s="66" t="str">
        <f t="shared" si="55"/>
        <v>17.3972893830697-0.228438076882687i</v>
      </c>
      <c r="AD56" s="64">
        <f t="shared" si="56"/>
        <v>24.8103804720946</v>
      </c>
      <c r="AE56" s="61">
        <f t="shared" si="57"/>
        <v>-0.75228877655288695</v>
      </c>
      <c r="AF56" s="31" t="str">
        <f t="shared" si="39"/>
        <v>-9090.90909090909</v>
      </c>
      <c r="AG56" s="31" t="str">
        <f t="shared" si="40"/>
        <v>150.72311751162i</v>
      </c>
      <c r="AH56" s="31">
        <f t="shared" si="58"/>
        <v>150.72311751161999</v>
      </c>
      <c r="AI56" s="31">
        <f t="shared" si="59"/>
        <v>1.5707963267948966</v>
      </c>
      <c r="AJ56" s="31" t="str">
        <f t="shared" si="41"/>
        <v>0.999917700555653+0.0521874272690458i</v>
      </c>
      <c r="AK56" s="31">
        <f t="shared" si="60"/>
        <v>1.0012786502515005</v>
      </c>
      <c r="AL56" s="31">
        <f t="shared" si="61"/>
        <v>5.214441025638198E-2</v>
      </c>
      <c r="AM56" s="31" t="str">
        <f t="shared" si="42"/>
        <v>1+0.198622924256813i</v>
      </c>
      <c r="AN56" s="31">
        <f t="shared" si="62"/>
        <v>1.0195347301785886</v>
      </c>
      <c r="AO56" s="31">
        <f t="shared" si="63"/>
        <v>0.19607109858578287</v>
      </c>
      <c r="AP56" s="31" t="str">
        <f t="shared" si="43"/>
        <v>1+0.0331590858525564i</v>
      </c>
      <c r="AQ56" s="31">
        <f t="shared" si="64"/>
        <v>1.0005496114509151</v>
      </c>
      <c r="AR56" s="31">
        <f t="shared" si="65"/>
        <v>3.3146940782824957E-2</v>
      </c>
      <c r="AS56" s="58" t="str">
        <f t="shared" si="66"/>
        <v>-10.8241823087739+60.4879121390988i</v>
      </c>
      <c r="AT56" s="49">
        <f t="shared" si="67"/>
        <v>35.770262851976156</v>
      </c>
      <c r="AU56" s="61">
        <f t="shared" si="68"/>
        <v>100.14557161119546</v>
      </c>
      <c r="AV56" s="58" t="str">
        <f t="shared" si="44"/>
        <v>-174.493689637138+1054.79836705204i</v>
      </c>
      <c r="AW56" s="64">
        <f t="shared" si="69"/>
        <v>60.580643324070749</v>
      </c>
      <c r="AX56" s="49">
        <f t="shared" si="70"/>
        <v>99.393282834642562</v>
      </c>
      <c r="AY56" s="310"/>
      <c r="BA56" s="31">
        <f t="shared" si="71"/>
        <v>0</v>
      </c>
      <c r="BB56" s="31">
        <f t="shared" si="72"/>
        <v>0</v>
      </c>
    </row>
    <row r="57" spans="1:54" x14ac:dyDescent="0.45">
      <c r="N57" s="10">
        <v>39</v>
      </c>
      <c r="O57" s="50">
        <f t="shared" si="45"/>
        <v>24.547089156850316</v>
      </c>
      <c r="P57" s="48" t="str">
        <f t="shared" si="46"/>
        <v>17.4002386318441</v>
      </c>
      <c r="Q57" s="17" t="str">
        <f t="shared" si="35"/>
        <v>1+0.0132089494645538i</v>
      </c>
      <c r="R57" s="17">
        <f t="shared" si="47"/>
        <v>1.0000872343680611</v>
      </c>
      <c r="S57" s="17">
        <f t="shared" si="48"/>
        <v>1.3208181328552964E-2</v>
      </c>
      <c r="T57" s="17" t="str">
        <f t="shared" si="36"/>
        <v>1+0.0000462701729773047i</v>
      </c>
      <c r="U57" s="17">
        <f t="shared" si="49"/>
        <v>1.0000000010704644</v>
      </c>
      <c r="V57" s="17">
        <f t="shared" si="50"/>
        <v>4.6270172944284316E-5</v>
      </c>
      <c r="W57" s="31" t="str">
        <f t="shared" si="37"/>
        <v>1-0.00011415407754945i</v>
      </c>
      <c r="X57" s="17">
        <f t="shared" si="51"/>
        <v>1.0000000065155767</v>
      </c>
      <c r="Y57" s="17">
        <f t="shared" si="52"/>
        <v>-1.1415407705359689E-4</v>
      </c>
      <c r="Z57" s="31" t="str">
        <f t="shared" si="38"/>
        <v>0.999999999453461+0.00015965131063782i</v>
      </c>
      <c r="AA57" s="17">
        <f t="shared" si="53"/>
        <v>1.0000000121977315</v>
      </c>
      <c r="AB57" s="17">
        <f t="shared" si="54"/>
        <v>1.5965130936864937E-4</v>
      </c>
      <c r="AC57" s="66" t="str">
        <f t="shared" si="55"/>
        <v>17.3971504135041-0.23375724759846i</v>
      </c>
      <c r="AD57" s="64">
        <f t="shared" si="56"/>
        <v>24.810346372137907</v>
      </c>
      <c r="AE57" s="61">
        <f t="shared" si="57"/>
        <v>-0.7698098525924767</v>
      </c>
      <c r="AF57" s="31" t="str">
        <f t="shared" si="39"/>
        <v>-9090.90909090909</v>
      </c>
      <c r="AG57" s="31" t="str">
        <f t="shared" si="40"/>
        <v>154.233909924349i</v>
      </c>
      <c r="AH57" s="31">
        <f t="shared" si="58"/>
        <v>154.23390992434901</v>
      </c>
      <c r="AI57" s="31">
        <f t="shared" si="59"/>
        <v>1.5707963267948966</v>
      </c>
      <c r="AJ57" s="31" t="str">
        <f t="shared" si="41"/>
        <v>0.999913821902335+0.0534030286095762i</v>
      </c>
      <c r="AK57" s="31">
        <f t="shared" si="60"/>
        <v>1.001338871060147</v>
      </c>
      <c r="AL57" s="31">
        <f t="shared" si="61"/>
        <v>5.3356938374453482E-2</v>
      </c>
      <c r="AM57" s="31" t="str">
        <f t="shared" si="42"/>
        <v>1+0.203249446498307i</v>
      </c>
      <c r="AN57" s="31">
        <f t="shared" si="62"/>
        <v>1.0204461463016401</v>
      </c>
      <c r="AO57" s="31">
        <f t="shared" si="63"/>
        <v>0.20051806624800836</v>
      </c>
      <c r="AP57" s="31" t="str">
        <f t="shared" si="43"/>
        <v>1+0.0339314601833568i</v>
      </c>
      <c r="AQ57" s="31">
        <f t="shared" si="64"/>
        <v>1.0005755063912842</v>
      </c>
      <c r="AR57" s="31">
        <f t="shared" si="65"/>
        <v>3.3918446910906445E-2</v>
      </c>
      <c r="AS57" s="58" t="str">
        <f t="shared" si="66"/>
        <v>-10.823800752548+59.118969545564i</v>
      </c>
      <c r="AT57" s="49">
        <f t="shared" si="67"/>
        <v>35.577726566921996</v>
      </c>
      <c r="AU57" s="61">
        <f t="shared" si="68"/>
        <v>100.37509539117323</v>
      </c>
      <c r="AV57" s="58" t="str">
        <f t="shared" si="44"/>
        <v>-174.483802136048+1031.03174734801i</v>
      </c>
      <c r="AW57" s="64">
        <f t="shared" si="69"/>
        <v>60.38807293905986</v>
      </c>
      <c r="AX57" s="49">
        <f t="shared" si="70"/>
        <v>99.605285538580787</v>
      </c>
      <c r="AY57" s="310"/>
      <c r="BA57" s="31">
        <f t="shared" si="71"/>
        <v>0</v>
      </c>
      <c r="BB57" s="31">
        <f t="shared" si="72"/>
        <v>0</v>
      </c>
    </row>
    <row r="58" spans="1:54" x14ac:dyDescent="0.45">
      <c r="N58" s="10">
        <v>40</v>
      </c>
      <c r="O58" s="50">
        <f t="shared" si="45"/>
        <v>25.118864315095799</v>
      </c>
      <c r="P58" s="48" t="str">
        <f t="shared" si="46"/>
        <v>17.4002386318441</v>
      </c>
      <c r="Q58" s="17" t="str">
        <f t="shared" si="35"/>
        <v>1+0.0135166254224686i</v>
      </c>
      <c r="R58" s="17">
        <f t="shared" si="47"/>
        <v>1.0000913454094138</v>
      </c>
      <c r="S58" s="17">
        <f t="shared" si="48"/>
        <v>1.3515802353974831E-2</v>
      </c>
      <c r="T58" s="17" t="str">
        <f t="shared" si="36"/>
        <v>1+0.0000473479437592944i</v>
      </c>
      <c r="U58" s="17">
        <f t="shared" si="49"/>
        <v>1.0000000011209138</v>
      </c>
      <c r="V58" s="17">
        <f t="shared" si="50"/>
        <v>4.7347943723912424E-5</v>
      </c>
      <c r="W58" s="31" t="str">
        <f t="shared" si="37"/>
        <v>1-0.000116813067596627i</v>
      </c>
      <c r="X58" s="17">
        <f t="shared" si="51"/>
        <v>1.0000000068226462</v>
      </c>
      <c r="Y58" s="17">
        <f t="shared" si="52"/>
        <v>-1.1681306706531083E-4</v>
      </c>
      <c r="Z58" s="31" t="str">
        <f t="shared" si="38"/>
        <v>0.999999999427703+0.00016337006738412i</v>
      </c>
      <c r="AA58" s="17">
        <f t="shared" si="53"/>
        <v>1.0000000127725923</v>
      </c>
      <c r="AB58" s="17">
        <f t="shared" si="54"/>
        <v>1.6337006602417921E-4</v>
      </c>
      <c r="AC58" s="66" t="str">
        <f t="shared" si="55"/>
        <v>17.3970048968436-0.239200186464168i</v>
      </c>
      <c r="AD58" s="64">
        <f t="shared" si="56"/>
        <v>24.810310665386744</v>
      </c>
      <c r="AE58" s="61">
        <f t="shared" si="57"/>
        <v>-0.78773890528851609</v>
      </c>
      <c r="AF58" s="31" t="str">
        <f t="shared" si="39"/>
        <v>-9090.90909090909</v>
      </c>
      <c r="AG58" s="31" t="str">
        <f t="shared" si="40"/>
        <v>157.826479197648i</v>
      </c>
      <c r="AH58" s="31">
        <f t="shared" si="58"/>
        <v>157.82647919764801</v>
      </c>
      <c r="AI58" s="31">
        <f t="shared" si="59"/>
        <v>1.5707963267948966</v>
      </c>
      <c r="AJ58" s="31" t="str">
        <f t="shared" si="41"/>
        <v>0.999909760453719+0.0546469449427479i</v>
      </c>
      <c r="AK58" s="31">
        <f t="shared" si="60"/>
        <v>1.0014019261226679</v>
      </c>
      <c r="AL58" s="31">
        <f t="shared" si="61"/>
        <v>5.459756209541386E-2</v>
      </c>
      <c r="AM58" s="31" t="str">
        <f t="shared" si="42"/>
        <v>1+0.20798373428666i</v>
      </c>
      <c r="AN58" s="31">
        <f t="shared" si="62"/>
        <v>1.0213996444721449</v>
      </c>
      <c r="AO58" s="31">
        <f t="shared" si="63"/>
        <v>0.20506030915551346</v>
      </c>
      <c r="AP58" s="31" t="str">
        <f t="shared" si="43"/>
        <v>1+0.0347218254234825i</v>
      </c>
      <c r="AQ58" s="31">
        <f t="shared" si="64"/>
        <v>1.0006026210043319</v>
      </c>
      <c r="AR58" s="31">
        <f t="shared" si="65"/>
        <v>3.4707881904347204E-2</v>
      </c>
      <c r="AS58" s="58" t="str">
        <f t="shared" si="66"/>
        <v>-10.8234013121459+57.7813707607213i</v>
      </c>
      <c r="AT58" s="49">
        <f t="shared" si="67"/>
        <v>35.385527251767421</v>
      </c>
      <c r="AU58" s="61">
        <f t="shared" si="68"/>
        <v>100.60949552944567</v>
      </c>
      <c r="AV58" s="58" t="str">
        <f t="shared" si="44"/>
        <v>-174.473450967786+1007.81174968265i</v>
      </c>
      <c r="AW58" s="64">
        <f t="shared" si="69"/>
        <v>60.195837917154201</v>
      </c>
      <c r="AX58" s="49">
        <f t="shared" si="70"/>
        <v>99.821756624157118</v>
      </c>
      <c r="AY58" s="310"/>
      <c r="BA58" s="31">
        <f t="shared" si="71"/>
        <v>0</v>
      </c>
      <c r="BB58" s="31">
        <f t="shared" si="72"/>
        <v>0</v>
      </c>
    </row>
    <row r="59" spans="1:54" x14ac:dyDescent="0.45">
      <c r="N59" s="10">
        <v>41</v>
      </c>
      <c r="O59" s="50">
        <f t="shared" si="45"/>
        <v>25.703957827688647</v>
      </c>
      <c r="P59" s="48" t="str">
        <f t="shared" si="46"/>
        <v>17.4002386318441</v>
      </c>
      <c r="Q59" s="17" t="str">
        <f t="shared" si="35"/>
        <v>1+0.013831468074096i</v>
      </c>
      <c r="R59" s="17">
        <f t="shared" si="47"/>
        <v>1.0000956501800637</v>
      </c>
      <c r="S59" s="17">
        <f t="shared" si="48"/>
        <v>1.383058614487093E-2</v>
      </c>
      <c r="T59" s="17" t="str">
        <f t="shared" si="36"/>
        <v>1+0.0000484508190477891i</v>
      </c>
      <c r="U59" s="17">
        <f t="shared" si="49"/>
        <v>1.0000000011737409</v>
      </c>
      <c r="V59" s="17">
        <f t="shared" si="50"/>
        <v>4.8450819009876634E-5</v>
      </c>
      <c r="W59" s="31" t="str">
        <f t="shared" si="37"/>
        <v>1-0.000119533993478446i</v>
      </c>
      <c r="X59" s="17">
        <f t="shared" si="51"/>
        <v>1.0000000071441877</v>
      </c>
      <c r="Y59" s="17">
        <f t="shared" si="52"/>
        <v>-1.1953399290913048E-4</v>
      </c>
      <c r="Z59" s="31" t="str">
        <f t="shared" si="38"/>
        <v>0.999999999400732+0.000167175445102604i</v>
      </c>
      <c r="AA59" s="17">
        <f t="shared" si="53"/>
        <v>1.0000000133745468</v>
      </c>
      <c r="AB59" s="17">
        <f t="shared" si="54"/>
        <v>1.6717544364540111E-4</v>
      </c>
      <c r="AC59" s="66" t="str">
        <f t="shared" si="55"/>
        <v>17.3968525247584-0.244769767027135i</v>
      </c>
      <c r="AD59" s="64">
        <f t="shared" si="56"/>
        <v>24.810273276142741</v>
      </c>
      <c r="AE59" s="61">
        <f t="shared" si="57"/>
        <v>-0.80608542751114587</v>
      </c>
      <c r="AF59" s="31" t="str">
        <f t="shared" si="39"/>
        <v>-9090.90909090909</v>
      </c>
      <c r="AG59" s="31" t="str">
        <f t="shared" si="40"/>
        <v>161.502730159297i</v>
      </c>
      <c r="AH59" s="31">
        <f t="shared" si="58"/>
        <v>161.50273015929699</v>
      </c>
      <c r="AI59" s="31">
        <f t="shared" si="59"/>
        <v>1.5707963267948966</v>
      </c>
      <c r="AJ59" s="31" t="str">
        <f t="shared" si="41"/>
        <v>0.999905507594926+0.0559198358094661i</v>
      </c>
      <c r="AK59" s="31">
        <f t="shared" si="60"/>
        <v>1.0014679486412055</v>
      </c>
      <c r="AL59" s="31">
        <f t="shared" si="61"/>
        <v>5.5866925318866688E-2</v>
      </c>
      <c r="AM59" s="31" t="str">
        <f t="shared" si="42"/>
        <v>1+0.212828297803921i</v>
      </c>
      <c r="AN59" s="31">
        <f t="shared" si="62"/>
        <v>1.0223971265345548</v>
      </c>
      <c r="AO59" s="31">
        <f t="shared" si="63"/>
        <v>0.20969948558891868</v>
      </c>
      <c r="AP59" s="31" t="str">
        <f t="shared" si="43"/>
        <v>1+0.0355306006350453i</v>
      </c>
      <c r="AQ59" s="31">
        <f t="shared" si="64"/>
        <v>1.0006310127022284</v>
      </c>
      <c r="AR59" s="31">
        <f t="shared" si="65"/>
        <v>3.5515660393925896E-2</v>
      </c>
      <c r="AS59" s="58" t="str">
        <f t="shared" si="66"/>
        <v>-10.8229831541284+56.4744064403229i</v>
      </c>
      <c r="AT59" s="49">
        <f t="shared" si="67"/>
        <v>35.193679421758695</v>
      </c>
      <c r="AU59" s="61">
        <f t="shared" si="68"/>
        <v>100.84885390235776</v>
      </c>
      <c r="AV59" s="58" t="str">
        <f t="shared" si="44"/>
        <v>-174.462614502923+985.126059330738i</v>
      </c>
      <c r="AW59" s="64">
        <f t="shared" si="69"/>
        <v>60.003952697901433</v>
      </c>
      <c r="AX59" s="49">
        <f t="shared" si="70"/>
        <v>100.04276847484662</v>
      </c>
      <c r="AY59" s="310"/>
      <c r="BA59" s="31">
        <f t="shared" si="71"/>
        <v>0</v>
      </c>
      <c r="BB59" s="31">
        <f t="shared" si="72"/>
        <v>0</v>
      </c>
    </row>
    <row r="60" spans="1:54" x14ac:dyDescent="0.45">
      <c r="N60" s="10">
        <v>42</v>
      </c>
      <c r="O60" s="50">
        <f t="shared" si="45"/>
        <v>26.302679918953825</v>
      </c>
      <c r="P60" s="48" t="str">
        <f t="shared" si="46"/>
        <v>17.4002386318441</v>
      </c>
      <c r="Q60" s="17" t="str">
        <f t="shared" si="35"/>
        <v>1+0.0141536443531774i</v>
      </c>
      <c r="R60" s="17">
        <f t="shared" si="47"/>
        <v>1.0001001578084447</v>
      </c>
      <c r="S60" s="17">
        <f t="shared" si="48"/>
        <v>1.4152699354098216E-2</v>
      </c>
      <c r="T60" s="17" t="str">
        <f t="shared" si="36"/>
        <v>1+0.0000495793836018654i</v>
      </c>
      <c r="U60" s="17">
        <f t="shared" si="49"/>
        <v>1.0000000012290575</v>
      </c>
      <c r="V60" s="17">
        <f t="shared" si="50"/>
        <v>4.9579383561241458E-5</v>
      </c>
      <c r="W60" s="31" t="str">
        <f t="shared" si="37"/>
        <v>1-0.000122318297865827i</v>
      </c>
      <c r="X60" s="17">
        <f t="shared" si="51"/>
        <v>1.000000007480883</v>
      </c>
      <c r="Y60" s="17">
        <f t="shared" si="52"/>
        <v>-1.2231829725579442E-4</v>
      </c>
      <c r="Z60" s="31" t="str">
        <f t="shared" si="38"/>
        <v>0.999999999372489+0.00017106946145491i</v>
      </c>
      <c r="AA60" s="17">
        <f t="shared" si="53"/>
        <v>1.000000014004869</v>
      </c>
      <c r="AB60" s="17">
        <f t="shared" si="54"/>
        <v>1.7106945989348905E-4</v>
      </c>
      <c r="AC60" s="66" t="str">
        <f t="shared" si="55"/>
        <v>17.3966929744101-0.250468929097602i</v>
      </c>
      <c r="AD60" s="64">
        <f t="shared" si="56"/>
        <v>24.810234125143037</v>
      </c>
      <c r="AE60" s="61">
        <f t="shared" si="57"/>
        <v>-0.82485913252389642</v>
      </c>
      <c r="AF60" s="31" t="str">
        <f t="shared" si="39"/>
        <v>-9090.90909090909</v>
      </c>
      <c r="AG60" s="31" t="str">
        <f t="shared" si="40"/>
        <v>165.264612006218i</v>
      </c>
      <c r="AH60" s="31">
        <f t="shared" si="58"/>
        <v>165.26461200621799</v>
      </c>
      <c r="AI60" s="31">
        <f t="shared" si="59"/>
        <v>1.5707963267948966</v>
      </c>
      <c r="AJ60" s="31" t="str">
        <f t="shared" si="41"/>
        <v>0.999901054305073+0.057222376113317i</v>
      </c>
      <c r="AK60" s="31">
        <f t="shared" si="60"/>
        <v>1.0015370780597443</v>
      </c>
      <c r="AL60" s="31">
        <f t="shared" si="61"/>
        <v>5.7165686194437078E-2</v>
      </c>
      <c r="AM60" s="31" t="str">
        <f t="shared" si="42"/>
        <v>1+0.217785705701794i</v>
      </c>
      <c r="AN60" s="31">
        <f t="shared" si="62"/>
        <v>1.0234405764909014</v>
      </c>
      <c r="AO60" s="31">
        <f t="shared" si="63"/>
        <v>0.21443725617483403</v>
      </c>
      <c r="AP60" s="31" t="str">
        <f t="shared" si="43"/>
        <v>1+0.0363582146413679i</v>
      </c>
      <c r="AQ60" s="31">
        <f t="shared" si="64"/>
        <v>1.0006607415962254</v>
      </c>
      <c r="AR60" s="31">
        <f t="shared" si="65"/>
        <v>3.6342206455438258E-2</v>
      </c>
      <c r="AS60" s="58" t="str">
        <f t="shared" si="66"/>
        <v>-10.8225454066793+55.1973834735915i</v>
      </c>
      <c r="AT60" s="49">
        <f t="shared" si="67"/>
        <v>35.002198153061258</v>
      </c>
      <c r="AU60" s="61">
        <f t="shared" si="68"/>
        <v>101.09325224536281</v>
      </c>
      <c r="AV60" s="58" t="str">
        <f t="shared" si="44"/>
        <v>-174.451270113992+962.962644638971i</v>
      </c>
      <c r="AW60" s="64">
        <f t="shared" si="69"/>
        <v>59.812432278204291</v>
      </c>
      <c r="AX60" s="49">
        <f t="shared" si="70"/>
        <v>100.26839311283889</v>
      </c>
      <c r="AY60" s="310"/>
      <c r="BA60" s="31">
        <f t="shared" si="71"/>
        <v>0</v>
      </c>
      <c r="BB60" s="31">
        <f t="shared" si="72"/>
        <v>0</v>
      </c>
    </row>
    <row r="61" spans="1:54" ht="15.75" x14ac:dyDescent="0.5">
      <c r="A61" s="51" t="s">
        <v>205</v>
      </c>
      <c r="N61" s="10">
        <v>43</v>
      </c>
      <c r="O61" s="50">
        <f t="shared" si="45"/>
        <v>26.915348039269158</v>
      </c>
      <c r="P61" s="48" t="str">
        <f t="shared" si="46"/>
        <v>17.4002386318441</v>
      </c>
      <c r="Q61" s="17" t="str">
        <f t="shared" si="35"/>
        <v>1+0.0144833250818405i</v>
      </c>
      <c r="R61" s="17">
        <f t="shared" si="47"/>
        <v>1.000104877853031</v>
      </c>
      <c r="S61" s="17">
        <f t="shared" si="48"/>
        <v>1.4482312502818652E-2</v>
      </c>
      <c r="T61" s="17" t="str">
        <f t="shared" si="36"/>
        <v>1+0.0000507342358013883i</v>
      </c>
      <c r="U61" s="17">
        <f t="shared" si="49"/>
        <v>1.0000000012869812</v>
      </c>
      <c r="V61" s="17">
        <f t="shared" si="50"/>
        <v>5.073423575785896E-5</v>
      </c>
      <c r="W61" s="31" t="str">
        <f t="shared" si="37"/>
        <v>1-0.000125167457033811i</v>
      </c>
      <c r="X61" s="17">
        <f t="shared" si="51"/>
        <v>1.0000000078334461</v>
      </c>
      <c r="Y61" s="17">
        <f t="shared" si="52"/>
        <v>-1.2516745638014931E-4</v>
      </c>
      <c r="Z61" s="31" t="str">
        <f t="shared" si="38"/>
        <v>0.999999999342915+0.000175054181100053i</v>
      </c>
      <c r="AA61" s="17">
        <f t="shared" si="53"/>
        <v>1.000000014664898</v>
      </c>
      <c r="AB61" s="17">
        <f t="shared" si="54"/>
        <v>1.7505417942696039E-4</v>
      </c>
      <c r="AC61" s="66" t="str">
        <f t="shared" si="55"/>
        <v>17.3965259077684-0.256300680244262i</v>
      </c>
      <c r="AD61" s="64">
        <f t="shared" si="56"/>
        <v>24.810193129391731</v>
      </c>
      <c r="AE61" s="61">
        <f t="shared" si="57"/>
        <v>-0.84406995906556981</v>
      </c>
      <c r="AF61" s="31" t="str">
        <f t="shared" si="39"/>
        <v>-9090.90909090909</v>
      </c>
      <c r="AG61" s="31" t="str">
        <f t="shared" si="40"/>
        <v>169.114119337961i</v>
      </c>
      <c r="AH61" s="31">
        <f t="shared" si="58"/>
        <v>169.114119337961</v>
      </c>
      <c r="AI61" s="31">
        <f t="shared" si="59"/>
        <v>1.5707963267948966</v>
      </c>
      <c r="AJ61" s="31" t="str">
        <f t="shared" si="41"/>
        <v>0.999896391138135+0.0585552564784109i</v>
      </c>
      <c r="AK61" s="31">
        <f t="shared" si="60"/>
        <v>1.0016094603548424</v>
      </c>
      <c r="AL61" s="31">
        <f t="shared" si="61"/>
        <v>5.8494517400766381E-2</v>
      </c>
      <c r="AM61" s="31" t="str">
        <f t="shared" si="42"/>
        <v>1+0.222858586463565i</v>
      </c>
      <c r="AN61" s="31">
        <f t="shared" si="62"/>
        <v>1.0245320637054451</v>
      </c>
      <c r="AO61" s="31">
        <f t="shared" si="63"/>
        <v>0.21927528177892069</v>
      </c>
      <c r="AP61" s="31" t="str">
        <f t="shared" si="43"/>
        <v>1+0.0372051062543514i</v>
      </c>
      <c r="AQ61" s="31">
        <f t="shared" si="64"/>
        <v>1.0006918706232191</v>
      </c>
      <c r="AR61" s="31">
        <f t="shared" si="65"/>
        <v>3.7187953814539806E-2</v>
      </c>
      <c r="AS61" s="58" t="str">
        <f t="shared" si="66"/>
        <v>-10.822087157884+53.9496246150705i</v>
      </c>
      <c r="AT61" s="49">
        <f t="shared" si="67"/>
        <v>34.811099098509153</v>
      </c>
      <c r="AU61" s="61">
        <f t="shared" si="68"/>
        <v>101.34277202805613</v>
      </c>
      <c r="AV61" s="58" t="str">
        <f t="shared" si="44"/>
        <v>-174.439394130492+941.309750630682i</v>
      </c>
      <c r="AW61" s="64">
        <f t="shared" si="69"/>
        <v>59.621292227900888</v>
      </c>
      <c r="AX61" s="49">
        <f t="shared" si="70"/>
        <v>100.4987020689906</v>
      </c>
      <c r="AY61" s="310"/>
      <c r="BA61" s="31">
        <f t="shared" si="71"/>
        <v>0</v>
      </c>
      <c r="BB61" s="31">
        <f t="shared" si="72"/>
        <v>0</v>
      </c>
    </row>
    <row r="62" spans="1:54" x14ac:dyDescent="0.45">
      <c r="A62" s="31" t="s">
        <v>170</v>
      </c>
      <c r="N62" s="10">
        <v>44</v>
      </c>
      <c r="O62" s="50">
        <f t="shared" si="45"/>
        <v>27.542287033381665</v>
      </c>
      <c r="P62" s="48" t="str">
        <f t="shared" si="46"/>
        <v>17.4002386318441</v>
      </c>
      <c r="Q62" s="17" t="str">
        <f t="shared" si="35"/>
        <v>1+0.0148206850611715i</v>
      </c>
      <c r="R62" s="17">
        <f t="shared" si="47"/>
        <v>1.0001098203225895</v>
      </c>
      <c r="S62" s="17">
        <f t="shared" si="48"/>
        <v>1.4819600069636122E-2</v>
      </c>
      <c r="T62" s="17" t="str">
        <f t="shared" si="36"/>
        <v>1+0.0000519159879642801i</v>
      </c>
      <c r="U62" s="17">
        <f t="shared" si="49"/>
        <v>1.0000000013476349</v>
      </c>
      <c r="V62" s="17">
        <f t="shared" si="50"/>
        <v>5.1915987917637568E-5</v>
      </c>
      <c r="W62" s="31" t="str">
        <f t="shared" si="37"/>
        <v>1-0.000128082981644301i</v>
      </c>
      <c r="X62" s="17">
        <f t="shared" si="51"/>
        <v>1.000000008202625</v>
      </c>
      <c r="Y62" s="17">
        <f t="shared" si="52"/>
        <v>-1.280829809438899E-4</v>
      </c>
      <c r="Z62" s="31" t="str">
        <f t="shared" si="38"/>
        <v>0.999999999311948+0.00017913171678913i</v>
      </c>
      <c r="AA62" s="17">
        <f t="shared" si="53"/>
        <v>1.0000000153560338</v>
      </c>
      <c r="AB62" s="17">
        <f t="shared" si="54"/>
        <v>1.7913171499637885E-4</v>
      </c>
      <c r="AC62" s="66" t="str">
        <f t="shared" si="55"/>
        <v>17.3963509708988-0.262268097321244i</v>
      </c>
      <c r="AD62" s="64">
        <f t="shared" si="56"/>
        <v>24.810150201984914</v>
      </c>
      <c r="AE62" s="61">
        <f t="shared" si="57"/>
        <v>-0.86372807654676731</v>
      </c>
      <c r="AF62" s="31" t="str">
        <f t="shared" si="39"/>
        <v>-9090.90909090909</v>
      </c>
      <c r="AG62" s="31" t="str">
        <f t="shared" si="40"/>
        <v>173.053293214267i</v>
      </c>
      <c r="AH62" s="31">
        <f t="shared" si="58"/>
        <v>173.053293214267</v>
      </c>
      <c r="AI62" s="31">
        <f t="shared" si="59"/>
        <v>1.5707963267948966</v>
      </c>
      <c r="AJ62" s="31" t="str">
        <f t="shared" si="41"/>
        <v>0.99989150820291+0.0599191836155601i</v>
      </c>
      <c r="AK62" s="31">
        <f t="shared" si="60"/>
        <v>1.0016852483397392</v>
      </c>
      <c r="AL62" s="31">
        <f t="shared" si="61"/>
        <v>5.9854106427290561E-2</v>
      </c>
      <c r="AM62" s="31" t="str">
        <f t="shared" si="42"/>
        <v>1+0.228049629797761i</v>
      </c>
      <c r="AN62" s="31">
        <f t="shared" si="62"/>
        <v>1.0256737462033898</v>
      </c>
      <c r="AO62" s="31">
        <f t="shared" si="63"/>
        <v>0.22421522124239196</v>
      </c>
      <c r="AP62" s="31" t="str">
        <f t="shared" si="43"/>
        <v>1+0.0380717245071387i</v>
      </c>
      <c r="AQ62" s="31">
        <f t="shared" si="64"/>
        <v>1.0007244656782142</v>
      </c>
      <c r="AR62" s="31">
        <f t="shared" si="65"/>
        <v>3.8053346055284314E-2</v>
      </c>
      <c r="AS62" s="58" t="str">
        <f t="shared" si="66"/>
        <v>-10.8216074539335+52.7304681248381i</v>
      </c>
      <c r="AT62" s="49">
        <f t="shared" si="67"/>
        <v>34.620398503227833</v>
      </c>
      <c r="AU62" s="61">
        <f t="shared" si="68"/>
        <v>101.59749432028909</v>
      </c>
      <c r="AV62" s="58" t="str">
        <f t="shared" si="44"/>
        <v>-174.426961791962+920.155892756376i</v>
      </c>
      <c r="AW62" s="64">
        <f t="shared" si="69"/>
        <v>59.430548705212743</v>
      </c>
      <c r="AX62" s="49">
        <f t="shared" si="70"/>
        <v>100.73376624374232</v>
      </c>
      <c r="AY62" s="310"/>
      <c r="BA62" s="31">
        <f t="shared" si="71"/>
        <v>0</v>
      </c>
      <c r="BB62" s="31">
        <f t="shared" si="72"/>
        <v>0</v>
      </c>
    </row>
    <row r="63" spans="1:54" x14ac:dyDescent="0.45">
      <c r="A63" s="31" t="s">
        <v>168</v>
      </c>
      <c r="B63" s="3">
        <f>RFBT_iso</f>
        <v>49900</v>
      </c>
      <c r="C63" s="2" t="s">
        <v>33</v>
      </c>
      <c r="E63" s="31" t="s">
        <v>171</v>
      </c>
      <c r="N63" s="10">
        <v>45</v>
      </c>
      <c r="O63" s="50">
        <f t="shared" si="45"/>
        <v>28.183829312644548</v>
      </c>
      <c r="P63" s="48" t="str">
        <f t="shared" si="46"/>
        <v>17.4002386318441</v>
      </c>
      <c r="Q63" s="17" t="str">
        <f t="shared" si="35"/>
        <v>1+0.0151659031638968i</v>
      </c>
      <c r="R63" s="17">
        <f t="shared" si="47"/>
        <v>1.0001149956973832</v>
      </c>
      <c r="S63" s="17">
        <f t="shared" si="48"/>
        <v>1.516474058174027E-2</v>
      </c>
      <c r="T63" s="17" t="str">
        <f t="shared" si="36"/>
        <v>1+0.0000531252666711799i</v>
      </c>
      <c r="U63" s="17">
        <f t="shared" si="49"/>
        <v>1.000000001411147</v>
      </c>
      <c r="V63" s="17">
        <f t="shared" si="50"/>
        <v>5.3125266621201527E-5</v>
      </c>
      <c r="W63" s="31" t="str">
        <f t="shared" si="37"/>
        <v>1-0.000131066417547038i</v>
      </c>
      <c r="X63" s="17">
        <f t="shared" si="51"/>
        <v>1.0000000085892029</v>
      </c>
      <c r="Y63" s="17">
        <f t="shared" si="52"/>
        <v>-1.3106641679653399E-4</v>
      </c>
      <c r="Z63" s="31" t="str">
        <f t="shared" si="38"/>
        <v>0.999999999279521+0.000183304230485538i</v>
      </c>
      <c r="AA63" s="17">
        <f t="shared" si="53"/>
        <v>1.0000000160797413</v>
      </c>
      <c r="AB63" s="17">
        <f t="shared" si="54"/>
        <v>1.8330422856457058E-4</v>
      </c>
      <c r="AC63" s="66" t="str">
        <f t="shared" si="55"/>
        <v>17.396167793215-0.268374328026997i</v>
      </c>
      <c r="AD63" s="64">
        <f t="shared" si="56"/>
        <v>24.810105251926519</v>
      </c>
      <c r="AE63" s="61">
        <f t="shared" si="57"/>
        <v>-0.88384389036357403</v>
      </c>
      <c r="AF63" s="31" t="str">
        <f t="shared" si="39"/>
        <v>-9090.90909090909</v>
      </c>
      <c r="AG63" s="31" t="str">
        <f t="shared" si="40"/>
        <v>177.084222237266i</v>
      </c>
      <c r="AH63" s="31">
        <f t="shared" si="58"/>
        <v>177.084222237266</v>
      </c>
      <c r="AI63" s="31">
        <f t="shared" si="59"/>
        <v>1.5707963267948966</v>
      </c>
      <c r="AJ63" s="31" t="str">
        <f t="shared" si="41"/>
        <v>0.999886395142038+0.0613148806969865i</v>
      </c>
      <c r="AK63" s="31">
        <f t="shared" si="60"/>
        <v>1.0017646019824344</v>
      </c>
      <c r="AL63" s="31">
        <f t="shared" si="61"/>
        <v>6.1245155858611067E-2</v>
      </c>
      <c r="AM63" s="31" t="str">
        <f t="shared" si="42"/>
        <v>1+0.233361588064269i</v>
      </c>
      <c r="AN63" s="31">
        <f t="shared" si="62"/>
        <v>1.0268678740635904</v>
      </c>
      <c r="AO63" s="31">
        <f t="shared" si="63"/>
        <v>0.22925872895544003</v>
      </c>
      <c r="AP63" s="31" t="str">
        <f t="shared" si="43"/>
        <v>1+0.0389585288921985i</v>
      </c>
      <c r="AQ63" s="31">
        <f t="shared" si="64"/>
        <v>1.0007585957529639</v>
      </c>
      <c r="AR63" s="31">
        <f t="shared" si="65"/>
        <v>3.8938836832369622E-2</v>
      </c>
      <c r="AS63" s="58" t="str">
        <f t="shared" si="66"/>
        <v>-10.8211052972534+51.539267416893i</v>
      </c>
      <c r="AT63" s="49">
        <f t="shared" si="67"/>
        <v>34.430113220062253</v>
      </c>
      <c r="AU63" s="61">
        <f t="shared" si="68"/>
        <v>101.85749964900434</v>
      </c>
      <c r="AV63" s="58" t="str">
        <f t="shared" si="44"/>
        <v>-174.413947199055+899.489850786309i</v>
      </c>
      <c r="AW63" s="64">
        <f t="shared" si="69"/>
        <v>59.240218471988769</v>
      </c>
      <c r="AX63" s="49">
        <f t="shared" si="70"/>
        <v>100.97365575864075</v>
      </c>
      <c r="AY63" s="310"/>
      <c r="BA63" s="31">
        <f t="shared" si="71"/>
        <v>0</v>
      </c>
      <c r="BB63" s="31">
        <f t="shared" si="72"/>
        <v>0</v>
      </c>
    </row>
    <row r="64" spans="1:54" x14ac:dyDescent="0.45">
      <c r="A64" s="31" t="s">
        <v>169</v>
      </c>
      <c r="B64" s="3">
        <f>RFBB_iso</f>
        <v>5540</v>
      </c>
      <c r="C64" s="2" t="s">
        <v>33</v>
      </c>
      <c r="E64" s="31" t="s">
        <v>172</v>
      </c>
      <c r="N64" s="10">
        <v>46</v>
      </c>
      <c r="O64" s="50">
        <f t="shared" si="45"/>
        <v>28.840315031266066</v>
      </c>
      <c r="P64" s="48" t="str">
        <f t="shared" si="46"/>
        <v>17.4002386318441</v>
      </c>
      <c r="Q64" s="17" t="str">
        <f t="shared" si="35"/>
        <v>1+0.0155191624292241i</v>
      </c>
      <c r="R64" s="17">
        <f t="shared" si="47"/>
        <v>1.000120414951372</v>
      </c>
      <c r="S64" s="17">
        <f t="shared" si="48"/>
        <v>1.5517916708099908E-2</v>
      </c>
      <c r="T64" s="17" t="str">
        <f t="shared" si="36"/>
        <v>1+0.0000543627130976646i</v>
      </c>
      <c r="U64" s="17">
        <f t="shared" si="49"/>
        <v>1.0000000014776522</v>
      </c>
      <c r="V64" s="17">
        <f t="shared" si="50"/>
        <v>5.4362713044111812E-5</v>
      </c>
      <c r="W64" s="31" t="str">
        <f t="shared" si="37"/>
        <v>1-0.000134119346599227i</v>
      </c>
      <c r="X64" s="17">
        <f t="shared" si="51"/>
        <v>1.0000000089939995</v>
      </c>
      <c r="Y64" s="17">
        <f t="shared" si="52"/>
        <v>-1.3411934579504744E-4</v>
      </c>
      <c r="Z64" s="31" t="str">
        <f t="shared" si="38"/>
        <v>0.999999999245566+0.000187573934511267i</v>
      </c>
      <c r="AA64" s="17">
        <f t="shared" si="53"/>
        <v>1.0000000168375562</v>
      </c>
      <c r="AB64" s="17">
        <f t="shared" si="54"/>
        <v>1.8757393245291329E-4</v>
      </c>
      <c r="AC64" s="66" t="str">
        <f t="shared" si="55"/>
        <v>17.3959759866966-0.274622592495543i</v>
      </c>
      <c r="AD64" s="64">
        <f t="shared" si="56"/>
        <v>24.810058183935656</v>
      </c>
      <c r="AE64" s="61">
        <f t="shared" si="57"/>
        <v>-0.90442804733069782</v>
      </c>
      <c r="AF64" s="31" t="str">
        <f t="shared" si="39"/>
        <v>-9090.90909090909</v>
      </c>
      <c r="AG64" s="31" t="str">
        <f t="shared" si="40"/>
        <v>181.209043658882i</v>
      </c>
      <c r="AH64" s="31">
        <f t="shared" si="58"/>
        <v>181.209043658882</v>
      </c>
      <c r="AI64" s="31">
        <f t="shared" si="59"/>
        <v>1.5707963267948966</v>
      </c>
      <c r="AJ64" s="31" t="str">
        <f t="shared" si="41"/>
        <v>0.99988104111003+0.0627430877397567i</v>
      </c>
      <c r="AK64" s="31">
        <f t="shared" si="60"/>
        <v>1.0018476887383612</v>
      </c>
      <c r="AL64" s="31">
        <f t="shared" si="61"/>
        <v>6.2668383661243263E-2</v>
      </c>
      <c r="AM64" s="31" t="str">
        <f t="shared" si="42"/>
        <v>1+0.238797277733675i</v>
      </c>
      <c r="AN64" s="31">
        <f t="shared" si="62"/>
        <v>1.0281167929048791</v>
      </c>
      <c r="AO64" s="31">
        <f t="shared" si="63"/>
        <v>0.23440745226118478</v>
      </c>
      <c r="AP64" s="31" t="str">
        <f t="shared" si="43"/>
        <v>1+0.039865989604954i</v>
      </c>
      <c r="AQ64" s="31">
        <f t="shared" si="64"/>
        <v>1.0007943330810694</v>
      </c>
      <c r="AR64" s="31">
        <f t="shared" si="65"/>
        <v>3.9844890087093882E-2</v>
      </c>
      <c r="AS64" s="58" t="str">
        <f t="shared" si="66"/>
        <v>-10.8205796445548+50.3753907155232i</v>
      </c>
      <c r="AT64" s="49">
        <f t="shared" si="67"/>
        <v>34.240260724735542</v>
      </c>
      <c r="AU64" s="61">
        <f t="shared" si="68"/>
        <v>102.12286784543755</v>
      </c>
      <c r="AV64" s="58" t="str">
        <f t="shared" si="44"/>
        <v>-174.40032326254+879.300662841993i</v>
      </c>
      <c r="AW64" s="64">
        <f t="shared" si="69"/>
        <v>59.050318908671201</v>
      </c>
      <c r="AX64" s="49">
        <f t="shared" si="70"/>
        <v>101.21843979810681</v>
      </c>
      <c r="AY64" s="310"/>
      <c r="BA64" s="31">
        <f t="shared" si="71"/>
        <v>0</v>
      </c>
      <c r="BB64" s="31">
        <f t="shared" si="72"/>
        <v>0</v>
      </c>
    </row>
    <row r="65" spans="1:54" x14ac:dyDescent="0.45">
      <c r="A65" s="31" t="s">
        <v>158</v>
      </c>
      <c r="B65" s="3">
        <f>Rcomp_iso</f>
        <v>10000</v>
      </c>
      <c r="C65" s="2" t="s">
        <v>33</v>
      </c>
      <c r="E65" s="31" t="s">
        <v>165</v>
      </c>
      <c r="N65" s="10">
        <v>47</v>
      </c>
      <c r="O65" s="50">
        <f t="shared" si="45"/>
        <v>29.512092266663863</v>
      </c>
      <c r="P65" s="48" t="str">
        <f t="shared" si="46"/>
        <v>17.4002386318441</v>
      </c>
      <c r="Q65" s="17" t="str">
        <f t="shared" si="35"/>
        <v>1+0.0158806501598918i</v>
      </c>
      <c r="R65" s="17">
        <f t="shared" si="47"/>
        <v>1.00012608957546</v>
      </c>
      <c r="S65" s="17">
        <f t="shared" si="48"/>
        <v>1.5879315354747004E-2</v>
      </c>
      <c r="T65" s="17" t="str">
        <f t="shared" si="36"/>
        <v>1+0.0000556289833542094i</v>
      </c>
      <c r="U65" s="17">
        <f t="shared" si="49"/>
        <v>1.0000000015472919</v>
      </c>
      <c r="V65" s="17">
        <f t="shared" si="50"/>
        <v>5.5628983296826548E-5</v>
      </c>
      <c r="W65" s="31" t="str">
        <f t="shared" si="37"/>
        <v>1-0.000137243387504262i</v>
      </c>
      <c r="X65" s="17">
        <f t="shared" si="51"/>
        <v>1.0000000094178736</v>
      </c>
      <c r="Y65" s="17">
        <f t="shared" si="52"/>
        <v>-1.3724338664256809E-4</v>
      </c>
      <c r="Z65" s="31" t="str">
        <f t="shared" si="38"/>
        <v>0.99999999921001+0.000191943092719909i</v>
      </c>
      <c r="AA65" s="17">
        <f t="shared" si="53"/>
        <v>1.0000000176310853</v>
      </c>
      <c r="AB65" s="17">
        <f t="shared" si="54"/>
        <v>1.9194309051434339E-4</v>
      </c>
      <c r="AC65" s="66" t="str">
        <f t="shared" si="55"/>
        <v>17.3957751450714-0.281016184920618i</v>
      </c>
      <c r="AD65" s="64">
        <f t="shared" si="56"/>
        <v>24.810008898245478</v>
      </c>
      <c r="AE65" s="61">
        <f t="shared" si="57"/>
        <v>-0.92549144123664739</v>
      </c>
      <c r="AF65" s="31" t="str">
        <f t="shared" si="39"/>
        <v>-9090.90909090909</v>
      </c>
      <c r="AG65" s="31" t="str">
        <f t="shared" si="40"/>
        <v>185.429944514031i</v>
      </c>
      <c r="AH65" s="31">
        <f t="shared" si="58"/>
        <v>185.42994451403101</v>
      </c>
      <c r="AI65" s="31">
        <f t="shared" si="59"/>
        <v>1.5707963267948966</v>
      </c>
      <c r="AJ65" s="31" t="str">
        <f t="shared" si="41"/>
        <v>0.999875434750268+0.0642045619981496i</v>
      </c>
      <c r="AK65" s="31">
        <f t="shared" si="60"/>
        <v>1.0019346838983128</v>
      </c>
      <c r="AL65" s="31">
        <f t="shared" si="61"/>
        <v>6.4124523472506245E-2</v>
      </c>
      <c r="AM65" s="31" t="str">
        <f t="shared" si="42"/>
        <v>1+0.24435958088059i</v>
      </c>
      <c r="AN65" s="31">
        <f t="shared" si="62"/>
        <v>1.0294229474652961</v>
      </c>
      <c r="AO65" s="31">
        <f t="shared" si="63"/>
        <v>0.23966302868387529</v>
      </c>
      <c r="AP65" s="31" t="str">
        <f t="shared" si="43"/>
        <v>1+0.0407945877930868i</v>
      </c>
      <c r="AQ65" s="31">
        <f t="shared" si="64"/>
        <v>1.0008317532898363</v>
      </c>
      <c r="AR65" s="31">
        <f t="shared" si="65"/>
        <v>4.0771980267023181E-2</v>
      </c>
      <c r="AS65" s="58" t="str">
        <f t="shared" si="66"/>
        <v>-10.8200294048028+49.2382207194742i</v>
      </c>
      <c r="AT65" s="49">
        <f t="shared" si="67"/>
        <v>34.05085913065659</v>
      </c>
      <c r="AU65" s="61">
        <f t="shared" si="68"/>
        <v>102.39367788233771</v>
      </c>
      <c r="AV65" s="58" t="str">
        <f t="shared" si="44"/>
        <v>-174.386061650144+859.577619563436i</v>
      </c>
      <c r="AW65" s="64">
        <f t="shared" si="69"/>
        <v>58.860868028902075</v>
      </c>
      <c r="AX65" s="49">
        <f t="shared" si="70"/>
        <v>101.46818644110104</v>
      </c>
      <c r="AY65" s="310"/>
      <c r="BA65" s="31">
        <f t="shared" si="71"/>
        <v>0</v>
      </c>
      <c r="BB65" s="31">
        <f t="shared" si="72"/>
        <v>0</v>
      </c>
    </row>
    <row r="66" spans="1:54" x14ac:dyDescent="0.45">
      <c r="A66" s="31" t="s">
        <v>163</v>
      </c>
      <c r="B66" s="3">
        <f>Ccomp_iso</f>
        <v>2.2000000000000002E-8</v>
      </c>
      <c r="C66" s="2" t="s">
        <v>143</v>
      </c>
      <c r="E66" s="31" t="s">
        <v>166</v>
      </c>
      <c r="N66" s="10">
        <v>48</v>
      </c>
      <c r="O66" s="50">
        <f t="shared" si="45"/>
        <v>30.199517204020164</v>
      </c>
      <c r="P66" s="48" t="str">
        <f t="shared" si="46"/>
        <v>17.4002386318441</v>
      </c>
      <c r="Q66" s="17" t="str">
        <f t="shared" si="35"/>
        <v>1+0.0162505580214795i</v>
      </c>
      <c r="R66" s="17">
        <f t="shared" si="47"/>
        <v>1.0001320316018327</v>
      </c>
      <c r="S66" s="17">
        <f t="shared" si="48"/>
        <v>1.6249127762195656E-2</v>
      </c>
      <c r="T66" s="17" t="str">
        <f t="shared" si="36"/>
        <v>1+0.0000569247488340652i</v>
      </c>
      <c r="U66" s="17">
        <f t="shared" si="49"/>
        <v>1.0000000016202135</v>
      </c>
      <c r="V66" s="17">
        <f t="shared" si="50"/>
        <v>5.6924748772578364E-5</v>
      </c>
      <c r="W66" s="31" t="str">
        <f t="shared" si="37"/>
        <v>1-0.000140440196669984i</v>
      </c>
      <c r="X66" s="17">
        <f t="shared" si="51"/>
        <v>1.0000000098617243</v>
      </c>
      <c r="Y66" s="17">
        <f t="shared" si="52"/>
        <v>-1.4044019574666235E-4</v>
      </c>
      <c r="Z66" s="31" t="str">
        <f t="shared" si="38"/>
        <v>0.999999999172779+0.000196414021696977i</v>
      </c>
      <c r="AA66" s="17">
        <f t="shared" si="53"/>
        <v>1.0000000184620128</v>
      </c>
      <c r="AB66" s="17">
        <f t="shared" si="54"/>
        <v>1.9641401933367085E-4</v>
      </c>
      <c r="AC66" s="66" t="str">
        <f t="shared" si="55"/>
        <v>17.3955648429574-0.287558475213115i</v>
      </c>
      <c r="AD66" s="64">
        <f t="shared" si="56"/>
        <v>24.809957290391655</v>
      </c>
      <c r="AE66" s="61">
        <f t="shared" si="57"/>
        <v>-0.94704521852344958</v>
      </c>
      <c r="AF66" s="31" t="str">
        <f t="shared" si="39"/>
        <v>-9090.90909090909</v>
      </c>
      <c r="AG66" s="31" t="str">
        <f t="shared" si="40"/>
        <v>189.749162780217i</v>
      </c>
      <c r="AH66" s="31">
        <f t="shared" si="58"/>
        <v>189.74916278021701</v>
      </c>
      <c r="AI66" s="31">
        <f t="shared" si="59"/>
        <v>1.5707963267948966</v>
      </c>
      <c r="AJ66" s="31" t="str">
        <f t="shared" si="41"/>
        <v>0.999869564170911+0.0657000783651617i</v>
      </c>
      <c r="AK66" s="31">
        <f t="shared" si="60"/>
        <v>1.0020257709522824</v>
      </c>
      <c r="AL66" s="31">
        <f t="shared" si="61"/>
        <v>6.5614324891289488E-2</v>
      </c>
      <c r="AM66" s="31" t="str">
        <f t="shared" si="42"/>
        <v>1+0.25005144671177i</v>
      </c>
      <c r="AN66" s="31">
        <f t="shared" si="62"/>
        <v>1.0307888852731431</v>
      </c>
      <c r="AO66" s="31">
        <f t="shared" si="63"/>
        <v>0.24502708297530584</v>
      </c>
      <c r="AP66" s="31" t="str">
        <f t="shared" si="43"/>
        <v>1+0.0417448158116477i</v>
      </c>
      <c r="AQ66" s="31">
        <f t="shared" si="64"/>
        <v>1.0008709355592</v>
      </c>
      <c r="AR66" s="31">
        <f t="shared" si="65"/>
        <v>4.1720592549363687E-2</v>
      </c>
      <c r="AS66" s="58" t="str">
        <f t="shared" si="66"/>
        <v>-10.8194534371031+48.1271542737291i</v>
      </c>
      <c r="AT66" s="49">
        <f t="shared" si="67"/>
        <v>33.861927203286648</v>
      </c>
      <c r="AU66" s="61">
        <f t="shared" si="68"/>
        <v>102.67000770087924</v>
      </c>
      <c r="AV66" s="58" t="str">
        <f t="shared" si="44"/>
        <v>-174.371132731185+840.310258408681i</v>
      </c>
      <c r="AW66" s="64">
        <f t="shared" si="69"/>
        <v>58.671884493678299</v>
      </c>
      <c r="AX66" s="49">
        <f t="shared" si="70"/>
        <v>101.72296248235578</v>
      </c>
      <c r="AY66" s="310"/>
      <c r="BA66" s="31">
        <f t="shared" si="71"/>
        <v>0</v>
      </c>
      <c r="BB66" s="31">
        <f t="shared" si="72"/>
        <v>0</v>
      </c>
    </row>
    <row r="67" spans="1:54" x14ac:dyDescent="0.45">
      <c r="A67" s="31" t="s">
        <v>164</v>
      </c>
      <c r="B67" s="3">
        <f>CHF</f>
        <v>1.0000000000000001E-9</v>
      </c>
      <c r="C67" s="2" t="s">
        <v>143</v>
      </c>
      <c r="E67" s="31" t="s">
        <v>167</v>
      </c>
      <c r="N67" s="10">
        <v>49</v>
      </c>
      <c r="O67" s="50">
        <f t="shared" si="45"/>
        <v>30.902954325135919</v>
      </c>
      <c r="P67" s="48" t="str">
        <f t="shared" si="46"/>
        <v>17.4002386318441</v>
      </c>
      <c r="Q67" s="17" t="str">
        <f t="shared" si="35"/>
        <v>1+0.0166290821440318i</v>
      </c>
      <c r="R67" s="17">
        <f t="shared" si="47"/>
        <v>1.0001382536294434</v>
      </c>
      <c r="S67" s="17">
        <f t="shared" si="48"/>
        <v>1.6627549605039291E-2</v>
      </c>
      <c r="T67" s="17" t="str">
        <f t="shared" si="36"/>
        <v>1+0.0000582506965692409i</v>
      </c>
      <c r="U67" s="17">
        <f t="shared" si="49"/>
        <v>1.0000000016965718</v>
      </c>
      <c r="V67" s="17">
        <f t="shared" si="50"/>
        <v>5.825069650335657E-5</v>
      </c>
      <c r="W67" s="31" t="str">
        <f t="shared" si="37"/>
        <v>1-0.000143711469086925i</v>
      </c>
      <c r="X67" s="17">
        <f t="shared" si="51"/>
        <v>1.0000000103264932</v>
      </c>
      <c r="Y67" s="17">
        <f t="shared" si="52"/>
        <v>-1.4371146809756801E-4</v>
      </c>
      <c r="Z67" s="31" t="str">
        <f t="shared" si="38"/>
        <v>0.999999999133794+0.000200989091988197i</v>
      </c>
      <c r="AA67" s="17">
        <f t="shared" si="53"/>
        <v>1.0000000193321015</v>
      </c>
      <c r="AB67" s="17">
        <f t="shared" si="54"/>
        <v>2.0098908945586868E-4</v>
      </c>
      <c r="AC67" s="66" t="str">
        <f t="shared" si="55"/>
        <v>17.3953446349667-0.294252910692341i</v>
      </c>
      <c r="AD67" s="64">
        <f t="shared" si="56"/>
        <v>24.80990325099182</v>
      </c>
      <c r="AE67" s="61">
        <f t="shared" si="57"/>
        <v>-0.96910078409345035</v>
      </c>
      <c r="AF67" s="31" t="str">
        <f t="shared" si="39"/>
        <v>-9090.90909090909</v>
      </c>
      <c r="AG67" s="31" t="str">
        <f t="shared" si="40"/>
        <v>194.168988564136i</v>
      </c>
      <c r="AH67" s="31">
        <f t="shared" si="58"/>
        <v>194.16898856413599</v>
      </c>
      <c r="AI67" s="31">
        <f t="shared" si="59"/>
        <v>1.5707963267948966</v>
      </c>
      <c r="AJ67" s="31" t="str">
        <f t="shared" si="41"/>
        <v>0.999863416919672+0.0672304297833664i</v>
      </c>
      <c r="AK67" s="31">
        <f t="shared" si="60"/>
        <v>1.0021211419699405</v>
      </c>
      <c r="AL67" s="31">
        <f t="shared" si="61"/>
        <v>6.713855377040924E-2</v>
      </c>
      <c r="AM67" s="31" t="str">
        <f t="shared" si="42"/>
        <v>1+0.255875893129818i</v>
      </c>
      <c r="AN67" s="31">
        <f t="shared" si="62"/>
        <v>1.0322172604083804</v>
      </c>
      <c r="AO67" s="31">
        <f t="shared" si="63"/>
        <v>0.25050122397364422</v>
      </c>
      <c r="AP67" s="31" t="str">
        <f t="shared" si="43"/>
        <v>1+0.0427171774841099i</v>
      </c>
      <c r="AQ67" s="31">
        <f t="shared" si="64"/>
        <v>1.0009119627880412</v>
      </c>
      <c r="AR67" s="31">
        <f t="shared" si="65"/>
        <v>4.2691223068025426E-2</v>
      </c>
      <c r="AS67" s="58" t="str">
        <f t="shared" si="66"/>
        <v>-10.8188505484994+47.0416020487286i</v>
      </c>
      <c r="AT67" s="49">
        <f t="shared" si="67"/>
        <v>33.673484373969245</v>
      </c>
      <c r="AU67" s="61">
        <f t="shared" si="68"/>
        <v>102.95193402694402</v>
      </c>
      <c r="AV67" s="58" t="str">
        <f t="shared" si="44"/>
        <v>-174.355505518876+821.488358082831i</v>
      </c>
      <c r="AW67" s="64">
        <f t="shared" si="69"/>
        <v>58.483387624961061</v>
      </c>
      <c r="AX67" s="49">
        <f t="shared" si="70"/>
        <v>101.98283324285053</v>
      </c>
      <c r="AY67" s="310"/>
      <c r="BA67" s="31">
        <f t="shared" si="71"/>
        <v>0</v>
      </c>
      <c r="BB67" s="31">
        <f t="shared" si="72"/>
        <v>0</v>
      </c>
    </row>
    <row r="68" spans="1:54" x14ac:dyDescent="0.45">
      <c r="N68" s="10">
        <v>50</v>
      </c>
      <c r="O68" s="50">
        <f t="shared" si="45"/>
        <v>31.622776601683803</v>
      </c>
      <c r="P68" s="48" t="str">
        <f t="shared" si="46"/>
        <v>17.4002386318441</v>
      </c>
      <c r="Q68" s="17" t="str">
        <f t="shared" si="35"/>
        <v>1+0.0170164232260487i</v>
      </c>
      <c r="R68" s="17">
        <f t="shared" si="47"/>
        <v>1.0001447688506939</v>
      </c>
      <c r="S68" s="17">
        <f t="shared" si="48"/>
        <v>1.7014781093769683E-2</v>
      </c>
      <c r="T68" s="17" t="str">
        <f t="shared" si="36"/>
        <v>1+0.0000596075295947767i</v>
      </c>
      <c r="U68" s="17">
        <f t="shared" si="49"/>
        <v>1.0000000017765287</v>
      </c>
      <c r="V68" s="17">
        <f t="shared" si="50"/>
        <v>5.960752952418037E-5</v>
      </c>
      <c r="W68" s="31" t="str">
        <f t="shared" si="37"/>
        <v>1-0.000147058939227023i</v>
      </c>
      <c r="X68" s="17">
        <f t="shared" si="51"/>
        <v>1.0000000108131657</v>
      </c>
      <c r="Y68" s="17">
        <f t="shared" si="52"/>
        <v>-1.4705893816690789E-4</v>
      </c>
      <c r="Z68" s="31" t="str">
        <f t="shared" si="38"/>
        <v>0.999999999092971+0.000205670729356393i</v>
      </c>
      <c r="AA68" s="17">
        <f t="shared" si="53"/>
        <v>1.0000000202431951</v>
      </c>
      <c r="AB68" s="17">
        <f t="shared" si="54"/>
        <v>2.056707266429543E-4</v>
      </c>
      <c r="AC68" s="66" t="str">
        <f t="shared" si="55"/>
        <v>17.3951140547663-0.301103017811465i</v>
      </c>
      <c r="AD68" s="64">
        <f t="shared" si="56"/>
        <v>24.809846665514137</v>
      </c>
      <c r="AE68" s="61">
        <f t="shared" si="57"/>
        <v>-0.99166980724572507</v>
      </c>
      <c r="AF68" s="31" t="str">
        <f t="shared" si="39"/>
        <v>-9090.90909090909</v>
      </c>
      <c r="AG68" s="31" t="str">
        <f t="shared" si="40"/>
        <v>198.691765315922i</v>
      </c>
      <c r="AH68" s="31">
        <f t="shared" si="58"/>
        <v>198.691765315922</v>
      </c>
      <c r="AI68" s="31">
        <f t="shared" si="59"/>
        <v>1.5707963267948966</v>
      </c>
      <c r="AJ68" s="31" t="str">
        <f t="shared" si="41"/>
        <v>0.999856979957408+0.0687964276653421i</v>
      </c>
      <c r="AK68" s="31">
        <f t="shared" si="60"/>
        <v>1.002220997998476</v>
      </c>
      <c r="AL68" s="31">
        <f t="shared" si="61"/>
        <v>6.8697992510233022E-2</v>
      </c>
      <c r="AM68" s="31" t="str">
        <f t="shared" si="42"/>
        <v>1+0.261836008333322i</v>
      </c>
      <c r="AN68" s="31">
        <f t="shared" si="62"/>
        <v>1.0337108373524617</v>
      </c>
      <c r="AO68" s="31">
        <f t="shared" si="63"/>
        <v>0.25608704126926435</v>
      </c>
      <c r="AP68" s="31" t="str">
        <f t="shared" si="43"/>
        <v>1+0.0437121883695028i</v>
      </c>
      <c r="AQ68" s="31">
        <f t="shared" si="64"/>
        <v>1.0009549217682339</v>
      </c>
      <c r="AR68" s="31">
        <f t="shared" si="65"/>
        <v>4.3684379144357396E-2</v>
      </c>
      <c r="AS68" s="58" t="str">
        <f t="shared" si="66"/>
        <v>-10.8182194916828+45.9809882268526i</v>
      </c>
      <c r="AT68" s="49">
        <f t="shared" si="67"/>
        <v>33.485550753118382</v>
      </c>
      <c r="AU68" s="61">
        <f t="shared" si="68"/>
        <v>103.23953217648463</v>
      </c>
      <c r="AV68" s="58" t="str">
        <f t="shared" si="44"/>
        <v>-174.339147610259+803.10193309326i</v>
      </c>
      <c r="AW68" s="64">
        <f t="shared" si="69"/>
        <v>58.295397418632511</v>
      </c>
      <c r="AX68" s="49">
        <f t="shared" si="70"/>
        <v>102.24786236923887</v>
      </c>
      <c r="AY68" s="310"/>
      <c r="BA68" s="31">
        <f t="shared" si="71"/>
        <v>0</v>
      </c>
      <c r="BB68" s="31">
        <f t="shared" si="72"/>
        <v>0</v>
      </c>
    </row>
    <row r="69" spans="1:54" x14ac:dyDescent="0.45">
      <c r="A69" s="31" t="s">
        <v>208</v>
      </c>
      <c r="B69" s="1">
        <f>IF(FB_type=1,-kopto_max*Rpullup/(Ccomp_iso*RLED*RFBT_iso),-(RFBB*gm_ea*RCOMP)/(RFBB+RFBT))</f>
        <v>-9090.9090909090901</v>
      </c>
      <c r="C69" s="31" t="s">
        <v>136</v>
      </c>
      <c r="N69" s="10">
        <v>51</v>
      </c>
      <c r="O69" s="50">
        <f t="shared" si="45"/>
        <v>32.359365692962832</v>
      </c>
      <c r="P69" s="48" t="str">
        <f t="shared" si="46"/>
        <v>17.4002386318441</v>
      </c>
      <c r="Q69" s="17" t="str">
        <f t="shared" si="35"/>
        <v>1+0.0174127866408991i</v>
      </c>
      <c r="R69" s="17">
        <f t="shared" si="47"/>
        <v>1.000151591079373</v>
      </c>
      <c r="S69" s="17">
        <f t="shared" si="48"/>
        <v>1.7411027078863998E-2</v>
      </c>
      <c r="T69" s="17" t="str">
        <f t="shared" si="36"/>
        <v>1+0.0000609959673215026i</v>
      </c>
      <c r="U69" s="17">
        <f t="shared" si="49"/>
        <v>1.000000001860254</v>
      </c>
      <c r="V69" s="17">
        <f t="shared" si="50"/>
        <v>6.0995967245857269E-5</v>
      </c>
      <c r="W69" s="31" t="str">
        <f t="shared" si="37"/>
        <v>1-0.000150484381963253i</v>
      </c>
      <c r="X69" s="17">
        <f t="shared" si="51"/>
        <v>1.0000000113227745</v>
      </c>
      <c r="Y69" s="17">
        <f t="shared" si="52"/>
        <v>-1.5048438082731919E-4</v>
      </c>
      <c r="Z69" s="31" t="str">
        <f t="shared" si="38"/>
        <v>0.999999999050224+0.000210461416067669i</v>
      </c>
      <c r="AA69" s="17">
        <f t="shared" si="53"/>
        <v>1.0000000211972275</v>
      </c>
      <c r="AB69" s="17">
        <f t="shared" si="54"/>
        <v>2.1046141316016711E-4</v>
      </c>
      <c r="AC69" s="66" t="str">
        <f t="shared" si="55"/>
        <v>17.3948726140955-0.308112403917658i</v>
      </c>
      <c r="AD69" s="64">
        <f t="shared" si="56"/>
        <v>24.809787414035199</v>
      </c>
      <c r="AE69" s="61">
        <f t="shared" si="57"/>
        <v>-1.0147642277448699</v>
      </c>
      <c r="AF69" s="31" t="str">
        <f t="shared" si="39"/>
        <v>-9090.90909090909</v>
      </c>
      <c r="AG69" s="31" t="str">
        <f t="shared" si="40"/>
        <v>203.319891071675i</v>
      </c>
      <c r="AH69" s="31">
        <f t="shared" si="58"/>
        <v>203.31989107167499</v>
      </c>
      <c r="AI69" s="31">
        <f t="shared" si="59"/>
        <v>1.5707963267948966</v>
      </c>
      <c r="AJ69" s="31" t="str">
        <f t="shared" si="41"/>
        <v>0.999850239630458+0.0703989023238943i</v>
      </c>
      <c r="AK69" s="31">
        <f t="shared" si="60"/>
        <v>1.0023255494785581</v>
      </c>
      <c r="AL69" s="31">
        <f t="shared" si="61"/>
        <v>7.02934403532256E-2</v>
      </c>
      <c r="AM69" s="31" t="str">
        <f t="shared" si="42"/>
        <v>1+0.267934952454253i</v>
      </c>
      <c r="AN69" s="31">
        <f t="shared" si="62"/>
        <v>1.0352724949242411</v>
      </c>
      <c r="AO69" s="31">
        <f t="shared" si="63"/>
        <v>0.26178610167255756</v>
      </c>
      <c r="AP69" s="31" t="str">
        <f t="shared" si="43"/>
        <v>1+0.0447303760357685i</v>
      </c>
      <c r="AQ69" s="31">
        <f t="shared" si="64"/>
        <v>1.0009999033667791</v>
      </c>
      <c r="AR69" s="31">
        <f t="shared" si="65"/>
        <v>4.4700579521526347E-2</v>
      </c>
      <c r="AS69" s="58" t="str">
        <f t="shared" si="66"/>
        <v>-10.8175589626081+44.9447501959946i</v>
      </c>
      <c r="AT69" s="49">
        <f t="shared" si="67"/>
        <v>33.298147142652887</v>
      </c>
      <c r="AU69" s="61">
        <f t="shared" si="68"/>
        <v>103.53287584969816</v>
      </c>
      <c r="AV69" s="58" t="str">
        <f t="shared" si="44"/>
        <v>-174.322025123668+785.14122842816i</v>
      </c>
      <c r="AW69" s="64">
        <f t="shared" si="69"/>
        <v>58.107934556688079</v>
      </c>
      <c r="AX69" s="49">
        <f t="shared" si="70"/>
        <v>102.51811162195325</v>
      </c>
      <c r="AY69" s="310"/>
      <c r="BA69" s="31">
        <f t="shared" si="71"/>
        <v>0</v>
      </c>
      <c r="BB69" s="31">
        <f t="shared" si="72"/>
        <v>0</v>
      </c>
    </row>
    <row r="70" spans="1:54" x14ac:dyDescent="0.45">
      <c r="A70" s="31" t="s">
        <v>556</v>
      </c>
      <c r="B70" s="1">
        <f>IF(FB_type=1,1/(Ccomp_iso*(Rcomp_iso+RFBT_iso)),1/(RCOMP*CCOMP))</f>
        <v>758.84049172863865</v>
      </c>
      <c r="E70" s="31" t="s">
        <v>220</v>
      </c>
      <c r="I70" s="31">
        <f>wz_ea/(2*PI())</f>
        <v>120.77321527689736</v>
      </c>
      <c r="N70" s="10">
        <v>52</v>
      </c>
      <c r="O70" s="50">
        <f t="shared" si="45"/>
        <v>33.113112148259127</v>
      </c>
      <c r="P70" s="48" t="str">
        <f t="shared" si="46"/>
        <v>17.4002386318441</v>
      </c>
      <c r="Q70" s="17" t="str">
        <f t="shared" si="35"/>
        <v>1+0.0178183825457121i</v>
      </c>
      <c r="R70" s="17">
        <f t="shared" si="47"/>
        <v>1.0001587347799075</v>
      </c>
      <c r="S70" s="17">
        <f t="shared" si="48"/>
        <v>1.7816497157183527E-2</v>
      </c>
      <c r="T70" s="17" t="str">
        <f t="shared" si="36"/>
        <v>1+0.0000624167459174797i</v>
      </c>
      <c r="U70" s="17">
        <f t="shared" si="49"/>
        <v>1.0000000019479249</v>
      </c>
      <c r="V70" s="17">
        <f t="shared" si="50"/>
        <v>6.2416745836424271E-5</v>
      </c>
      <c r="W70" s="31" t="str">
        <f t="shared" si="37"/>
        <v>1-0.000153989613510698i</v>
      </c>
      <c r="X70" s="17">
        <f t="shared" si="51"/>
        <v>1.0000000118564005</v>
      </c>
      <c r="Y70" s="17">
        <f t="shared" si="52"/>
        <v>-1.5398961229352298E-4</v>
      </c>
      <c r="Z70" s="31" t="str">
        <f t="shared" si="38"/>
        <v>0.999999999005462+0.00021536369220753i</v>
      </c>
      <c r="AA70" s="17">
        <f t="shared" si="53"/>
        <v>1.0000000221962217</v>
      </c>
      <c r="AB70" s="17">
        <f t="shared" si="54"/>
        <v>2.1536368909208566E-4</v>
      </c>
      <c r="AC70" s="66" t="str">
        <f t="shared" si="55"/>
        <v>17.3946198017369-0.315284759047281i</v>
      </c>
      <c r="AD70" s="64">
        <f t="shared" si="56"/>
        <v>24.809725370986353</v>
      </c>
      <c r="AE70" s="61">
        <f t="shared" si="57"/>
        <v>-1.0383962620246969</v>
      </c>
      <c r="AF70" s="31" t="str">
        <f t="shared" si="39"/>
        <v>-9090.90909090909</v>
      </c>
      <c r="AG70" s="31" t="str">
        <f t="shared" si="40"/>
        <v>208.055819724932i</v>
      </c>
      <c r="AH70" s="31">
        <f t="shared" si="58"/>
        <v>208.05581972493201</v>
      </c>
      <c r="AI70" s="31">
        <f t="shared" si="59"/>
        <v>1.5707963267948966</v>
      </c>
      <c r="AJ70" s="31" t="str">
        <f t="shared" si="41"/>
        <v>0.999843181641686+0.0720387034122984i</v>
      </c>
      <c r="AK70" s="31">
        <f t="shared" si="60"/>
        <v>1.0024350166792333</v>
      </c>
      <c r="AL70" s="31">
        <f t="shared" si="61"/>
        <v>7.1925713679031056E-2</v>
      </c>
      <c r="AM70" s="31" t="str">
        <f t="shared" si="42"/>
        <v>1+0.274175959233515i</v>
      </c>
      <c r="AN70" s="31">
        <f t="shared" si="62"/>
        <v>1.0369052302990944</v>
      </c>
      <c r="AO70" s="31">
        <f t="shared" si="63"/>
        <v>0.26759994547925808</v>
      </c>
      <c r="AP70" s="31" t="str">
        <f t="shared" si="43"/>
        <v>1+0.045772280339485i</v>
      </c>
      <c r="AQ70" s="31">
        <f t="shared" si="64"/>
        <v>1.001047002716394</v>
      </c>
      <c r="AR70" s="31">
        <f t="shared" si="65"/>
        <v>4.574035460250174E-2</v>
      </c>
      <c r="AS70" s="58" t="str">
        <f t="shared" si="66"/>
        <v>-10.8168675980139+43.9323382500607i</v>
      </c>
      <c r="AT70" s="49">
        <f t="shared" si="67"/>
        <v>33.111295047556112</v>
      </c>
      <c r="AU70" s="61">
        <f t="shared" si="68"/>
        <v>103.83203691377268</v>
      </c>
      <c r="AV70" s="58" t="str">
        <f t="shared" si="44"/>
        <v>-174.304102633625+767.596714355396i</v>
      </c>
      <c r="AW70" s="64">
        <f t="shared" si="69"/>
        <v>57.921020418542469</v>
      </c>
      <c r="AX70" s="49">
        <f t="shared" si="70"/>
        <v>102.79364065174801</v>
      </c>
      <c r="AY70" s="310"/>
      <c r="BA70" s="31">
        <f t="shared" si="71"/>
        <v>0</v>
      </c>
      <c r="BB70" s="31">
        <f t="shared" si="72"/>
        <v>0</v>
      </c>
    </row>
    <row r="71" spans="1:54" x14ac:dyDescent="0.45">
      <c r="A71" s="31" t="s">
        <v>555</v>
      </c>
      <c r="B71" s="1">
        <f>IF(FB_type=1,1/(Rcomp_iso*Ccomp_iso),)</f>
        <v>4545.454545454545</v>
      </c>
      <c r="E71" s="31" t="s">
        <v>557</v>
      </c>
      <c r="I71" s="31">
        <f>wz2_ea_iso/(2*PI())</f>
        <v>723.43155950861512</v>
      </c>
      <c r="N71" s="10">
        <v>53</v>
      </c>
      <c r="O71" s="50">
        <f t="shared" si="45"/>
        <v>33.884415613920268</v>
      </c>
      <c r="P71" s="48" t="str">
        <f t="shared" si="46"/>
        <v>17.4002386318441</v>
      </c>
      <c r="Q71" s="17" t="str">
        <f t="shared" si="35"/>
        <v>1+0.0182334259928048i</v>
      </c>
      <c r="R71" s="17">
        <f t="shared" si="47"/>
        <v>1.0001662150979882</v>
      </c>
      <c r="S71" s="17">
        <f t="shared" si="48"/>
        <v>1.8231405780730899E-2</v>
      </c>
      <c r="T71" s="17" t="str">
        <f t="shared" si="36"/>
        <v>1+0.0000638706186983251i</v>
      </c>
      <c r="U71" s="17">
        <f t="shared" si="49"/>
        <v>1.0000000020397279</v>
      </c>
      <c r="V71" s="17">
        <f t="shared" si="50"/>
        <v>6.3870618611472645E-5</v>
      </c>
      <c r="W71" s="31" t="str">
        <f t="shared" si="37"/>
        <v>1-0.000157576492389518i</v>
      </c>
      <c r="X71" s="17">
        <f t="shared" si="51"/>
        <v>1.0000000124151753</v>
      </c>
      <c r="Y71" s="17">
        <f t="shared" si="52"/>
        <v>-1.5757649108529147E-4</v>
      </c>
      <c r="Z71" s="31" t="str">
        <f t="shared" si="38"/>
        <v>0.999999998958591+0.000220380157027674i</v>
      </c>
      <c r="AA71" s="17">
        <f t="shared" si="53"/>
        <v>1.0000000232422976</v>
      </c>
      <c r="AB71" s="17">
        <f t="shared" si="54"/>
        <v>2.2038015368941523E-4</v>
      </c>
      <c r="AC71" s="66" t="str">
        <f t="shared" si="55"/>
        <v>17.3943550824404-0.32262385775653i</v>
      </c>
      <c r="AD71" s="64">
        <f t="shared" si="56"/>
        <v>24.809660404888607</v>
      </c>
      <c r="AE71" s="61">
        <f t="shared" si="57"/>
        <v>-1.0625784095294752</v>
      </c>
      <c r="AF71" s="31" t="str">
        <f t="shared" si="39"/>
        <v>-9090.90909090909</v>
      </c>
      <c r="AG71" s="31" t="str">
        <f t="shared" si="40"/>
        <v>212.90206232775i</v>
      </c>
      <c r="AH71" s="31">
        <f t="shared" si="58"/>
        <v>212.90206232775</v>
      </c>
      <c r="AI71" s="31">
        <f t="shared" si="59"/>
        <v>1.5707963267948966</v>
      </c>
      <c r="AJ71" s="31" t="str">
        <f t="shared" si="41"/>
        <v>0.999835791020151+0.0737167003747966i</v>
      </c>
      <c r="AK71" s="31">
        <f t="shared" si="60"/>
        <v>1.0025496301525618</v>
      </c>
      <c r="AL71" s="31">
        <f t="shared" si="61"/>
        <v>7.3595646299673523E-2</v>
      </c>
      <c r="AM71" s="31" t="str">
        <f t="shared" si="42"/>
        <v>1+0.280562337735509i</v>
      </c>
      <c r="AN71" s="31">
        <f t="shared" si="62"/>
        <v>1.0386121631078724</v>
      </c>
      <c r="AO71" s="31">
        <f t="shared" si="63"/>
        <v>0.27353008252938538</v>
      </c>
      <c r="AP71" s="31" t="str">
        <f t="shared" si="43"/>
        <v>1+0.046838453712105i</v>
      </c>
      <c r="AQ71" s="31">
        <f t="shared" si="64"/>
        <v>1.0010963194149407</v>
      </c>
      <c r="AR71" s="31">
        <f t="shared" si="65"/>
        <v>4.6804246691601582E-2</v>
      </c>
      <c r="AS71" s="58" t="str">
        <f t="shared" si="66"/>
        <v>-10.8161439728451+42.9432152962308i</v>
      </c>
      <c r="AT71" s="49">
        <f t="shared" si="67"/>
        <v>32.925016686432208</v>
      </c>
      <c r="AU71" s="61">
        <f t="shared" si="68"/>
        <v>104.13708517400792</v>
      </c>
      <c r="AV71" s="58" t="str">
        <f t="shared" si="44"/>
        <v>-174.285343103126+750.459081338894i</v>
      </c>
      <c r="AW71" s="64">
        <f t="shared" si="69"/>
        <v>57.734677091320819</v>
      </c>
      <c r="AX71" s="49">
        <f t="shared" si="70"/>
        <v>103.07450676447844</v>
      </c>
      <c r="AY71" s="310"/>
      <c r="BA71" s="31">
        <f t="shared" si="71"/>
        <v>0</v>
      </c>
      <c r="BB71" s="31">
        <f t="shared" si="72"/>
        <v>0</v>
      </c>
    </row>
    <row r="72" spans="1:54" x14ac:dyDescent="0.45">
      <c r="A72" s="31" t="s">
        <v>558</v>
      </c>
      <c r="B72" s="1">
        <f>IF(FB_type=1,Ccomp_iso*Copto*Rcomp_iso*Rpullup,(CCOMP+CHF)*RCOMP)</f>
        <v>3.6227400000000003E-9</v>
      </c>
      <c r="E72" s="31" t="s">
        <v>561</v>
      </c>
      <c r="I72" s="31">
        <f>(1/wp0_ea)/(2*PI())</f>
        <v>43932201.342601277</v>
      </c>
      <c r="N72" s="10">
        <v>54</v>
      </c>
      <c r="O72" s="50">
        <f t="shared" si="45"/>
        <v>34.67368504525318</v>
      </c>
      <c r="P72" s="48" t="str">
        <f t="shared" si="46"/>
        <v>17.4002386318441</v>
      </c>
      <c r="Q72" s="17" t="str">
        <f t="shared" si="35"/>
        <v>1+0.0186581370437069i</v>
      </c>
      <c r="R72" s="17">
        <f t="shared" si="47"/>
        <v>1.0001740478926364</v>
      </c>
      <c r="S72" s="17">
        <f t="shared" si="48"/>
        <v>1.8655972367813418E-2</v>
      </c>
      <c r="T72" s="17" t="str">
        <f t="shared" si="36"/>
        <v>1+0.0000653583565266322i</v>
      </c>
      <c r="U72" s="17">
        <f t="shared" si="49"/>
        <v>1.0000000021358573</v>
      </c>
      <c r="V72" s="17">
        <f t="shared" si="50"/>
        <v>6.5358356433568119E-5</v>
      </c>
      <c r="W72" s="31" t="str">
        <f t="shared" si="37"/>
        <v>1-0.000161246920410376i</v>
      </c>
      <c r="X72" s="17">
        <f t="shared" si="51"/>
        <v>1.0000000130002846</v>
      </c>
      <c r="Y72" s="17">
        <f t="shared" si="52"/>
        <v>-1.612469190128721E-4</v>
      </c>
      <c r="Z72" s="31" t="str">
        <f t="shared" si="38"/>
        <v>0.999999998909511+0.000225513470324151i</v>
      </c>
      <c r="AA72" s="17">
        <f t="shared" si="53"/>
        <v>1.0000000243376734</v>
      </c>
      <c r="AB72" s="17">
        <f t="shared" si="54"/>
        <v>2.2551346674714226E-4</v>
      </c>
      <c r="AC72" s="66" t="str">
        <f t="shared" si="55"/>
        <v>17.3940778957957-0.330133560987967i</v>
      </c>
      <c r="AD72" s="64">
        <f t="shared" si="56"/>
        <v>24.80959237807447</v>
      </c>
      <c r="AE72" s="61">
        <f t="shared" si="57"/>
        <v>-1.0873234591957428</v>
      </c>
      <c r="AF72" s="31" t="str">
        <f t="shared" si="39"/>
        <v>-9090.90909090909</v>
      </c>
      <c r="AG72" s="31" t="str">
        <f t="shared" si="40"/>
        <v>217.861188422107i</v>
      </c>
      <c r="AH72" s="31">
        <f t="shared" si="58"/>
        <v>217.86118842210701</v>
      </c>
      <c r="AI72" s="31">
        <f t="shared" si="59"/>
        <v>1.5707963267948966</v>
      </c>
      <c r="AJ72" s="31" t="str">
        <f t="shared" si="41"/>
        <v>0.999828052089354+0.0754337829075894i</v>
      </c>
      <c r="AK72" s="31">
        <f t="shared" si="60"/>
        <v>1.002669631208875</v>
      </c>
      <c r="AL72" s="31">
        <f t="shared" si="61"/>
        <v>7.5304089754420794E-2</v>
      </c>
      <c r="AM72" s="31" t="str">
        <f t="shared" si="42"/>
        <v>1+0.287097474102652i</v>
      </c>
      <c r="AN72" s="31">
        <f t="shared" si="62"/>
        <v>1.0403965396117594</v>
      </c>
      <c r="AO72" s="31">
        <f t="shared" si="63"/>
        <v>0.27957798805667844</v>
      </c>
      <c r="AP72" s="31" t="str">
        <f t="shared" si="43"/>
        <v>1+0.0479294614528635i</v>
      </c>
      <c r="AQ72" s="31">
        <f t="shared" si="64"/>
        <v>1.0011479577341011</v>
      </c>
      <c r="AR72" s="31">
        <f t="shared" si="65"/>
        <v>4.7892810239544774E-2</v>
      </c>
      <c r="AS72" s="58" t="str">
        <f t="shared" si="66"/>
        <v>-10.8153865975731+41.9768565688173i</v>
      </c>
      <c r="AT72" s="49">
        <f t="shared" si="67"/>
        <v>32.739335000920718</v>
      </c>
      <c r="AU72" s="61">
        <f t="shared" si="68"/>
        <v>104.44808813315086</v>
      </c>
      <c r="AV72" s="58" t="str">
        <f t="shared" si="44"/>
        <v>-174.265707813187+733.71923506957i</v>
      </c>
      <c r="AW72" s="64">
        <f t="shared" si="69"/>
        <v>57.548927378995188</v>
      </c>
      <c r="AX72" s="49">
        <f t="shared" si="70"/>
        <v>103.36076467395513</v>
      </c>
      <c r="AY72" s="310"/>
      <c r="BA72" s="31">
        <f t="shared" si="71"/>
        <v>0</v>
      </c>
      <c r="BB72" s="31">
        <f t="shared" si="72"/>
        <v>0</v>
      </c>
    </row>
    <row r="73" spans="1:54" x14ac:dyDescent="0.45">
      <c r="A73" s="31" t="s">
        <v>559</v>
      </c>
      <c r="B73" s="1">
        <f>IF(FB_type=1,(Ccomp_iso*Rcomp_iso)+(Ccomp_iso*Rpullup)+(Copto*Rpullup),(CCOMP+CHF)/(RCOMP*CHF*CCOMP))</f>
        <v>3.4624699999999999E-4</v>
      </c>
      <c r="E73" s="31" t="s">
        <v>563</v>
      </c>
      <c r="I73" s="31">
        <f>wp1_ea/(2*PI())</f>
        <v>5.5106921580739487E-5</v>
      </c>
      <c r="K73" s="31">
        <f>1/(RCOMP*CHF*2*PI())</f>
        <v>15915.494309189533</v>
      </c>
      <c r="N73" s="10">
        <v>55</v>
      </c>
      <c r="O73" s="50">
        <f t="shared" si="45"/>
        <v>35.481338923357555</v>
      </c>
      <c r="P73" s="48" t="str">
        <f t="shared" si="46"/>
        <v>17.4002386318441</v>
      </c>
      <c r="Q73" s="17" t="str">
        <f t="shared" si="35"/>
        <v>1+0.0190927408858392i</v>
      </c>
      <c r="R73" s="17">
        <f t="shared" si="47"/>
        <v>1.0001822497697777</v>
      </c>
      <c r="S73" s="17">
        <f t="shared" si="48"/>
        <v>1.9090421416655991E-2</v>
      </c>
      <c r="T73" s="17" t="str">
        <f t="shared" si="36"/>
        <v>1+0.0000668807482206898i</v>
      </c>
      <c r="U73" s="17">
        <f t="shared" si="49"/>
        <v>1.0000000022365172</v>
      </c>
      <c r="V73" s="17">
        <f t="shared" si="50"/>
        <v>6.6880748120969833E-5</v>
      </c>
      <c r="W73" s="31" t="str">
        <f t="shared" si="37"/>
        <v>1-0.00016500284368279i</v>
      </c>
      <c r="X73" s="17">
        <f t="shared" si="51"/>
        <v>1.0000000136129692</v>
      </c>
      <c r="Y73" s="17">
        <f t="shared" si="52"/>
        <v>-1.6500284218533761E-4</v>
      </c>
      <c r="Z73" s="31" t="str">
        <f t="shared" si="38"/>
        <v>0.999999998858118+0.000230766353847618i</v>
      </c>
      <c r="AA73" s="17">
        <f t="shared" si="53"/>
        <v>1.0000000254846726</v>
      </c>
      <c r="AB73" s="17">
        <f t="shared" si="54"/>
        <v>2.3076635001478406E-4</v>
      </c>
      <c r="AC73" s="66" t="str">
        <f t="shared" si="55"/>
        <v>17.3937876550533-0.337817817973167i</v>
      </c>
      <c r="AD73" s="64">
        <f t="shared" si="56"/>
        <v>24.809521146397294</v>
      </c>
      <c r="AE73" s="61">
        <f t="shared" si="57"/>
        <v>-1.1126444960769106</v>
      </c>
      <c r="AF73" s="31" t="str">
        <f t="shared" si="39"/>
        <v>-9090.90909090909</v>
      </c>
      <c r="AG73" s="31" t="str">
        <f t="shared" si="40"/>
        <v>222.935827402299i</v>
      </c>
      <c r="AH73" s="31">
        <f t="shared" si="58"/>
        <v>222.935827402299</v>
      </c>
      <c r="AI73" s="31">
        <f t="shared" si="59"/>
        <v>1.5707963267948966</v>
      </c>
      <c r="AJ73" s="31" t="str">
        <f t="shared" si="41"/>
        <v>0.999819948433985+0.0771908614305639i</v>
      </c>
      <c r="AK73" s="31">
        <f t="shared" si="60"/>
        <v>1.0027952724135316</v>
      </c>
      <c r="AL73" s="31">
        <f t="shared" si="61"/>
        <v>7.7051913603812097E-2</v>
      </c>
      <c r="AM73" s="31" t="str">
        <f t="shared" si="42"/>
        <v>1+0.29378483335075i</v>
      </c>
      <c r="AN73" s="31">
        <f t="shared" si="62"/>
        <v>1.0422617369485114</v>
      </c>
      <c r="AO73" s="31">
        <f t="shared" si="63"/>
        <v>0.28574509832616141</v>
      </c>
      <c r="AP73" s="31" t="str">
        <f t="shared" si="43"/>
        <v>1+0.0490458820285057i</v>
      </c>
      <c r="AQ73" s="31">
        <f t="shared" si="64"/>
        <v>1.0012020268377178</v>
      </c>
      <c r="AR73" s="31">
        <f t="shared" si="65"/>
        <v>4.9006612091939468E-2</v>
      </c>
      <c r="AS73" s="58" t="str">
        <f t="shared" si="66"/>
        <v>-10.8145939154125+41.0327493495715i</v>
      </c>
      <c r="AT73" s="49">
        <f t="shared" si="67"/>
        <v>32.554273663824837</v>
      </c>
      <c r="AU73" s="61">
        <f t="shared" si="68"/>
        <v>104.76511073883759</v>
      </c>
      <c r="AV73" s="58" t="str">
        <f t="shared" si="44"/>
        <v>-174.245156289604+717.368291608244i</v>
      </c>
      <c r="AW73" s="64">
        <f t="shared" si="69"/>
        <v>57.363794810222132</v>
      </c>
      <c r="AX73" s="49">
        <f t="shared" si="70"/>
        <v>103.65246624276065</v>
      </c>
      <c r="AY73" s="310"/>
      <c r="BA73" s="31">
        <f t="shared" si="71"/>
        <v>0</v>
      </c>
      <c r="BB73" s="31">
        <f t="shared" si="72"/>
        <v>0</v>
      </c>
    </row>
    <row r="74" spans="1:54" x14ac:dyDescent="0.45">
      <c r="A74" s="31" t="s">
        <v>560</v>
      </c>
      <c r="B74" s="1">
        <v>1</v>
      </c>
      <c r="E74" s="31" t="s">
        <v>562</v>
      </c>
      <c r="I74" s="31">
        <f>wpC_ea_iso/(2*PI())</f>
        <v>0.15915494309189535</v>
      </c>
      <c r="N74" s="10">
        <v>56</v>
      </c>
      <c r="O74" s="50">
        <f t="shared" si="45"/>
        <v>36.307805477010156</v>
      </c>
      <c r="P74" s="48" t="str">
        <f t="shared" si="46"/>
        <v>17.4002386318441</v>
      </c>
      <c r="Q74" s="17" t="str">
        <f t="shared" si="35"/>
        <v>1+0.0195374679519116i</v>
      </c>
      <c r="R74" s="17">
        <f t="shared" si="47"/>
        <v>1.0001908381173925</v>
      </c>
      <c r="S74" s="17">
        <f t="shared" si="48"/>
        <v>1.9534982621514738E-2</v>
      </c>
      <c r="T74" s="17" t="str">
        <f t="shared" si="36"/>
        <v>1+0.0000684386009727256i</v>
      </c>
      <c r="U74" s="17">
        <f t="shared" si="49"/>
        <v>1.0000000023419211</v>
      </c>
      <c r="V74" s="17">
        <f t="shared" si="50"/>
        <v>6.8438600865873737E-5</v>
      </c>
      <c r="W74" s="31" t="str">
        <f t="shared" si="37"/>
        <v>1-0.000168846253646996i</v>
      </c>
      <c r="X74" s="17">
        <f t="shared" si="51"/>
        <v>1.0000000142545287</v>
      </c>
      <c r="Y74" s="17">
        <f t="shared" si="52"/>
        <v>-1.6884625204244684E-4</v>
      </c>
      <c r="Z74" s="31" t="str">
        <f t="shared" si="38"/>
        <v>0.999999998804302+0.000236141592746449i</v>
      </c>
      <c r="AA74" s="17">
        <f t="shared" si="53"/>
        <v>1.0000000266857276</v>
      </c>
      <c r="AB74" s="17">
        <f t="shared" si="54"/>
        <v>2.3614158863949361E-4</v>
      </c>
      <c r="AC74" s="66" t="str">
        <f t="shared" si="55"/>
        <v>17.3934837458898-0.345680668171952i</v>
      </c>
      <c r="AD74" s="64">
        <f t="shared" si="56"/>
        <v>24.80944655892662</v>
      </c>
      <c r="AE74" s="61">
        <f t="shared" si="57"/>
        <v>-1.1385549081140012</v>
      </c>
      <c r="AF74" s="31" t="str">
        <f t="shared" si="39"/>
        <v>-9090.90909090909</v>
      </c>
      <c r="AG74" s="31" t="str">
        <f t="shared" si="40"/>
        <v>228.128669909085i</v>
      </c>
      <c r="AH74" s="31">
        <f t="shared" si="58"/>
        <v>228.128669909085</v>
      </c>
      <c r="AI74" s="31">
        <f t="shared" si="59"/>
        <v>1.5707963267948966</v>
      </c>
      <c r="AJ74" s="31" t="str">
        <f t="shared" si="41"/>
        <v>0.999811462865104+0.0789888675700109i</v>
      </c>
      <c r="AK74" s="31">
        <f t="shared" si="60"/>
        <v>1.0029268181061128</v>
      </c>
      <c r="AL74" s="31">
        <f t="shared" si="61"/>
        <v>7.884000572231091E-2</v>
      </c>
      <c r="AM74" s="31" t="str">
        <f t="shared" si="42"/>
        <v>1+0.300627961206192i</v>
      </c>
      <c r="AN74" s="31">
        <f t="shared" si="62"/>
        <v>1.0442112674449513</v>
      </c>
      <c r="AO74" s="31">
        <f t="shared" si="63"/>
        <v>0.29203280605847592</v>
      </c>
      <c r="AP74" s="31" t="str">
        <f t="shared" si="43"/>
        <v>1+0.0501883073799987i</v>
      </c>
      <c r="AQ74" s="31">
        <f t="shared" si="64"/>
        <v>1.0012586410102382</v>
      </c>
      <c r="AR74" s="31">
        <f t="shared" si="65"/>
        <v>5.0146231741133411E-2</v>
      </c>
      <c r="AS74" s="58" t="str">
        <f t="shared" si="66"/>
        <v>-10.8137642994294+40.110392694273i</v>
      </c>
      <c r="AT74" s="49">
        <f t="shared" si="67"/>
        <v>32.369857085797051</v>
      </c>
      <c r="AU74" s="61">
        <f t="shared" si="68"/>
        <v>105.08821511908944</v>
      </c>
      <c r="AV74" s="58" t="str">
        <f t="shared" si="44"/>
        <v>-174.223646226813+701.397572637575i</v>
      </c>
      <c r="AW74" s="64">
        <f t="shared" si="69"/>
        <v>57.179303644723667</v>
      </c>
      <c r="AX74" s="49">
        <f t="shared" si="70"/>
        <v>103.94966021097544</v>
      </c>
      <c r="AY74" s="310"/>
      <c r="BA74" s="31">
        <f t="shared" si="71"/>
        <v>0</v>
      </c>
      <c r="BB74" s="31">
        <f t="shared" si="72"/>
        <v>0</v>
      </c>
    </row>
    <row r="75" spans="1:54" x14ac:dyDescent="0.45">
      <c r="N75" s="10">
        <v>57</v>
      </c>
      <c r="O75" s="50">
        <f t="shared" si="45"/>
        <v>37.15352290971726</v>
      </c>
      <c r="P75" s="48" t="str">
        <f t="shared" si="46"/>
        <v>17.4002386318441</v>
      </c>
      <c r="Q75" s="17" t="str">
        <f t="shared" si="35"/>
        <v>1+0.0199925540421009i</v>
      </c>
      <c r="R75" s="17">
        <f t="shared" si="47"/>
        <v>1.0001998311423204</v>
      </c>
      <c r="S75" s="17">
        <f t="shared" si="48"/>
        <v>1.9989890991335892E-2</v>
      </c>
      <c r="T75" s="17" t="str">
        <f t="shared" si="36"/>
        <v>1+0.0000700327407768889i</v>
      </c>
      <c r="U75" s="17">
        <f t="shared" si="49"/>
        <v>1.0000000024522924</v>
      </c>
      <c r="V75" s="17">
        <f t="shared" si="50"/>
        <v>7.0032740662395059E-5</v>
      </c>
      <c r="W75" s="31" t="str">
        <f t="shared" si="37"/>
        <v>1-0.00017277918812983i</v>
      </c>
      <c r="X75" s="17">
        <f t="shared" si="51"/>
        <v>1.0000000149263237</v>
      </c>
      <c r="Y75" s="17">
        <f t="shared" si="52"/>
        <v>-1.7277918641052462E-4</v>
      </c>
      <c r="Z75" s="31" t="str">
        <f t="shared" si="38"/>
        <v>0.999999998747951+0.000241642037043457i</v>
      </c>
      <c r="AA75" s="17">
        <f t="shared" si="53"/>
        <v>1.0000000279433876</v>
      </c>
      <c r="AB75" s="17">
        <f t="shared" si="54"/>
        <v>2.4164203264277491E-4</v>
      </c>
      <c r="AC75" s="66" t="str">
        <f t="shared" si="55"/>
        <v>17.3931655251164-0.353726243248393i</v>
      </c>
      <c r="AD75" s="64">
        <f t="shared" si="56"/>
        <v>24.809368457629617</v>
      </c>
      <c r="AE75" s="61">
        <f t="shared" si="57"/>
        <v>-1.1650683930548646</v>
      </c>
      <c r="AF75" s="31" t="str">
        <f t="shared" si="39"/>
        <v>-9090.90909090909</v>
      </c>
      <c r="AG75" s="31" t="str">
        <f t="shared" si="40"/>
        <v>233.442469256296i</v>
      </c>
      <c r="AH75" s="31">
        <f t="shared" si="58"/>
        <v>233.44246925629599</v>
      </c>
      <c r="AI75" s="31">
        <f t="shared" si="59"/>
        <v>1.5707963267948966</v>
      </c>
      <c r="AJ75" s="31" t="str">
        <f t="shared" si="41"/>
        <v>0.999802577383683+0.0808287546525846i</v>
      </c>
      <c r="AK75" s="31">
        <f t="shared" si="60"/>
        <v>1.0030645449430178</v>
      </c>
      <c r="AL75" s="31">
        <f t="shared" si="61"/>
        <v>8.0669272588994076E-2</v>
      </c>
      <c r="AM75" s="31" t="str">
        <f t="shared" si="42"/>
        <v>1+0.307630485985947i</v>
      </c>
      <c r="AN75" s="31">
        <f t="shared" si="62"/>
        <v>1.0462487829899492</v>
      </c>
      <c r="AO75" s="31">
        <f t="shared" si="63"/>
        <v>0.29844245564067284</v>
      </c>
      <c r="AP75" s="31" t="str">
        <f t="shared" si="43"/>
        <v>1+0.0513573432363851i</v>
      </c>
      <c r="AQ75" s="31">
        <f t="shared" si="64"/>
        <v>1.0013179198957243</v>
      </c>
      <c r="AR75" s="31">
        <f t="shared" si="65"/>
        <v>5.1312261581330586E-2</v>
      </c>
      <c r="AS75" s="58" t="str">
        <f t="shared" si="66"/>
        <v>-10.8128960495407+39.2092971654619i</v>
      </c>
      <c r="AT75" s="49">
        <f t="shared" si="67"/>
        <v>32.186110420421429</v>
      </c>
      <c r="AU75" s="61">
        <f t="shared" si="68"/>
        <v>105.41746030587267</v>
      </c>
      <c r="AV75" s="58" t="str">
        <f t="shared" si="44"/>
        <v>-174.20113340879+685.798600820596i</v>
      </c>
      <c r="AW75" s="64">
        <f t="shared" si="69"/>
        <v>56.995478878051046</v>
      </c>
      <c r="AX75" s="49">
        <f t="shared" si="70"/>
        <v>104.25239191281779</v>
      </c>
      <c r="AY75" s="310"/>
      <c r="BA75" s="31">
        <f t="shared" si="71"/>
        <v>0</v>
      </c>
      <c r="BB75" s="31">
        <f t="shared" si="72"/>
        <v>0</v>
      </c>
    </row>
    <row r="76" spans="1:54" x14ac:dyDescent="0.45">
      <c r="N76" s="10">
        <v>58</v>
      </c>
      <c r="O76" s="50">
        <f t="shared" si="45"/>
        <v>38.018939632056139</v>
      </c>
      <c r="P76" s="48" t="str">
        <f t="shared" si="46"/>
        <v>17.4002386318441</v>
      </c>
      <c r="Q76" s="17" t="str">
        <f t="shared" si="35"/>
        <v>1+0.0204582404490761i</v>
      </c>
      <c r="R76" s="17">
        <f t="shared" si="47"/>
        <v>1.0002092479087925</v>
      </c>
      <c r="S76" s="17">
        <f t="shared" si="48"/>
        <v>2.0455386971011059E-2</v>
      </c>
      <c r="T76" s="17" t="str">
        <f t="shared" si="36"/>
        <v>1+0.000071664012867205i</v>
      </c>
      <c r="U76" s="17">
        <f t="shared" si="49"/>
        <v>1.0000000025678653</v>
      </c>
      <c r="V76" s="17">
        <f t="shared" si="50"/>
        <v>7.1664012744522651E-5</v>
      </c>
      <c r="W76" s="31" t="str">
        <f t="shared" si="37"/>
        <v>1-0.000176803732425213i</v>
      </c>
      <c r="X76" s="17">
        <f t="shared" si="51"/>
        <v>1.0000000156297797</v>
      </c>
      <c r="Y76" s="17">
        <f t="shared" si="52"/>
        <v>-1.7680373058294408E-4</v>
      </c>
      <c r="Z76" s="31" t="str">
        <f t="shared" si="38"/>
        <v>0.999999998688944+0.000247270603147016i</v>
      </c>
      <c r="AA76" s="17">
        <f t="shared" si="53"/>
        <v>1.0000000292603191</v>
      </c>
      <c r="AB76" s="17">
        <f t="shared" si="54"/>
        <v>2.4727059843160013E-4</v>
      </c>
      <c r="AC76" s="66" t="str">
        <f t="shared" si="55"/>
        <v>17.3928323193262-0.361958769083896i</v>
      </c>
      <c r="AD76" s="64">
        <f t="shared" si="56"/>
        <v>24.80928667703704</v>
      </c>
      <c r="AE76" s="61">
        <f t="shared" si="57"/>
        <v>-1.1921989655249661</v>
      </c>
      <c r="AF76" s="31" t="str">
        <f t="shared" si="39"/>
        <v>-9090.90909090909</v>
      </c>
      <c r="AG76" s="31" t="str">
        <f t="shared" si="40"/>
        <v>238.880042890683i</v>
      </c>
      <c r="AH76" s="31">
        <f t="shared" si="58"/>
        <v>238.880042890683</v>
      </c>
      <c r="AI76" s="31">
        <f t="shared" si="59"/>
        <v>1.5707963267948966</v>
      </c>
      <c r="AJ76" s="31" t="str">
        <f t="shared" si="41"/>
        <v>0.999793273142424+0.0827114982107702i</v>
      </c>
      <c r="AK76" s="31">
        <f t="shared" si="60"/>
        <v>1.0032087424644545</v>
      </c>
      <c r="AL76" s="31">
        <f t="shared" si="61"/>
        <v>8.2540639575644614E-2</v>
      </c>
      <c r="AM76" s="31" t="str">
        <f t="shared" si="42"/>
        <v>1+0.314796120521342i</v>
      </c>
      <c r="AN76" s="31">
        <f t="shared" si="62"/>
        <v>1.0483780794614543</v>
      </c>
      <c r="AO76" s="31">
        <f t="shared" si="63"/>
        <v>0.30497533812434113</v>
      </c>
      <c r="AP76" s="31" t="str">
        <f t="shared" si="43"/>
        <v>1+0.0525536094359502i</v>
      </c>
      <c r="AQ76" s="31">
        <f t="shared" si="64"/>
        <v>1.0013799887479009</v>
      </c>
      <c r="AR76" s="31">
        <f t="shared" si="65"/>
        <v>5.2505307166874592E-2</v>
      </c>
      <c r="AS76" s="58" t="str">
        <f t="shared" si="66"/>
        <v>-10.8119873893995+38.3289845711542i</v>
      </c>
      <c r="AT76" s="49">
        <f t="shared" si="67"/>
        <v>32.003059567519735</v>
      </c>
      <c r="AU76" s="61">
        <f t="shared" si="68"/>
        <v>105.75290194680503</v>
      </c>
      <c r="AV76" s="58" t="str">
        <f t="shared" si="44"/>
        <v>-174.177571626884+670.563095262944i</v>
      </c>
      <c r="AW76" s="64">
        <f t="shared" si="69"/>
        <v>56.812346244556771</v>
      </c>
      <c r="AX76" s="49">
        <f t="shared" si="70"/>
        <v>104.56070298128002</v>
      </c>
      <c r="AY76" s="310"/>
      <c r="BA76" s="31">
        <f t="shared" si="71"/>
        <v>0</v>
      </c>
      <c r="BB76" s="31">
        <f t="shared" si="72"/>
        <v>0</v>
      </c>
    </row>
    <row r="77" spans="1:54" x14ac:dyDescent="0.45">
      <c r="N77" s="10">
        <v>59</v>
      </c>
      <c r="O77" s="50">
        <f t="shared" si="45"/>
        <v>38.904514499428053</v>
      </c>
      <c r="P77" s="48" t="str">
        <f t="shared" si="46"/>
        <v>17.4002386318441</v>
      </c>
      <c r="Q77" s="17" t="str">
        <f t="shared" si="35"/>
        <v>1+0.0209347740859343i</v>
      </c>
      <c r="R77" s="17">
        <f t="shared" si="47"/>
        <v>1.0002191083787737</v>
      </c>
      <c r="S77" s="17">
        <f t="shared" si="48"/>
        <v>2.093171656527397E-2</v>
      </c>
      <c r="T77" s="17" t="str">
        <f t="shared" si="36"/>
        <v>1+0.0000733332821657287i</v>
      </c>
      <c r="U77" s="17">
        <f t="shared" si="49"/>
        <v>1.0000000026888851</v>
      </c>
      <c r="V77" s="17">
        <f t="shared" si="50"/>
        <v>7.3333282034272182E-5</v>
      </c>
      <c r="W77" s="31" t="str">
        <f t="shared" si="37"/>
        <v>1-0.000180922020399802i</v>
      </c>
      <c r="X77" s="17">
        <f t="shared" si="51"/>
        <v>1.0000000163663885</v>
      </c>
      <c r="Y77" s="17">
        <f t="shared" si="52"/>
        <v>-1.8092201842577528E-4</v>
      </c>
      <c r="Z77" s="31" t="str">
        <f t="shared" si="38"/>
        <v>0.999999998627155+0.000253030275397377i</v>
      </c>
      <c r="AA77" s="17">
        <f t="shared" si="53"/>
        <v>1.0000000306393149</v>
      </c>
      <c r="AB77" s="17">
        <f t="shared" si="54"/>
        <v>2.5303027034471803E-4</v>
      </c>
      <c r="AC77" s="66" t="str">
        <f t="shared" si="55"/>
        <v>17.3924834234799-0.370382567827606i</v>
      </c>
      <c r="AD77" s="64">
        <f t="shared" si="56"/>
        <v>24.809201043894241</v>
      </c>
      <c r="AE77" s="61">
        <f t="shared" si="57"/>
        <v>-1.2199609642524551</v>
      </c>
      <c r="AF77" s="31" t="str">
        <f t="shared" si="39"/>
        <v>-9090.90909090909</v>
      </c>
      <c r="AG77" s="31" t="str">
        <f t="shared" si="40"/>
        <v>244.444273885762i</v>
      </c>
      <c r="AH77" s="31">
        <f t="shared" si="58"/>
        <v>244.44427388576199</v>
      </c>
      <c r="AI77" s="31">
        <f t="shared" si="59"/>
        <v>1.5707963267948966</v>
      </c>
      <c r="AJ77" s="31" t="str">
        <f t="shared" si="41"/>
        <v>0.999783530405783+0.0846380965001233i</v>
      </c>
      <c r="AK77" s="31">
        <f t="shared" si="60"/>
        <v>1.003359713686879</v>
      </c>
      <c r="AL77" s="31">
        <f t="shared" si="61"/>
        <v>8.4455051231554695E-2</v>
      </c>
      <c r="AM77" s="31" t="str">
        <f t="shared" si="42"/>
        <v>1+0.322128664126657i</v>
      </c>
      <c r="AN77" s="31">
        <f t="shared" si="62"/>
        <v>1.0506031012004602</v>
      </c>
      <c r="AO77" s="31">
        <f t="shared" si="63"/>
        <v>0.31163268601332195</v>
      </c>
      <c r="AP77" s="31" t="str">
        <f t="shared" si="43"/>
        <v>1+0.0537777402548676i</v>
      </c>
      <c r="AQ77" s="31">
        <f t="shared" si="64"/>
        <v>1.0014449786917503</v>
      </c>
      <c r="AR77" s="31">
        <f t="shared" si="65"/>
        <v>5.372598747357335E-2</v>
      </c>
      <c r="AS77" s="58" t="str">
        <f t="shared" si="66"/>
        <v>-10.8110364631657+37.4689877094046i</v>
      </c>
      <c r="AT77" s="49">
        <f t="shared" si="67"/>
        <v>31.820731174504672</v>
      </c>
      <c r="AU77" s="61">
        <f t="shared" si="68"/>
        <v>106.09459200516808</v>
      </c>
      <c r="AV77" s="58" t="str">
        <f t="shared" si="44"/>
        <v>-174.152912594536+655.682967076497i</v>
      </c>
      <c r="AW77" s="64">
        <f t="shared" si="69"/>
        <v>56.629932218398913</v>
      </c>
      <c r="AX77" s="49">
        <f t="shared" si="70"/>
        <v>104.87463104091563</v>
      </c>
      <c r="AY77" s="310"/>
      <c r="BA77" s="31">
        <f t="shared" si="71"/>
        <v>0</v>
      </c>
      <c r="BB77" s="31">
        <f t="shared" si="72"/>
        <v>0</v>
      </c>
    </row>
    <row r="78" spans="1:54" x14ac:dyDescent="0.45">
      <c r="A78" s="58" t="str">
        <f>"Crossover Frequency = "&amp;B78</f>
        <v>Crossover Frequency = 58.9 kHz</v>
      </c>
      <c r="B78" s="49" t="str">
        <f>ROUND(D78,1)&amp;" kHz"</f>
        <v>58.9 kHz</v>
      </c>
      <c r="C78" s="300"/>
      <c r="D78" s="301">
        <f>BB12</f>
        <v>58.884365535558935</v>
      </c>
      <c r="N78" s="10">
        <v>60</v>
      </c>
      <c r="O78" s="50">
        <f t="shared" si="45"/>
        <v>39.810717055349755</v>
      </c>
      <c r="P78" s="48" t="str">
        <f t="shared" si="46"/>
        <v>17.4002386318441</v>
      </c>
      <c r="Q78" s="17" t="str">
        <f t="shared" si="35"/>
        <v>1+0.0214224076171172i</v>
      </c>
      <c r="R78" s="17">
        <f t="shared" si="47"/>
        <v>1.0002294334542021</v>
      </c>
      <c r="S78" s="17">
        <f t="shared" si="48"/>
        <v>2.1419131465289579E-2</v>
      </c>
      <c r="T78" s="17" t="str">
        <f t="shared" si="36"/>
        <v>1+0.0000750414337411372i</v>
      </c>
      <c r="U78" s="17">
        <f t="shared" si="49"/>
        <v>1.0000000028156084</v>
      </c>
      <c r="V78" s="17">
        <f t="shared" si="50"/>
        <v>7.5041433600279015E-5</v>
      </c>
      <c r="W78" s="31" t="str">
        <f t="shared" si="37"/>
        <v>1-0.000185136235624393i</v>
      </c>
      <c r="X78" s="17">
        <f t="shared" si="51"/>
        <v>1.0000000171377128</v>
      </c>
      <c r="Y78" s="17">
        <f t="shared" si="52"/>
        <v>-1.8513623350918527E-4</v>
      </c>
      <c r="Z78" s="31" t="str">
        <f t="shared" si="38"/>
        <v>0.999999998562455+0.000258924107649004i</v>
      </c>
      <c r="AA78" s="17">
        <f t="shared" si="53"/>
        <v>1.0000000320833013</v>
      </c>
      <c r="AB78" s="17">
        <f t="shared" si="54"/>
        <v>2.5892410223498242E-4</v>
      </c>
      <c r="AC78" s="66" t="str">
        <f t="shared" si="55"/>
        <v>17.3921180994246-0.379002059984262i</v>
      </c>
      <c r="AD78" s="64">
        <f t="shared" si="56"/>
        <v>24.809111376795279</v>
      </c>
      <c r="AE78" s="61">
        <f t="shared" si="57"/>
        <v>-1.2483690594503478</v>
      </c>
      <c r="AF78" s="31" t="str">
        <f t="shared" si="39"/>
        <v>-9090.90909090909</v>
      </c>
      <c r="AG78" s="31" t="str">
        <f t="shared" si="40"/>
        <v>250.138112470457i</v>
      </c>
      <c r="AH78" s="31">
        <f t="shared" si="58"/>
        <v>250.138112470457</v>
      </c>
      <c r="AI78" s="31">
        <f t="shared" si="59"/>
        <v>1.5707963267948966</v>
      </c>
      <c r="AJ78" s="31" t="str">
        <f t="shared" si="41"/>
        <v>0.99977332850811+0.0866095710285584i</v>
      </c>
      <c r="AK78" s="31">
        <f t="shared" si="60"/>
        <v>1.0035177757219531</v>
      </c>
      <c r="AL78" s="31">
        <f t="shared" si="61"/>
        <v>8.6413471564297115E-2</v>
      </c>
      <c r="AM78" s="31" t="str">
        <f t="shared" si="42"/>
        <v>1+0.329632004613568i</v>
      </c>
      <c r="AN78" s="31">
        <f t="shared" si="62"/>
        <v>1.0529279455240796</v>
      </c>
      <c r="AO78" s="31">
        <f t="shared" si="63"/>
        <v>0.31841566784471403</v>
      </c>
      <c r="AP78" s="31" t="str">
        <f t="shared" si="43"/>
        <v>1+0.0550303847435005i</v>
      </c>
      <c r="AQ78" s="31">
        <f t="shared" si="64"/>
        <v>1.0015130269971617</v>
      </c>
      <c r="AR78" s="31">
        <f t="shared" si="65"/>
        <v>5.4974935162932476E-2</v>
      </c>
      <c r="AS78" s="58" t="str">
        <f t="shared" si="66"/>
        <v>-10.8100413321579+36.6288501185647i</v>
      </c>
      <c r="AT78" s="49">
        <f t="shared" si="67"/>
        <v>31.639152635592929</v>
      </c>
      <c r="AU78" s="61">
        <f t="shared" si="68"/>
        <v>106.44257844847503</v>
      </c>
      <c r="AV78" s="58" t="str">
        <f t="shared" si="44"/>
        <v>-174.127105858761+641.150315041603i</v>
      </c>
      <c r="AW78" s="64">
        <f t="shared" si="69"/>
        <v>56.448264012388208</v>
      </c>
      <c r="AX78" s="49">
        <f t="shared" si="70"/>
        <v>105.19420938902472</v>
      </c>
      <c r="AY78" s="310"/>
      <c r="BA78" s="31">
        <f t="shared" si="71"/>
        <v>0</v>
      </c>
      <c r="BB78" s="31">
        <f t="shared" si="72"/>
        <v>0</v>
      </c>
    </row>
    <row r="79" spans="1:54" x14ac:dyDescent="0.45">
      <c r="A79" s="58" t="str">
        <f>"Phase Margin = "&amp;B79</f>
        <v>Phase Margin = -14°</v>
      </c>
      <c r="B79" s="302" t="str">
        <f>ROUND(D79,0)&amp;"°"</f>
        <v>-14°</v>
      </c>
      <c r="C79" s="303"/>
      <c r="D79" s="50">
        <f>BB14</f>
        <v>-14.498064554523356</v>
      </c>
      <c r="N79" s="10">
        <v>61</v>
      </c>
      <c r="O79" s="50">
        <f t="shared" si="45"/>
        <v>40.738027780411279</v>
      </c>
      <c r="P79" s="48" t="str">
        <f t="shared" si="46"/>
        <v>17.4002386318441</v>
      </c>
      <c r="Q79" s="17" t="str">
        <f t="shared" si="35"/>
        <v>1+0.0219213995923779i</v>
      </c>
      <c r="R79" s="17">
        <f t="shared" si="47"/>
        <v>1.0002402450212091</v>
      </c>
      <c r="S79" s="17">
        <f t="shared" si="48"/>
        <v>2.1917889177984682E-2</v>
      </c>
      <c r="T79" s="17" t="str">
        <f t="shared" si="36"/>
        <v>1+0.0000767893732780063i</v>
      </c>
      <c r="U79" s="17">
        <f t="shared" si="49"/>
        <v>1.0000000029483038</v>
      </c>
      <c r="V79" s="17">
        <f t="shared" si="50"/>
        <v>7.6789373127074024E-5</v>
      </c>
      <c r="W79" s="31" t="str">
        <f t="shared" si="37"/>
        <v>1-0.00018944861253168i</v>
      </c>
      <c r="X79" s="17">
        <f t="shared" si="51"/>
        <v>1.0000000179453883</v>
      </c>
      <c r="Y79" s="17">
        <f t="shared" si="52"/>
        <v>-1.8944861026519408E-4</v>
      </c>
      <c r="Z79" s="31" t="str">
        <f t="shared" si="38"/>
        <v>0.999999998494706+0.000264955224889774i</v>
      </c>
      <c r="AA79" s="17">
        <f t="shared" si="53"/>
        <v>1.000000033595341</v>
      </c>
      <c r="AB79" s="17">
        <f t="shared" si="54"/>
        <v>2.6495521908854525E-4</v>
      </c>
      <c r="AC79" s="66" t="str">
        <f t="shared" si="55"/>
        <v>17.3917355743442-0.38782176653974i</v>
      </c>
      <c r="AD79" s="64">
        <f t="shared" si="56"/>
        <v>24.809017485800105</v>
      </c>
      <c r="AE79" s="61">
        <f t="shared" si="57"/>
        <v>-1.277438260358895</v>
      </c>
      <c r="AF79" s="31" t="str">
        <f t="shared" si="39"/>
        <v>-9090.90909090909</v>
      </c>
      <c r="AG79" s="31" t="str">
        <f t="shared" si="40"/>
        <v>255.964577593354i</v>
      </c>
      <c r="AH79" s="31">
        <f t="shared" si="58"/>
        <v>255.96457759335399</v>
      </c>
      <c r="AI79" s="31">
        <f t="shared" si="59"/>
        <v>1.5707963267948966</v>
      </c>
      <c r="AJ79" s="31" t="str">
        <f t="shared" si="41"/>
        <v>0.999762645809813+0.088626967097966i</v>
      </c>
      <c r="AK79" s="31">
        <f t="shared" si="60"/>
        <v>1.0036832604231385</v>
      </c>
      <c r="AL79" s="31">
        <f t="shared" si="61"/>
        <v>8.8416884315660138E-2</v>
      </c>
      <c r="AM79" s="31" t="str">
        <f t="shared" si="42"/>
        <v>1+0.337310120352522i</v>
      </c>
      <c r="AN79" s="31">
        <f t="shared" si="62"/>
        <v>1.0553568672691873</v>
      </c>
      <c r="AO79" s="31">
        <f t="shared" si="63"/>
        <v>0.32532538256853666</v>
      </c>
      <c r="AP79" s="31" t="str">
        <f t="shared" si="43"/>
        <v>1+0.0563122070705378i</v>
      </c>
      <c r="AQ79" s="31">
        <f t="shared" si="64"/>
        <v>1.0015842773651926</v>
      </c>
      <c r="AR79" s="31">
        <f t="shared" si="65"/>
        <v>5.6252796849145102E-2</v>
      </c>
      <c r="AS79" s="58" t="str">
        <f t="shared" si="66"/>
        <v>-10.8089999713846+35.8081258331044i</v>
      </c>
      <c r="AT79" s="49">
        <f t="shared" si="67"/>
        <v>31.458352088687302</v>
      </c>
      <c r="AU79" s="61">
        <f t="shared" si="68"/>
        <v>106.79690492593517</v>
      </c>
      <c r="AV79" s="58" t="str">
        <f t="shared" si="44"/>
        <v>-174.100098708343+626.957421365626i</v>
      </c>
      <c r="AW79" s="64">
        <f t="shared" si="69"/>
        <v>56.267369574487418</v>
      </c>
      <c r="AX79" s="49">
        <f t="shared" si="70"/>
        <v>105.51946666557626</v>
      </c>
      <c r="AY79" s="310"/>
      <c r="BA79" s="31">
        <f t="shared" si="71"/>
        <v>0</v>
      </c>
      <c r="BB79" s="31">
        <f t="shared" si="72"/>
        <v>0</v>
      </c>
    </row>
    <row r="80" spans="1:54" x14ac:dyDescent="0.45">
      <c r="N80" s="10">
        <v>62</v>
      </c>
      <c r="O80" s="50">
        <f t="shared" si="45"/>
        <v>41.686938347033561</v>
      </c>
      <c r="P80" s="48" t="str">
        <f t="shared" si="46"/>
        <v>17.4002386318441</v>
      </c>
      <c r="Q80" s="17" t="str">
        <f t="shared" si="35"/>
        <v>1+0.0224320145838665i</v>
      </c>
      <c r="R80" s="17">
        <f t="shared" si="47"/>
        <v>1.0002515659964202</v>
      </c>
      <c r="S80" s="17">
        <f t="shared" si="48"/>
        <v>2.2428253158166482E-2</v>
      </c>
      <c r="T80" s="17" t="str">
        <f t="shared" si="36"/>
        <v>1+0.000078578027557015i</v>
      </c>
      <c r="U80" s="17">
        <f t="shared" si="49"/>
        <v>1.0000000030872531</v>
      </c>
      <c r="V80" s="17">
        <f t="shared" si="50"/>
        <v>7.8578027395288151E-5</v>
      </c>
      <c r="W80" s="31" t="str">
        <f t="shared" si="37"/>
        <v>1-0.00019386143760098i</v>
      </c>
      <c r="X80" s="17">
        <f t="shared" si="51"/>
        <v>1.0000000187911284</v>
      </c>
      <c r="Y80" s="17">
        <f t="shared" si="52"/>
        <v>-1.938614351723966E-4</v>
      </c>
      <c r="Z80" s="31" t="str">
        <f t="shared" si="38"/>
        <v>0.999999998423763+0.000271126824897877i</v>
      </c>
      <c r="AA80" s="17">
        <f t="shared" si="53"/>
        <v>1.0000000351786398</v>
      </c>
      <c r="AB80" s="17">
        <f t="shared" si="54"/>
        <v>2.7112681868174854E-4</v>
      </c>
      <c r="AC80" s="66" t="str">
        <f t="shared" si="55"/>
        <v>17.3913350391381-0.396846311124276i</v>
      </c>
      <c r="AD80" s="64">
        <f t="shared" si="56"/>
        <v>24.808919172034003</v>
      </c>
      <c r="AE80" s="61">
        <f t="shared" si="57"/>
        <v>-1.3071839229506839</v>
      </c>
      <c r="AF80" s="31" t="str">
        <f t="shared" si="39"/>
        <v>-9090.90909090909</v>
      </c>
      <c r="AG80" s="31" t="str">
        <f t="shared" si="40"/>
        <v>261.926758523383i</v>
      </c>
      <c r="AH80" s="31">
        <f t="shared" si="58"/>
        <v>261.926758523383</v>
      </c>
      <c r="AI80" s="31">
        <f t="shared" si="59"/>
        <v>1.5707963267948966</v>
      </c>
      <c r="AJ80" s="31" t="str">
        <f t="shared" si="41"/>
        <v>0.999751459651456+0.0906913543584456i</v>
      </c>
      <c r="AK80" s="31">
        <f t="shared" si="60"/>
        <v>1.0038565150610848</v>
      </c>
      <c r="AL80" s="31">
        <f t="shared" si="61"/>
        <v>9.0466293231877576E-2</v>
      </c>
      <c r="AM80" s="31" t="str">
        <f t="shared" si="42"/>
        <v>1+0.345167082382114i</v>
      </c>
      <c r="AN80" s="31">
        <f t="shared" si="62"/>
        <v>1.0578942833573595</v>
      </c>
      <c r="AO80" s="31">
        <f t="shared" si="63"/>
        <v>0.33236285373315871</v>
      </c>
      <c r="AP80" s="31" t="str">
        <f t="shared" si="43"/>
        <v>1+0.0576238868751442i</v>
      </c>
      <c r="AQ80" s="31">
        <f t="shared" si="64"/>
        <v>1.0016588802274951</v>
      </c>
      <c r="AR80" s="31">
        <f t="shared" si="65"/>
        <v>5.7560233368663359E-2</v>
      </c>
      <c r="AS80" s="58" t="str">
        <f t="shared" si="66"/>
        <v>-10.8079102659527+35.0063791448508i</v>
      </c>
      <c r="AT80" s="49">
        <f t="shared" si="67"/>
        <v>31.278358409728341</v>
      </c>
      <c r="AU80" s="61">
        <f t="shared" si="68"/>
        <v>107.15761043526683</v>
      </c>
      <c r="AV80" s="58" t="str">
        <f t="shared" si="44"/>
        <v>-174.071836078672+613.096747535202i</v>
      </c>
      <c r="AW80" s="64">
        <f t="shared" si="69"/>
        <v>56.087277581762336</v>
      </c>
      <c r="AX80" s="49">
        <f t="shared" si="70"/>
        <v>105.85042651231619</v>
      </c>
      <c r="AY80" s="310"/>
      <c r="BA80" s="31">
        <f t="shared" si="71"/>
        <v>0</v>
      </c>
      <c r="BB80" s="31">
        <f t="shared" si="72"/>
        <v>0</v>
      </c>
    </row>
    <row r="81" spans="14:54" x14ac:dyDescent="0.45">
      <c r="N81" s="10">
        <v>63</v>
      </c>
      <c r="O81" s="50">
        <f t="shared" si="45"/>
        <v>42.657951880159267</v>
      </c>
      <c r="P81" s="48" t="str">
        <f t="shared" si="46"/>
        <v>17.4002386318441</v>
      </c>
      <c r="Q81" s="17" t="str">
        <f t="shared" si="35"/>
        <v>1+0.0229545233264103i</v>
      </c>
      <c r="R81" s="17">
        <f t="shared" si="47"/>
        <v>1.0002634203754242</v>
      </c>
      <c r="S81" s="17">
        <f t="shared" si="48"/>
        <v>2.2950492943481445E-2</v>
      </c>
      <c r="T81" s="17" t="str">
        <f t="shared" si="36"/>
        <v>1+0.0000804083449463374i</v>
      </c>
      <c r="U81" s="17">
        <f t="shared" si="49"/>
        <v>1.000000003232751</v>
      </c>
      <c r="V81" s="17">
        <f t="shared" si="50"/>
        <v>8.0408344773043956E-5</v>
      </c>
      <c r="W81" s="31" t="str">
        <f t="shared" si="37"/>
        <v>1-0.000198377050570556i</v>
      </c>
      <c r="X81" s="17">
        <f t="shared" si="51"/>
        <v>1.0000000196767269</v>
      </c>
      <c r="Y81" s="17">
        <f t="shared" si="52"/>
        <v>-1.98377047968282E-4</v>
      </c>
      <c r="Z81" s="31" t="str">
        <f t="shared" si="38"/>
        <v>0.999999998349478+0.000277442179937329i</v>
      </c>
      <c r="AA81" s="17">
        <f t="shared" si="53"/>
        <v>1.0000000368365589</v>
      </c>
      <c r="AB81" s="17">
        <f t="shared" si="54"/>
        <v>2.7744217327662718E-4</v>
      </c>
      <c r="AC81" s="66" t="str">
        <f t="shared" si="55"/>
        <v>17.390915646724-0.406080422213487i</v>
      </c>
      <c r="AD81" s="64">
        <f t="shared" si="56"/>
        <v>24.808816227267911</v>
      </c>
      <c r="AE81" s="61">
        <f t="shared" si="57"/>
        <v>-1.3376217578016683</v>
      </c>
      <c r="AF81" s="31" t="str">
        <f t="shared" si="39"/>
        <v>-9090.90909090909</v>
      </c>
      <c r="AG81" s="31" t="str">
        <f t="shared" si="40"/>
        <v>268.027816487791i</v>
      </c>
      <c r="AH81" s="31">
        <f t="shared" si="58"/>
        <v>268.02781648779097</v>
      </c>
      <c r="AI81" s="31">
        <f t="shared" si="59"/>
        <v>1.5707963267948966</v>
      </c>
      <c r="AJ81" s="31" t="str">
        <f t="shared" si="41"/>
        <v>0.999739746305697+0.092803827375448i</v>
      </c>
      <c r="AK81" s="31">
        <f t="shared" si="60"/>
        <v>1.0040379030290199</v>
      </c>
      <c r="AL81" s="31">
        <f t="shared" si="61"/>
        <v>9.2562722327218086E-2</v>
      </c>
      <c r="AM81" s="31" t="str">
        <f t="shared" si="42"/>
        <v>1+0.353207056567611i</v>
      </c>
      <c r="AN81" s="31">
        <f t="shared" si="62"/>
        <v>1.0605447773711185</v>
      </c>
      <c r="AO81" s="31">
        <f t="shared" si="63"/>
        <v>0.33952902348558173</v>
      </c>
      <c r="AP81" s="31" t="str">
        <f t="shared" si="43"/>
        <v>1+0.058966119627314i</v>
      </c>
      <c r="AQ81" s="31">
        <f t="shared" si="64"/>
        <v>1.001736993059507</v>
      </c>
      <c r="AR81" s="31">
        <f t="shared" si="65"/>
        <v>5.8897920052162905E-2</v>
      </c>
      <c r="AS81" s="58" t="str">
        <f t="shared" si="66"/>
        <v>-10.8067700073513+34.2231843695146i</v>
      </c>
      <c r="AT81" s="49">
        <f t="shared" si="67"/>
        <v>31.099201204313761</v>
      </c>
      <c r="AU81" s="61">
        <f t="shared" si="68"/>
        <v>107.52472897941891</v>
      </c>
      <c r="AV81" s="58" t="str">
        <f t="shared" si="44"/>
        <v>-174.042260453131+599.560930259861i</v>
      </c>
      <c r="AW81" s="64">
        <f t="shared" si="69"/>
        <v>55.908017431581676</v>
      </c>
      <c r="AX81" s="49">
        <f t="shared" si="70"/>
        <v>106.18710722161725</v>
      </c>
      <c r="AY81" s="310"/>
      <c r="BA81" s="31">
        <f t="shared" si="71"/>
        <v>0</v>
      </c>
      <c r="BB81" s="31">
        <f t="shared" si="72"/>
        <v>0</v>
      </c>
    </row>
    <row r="82" spans="14:54" x14ac:dyDescent="0.45">
      <c r="N82" s="10">
        <v>64</v>
      </c>
      <c r="O82" s="50">
        <f t="shared" si="45"/>
        <v>43.651583224016633</v>
      </c>
      <c r="P82" s="48" t="str">
        <f t="shared" si="46"/>
        <v>17.4002386318441</v>
      </c>
      <c r="Q82" s="17" t="str">
        <f t="shared" si="35"/>
        <v>1+0.0234892028610607i</v>
      </c>
      <c r="R82" s="17">
        <f t="shared" si="47"/>
        <v>1.0002758332835238</v>
      </c>
      <c r="S82" s="17">
        <f t="shared" si="48"/>
        <v>2.3484884292261213E-2</v>
      </c>
      <c r="T82" s="17" t="str">
        <f t="shared" si="36"/>
        <v>1+0.0000822812959044805i</v>
      </c>
      <c r="U82" s="17">
        <f t="shared" si="49"/>
        <v>1.0000000033851058</v>
      </c>
      <c r="V82" s="17">
        <f t="shared" si="50"/>
        <v>8.2281295718793237E-5</v>
      </c>
      <c r="W82" s="31" t="str">
        <f t="shared" si="37"/>
        <v>1-0.000202997845678174i</v>
      </c>
      <c r="X82" s="17">
        <f t="shared" si="51"/>
        <v>1.0000000206040625</v>
      </c>
      <c r="Y82" s="17">
        <f t="shared" si="52"/>
        <v>-2.0299784288978719E-4</v>
      </c>
      <c r="Z82" s="31" t="str">
        <f t="shared" si="38"/>
        <v>0.999999998271691+0.000283904638492964i</v>
      </c>
      <c r="AA82" s="17">
        <f t="shared" si="53"/>
        <v>1.0000000385726122</v>
      </c>
      <c r="AB82" s="17">
        <f t="shared" si="54"/>
        <v>2.8390463135589348E-4</v>
      </c>
      <c r="AC82" s="66" t="str">
        <f t="shared" si="55"/>
        <v>17.3904765102625-0.41552893536715i</v>
      </c>
      <c r="AD82" s="64">
        <f t="shared" si="56"/>
        <v>24.808708433479481</v>
      </c>
      <c r="AE82" s="61">
        <f t="shared" si="57"/>
        <v>-1.3687678381308559</v>
      </c>
      <c r="AF82" s="31" t="str">
        <f t="shared" si="39"/>
        <v>-9090.90909090909</v>
      </c>
      <c r="AG82" s="31" t="str">
        <f t="shared" si="40"/>
        <v>274.270986348268i</v>
      </c>
      <c r="AH82" s="31">
        <f t="shared" si="58"/>
        <v>274.27098634826802</v>
      </c>
      <c r="AI82" s="31">
        <f t="shared" si="59"/>
        <v>1.5707963267948966</v>
      </c>
      <c r="AJ82" s="31" t="str">
        <f t="shared" si="41"/>
        <v>0.99972748092696+0.0949655062101288i</v>
      </c>
      <c r="AK82" s="31">
        <f t="shared" si="60"/>
        <v>1.0042278045793749</v>
      </c>
      <c r="AL82" s="31">
        <f t="shared" si="61"/>
        <v>9.470721613992876E-2</v>
      </c>
      <c r="AM82" s="31" t="str">
        <f t="shared" si="42"/>
        <v>1+0.361434305809747i</v>
      </c>
      <c r="AN82" s="31">
        <f t="shared" si="62"/>
        <v>1.0633131041307511</v>
      </c>
      <c r="AO82" s="31">
        <f t="shared" si="63"/>
        <v>0.34682474639770344</v>
      </c>
      <c r="AP82" s="31" t="str">
        <f t="shared" si="43"/>
        <v>1+0.0603396169966189i</v>
      </c>
      <c r="AQ82" s="31">
        <f t="shared" si="64"/>
        <v>1.0018187807080174</v>
      </c>
      <c r="AR82" s="31">
        <f t="shared" si="65"/>
        <v>6.0266546998686797E-2</v>
      </c>
      <c r="AS82" s="58" t="str">
        <f t="shared" si="66"/>
        <v>-10.8055768896073+33.4581256183663i</v>
      </c>
      <c r="AT82" s="49">
        <f t="shared" si="67"/>
        <v>30.920910796377996</v>
      </c>
      <c r="AU82" s="61">
        <f t="shared" si="68"/>
        <v>107.8982892138838</v>
      </c>
      <c r="AV82" s="58" t="str">
        <f t="shared" si="44"/>
        <v>-174.011311760971+586.342777504577i</v>
      </c>
      <c r="AW82" s="64">
        <f t="shared" si="69"/>
        <v>55.729619229857477</v>
      </c>
      <c r="AX82" s="49">
        <f t="shared" si="70"/>
        <v>106.52952137575298</v>
      </c>
      <c r="AY82" s="310"/>
      <c r="BA82" s="31">
        <f t="shared" si="71"/>
        <v>0</v>
      </c>
      <c r="BB82" s="31">
        <f t="shared" si="72"/>
        <v>0</v>
      </c>
    </row>
    <row r="83" spans="14:54" x14ac:dyDescent="0.45">
      <c r="N83" s="10">
        <v>65</v>
      </c>
      <c r="O83" s="50">
        <f t="shared" si="45"/>
        <v>44.668359215096324</v>
      </c>
      <c r="P83" s="48" t="str">
        <f t="shared" ref="P83:P146" si="73">COMPLEX(Adc,0)</f>
        <v>17.4002386318441</v>
      </c>
      <c r="Q83" s="17" t="str">
        <f t="shared" ref="Q83:Q146" si="74">IMSUM(COMPLEX(1,0),IMDIV(COMPLEX(0,2*PI()*O83),COMPLEX(wp_lf,0)))</f>
        <v>1+0.0240363366819845i</v>
      </c>
      <c r="R83" s="17">
        <f t="shared" si="47"/>
        <v>1.0002888310288633</v>
      </c>
      <c r="S83" s="17">
        <f t="shared" si="48"/>
        <v>2.4031709324306288E-2</v>
      </c>
      <c r="T83" s="17" t="str">
        <f t="shared" ref="T83:T146" si="75">IMSUM(COMPLEX(1,0),IMDIV(COMPLEX(0,2*PI()*O83),COMPLEX(wz_esr,0)))</f>
        <v>1+0.000084197873494834i</v>
      </c>
      <c r="U83" s="17">
        <f t="shared" si="49"/>
        <v>1.0000000035446408</v>
      </c>
      <c r="V83" s="17">
        <f t="shared" si="50"/>
        <v>8.419787329586651E-5</v>
      </c>
      <c r="W83" s="31" t="str">
        <f t="shared" ref="W83:W146" si="76">IMSUB(COMPLEX(1,0),IMDIV(COMPLEX(0,2*PI()*O83),COMPLEX(wz_rhp,0)))</f>
        <v>1-0.000207726272930565i</v>
      </c>
      <c r="X83" s="17">
        <f t="shared" si="51"/>
        <v>1.0000000215751019</v>
      </c>
      <c r="Y83" s="17">
        <f t="shared" si="52"/>
        <v>-2.0772626994275471E-4</v>
      </c>
      <c r="Z83" s="31" t="str">
        <f t="shared" ref="Z83:Z146" si="77">IMSUM(COMPLEX(1,0),IMDIV(COMPLEX(0,2*PI()*O83),COMPLEX(Q*(wsl/2),0)),IMDIV(IMPOWER(COMPLEX(0,2*PI()*O83),2),IMPOWER(COMPLEX(wsl/2,0),2)))</f>
        <v>0.999999998190238+0.000290517627045851i</v>
      </c>
      <c r="AA83" s="17">
        <f t="shared" si="53"/>
        <v>1.000000040390483</v>
      </c>
      <c r="AB83" s="17">
        <f t="shared" si="54"/>
        <v>2.9051761939834231E-4</v>
      </c>
      <c r="AC83" s="66" t="str">
        <f t="shared" si="55"/>
        <v>17.3900167012996-0.425196795505655i</v>
      </c>
      <c r="AD83" s="64">
        <f t="shared" si="56"/>
        <v>24.808595562393609</v>
      </c>
      <c r="AE83" s="61">
        <f t="shared" si="57"/>
        <v>-1.4006386080115369</v>
      </c>
      <c r="AF83" s="31" t="str">
        <f t="shared" ref="AF83:AF146" si="78">IF(FB_type=1,COMPLEX(Adc_ea_iso,0),COMPLEX(Adc_ea,0))</f>
        <v>-9090.90909090909</v>
      </c>
      <c r="AG83" s="31" t="str">
        <f t="shared" ref="AG83:AG146" si="79">IF(FB_type=1,COMPLEX(0,2*PI()*O83),COMPLEX(0,2*PI()*O83*wp0_ea))</f>
        <v>280.659578316113i</v>
      </c>
      <c r="AH83" s="31">
        <f t="shared" si="58"/>
        <v>280.65957831611303</v>
      </c>
      <c r="AI83" s="31">
        <f t="shared" si="59"/>
        <v>1.5707963267948966</v>
      </c>
      <c r="AJ83" s="31" t="str">
        <f t="shared" ref="AJ83:AJ146" si="80">IF(FB_type=1,IMSUM(IMPRODUCT(COMPLEX(wpA_ea_iso,0),IMPOWER(COMPLEX(0,2*PI()*O83),2)),COMPLEX(0,wpB_ea_iso*2*PI()*O83),COMPLEX(1,0)),IMSUM(COMPLEX(1,0),IMDIV(COMPLEX(0,2*PI()*O83),COMPLEX(wp1_ea,0))))</f>
        <v>0.999714637498731+0.0971775370132192i</v>
      </c>
      <c r="AK83" s="31">
        <f t="shared" si="60"/>
        <v>1.0044266175929302</v>
      </c>
      <c r="AL83" s="31">
        <f t="shared" si="61"/>
        <v>9.6900839979449011E-2</v>
      </c>
      <c r="AM83" s="31" t="str">
        <f t="shared" ref="AM83:AM146" si="81">IMSUM(COMPLEX(1,0),IMDIV(COMPLEX(0,2*PI()*O83),COMPLEX(wz1_ea_iso,0)))</f>
        <v>1+0.369853192304974i</v>
      </c>
      <c r="AN83" s="31">
        <f t="shared" si="62"/>
        <v>1.0662041942602647</v>
      </c>
      <c r="AO83" s="31">
        <f t="shared" si="63"/>
        <v>0.35425078313194502</v>
      </c>
      <c r="AP83" s="31" t="str">
        <f t="shared" ref="AP83:AP146" si="82">IF(FB_type=1,IMSUM(COMPLEX(1,0),IMDIV(COMPLEX(0,2*PI()*O83),COMPLEX(wz2_ea_iso,0))),1)</f>
        <v>1+0.0617451072295448i</v>
      </c>
      <c r="AQ83" s="31">
        <f t="shared" si="64"/>
        <v>1.0019044157337504</v>
      </c>
      <c r="AR83" s="31">
        <f t="shared" si="65"/>
        <v>6.1666819351732113E-2</v>
      </c>
      <c r="AS83" s="58" t="str">
        <f t="shared" si="66"/>
        <v>-10.8043285053141+32.7107965749352i</v>
      </c>
      <c r="AT83" s="49">
        <f t="shared" si="67"/>
        <v>30.74351821372391</v>
      </c>
      <c r="AU83" s="61">
        <f t="shared" si="68"/>
        <v>108.27831408541952</v>
      </c>
      <c r="AV83" s="58" t="str">
        <f t="shared" ref="AV83:AV146" si="83">IMPRODUCT(AC83,AS83)</f>
        <v>-173.97892727164+573.435264608987i</v>
      </c>
      <c r="AW83" s="64">
        <f t="shared" si="69"/>
        <v>55.552113776117523</v>
      </c>
      <c r="AX83" s="49">
        <f t="shared" si="70"/>
        <v>106.877675477408</v>
      </c>
      <c r="AY83" s="310"/>
      <c r="BA83" s="31">
        <f t="shared" si="71"/>
        <v>0</v>
      </c>
      <c r="BB83" s="31">
        <f t="shared" si="72"/>
        <v>0</v>
      </c>
    </row>
    <row r="84" spans="14:54" x14ac:dyDescent="0.45">
      <c r="N84" s="10">
        <v>66</v>
      </c>
      <c r="O84" s="50">
        <f t="shared" ref="O84:O118" si="84">10^(1+(N84/100))</f>
        <v>45.70881896148753</v>
      </c>
      <c r="P84" s="48" t="str">
        <f t="shared" si="73"/>
        <v>17.4002386318441</v>
      </c>
      <c r="Q84" s="17" t="str">
        <f t="shared" si="74"/>
        <v>1+0.0245962148867756i</v>
      </c>
      <c r="R84" s="17">
        <f t="shared" ref="R84:R147" si="85">IMABS(Q84)</f>
        <v>1.0003024411580512</v>
      </c>
      <c r="S84" s="17">
        <f t="shared" ref="S84:S147" si="86">IMARGUMENT(Q84)</f>
        <v>2.4591256664654542E-2</v>
      </c>
      <c r="T84" s="17" t="str">
        <f t="shared" si="75"/>
        <v>1+0.0000861590939122051i</v>
      </c>
      <c r="U84" s="17">
        <f t="shared" ref="U84:U147" si="87">IMABS(T84)</f>
        <v>1.0000000037116947</v>
      </c>
      <c r="V84" s="17">
        <f t="shared" ref="V84:V147" si="88">IMARGUMENT(T84)</f>
        <v>8.6159093699007605E-5</v>
      </c>
      <c r="W84" s="31" t="str">
        <f t="shared" si="76"/>
        <v>1-0.000212564839402447i</v>
      </c>
      <c r="X84" s="17">
        <f t="shared" ref="X84:X147" si="89">IMABS(W84)</f>
        <v>1.0000000225919052</v>
      </c>
      <c r="Y84" s="17">
        <f t="shared" ref="Y84:Y147" si="90">IMARGUMENT(W84)</f>
        <v>-2.125648362009506E-4</v>
      </c>
      <c r="Z84" s="31" t="str">
        <f t="shared" si="77"/>
        <v>0.999999998104947+0.000297284651890053i</v>
      </c>
      <c r="AA84" s="17">
        <f t="shared" ref="AA84:AA147" si="91">IMABS(Z84)</f>
        <v>1.0000000422940283</v>
      </c>
      <c r="AB84" s="17">
        <f t="shared" ref="AB84:AB147" si="92">IMARGUMENT(Z84)</f>
        <v>2.9728464369559963E-4</v>
      </c>
      <c r="AC84" s="66" t="str">
        <f t="shared" ref="AC84:AC147" si="93">(IMDIV(IMPRODUCT(P84,T84,W84),IMPRODUCT(Q84,Z84)))</f>
        <v>17.3895352478221-0.435089059223987i</v>
      </c>
      <c r="AD84" s="64">
        <f t="shared" ref="AD84:AD147" si="94">20*LOG(IMABS(AC84))</f>
        <v>24.808477375001011</v>
      </c>
      <c r="AE84" s="61">
        <f t="shared" ref="AE84:AE147" si="95">(180/PI())*IMARGUMENT(AC84)</f>
        <v>-1.4332508907570458</v>
      </c>
      <c r="AF84" s="31" t="str">
        <f t="shared" si="78"/>
        <v>-9090.90909090909</v>
      </c>
      <c r="AG84" s="31" t="str">
        <f t="shared" si="79"/>
        <v>287.19697970735i</v>
      </c>
      <c r="AH84" s="31">
        <f t="shared" ref="AH84:AH147" si="96">IMABS(AG84)</f>
        <v>287.19697970735001</v>
      </c>
      <c r="AI84" s="31">
        <f t="shared" ref="AI84:AI147" si="97">IMARGUMENT(AG84)</f>
        <v>1.5707963267948966</v>
      </c>
      <c r="AJ84" s="31" t="str">
        <f t="shared" si="80"/>
        <v>0.999701188778378+0.0994410926327309i</v>
      </c>
      <c r="AK84" s="31">
        <f t="shared" ref="AK84:AK147" si="98">IMABS(AJ84)</f>
        <v>1.0046347583818178</v>
      </c>
      <c r="AL84" s="31">
        <f t="shared" ref="AL84:AL147" si="99">IMARGUMENT(AJ84)</f>
        <v>9.9144680163732943E-2</v>
      </c>
      <c r="AM84" s="31" t="str">
        <f t="shared" si="81"/>
        <v>1+0.378468179858346i</v>
      </c>
      <c r="AN84" s="31">
        <f t="shared" ref="AN84:AN147" si="100">IMABS(AM84)</f>
        <v>1.0692231587303416</v>
      </c>
      <c r="AO84" s="31">
        <f t="shared" ref="AO84:AO147" si="101">IMARGUMENT(AM84)</f>
        <v>0.36180779396196788</v>
      </c>
      <c r="AP84" s="31" t="str">
        <f t="shared" si="82"/>
        <v>1+0.0631833355356169i</v>
      </c>
      <c r="AQ84" s="31">
        <f t="shared" ref="AQ84:AQ147" si="102">IMABS(AP84)</f>
        <v>1.0019940787696335</v>
      </c>
      <c r="AR84" s="31">
        <f t="shared" ref="AR84:AR147" si="103">IMARGUMENT(AP84)</f>
        <v>6.3099457577017792E-2</v>
      </c>
      <c r="AS84" s="58" t="str">
        <f t="shared" ref="AS84:AS147" si="104">IMDIV(IMPRODUCT(AF84,AM84,AP84),IMPRODUCT(AG84,AJ84))</f>
        <v>-10.803022341529+31.9808002765983i</v>
      </c>
      <c r="AT84" s="49">
        <f t="shared" ref="AT84:AT147" si="105">20*LOG(IMABS(AS84))</f>
        <v>30.567055170195875</v>
      </c>
      <c r="AU84" s="61">
        <f t="shared" ref="AU84:AU147" si="106">(180/PI())*IMARGUMENT(AS84)</f>
        <v>108.66482046313125</v>
      </c>
      <c r="AV84" s="58" t="str">
        <f t="shared" si="83"/>
        <v>-173.945041485453+560.831530490816i</v>
      </c>
      <c r="AW84" s="64">
        <f t="shared" ref="AW84:AW147" si="107">20*LOG(IMABS(AV84))</f>
        <v>55.37553254519689</v>
      </c>
      <c r="AX84" s="49">
        <f t="shared" ref="AX84:AX147" si="108">(180/PI())*IMARGUMENT(AV84)</f>
        <v>107.23156957237423</v>
      </c>
      <c r="AY84" s="310"/>
      <c r="BA84" s="31">
        <f t="shared" ref="BA84:BA147" si="109">SUM((AW85&lt;0)*(AW84&gt;0))*O84</f>
        <v>0</v>
      </c>
      <c r="BB84" s="31">
        <f t="shared" ref="BB84:BB147" si="110">IF(BA84&gt;0,AX84,0)</f>
        <v>0</v>
      </c>
    </row>
    <row r="85" spans="14:54" x14ac:dyDescent="0.45">
      <c r="N85" s="10">
        <v>67</v>
      </c>
      <c r="O85" s="50">
        <f t="shared" si="84"/>
        <v>46.773514128719818</v>
      </c>
      <c r="P85" s="48" t="str">
        <f t="shared" si="73"/>
        <v>17.4002386318441</v>
      </c>
      <c r="Q85" s="17" t="str">
        <f t="shared" si="74"/>
        <v>1+0.025169134330269i</v>
      </c>
      <c r="R85" s="17">
        <f t="shared" si="85"/>
        <v>1.0003166925143931</v>
      </c>
      <c r="S85" s="17">
        <f t="shared" si="86"/>
        <v>2.5163821590385424E-2</v>
      </c>
      <c r="T85" s="17" t="str">
        <f t="shared" si="75"/>
        <v>1+0.0000881659970216188i</v>
      </c>
      <c r="U85" s="17">
        <f t="shared" si="87"/>
        <v>1.0000000038866215</v>
      </c>
      <c r="V85" s="17">
        <f t="shared" si="88"/>
        <v>8.8165996793173563E-5</v>
      </c>
      <c r="W85" s="31" t="str">
        <f t="shared" si="76"/>
        <v>1-0.000217516110565808i</v>
      </c>
      <c r="X85" s="17">
        <f t="shared" si="89"/>
        <v>1.0000000236566289</v>
      </c>
      <c r="Y85" s="17">
        <f t="shared" si="90"/>
        <v>-2.1751610713534279E-4</v>
      </c>
      <c r="Z85" s="31" t="str">
        <f t="shared" si="77"/>
        <v>0.999999998015636+0.000304209300991715i</v>
      </c>
      <c r="AA85" s="17">
        <f t="shared" si="91"/>
        <v>1.0000000442872845</v>
      </c>
      <c r="AB85" s="17">
        <f t="shared" si="92"/>
        <v>3.0420929221120001E-4</v>
      </c>
      <c r="AC85" s="66" t="str">
        <f t="shared" si="93"/>
        <v>17.3890311322244-0.445210897143029i</v>
      </c>
      <c r="AD85" s="64">
        <f t="shared" si="94"/>
        <v>24.808353621054984</v>
      </c>
      <c r="AE85" s="61">
        <f t="shared" si="95"/>
        <v>-1.4666218974837837</v>
      </c>
      <c r="AF85" s="31" t="str">
        <f t="shared" si="78"/>
        <v>-9090.90909090909</v>
      </c>
      <c r="AG85" s="31" t="str">
        <f t="shared" si="79"/>
        <v>293.886656738729i</v>
      </c>
      <c r="AH85" s="31">
        <f t="shared" si="96"/>
        <v>293.88665673872902</v>
      </c>
      <c r="AI85" s="31">
        <f t="shared" si="97"/>
        <v>1.5707963267948966</v>
      </c>
      <c r="AJ85" s="31" t="str">
        <f t="shared" si="80"/>
        <v>0.999687106239362+0.101757373235815i</v>
      </c>
      <c r="AK85" s="31">
        <f t="shared" si="98"/>
        <v>1.0048526625277372</v>
      </c>
      <c r="AL85" s="31">
        <f t="shared" si="99"/>
        <v>0.10143984424543155</v>
      </c>
      <c r="AM85" s="31" t="str">
        <f t="shared" si="81"/>
        <v>1+0.387283836250297i</v>
      </c>
      <c r="AN85" s="31">
        <f t="shared" si="100"/>
        <v>1.0723752933655022</v>
      </c>
      <c r="AO85" s="31">
        <f t="shared" si="101"/>
        <v>0.36949633216675309</v>
      </c>
      <c r="AP85" s="31" t="str">
        <f t="shared" si="82"/>
        <v>1+0.0646550644825203i</v>
      </c>
      <c r="AQ85" s="31">
        <f t="shared" si="102"/>
        <v>1.002087958895445</v>
      </c>
      <c r="AR85" s="31">
        <f t="shared" si="103"/>
        <v>6.4565197741648664E-2</v>
      </c>
      <c r="AS85" s="58" t="str">
        <f t="shared" si="104"/>
        <v>-10.8016557755406+31.2677489009341i</v>
      </c>
      <c r="AT85" s="49">
        <f t="shared" si="105"/>
        <v>30.391554044285613</v>
      </c>
      <c r="AU85" s="61">
        <f t="shared" si="106"/>
        <v>109.05781876301531</v>
      </c>
      <c r="AV85" s="58" t="str">
        <f t="shared" si="83"/>
        <v>-173.909586020619+548.524873931377i</v>
      </c>
      <c r="AW85" s="64">
        <f t="shared" si="107"/>
        <v>55.199907665340604</v>
      </c>
      <c r="AX85" s="49">
        <f t="shared" si="108"/>
        <v>107.5911968655315</v>
      </c>
      <c r="AY85" s="310"/>
      <c r="BA85" s="31">
        <f t="shared" si="109"/>
        <v>0</v>
      </c>
      <c r="BB85" s="31">
        <f t="shared" si="110"/>
        <v>0</v>
      </c>
    </row>
    <row r="86" spans="14:54" x14ac:dyDescent="0.45">
      <c r="N86" s="10">
        <v>68</v>
      </c>
      <c r="O86" s="50">
        <f t="shared" si="84"/>
        <v>47.863009232263877</v>
      </c>
      <c r="P86" s="48" t="str">
        <f t="shared" si="73"/>
        <v>17.4002386318441</v>
      </c>
      <c r="Q86" s="17" t="str">
        <f t="shared" si="74"/>
        <v>1+0.0257553987819372i</v>
      </c>
      <c r="R86" s="17">
        <f t="shared" si="85"/>
        <v>1.0003316152988551</v>
      </c>
      <c r="S86" s="17">
        <f t="shared" si="86"/>
        <v>2.5749706180506808E-2</v>
      </c>
      <c r="T86" s="17" t="str">
        <f t="shared" si="75"/>
        <v>1+0.0000902196469096684i</v>
      </c>
      <c r="U86" s="17">
        <f t="shared" si="87"/>
        <v>1.0000000040697923</v>
      </c>
      <c r="V86" s="17">
        <f t="shared" si="88"/>
        <v>9.0219646664884914E-5</v>
      </c>
      <c r="W86" s="31" t="str">
        <f t="shared" si="76"/>
        <v>1-0.000222582711650157i</v>
      </c>
      <c r="X86" s="17">
        <f t="shared" si="89"/>
        <v>1.0000000247715315</v>
      </c>
      <c r="Y86" s="17">
        <f t="shared" si="90"/>
        <v>-2.2258270797434728E-4</v>
      </c>
      <c r="Z86" s="31" t="str">
        <f t="shared" si="77"/>
        <v>0.999999997922115+0.000311295245891448i</v>
      </c>
      <c r="AA86" s="17">
        <f t="shared" si="91"/>
        <v>1.0000000463744791</v>
      </c>
      <c r="AB86" s="17">
        <f t="shared" si="92"/>
        <v>3.1129523648295698E-4</v>
      </c>
      <c r="AC86" s="66" t="str">
        <f t="shared" si="93"/>
        <v>17.3885032891805-0.455567596297854i</v>
      </c>
      <c r="AD86" s="64">
        <f t="shared" si="94"/>
        <v>24.808224038544303</v>
      </c>
      <c r="AE86" s="61">
        <f t="shared" si="95"/>
        <v>-1.5007692358544338</v>
      </c>
      <c r="AF86" s="31" t="str">
        <f t="shared" si="78"/>
        <v>-9090.90909090909</v>
      </c>
      <c r="AG86" s="31" t="str">
        <f t="shared" si="79"/>
        <v>300.732156365561i</v>
      </c>
      <c r="AH86" s="31">
        <f t="shared" si="96"/>
        <v>300.73215636556102</v>
      </c>
      <c r="AI86" s="31">
        <f t="shared" si="97"/>
        <v>1.5707963267948966</v>
      </c>
      <c r="AJ86" s="31" t="str">
        <f t="shared" si="80"/>
        <v>0.999672360010728+0.104127606945107i</v>
      </c>
      <c r="AK86" s="31">
        <f t="shared" si="98"/>
        <v>1.0050807857568134</v>
      </c>
      <c r="AL86" s="31">
        <f t="shared" si="99"/>
        <v>0.10378746122559833</v>
      </c>
      <c r="AM86" s="31" t="str">
        <f t="shared" si="81"/>
        <v>1+0.396304835658536i</v>
      </c>
      <c r="AN86" s="31">
        <f t="shared" si="100"/>
        <v>1.0756660833020344</v>
      </c>
      <c r="AO86" s="31">
        <f t="shared" si="101"/>
        <v>0.37731683731888621</v>
      </c>
      <c r="AP86" s="31" t="str">
        <f t="shared" si="82"/>
        <v>1+0.0661610744004234i</v>
      </c>
      <c r="AQ86" s="31">
        <f t="shared" si="102"/>
        <v>1.0021862540295683</v>
      </c>
      <c r="AR86" s="31">
        <f t="shared" si="103"/>
        <v>6.6064791794357883E-2</v>
      </c>
      <c r="AS86" s="58" t="str">
        <f t="shared" si="104"/>
        <v>-10.8002260705049+30.5712635567156i</v>
      </c>
      <c r="AT86" s="49">
        <f t="shared" si="105"/>
        <v>30.217047853964552</v>
      </c>
      <c r="AU86" s="61">
        <f t="shared" si="106"/>
        <v>109.45731256721919</v>
      </c>
      <c r="AV86" s="58" t="str">
        <f t="shared" si="83"/>
        <v>-173.872489496546+536.508749940766i</v>
      </c>
      <c r="AW86" s="64">
        <f t="shared" si="107"/>
        <v>55.02527189250884</v>
      </c>
      <c r="AX86" s="49">
        <f t="shared" si="108"/>
        <v>107.95654333136473</v>
      </c>
      <c r="AY86" s="310"/>
      <c r="BA86" s="31">
        <f t="shared" si="109"/>
        <v>0</v>
      </c>
      <c r="BB86" s="31">
        <f t="shared" si="110"/>
        <v>0</v>
      </c>
    </row>
    <row r="87" spans="14:54" x14ac:dyDescent="0.45">
      <c r="N87" s="10">
        <v>69</v>
      </c>
      <c r="O87" s="50">
        <f t="shared" si="84"/>
        <v>48.977881936844632</v>
      </c>
      <c r="P87" s="48" t="str">
        <f t="shared" si="73"/>
        <v>17.4002386318441</v>
      </c>
      <c r="Q87" s="17" t="str">
        <f t="shared" si="74"/>
        <v>1+0.0263553190869526i</v>
      </c>
      <c r="R87" s="17">
        <f t="shared" si="85"/>
        <v>1.000347241133885</v>
      </c>
      <c r="S87" s="17">
        <f t="shared" si="86"/>
        <v>2.6349219468972424E-2</v>
      </c>
      <c r="T87" s="17" t="str">
        <f t="shared" si="75"/>
        <v>1+0.0000923211324487078i</v>
      </c>
      <c r="U87" s="17">
        <f t="shared" si="87"/>
        <v>1.0000000042615957</v>
      </c>
      <c r="V87" s="17">
        <f t="shared" si="88"/>
        <v>9.2321132186417573E-5</v>
      </c>
      <c r="W87" s="31" t="str">
        <f t="shared" si="76"/>
        <v>1-0.000227767329034454i</v>
      </c>
      <c r="X87" s="17">
        <f t="shared" si="89"/>
        <v>1.0000000259389776</v>
      </c>
      <c r="Y87" s="17">
        <f t="shared" si="90"/>
        <v>-2.2776732509575297E-4</v>
      </c>
      <c r="Z87" s="31" t="str">
        <f t="shared" si="77"/>
        <v>0.999999997824188+0.000318546243651034i</v>
      </c>
      <c r="AA87" s="17">
        <f t="shared" si="91"/>
        <v>1.0000000485600415</v>
      </c>
      <c r="AB87" s="17">
        <f t="shared" si="92"/>
        <v>3.1854623356965402E-4</v>
      </c>
      <c r="AC87" s="66" t="str">
        <f t="shared" si="93"/>
        <v>17.3879506034178-0.466164562562635i</v>
      </c>
      <c r="AD87" s="64">
        <f t="shared" si="94"/>
        <v>24.808088353141503</v>
      </c>
      <c r="AE87" s="61">
        <f t="shared" si="95"/>
        <v>-1.5357109190042062</v>
      </c>
      <c r="AF87" s="31" t="str">
        <f t="shared" si="78"/>
        <v>-9090.90909090909</v>
      </c>
      <c r="AG87" s="31" t="str">
        <f t="shared" si="79"/>
        <v>307.737108162359i</v>
      </c>
      <c r="AH87" s="31">
        <f t="shared" si="96"/>
        <v>307.73710816235899</v>
      </c>
      <c r="AI87" s="31">
        <f t="shared" si="97"/>
        <v>1.5707963267948966</v>
      </c>
      <c r="AJ87" s="31" t="str">
        <f t="shared" si="80"/>
        <v>0.999656918813751+0.106553050489892i</v>
      </c>
      <c r="AK87" s="31">
        <f t="shared" si="98"/>
        <v>1.0053196048525581</v>
      </c>
      <c r="AL87" s="31">
        <f t="shared" si="99"/>
        <v>0.10618868175348206</v>
      </c>
      <c r="AM87" s="31" t="str">
        <f t="shared" si="81"/>
        <v>1+0.405535961136356i</v>
      </c>
      <c r="AN87" s="31">
        <f t="shared" si="100"/>
        <v>1.079101207382694</v>
      </c>
      <c r="AO87" s="31">
        <f t="shared" si="101"/>
        <v>0.38526962849065671</v>
      </c>
      <c r="AP87" s="31" t="str">
        <f t="shared" si="82"/>
        <v>1+0.0677021637957189i</v>
      </c>
      <c r="AQ87" s="31">
        <f t="shared" si="102"/>
        <v>1.0022891713386024</v>
      </c>
      <c r="AR87" s="31">
        <f t="shared" si="103"/>
        <v>6.7599007846481332E-2</v>
      </c>
      <c r="AS87" s="58" t="str">
        <f t="shared" si="104"/>
        <v>-10.7987303709492+29.8909740794189i</v>
      </c>
      <c r="AT87" s="49">
        <f t="shared" si="105"/>
        <v>30.043570227541228</v>
      </c>
      <c r="AU87" s="61">
        <f t="shared" si="106"/>
        <v>109.86329823943045</v>
      </c>
      <c r="AV87" s="58" t="str">
        <f t="shared" si="83"/>
        <v>-173.833677413389+524.776766200583i</v>
      </c>
      <c r="AW87" s="64">
        <f t="shared" si="107"/>
        <v>54.851658580682738</v>
      </c>
      <c r="AX87" s="49">
        <f t="shared" si="108"/>
        <v>108.32758732042626</v>
      </c>
      <c r="AY87" s="310"/>
      <c r="BA87" s="31">
        <f t="shared" si="109"/>
        <v>0</v>
      </c>
      <c r="BB87" s="31">
        <f t="shared" si="110"/>
        <v>0</v>
      </c>
    </row>
    <row r="88" spans="14:54" x14ac:dyDescent="0.45">
      <c r="N88" s="10">
        <v>70</v>
      </c>
      <c r="O88" s="50">
        <f t="shared" si="84"/>
        <v>50.118723362727238</v>
      </c>
      <c r="P88" s="48" t="str">
        <f t="shared" si="73"/>
        <v>17.4002386318441</v>
      </c>
      <c r="Q88" s="17" t="str">
        <f t="shared" si="74"/>
        <v>1+0.0269692133310018i</v>
      </c>
      <c r="R88" s="17">
        <f t="shared" si="85"/>
        <v>1.0003636031302283</v>
      </c>
      <c r="S88" s="17">
        <f t="shared" si="86"/>
        <v>2.6962677600877876E-2</v>
      </c>
      <c r="T88" s="17" t="str">
        <f t="shared" si="75"/>
        <v>1+0.0000944715678741859i</v>
      </c>
      <c r="U88" s="17">
        <f t="shared" si="87"/>
        <v>1.0000000044624384</v>
      </c>
      <c r="V88" s="17">
        <f t="shared" si="88"/>
        <v>9.4471567593136863E-5</v>
      </c>
      <c r="W88" s="31" t="str">
        <f t="shared" si="76"/>
        <v>1-0.000233072711671461i</v>
      </c>
      <c r="X88" s="17">
        <f t="shared" si="89"/>
        <v>1.000000027161444</v>
      </c>
      <c r="Y88" s="17">
        <f t="shared" si="90"/>
        <v>-2.3307270745106677E-4</v>
      </c>
      <c r="Z88" s="31" t="str">
        <f t="shared" si="77"/>
        <v>0.999999997721645+0.00032596613884546i</v>
      </c>
      <c r="AA88" s="17">
        <f t="shared" si="91"/>
        <v>1.0000000508486055</v>
      </c>
      <c r="AB88" s="17">
        <f t="shared" si="92"/>
        <v>3.2596612804306678E-4</v>
      </c>
      <c r="AC88" s="66" t="str">
        <f t="shared" si="93"/>
        <v>17.3873719073883-0.477007323111669i</v>
      </c>
      <c r="AD88" s="64">
        <f t="shared" si="94"/>
        <v>24.807946277625554</v>
      </c>
      <c r="AE88" s="61">
        <f t="shared" si="95"/>
        <v>-1.5714653746528722</v>
      </c>
      <c r="AF88" s="31" t="str">
        <f t="shared" si="78"/>
        <v>-9090.90909090909</v>
      </c>
      <c r="AG88" s="31" t="str">
        <f t="shared" si="79"/>
        <v>314.905226247286i</v>
      </c>
      <c r="AH88" s="31">
        <f t="shared" si="96"/>
        <v>314.90522624728601</v>
      </c>
      <c r="AI88" s="31">
        <f t="shared" si="97"/>
        <v>1.5707963267948966</v>
      </c>
      <c r="AJ88" s="31" t="str">
        <f t="shared" si="80"/>
        <v>0.999640749895579+0.109034989872444i</v>
      </c>
      <c r="AK88" s="31">
        <f t="shared" si="98"/>
        <v>1.0055696186084182</v>
      </c>
      <c r="AL88" s="31">
        <f t="shared" si="99"/>
        <v>0.1086446783108846</v>
      </c>
      <c r="AM88" s="31" t="str">
        <f t="shared" si="81"/>
        <v>1+0.414982107148673i</v>
      </c>
      <c r="AN88" s="31">
        <f t="shared" si="100"/>
        <v>1.0826865424736529</v>
      </c>
      <c r="AO88" s="31">
        <f t="shared" si="101"/>
        <v>0.39335489740439483</v>
      </c>
      <c r="AP88" s="31" t="str">
        <f t="shared" si="82"/>
        <v>1+0.0692791497744029i</v>
      </c>
      <c r="AQ88" s="31">
        <f t="shared" si="102"/>
        <v>1.0023969276656148</v>
      </c>
      <c r="AR88" s="31">
        <f t="shared" si="103"/>
        <v>6.9168630453286584E-2</v>
      </c>
      <c r="AS88" s="58" t="str">
        <f t="shared" si="104"/>
        <v>-10.7971656981457+29.2265188311271i</v>
      </c>
      <c r="AT88" s="49">
        <f t="shared" si="105"/>
        <v>29.871155370350294</v>
      </c>
      <c r="AU88" s="61">
        <f t="shared" si="106"/>
        <v>110.27576453797644</v>
      </c>
      <c r="AV88" s="58" t="str">
        <f t="shared" si="83"/>
        <v>-173.793072027846+513.32267958196i</v>
      </c>
      <c r="AW88" s="64">
        <f t="shared" si="107"/>
        <v>54.679101647975855</v>
      </c>
      <c r="AX88" s="49">
        <f t="shared" si="108"/>
        <v>108.70429916332353</v>
      </c>
      <c r="AY88" s="310"/>
      <c r="BA88" s="31">
        <f t="shared" si="109"/>
        <v>0</v>
      </c>
      <c r="BB88" s="31">
        <f t="shared" si="110"/>
        <v>0</v>
      </c>
    </row>
    <row r="89" spans="14:54" x14ac:dyDescent="0.45">
      <c r="N89" s="10">
        <v>71</v>
      </c>
      <c r="O89" s="50">
        <f t="shared" si="84"/>
        <v>51.28613839913649</v>
      </c>
      <c r="P89" s="48" t="str">
        <f t="shared" si="73"/>
        <v>17.4002386318441</v>
      </c>
      <c r="Q89" s="17" t="str">
        <f t="shared" si="74"/>
        <v>1+0.0275974070089388i</v>
      </c>
      <c r="R89" s="17">
        <f t="shared" si="85"/>
        <v>1.0003807359568742</v>
      </c>
      <c r="S89" s="17">
        <f t="shared" si="86"/>
        <v>2.7590403991881236E-2</v>
      </c>
      <c r="T89" s="17" t="str">
        <f t="shared" si="75"/>
        <v>1+0.00009667209337543i</v>
      </c>
      <c r="U89" s="17">
        <f t="shared" si="87"/>
        <v>1.0000000046727469</v>
      </c>
      <c r="V89" s="17">
        <f t="shared" si="88"/>
        <v>9.6672093074280527E-5</v>
      </c>
      <c r="W89" s="31" t="str">
        <f t="shared" si="76"/>
        <v>1-0.000238501672545278i</v>
      </c>
      <c r="X89" s="17">
        <f t="shared" si="89"/>
        <v>1.0000000284415236</v>
      </c>
      <c r="Y89" s="17">
        <f t="shared" si="90"/>
        <v>-2.3850166802304415E-4</v>
      </c>
      <c r="Z89" s="31" t="str">
        <f t="shared" si="77"/>
        <v>0.999999997614269+0.000333558865601374i</v>
      </c>
      <c r="AA89" s="17">
        <f t="shared" si="91"/>
        <v>1.0000000532450259</v>
      </c>
      <c r="AB89" s="17">
        <f t="shared" si="92"/>
        <v>3.3355885402640138E-4</v>
      </c>
      <c r="AC89" s="66" t="str">
        <f t="shared" si="93"/>
        <v>17.3867659788329-0.488101528915922i</v>
      </c>
      <c r="AD89" s="64">
        <f t="shared" si="94"/>
        <v>24.807797511277798</v>
      </c>
      <c r="AE89" s="61">
        <f t="shared" si="95"/>
        <v>-1.6080514544053246</v>
      </c>
      <c r="AF89" s="31" t="str">
        <f t="shared" si="78"/>
        <v>-9090.90909090909</v>
      </c>
      <c r="AG89" s="31" t="str">
        <f t="shared" si="79"/>
        <v>322.240311251433i</v>
      </c>
      <c r="AH89" s="31">
        <f t="shared" si="96"/>
        <v>322.24031125143301</v>
      </c>
      <c r="AI89" s="31">
        <f t="shared" si="97"/>
        <v>1.5707963267948966</v>
      </c>
      <c r="AJ89" s="31" t="str">
        <f t="shared" si="80"/>
        <v>0.999623818959771+0.111574741049875i</v>
      </c>
      <c r="AK89" s="31">
        <f t="shared" si="98"/>
        <v>1.0058313488214929</v>
      </c>
      <c r="AL89" s="31">
        <f t="shared" si="99"/>
        <v>0.11115664537942388</v>
      </c>
      <c r="AM89" s="31" t="str">
        <f t="shared" si="81"/>
        <v>1+0.424648282167138i</v>
      </c>
      <c r="AN89" s="31">
        <f t="shared" si="100"/>
        <v>1.0864281676887346</v>
      </c>
      <c r="AO89" s="31">
        <f t="shared" si="101"/>
        <v>0.40157270155634534</v>
      </c>
      <c r="AP89" s="31" t="str">
        <f t="shared" si="82"/>
        <v>1+0.0708928684753152i</v>
      </c>
      <c r="AQ89" s="31">
        <f t="shared" si="102"/>
        <v>1.0025097499778535</v>
      </c>
      <c r="AR89" s="31">
        <f t="shared" si="103"/>
        <v>7.0774460895240671E-2</v>
      </c>
      <c r="AS89" s="58" t="str">
        <f t="shared" si="104"/>
        <v>-10.7955289453545+28.5775445047073i</v>
      </c>
      <c r="AT89" s="49">
        <f t="shared" si="105"/>
        <v>29.699838027088369</v>
      </c>
      <c r="AU89" s="61">
        <f t="shared" si="106"/>
        <v>110.69469222838288</v>
      </c>
      <c r="AV89" s="58" t="str">
        <f t="shared" si="83"/>
        <v>-173.750592225185+502.140392736712i</v>
      </c>
      <c r="AW89" s="64">
        <f t="shared" si="107"/>
        <v>54.507635538366166</v>
      </c>
      <c r="AX89" s="49">
        <f t="shared" si="108"/>
        <v>109.08664077397754</v>
      </c>
      <c r="AY89" s="310"/>
      <c r="BA89" s="31">
        <f t="shared" si="109"/>
        <v>0</v>
      </c>
      <c r="BB89" s="31">
        <f t="shared" si="110"/>
        <v>0</v>
      </c>
    </row>
    <row r="90" spans="14:54" x14ac:dyDescent="0.45">
      <c r="N90" s="10">
        <v>72</v>
      </c>
      <c r="O90" s="50">
        <f t="shared" si="84"/>
        <v>52.480746024977286</v>
      </c>
      <c r="P90" s="48" t="str">
        <f t="shared" si="73"/>
        <v>17.4002386318441</v>
      </c>
      <c r="Q90" s="17" t="str">
        <f t="shared" si="74"/>
        <v>1+0.0282402331973669i</v>
      </c>
      <c r="R90" s="17">
        <f t="shared" si="85"/>
        <v>1.0003986759142784</v>
      </c>
      <c r="S90" s="17">
        <f t="shared" si="86"/>
        <v>2.8232729490894604E-2</v>
      </c>
      <c r="T90" s="17" t="str">
        <f t="shared" si="75"/>
        <v>1+0.0000989238757001884i</v>
      </c>
      <c r="U90" s="17">
        <f t="shared" si="87"/>
        <v>1.0000000048929665</v>
      </c>
      <c r="V90" s="17">
        <f t="shared" si="88"/>
        <v>9.8923875377500929E-5</v>
      </c>
      <c r="W90" s="31" t="str">
        <f t="shared" si="76"/>
        <v>1-0.000244057090162823i</v>
      </c>
      <c r="X90" s="17">
        <f t="shared" si="89"/>
        <v>1.0000000297819311</v>
      </c>
      <c r="Y90" s="17">
        <f t="shared" si="90"/>
        <v>-2.4405708531716213E-4</v>
      </c>
      <c r="Z90" s="31" t="str">
        <f t="shared" si="77"/>
        <v>0.999999997501833+0.000341328449683005i</v>
      </c>
      <c r="AA90" s="17">
        <f t="shared" si="91"/>
        <v>1.0000000557543867</v>
      </c>
      <c r="AB90" s="17">
        <f t="shared" si="92"/>
        <v>3.4132843728019833E-4</v>
      </c>
      <c r="AC90" s="66" t="str">
        <f t="shared" si="93"/>
        <v>17.3861315382323-0.499452957274365i</v>
      </c>
      <c r="AD90" s="64">
        <f t="shared" si="94"/>
        <v>24.807641739249124</v>
      </c>
      <c r="AE90" s="61">
        <f t="shared" si="95"/>
        <v>-1.6454884432434782</v>
      </c>
      <c r="AF90" s="31" t="str">
        <f t="shared" si="78"/>
        <v>-9090.90909090909</v>
      </c>
      <c r="AG90" s="31" t="str">
        <f t="shared" si="79"/>
        <v>329.746252333961i</v>
      </c>
      <c r="AH90" s="31">
        <f t="shared" si="96"/>
        <v>329.74625233396102</v>
      </c>
      <c r="AI90" s="31">
        <f t="shared" si="97"/>
        <v>1.5707963267948966</v>
      </c>
      <c r="AJ90" s="31" t="str">
        <f t="shared" si="80"/>
        <v>0.99960609009354+0.114173650631877i</v>
      </c>
      <c r="AK90" s="31">
        <f t="shared" si="98"/>
        <v>1.0061053413289804</v>
      </c>
      <c r="AL90" s="31">
        <f t="shared" si="99"/>
        <v>0.11372579958897797</v>
      </c>
      <c r="AM90" s="31" t="str">
        <f t="shared" si="81"/>
        <v>1+0.434539611325694i</v>
      </c>
      <c r="AN90" s="31">
        <f t="shared" si="100"/>
        <v>1.0903323685056245</v>
      </c>
      <c r="AO90" s="31">
        <f t="shared" si="101"/>
        <v>0.4099229573463064</v>
      </c>
      <c r="AP90" s="31" t="str">
        <f t="shared" si="82"/>
        <v>1+0.0725441755134714i</v>
      </c>
      <c r="AQ90" s="31">
        <f t="shared" si="102"/>
        <v>1.0026278758347633</v>
      </c>
      <c r="AR90" s="31">
        <f t="shared" si="103"/>
        <v>7.2417317458766228E-2</v>
      </c>
      <c r="AS90" s="58" t="str">
        <f t="shared" si="104"/>
        <v>-10.7938168729382+27.9437059321449i</v>
      </c>
      <c r="AT90" s="49">
        <f t="shared" si="105"/>
        <v>29.529653439626156</v>
      </c>
      <c r="AU90" s="61">
        <f t="shared" si="106"/>
        <v>111.120053697312</v>
      </c>
      <c r="AV90" s="58" t="str">
        <f t="shared" si="83"/>
        <v>-173.70615338748+491.22395075942i</v>
      </c>
      <c r="AW90" s="64">
        <f t="shared" si="107"/>
        <v>54.33729517887528</v>
      </c>
      <c r="AX90" s="49">
        <f t="shared" si="108"/>
        <v>109.47456525406855</v>
      </c>
      <c r="AY90" s="310"/>
      <c r="BA90" s="31">
        <f t="shared" si="109"/>
        <v>0</v>
      </c>
      <c r="BB90" s="31">
        <f t="shared" si="110"/>
        <v>0</v>
      </c>
    </row>
    <row r="91" spans="14:54" x14ac:dyDescent="0.45">
      <c r="N91" s="10">
        <v>73</v>
      </c>
      <c r="O91" s="50">
        <f t="shared" si="84"/>
        <v>53.703179637025293</v>
      </c>
      <c r="P91" s="48" t="str">
        <f t="shared" si="73"/>
        <v>17.4002386318441</v>
      </c>
      <c r="Q91" s="17" t="str">
        <f t="shared" si="74"/>
        <v>1+0.0288980327312398i</v>
      </c>
      <c r="R91" s="17">
        <f t="shared" si="85"/>
        <v>1.0004174610110199</v>
      </c>
      <c r="S91" s="17">
        <f t="shared" si="86"/>
        <v>2.8889992546090138E-2</v>
      </c>
      <c r="T91" s="17" t="str">
        <f t="shared" si="75"/>
        <v>1+0.000101228108773255i</v>
      </c>
      <c r="U91" s="17">
        <f t="shared" si="87"/>
        <v>1.0000000051235649</v>
      </c>
      <c r="V91" s="17">
        <f t="shared" si="88"/>
        <v>1.0122810842748914E-4</v>
      </c>
      <c r="W91" s="31" t="str">
        <f t="shared" si="76"/>
        <v>1-0.000249741910080049i</v>
      </c>
      <c r="X91" s="17">
        <f t="shared" si="89"/>
        <v>1.0000000311855104</v>
      </c>
      <c r="Y91" s="17">
        <f t="shared" si="90"/>
        <v>-2.4974190488782986E-4</v>
      </c>
      <c r="Z91" s="31" t="str">
        <f t="shared" si="77"/>
        <v>0.999999997384098+0.000349279010626672i</v>
      </c>
      <c r="AA91" s="17">
        <f t="shared" si="91"/>
        <v>1.0000000583820099</v>
      </c>
      <c r="AB91" s="17">
        <f t="shared" si="92"/>
        <v>3.4927899733682528E-4</v>
      </c>
      <c r="AC91" s="66" t="str">
        <f t="shared" si="93"/>
        <v>17.3854672461422-0.511067514379282i</v>
      </c>
      <c r="AD91" s="64">
        <f t="shared" si="94"/>
        <v>24.807478631898491</v>
      </c>
      <c r="AE91" s="61">
        <f t="shared" si="95"/>
        <v>-1.6837960692119729</v>
      </c>
      <c r="AF91" s="31" t="str">
        <f t="shared" si="78"/>
        <v>-9090.90909090909</v>
      </c>
      <c r="AG91" s="31" t="str">
        <f t="shared" si="79"/>
        <v>337.427029244183i</v>
      </c>
      <c r="AH91" s="31">
        <f t="shared" si="96"/>
        <v>337.42702924418302</v>
      </c>
      <c r="AI91" s="31">
        <f t="shared" si="97"/>
        <v>1.5707963267948966</v>
      </c>
      <c r="AJ91" s="31" t="str">
        <f t="shared" si="80"/>
        <v>0.999587525691586+0.116833096594711i</v>
      </c>
      <c r="AK91" s="31">
        <f t="shared" si="98"/>
        <v>1.006392167089021</v>
      </c>
      <c r="AL91" s="31">
        <f t="shared" si="99"/>
        <v>0.11635337984542317</v>
      </c>
      <c r="AM91" s="31" t="str">
        <f t="shared" si="81"/>
        <v>1+0.444661339137984i</v>
      </c>
      <c r="AN91" s="31">
        <f t="shared" si="100"/>
        <v>1.0944056407584828</v>
      </c>
      <c r="AO91" s="31">
        <f t="shared" si="101"/>
        <v>0.41840543324819135</v>
      </c>
      <c r="AP91" s="31" t="str">
        <f t="shared" si="82"/>
        <v>1+0.0742339464337202i</v>
      </c>
      <c r="AQ91" s="31">
        <f t="shared" si="102"/>
        <v>1.0027515538771927</v>
      </c>
      <c r="AR91" s="31">
        <f t="shared" si="103"/>
        <v>7.4098035715992994E-2</v>
      </c>
      <c r="AS91" s="58" t="str">
        <f t="shared" si="104"/>
        <v>-10.7920261033506+27.324665896917i</v>
      </c>
      <c r="AT91" s="49">
        <f t="shared" si="105"/>
        <v>29.360637300140986</v>
      </c>
      <c r="AU91" s="61">
        <f t="shared" si="106"/>
        <v>111.55181256997466</v>
      </c>
      <c r="AV91" s="58" t="str">
        <f t="shared" si="83"/>
        <v>-173.659667258132+480.567537918385i</v>
      </c>
      <c r="AW91" s="64">
        <f t="shared" si="107"/>
        <v>54.168115932039484</v>
      </c>
      <c r="AX91" s="49">
        <f t="shared" si="108"/>
        <v>109.86801650076271</v>
      </c>
      <c r="AY91" s="310"/>
      <c r="BA91" s="31">
        <f t="shared" si="109"/>
        <v>0</v>
      </c>
      <c r="BB91" s="31">
        <f t="shared" si="110"/>
        <v>0</v>
      </c>
    </row>
    <row r="92" spans="14:54" x14ac:dyDescent="0.45">
      <c r="N92" s="10">
        <v>74</v>
      </c>
      <c r="O92" s="50">
        <f t="shared" si="84"/>
        <v>54.95408738576247</v>
      </c>
      <c r="P92" s="48" t="str">
        <f t="shared" si="73"/>
        <v>17.4002386318441</v>
      </c>
      <c r="Q92" s="17" t="str">
        <f t="shared" si="74"/>
        <v>1+0.0295711543845776i</v>
      </c>
      <c r="R92" s="17">
        <f t="shared" si="85"/>
        <v>1.0004371310440434</v>
      </c>
      <c r="S92" s="17">
        <f t="shared" si="86"/>
        <v>2.9562539374266419E-2</v>
      </c>
      <c r="T92" s="17" t="str">
        <f t="shared" si="75"/>
        <v>1+0.000103586014329506i</v>
      </c>
      <c r="U92" s="17">
        <f t="shared" si="87"/>
        <v>1.0000000053650311</v>
      </c>
      <c r="V92" s="17">
        <f t="shared" si="88"/>
        <v>1.035860139590112E-4</v>
      </c>
      <c r="W92" s="31" t="str">
        <f t="shared" si="76"/>
        <v>1-0.000255559146463724i</v>
      </c>
      <c r="X92" s="17">
        <f t="shared" si="89"/>
        <v>1.0000000326552381</v>
      </c>
      <c r="Y92" s="17">
        <f t="shared" si="90"/>
        <v>-2.5555914090016093E-4</v>
      </c>
      <c r="Z92" s="31" t="str">
        <f t="shared" si="77"/>
        <v>0.999999997260815+0.000357414763925029i</v>
      </c>
      <c r="AA92" s="17">
        <f t="shared" si="91"/>
        <v>1.0000000611334698</v>
      </c>
      <c r="AB92" s="17">
        <f t="shared" si="92"/>
        <v>3.5741474968470154E-4</v>
      </c>
      <c r="AC92" s="66" t="str">
        <f t="shared" si="93"/>
        <v>17.3847717004048-0.522951237914593i</v>
      </c>
      <c r="AD92" s="64">
        <f t="shared" si="94"/>
        <v>24.807307844099928</v>
      </c>
      <c r="AE92" s="61">
        <f t="shared" si="95"/>
        <v>-1.7229945133005806</v>
      </c>
      <c r="AF92" s="31" t="str">
        <f t="shared" si="78"/>
        <v>-9090.90909090909</v>
      </c>
      <c r="AG92" s="31" t="str">
        <f t="shared" si="79"/>
        <v>345.286714431686i</v>
      </c>
      <c r="AH92" s="31">
        <f t="shared" si="96"/>
        <v>345.28671443168599</v>
      </c>
      <c r="AI92" s="31">
        <f t="shared" si="97"/>
        <v>1.5707963267948966</v>
      </c>
      <c r="AJ92" s="31" t="str">
        <f t="shared" si="80"/>
        <v>0.999568086376322+0.119554489011828i</v>
      </c>
      <c r="AK92" s="31">
        <f t="shared" si="98"/>
        <v>1.0066924233075869</v>
      </c>
      <c r="AL92" s="31">
        <f t="shared" si="99"/>
        <v>0.11904064743568719</v>
      </c>
      <c r="AM92" s="31" t="str">
        <f t="shared" si="81"/>
        <v>1+0.455018832278076i</v>
      </c>
      <c r="AN92" s="31">
        <f t="shared" si="100"/>
        <v>1.0986546944912692</v>
      </c>
      <c r="AO92" s="31">
        <f t="shared" si="101"/>
        <v>0.42701974305960522</v>
      </c>
      <c r="AP92" s="31" t="str">
        <f t="shared" si="82"/>
        <v>1+0.0759630771749708i</v>
      </c>
      <c r="AQ92" s="31">
        <f t="shared" si="102"/>
        <v>1.0028810443387044</v>
      </c>
      <c r="AR92" s="31">
        <f t="shared" si="103"/>
        <v>7.5817468802974922E-2</v>
      </c>
      <c r="AS92" s="58" t="str">
        <f t="shared" si="104"/>
        <v>-10.790153116003+26.7200949502897i</v>
      </c>
      <c r="AT92" s="49">
        <f t="shared" si="105"/>
        <v>29.192825699432944</v>
      </c>
      <c r="AU92" s="61">
        <f t="shared" si="106"/>
        <v>111.98992333328178</v>
      </c>
      <c r="AV92" s="58" t="str">
        <f t="shared" si="83"/>
        <v>-173.611041802674+470.165474453227i</v>
      </c>
      <c r="AW92" s="64">
        <f t="shared" si="107"/>
        <v>54.000133543532868</v>
      </c>
      <c r="AX92" s="49">
        <f t="shared" si="108"/>
        <v>110.2669288199812</v>
      </c>
      <c r="AY92" s="310"/>
      <c r="BA92" s="31">
        <f t="shared" si="109"/>
        <v>0</v>
      </c>
      <c r="BB92" s="31">
        <f t="shared" si="110"/>
        <v>0</v>
      </c>
    </row>
    <row r="93" spans="14:54" x14ac:dyDescent="0.45">
      <c r="N93" s="10">
        <v>75</v>
      </c>
      <c r="O93" s="50">
        <f t="shared" si="84"/>
        <v>56.234132519034915</v>
      </c>
      <c r="P93" s="48" t="str">
        <f t="shared" si="73"/>
        <v>17.4002386318441</v>
      </c>
      <c r="Q93" s="17" t="str">
        <f t="shared" si="74"/>
        <v>1+0.0302599550553906i</v>
      </c>
      <c r="R93" s="17">
        <f t="shared" si="85"/>
        <v>1.0004577276826614</v>
      </c>
      <c r="S93" s="17">
        <f t="shared" si="86"/>
        <v>3.0250724133614255E-2</v>
      </c>
      <c r="T93" s="17" t="str">
        <f t="shared" si="75"/>
        <v>1+0.000105998842561677i</v>
      </c>
      <c r="U93" s="17">
        <f t="shared" si="87"/>
        <v>1.0000000056178773</v>
      </c>
      <c r="V93" s="17">
        <f t="shared" si="88"/>
        <v>1.0599884216468468E-4</v>
      </c>
      <c r="W93" s="31" t="str">
        <f t="shared" si="76"/>
        <v>1-0.00026151188368958i</v>
      </c>
      <c r="X93" s="17">
        <f t="shared" si="89"/>
        <v>1.0000000341942321</v>
      </c>
      <c r="Y93" s="17">
        <f t="shared" si="90"/>
        <v>-2.6151187772811477E-4</v>
      </c>
      <c r="Z93" s="31" t="str">
        <f t="shared" si="77"/>
        <v>0.999999997131721+0.000365740023262162i</v>
      </c>
      <c r="AA93" s="17">
        <f t="shared" si="91"/>
        <v>1.0000000640146012</v>
      </c>
      <c r="AB93" s="17">
        <f t="shared" si="92"/>
        <v>3.6574000800337626E-4</v>
      </c>
      <c r="AC93" s="66" t="str">
        <f t="shared" si="93"/>
        <v>17.3840434332334-0.535110299685999i</v>
      </c>
      <c r="AD93" s="64">
        <f t="shared" si="94"/>
        <v>24.807129014517926</v>
      </c>
      <c r="AE93" s="61">
        <f t="shared" si="95"/>
        <v>-1.7631044195253649</v>
      </c>
      <c r="AF93" s="31" t="str">
        <f t="shared" si="78"/>
        <v>-9090.90909090909</v>
      </c>
      <c r="AG93" s="31" t="str">
        <f t="shared" si="79"/>
        <v>353.32947520559i</v>
      </c>
      <c r="AH93" s="31">
        <f t="shared" si="96"/>
        <v>353.32947520558997</v>
      </c>
      <c r="AI93" s="31">
        <f t="shared" si="97"/>
        <v>1.5707963267948966</v>
      </c>
      <c r="AJ93" s="31" t="str">
        <f t="shared" si="80"/>
        <v>0.999547730914355+0.12233927080151i</v>
      </c>
      <c r="AK93" s="31">
        <f t="shared" si="98"/>
        <v>1.0070067346131708</v>
      </c>
      <c r="AL93" s="31">
        <f t="shared" si="99"/>
        <v>0.12178888610799515</v>
      </c>
      <c r="AM93" s="31" t="str">
        <f t="shared" si="81"/>
        <v>1+0.465617582425926i</v>
      </c>
      <c r="AN93" s="31">
        <f t="shared" si="100"/>
        <v>1.1030864576560462</v>
      </c>
      <c r="AO93" s="31">
        <f t="shared" si="101"/>
        <v>0.43576533927130057</v>
      </c>
      <c r="AP93" s="31" t="str">
        <f t="shared" si="82"/>
        <v>1+0.0777324845452297i</v>
      </c>
      <c r="AQ93" s="31">
        <f t="shared" si="102"/>
        <v>1.0030166195799421</v>
      </c>
      <c r="AR93" s="31">
        <f t="shared" si="103"/>
        <v>7.7576487695786525E-2</v>
      </c>
      <c r="AS93" s="58" t="str">
        <f t="shared" si="104"/>
        <v>-10.7881942420096+26.1296712314271i</v>
      </c>
      <c r="AT93" s="49">
        <f t="shared" si="105"/>
        <v>29.026255070310288</v>
      </c>
      <c r="AU93" s="61">
        <f t="shared" si="106"/>
        <v>112.43433096716146</v>
      </c>
      <c r="AV93" s="58" t="str">
        <f t="shared" si="83"/>
        <v>-173.560181065908+460.012213437151i</v>
      </c>
      <c r="AW93" s="64">
        <f t="shared" si="107"/>
        <v>53.833384084828218</v>
      </c>
      <c r="AX93" s="49">
        <f t="shared" si="108"/>
        <v>110.67122654763608</v>
      </c>
      <c r="AY93" s="310"/>
      <c r="BA93" s="31">
        <f t="shared" si="109"/>
        <v>0</v>
      </c>
      <c r="BB93" s="31">
        <f t="shared" si="110"/>
        <v>0</v>
      </c>
    </row>
    <row r="94" spans="14:54" x14ac:dyDescent="0.45">
      <c r="N94" s="10">
        <v>76</v>
      </c>
      <c r="O94" s="50">
        <f t="shared" si="84"/>
        <v>57.543993733715695</v>
      </c>
      <c r="P94" s="48" t="str">
        <f t="shared" si="73"/>
        <v>17.4002386318441</v>
      </c>
      <c r="Q94" s="17" t="str">
        <f t="shared" si="74"/>
        <v>1+0.0309647999549118i</v>
      </c>
      <c r="R94" s="17">
        <f t="shared" si="85"/>
        <v>1.000479294556488</v>
      </c>
      <c r="S94" s="17">
        <f t="shared" si="86"/>
        <v>3.0954909099925623E-2</v>
      </c>
      <c r="T94" s="17" t="str">
        <f t="shared" si="75"/>
        <v>1+0.000108467872783235i</v>
      </c>
      <c r="U94" s="17">
        <f t="shared" si="87"/>
        <v>1.0000000058826397</v>
      </c>
      <c r="V94" s="17">
        <f t="shared" si="88"/>
        <v>1.0846787235785005E-4</v>
      </c>
      <c r="W94" s="31" t="str">
        <f t="shared" si="76"/>
        <v>1-0.000267603277977687i</v>
      </c>
      <c r="X94" s="17">
        <f t="shared" si="89"/>
        <v>1.0000000358057566</v>
      </c>
      <c r="Y94" s="17">
        <f t="shared" si="90"/>
        <v>-2.6760327158986192E-4</v>
      </c>
      <c r="Z94" s="31" t="str">
        <f t="shared" si="77"/>
        <v>0.999999996996543+0.000374259202800771i</v>
      </c>
      <c r="AA94" s="17">
        <f t="shared" si="91"/>
        <v>1.0000000670315161</v>
      </c>
      <c r="AB94" s="17">
        <f t="shared" si="92"/>
        <v>3.7425918645068773E-4</v>
      </c>
      <c r="AC94" s="66" t="str">
        <f t="shared" si="93"/>
        <v>17.3832809081623-0.547551008281783i</v>
      </c>
      <c r="AD94" s="64">
        <f t="shared" si="94"/>
        <v>24.806941764848524</v>
      </c>
      <c r="AE94" s="61">
        <f t="shared" si="95"/>
        <v>-1.8041469052115924</v>
      </c>
      <c r="AF94" s="31" t="str">
        <f t="shared" si="78"/>
        <v>-9090.90909090909</v>
      </c>
      <c r="AG94" s="31" t="str">
        <f t="shared" si="79"/>
        <v>361.559575944117i</v>
      </c>
      <c r="AH94" s="31">
        <f t="shared" si="96"/>
        <v>361.559575944117</v>
      </c>
      <c r="AI94" s="31">
        <f t="shared" si="97"/>
        <v>1.5707963267948966</v>
      </c>
      <c r="AJ94" s="31" t="str">
        <f t="shared" si="80"/>
        <v>0.99952641612902+0.125188918491923i</v>
      </c>
      <c r="AK94" s="31">
        <f t="shared" si="98"/>
        <v>1.0073357542810144</v>
      </c>
      <c r="AL94" s="31">
        <f t="shared" si="99"/>
        <v>0.12459940212505385</v>
      </c>
      <c r="AM94" s="31" t="str">
        <f t="shared" si="81"/>
        <v>1+0.476463209179157i</v>
      </c>
      <c r="AN94" s="31">
        <f t="shared" si="100"/>
        <v>1.1077080796407062</v>
      </c>
      <c r="AO94" s="31">
        <f t="shared" si="101"/>
        <v>0.4446415066002154</v>
      </c>
      <c r="AP94" s="31" t="str">
        <f t="shared" si="82"/>
        <v>1+0.0795431067077057i</v>
      </c>
      <c r="AQ94" s="31">
        <f t="shared" si="102"/>
        <v>1.003158564647042</v>
      </c>
      <c r="AR94" s="31">
        <f t="shared" si="103"/>
        <v>7.9375981483877187E-2</v>
      </c>
      <c r="AS94" s="58" t="str">
        <f t="shared" si="104"/>
        <v>-10.7861456588219+25.5530802911961i</v>
      </c>
      <c r="AT94" s="49">
        <f t="shared" si="105"/>
        <v>28.860962125954689</v>
      </c>
      <c r="AU94" s="61">
        <f t="shared" si="106"/>
        <v>112.88497058664646</v>
      </c>
      <c r="AV94" s="58" t="str">
        <f t="shared" si="83"/>
        <v>-173.506985025507+450.10233770165i</v>
      </c>
      <c r="AW94" s="64">
        <f t="shared" si="107"/>
        <v>53.667903890803224</v>
      </c>
      <c r="AX94" s="49">
        <f t="shared" si="108"/>
        <v>111.08082368143489</v>
      </c>
      <c r="AY94" s="310"/>
      <c r="BA94" s="31">
        <f t="shared" si="109"/>
        <v>0</v>
      </c>
      <c r="BB94" s="31">
        <f t="shared" si="110"/>
        <v>0</v>
      </c>
    </row>
    <row r="95" spans="14:54" x14ac:dyDescent="0.45">
      <c r="N95" s="10">
        <v>77</v>
      </c>
      <c r="O95" s="50">
        <f t="shared" si="84"/>
        <v>58.884365535558949</v>
      </c>
      <c r="P95" s="48" t="str">
        <f t="shared" si="73"/>
        <v>17.4002386318441</v>
      </c>
      <c r="Q95" s="17" t="str">
        <f t="shared" si="74"/>
        <v>1+0.0316860628012366i</v>
      </c>
      <c r="R95" s="17">
        <f t="shared" si="85"/>
        <v>1.0005018773474861</v>
      </c>
      <c r="S95" s="17">
        <f t="shared" si="86"/>
        <v>3.1675464846282621E-2</v>
      </c>
      <c r="T95" s="17" t="str">
        <f t="shared" si="75"/>
        <v>1+0.000110994414106685i</v>
      </c>
      <c r="U95" s="17">
        <f t="shared" si="87"/>
        <v>1.0000000061598799</v>
      </c>
      <c r="V95" s="17">
        <f t="shared" si="88"/>
        <v>1.1099441365087683E-4</v>
      </c>
      <c r="W95" s="31" t="str">
        <f t="shared" si="76"/>
        <v>1-0.000273836559065925i</v>
      </c>
      <c r="X95" s="17">
        <f t="shared" si="89"/>
        <v>1.0000000374932299</v>
      </c>
      <c r="Y95" s="17">
        <f t="shared" si="90"/>
        <v>-2.7383655222124715E-4</v>
      </c>
      <c r="Z95" s="31" t="str">
        <f t="shared" si="77"/>
        <v>0.999999996854995+0.000382976819522611i</v>
      </c>
      <c r="AA95" s="17">
        <f t="shared" si="91"/>
        <v>1.0000000701906144</v>
      </c>
      <c r="AB95" s="17">
        <f t="shared" si="92"/>
        <v>3.8297680200318098E-4</v>
      </c>
      <c r="AC95" s="66" t="str">
        <f t="shared" si="93"/>
        <v>17.3824825168587-0.560279811762732i</v>
      </c>
      <c r="AD95" s="64">
        <f t="shared" si="94"/>
        <v>24.806745699025953</v>
      </c>
      <c r="AE95" s="61">
        <f t="shared" si="95"/>
        <v>-1.8461435714801668</v>
      </c>
      <c r="AF95" s="31" t="str">
        <f t="shared" si="78"/>
        <v>-9090.90909090909</v>
      </c>
      <c r="AG95" s="31" t="str">
        <f t="shared" si="79"/>
        <v>369.981380355616i</v>
      </c>
      <c r="AH95" s="31">
        <f t="shared" si="96"/>
        <v>369.98138035561601</v>
      </c>
      <c r="AI95" s="31">
        <f t="shared" si="97"/>
        <v>1.5707963267948966</v>
      </c>
      <c r="AJ95" s="31" t="str">
        <f t="shared" si="80"/>
        <v>0.999504096808801+0.128104943003991i</v>
      </c>
      <c r="AK95" s="31">
        <f t="shared" si="98"/>
        <v>1.007680165508696</v>
      </c>
      <c r="AL95" s="31">
        <f t="shared" si="99"/>
        <v>0.12747352428778011</v>
      </c>
      <c r="AM95" s="31" t="str">
        <f t="shared" si="81"/>
        <v>1+0.487561463032631i</v>
      </c>
      <c r="AN95" s="31">
        <f t="shared" si="100"/>
        <v>1.1125269346108073</v>
      </c>
      <c r="AO95" s="31">
        <f t="shared" si="101"/>
        <v>0.45364735573225778</v>
      </c>
      <c r="AP95" s="31" t="str">
        <f t="shared" si="82"/>
        <v>1+0.0813959036782354i</v>
      </c>
      <c r="AQ95" s="31">
        <f t="shared" si="102"/>
        <v>1.0033071778551157</v>
      </c>
      <c r="AR95" s="31">
        <f t="shared" si="103"/>
        <v>8.1216857639998141E-2</v>
      </c>
      <c r="AS95" s="58" t="str">
        <f t="shared" si="104"/>
        <v>-10.7840033847533+24.9900149195603i</v>
      </c>
      <c r="AT95" s="49">
        <f t="shared" si="105"/>
        <v>28.696983793206996</v>
      </c>
      <c r="AU95" s="61">
        <f t="shared" si="106"/>
        <v>113.34176709746683</v>
      </c>
      <c r="AV95" s="58" t="str">
        <f t="shared" si="83"/>
        <v>-173.45134944214+440.430556821753i</v>
      </c>
      <c r="AW95" s="64">
        <f t="shared" si="107"/>
        <v>53.503729492232949</v>
      </c>
      <c r="AX95" s="49">
        <f t="shared" si="108"/>
        <v>111.49562352598666</v>
      </c>
      <c r="AY95" s="310"/>
      <c r="BA95" s="31">
        <f t="shared" si="109"/>
        <v>0</v>
      </c>
      <c r="BB95" s="31">
        <f t="shared" si="110"/>
        <v>0</v>
      </c>
    </row>
    <row r="96" spans="14:54" x14ac:dyDescent="0.45">
      <c r="N96" s="10">
        <v>78</v>
      </c>
      <c r="O96" s="50">
        <f t="shared" si="84"/>
        <v>60.255958607435822</v>
      </c>
      <c r="P96" s="48" t="str">
        <f t="shared" si="73"/>
        <v>17.4002386318441</v>
      </c>
      <c r="Q96" s="17" t="str">
        <f t="shared" si="74"/>
        <v>1+0.0324241260174733i</v>
      </c>
      <c r="R96" s="17">
        <f t="shared" si="85"/>
        <v>1.0005255238863209</v>
      </c>
      <c r="S96" s="17">
        <f t="shared" si="86"/>
        <v>3.241277042626442E-2</v>
      </c>
      <c r="T96" s="17" t="str">
        <f t="shared" si="75"/>
        <v>1+0.000113579806137679i</v>
      </c>
      <c r="U96" s="17">
        <f t="shared" si="87"/>
        <v>1.0000000064501862</v>
      </c>
      <c r="V96" s="17">
        <f t="shared" si="88"/>
        <v>1.1357980564927173E-4</v>
      </c>
      <c r="W96" s="31" t="str">
        <f t="shared" si="76"/>
        <v>1-0.000280215031922436i</v>
      </c>
      <c r="X96" s="17">
        <f t="shared" si="89"/>
        <v>1.0000000392602313</v>
      </c>
      <c r="Y96" s="17">
        <f t="shared" si="90"/>
        <v>-2.8021502458823157E-4</v>
      </c>
      <c r="Z96" s="31" t="str">
        <f t="shared" si="77"/>
        <v>0.999999996706775+0.000391897495623458i</v>
      </c>
      <c r="AA96" s="17">
        <f t="shared" si="91"/>
        <v>1.0000000734985959</v>
      </c>
      <c r="AB96" s="17">
        <f t="shared" si="92"/>
        <v>3.9189747685105072E-4</v>
      </c>
      <c r="AC96" s="66" t="str">
        <f t="shared" si="93"/>
        <v>17.3816465757871-0.573303300379574i</v>
      </c>
      <c r="AD96" s="64">
        <f t="shared" si="94"/>
        <v>24.806540402391523</v>
      </c>
      <c r="AE96" s="61">
        <f t="shared" si="95"/>
        <v>-1.8891165139402306</v>
      </c>
      <c r="AF96" s="31" t="str">
        <f t="shared" si="78"/>
        <v>-9090.90909090909</v>
      </c>
      <c r="AG96" s="31" t="str">
        <f t="shared" si="79"/>
        <v>378.599353792262i</v>
      </c>
      <c r="AH96" s="31">
        <f t="shared" si="96"/>
        <v>378.59935379226198</v>
      </c>
      <c r="AI96" s="31">
        <f t="shared" si="97"/>
        <v>1.5707963267948966</v>
      </c>
      <c r="AJ96" s="31" t="str">
        <f t="shared" si="80"/>
        <v>0.999480725611426+0.131088890452509i</v>
      </c>
      <c r="AK96" s="31">
        <f t="shared" si="98"/>
        <v>1.0080406827449042</v>
      </c>
      <c r="AL96" s="31">
        <f t="shared" si="99"/>
        <v>0.13041260392703713</v>
      </c>
      <c r="AM96" s="31" t="str">
        <f t="shared" si="81"/>
        <v>1+0.498918228427443i</v>
      </c>
      <c r="AN96" s="31">
        <f t="shared" si="100"/>
        <v>1.1175506246507039</v>
      </c>
      <c r="AO96" s="31">
        <f t="shared" si="101"/>
        <v>0.46278181732346835</v>
      </c>
      <c r="AP96" s="31" t="str">
        <f t="shared" si="82"/>
        <v>1+0.0832918578342976i</v>
      </c>
      <c r="AQ96" s="31">
        <f t="shared" si="102"/>
        <v>1.0034627713978674</v>
      </c>
      <c r="AR96" s="31">
        <f t="shared" si="103"/>
        <v>8.3100042285971717E-2</v>
      </c>
      <c r="AS96" s="58" t="str">
        <f t="shared" si="104"/>
        <v>-10.7817632734039+24.4401749764474i</v>
      </c>
      <c r="AT96" s="49">
        <f t="shared" si="105"/>
        <v>28.534357140744614</v>
      </c>
      <c r="AU96" s="61">
        <f t="shared" si="106"/>
        <v>113.80463486804346</v>
      </c>
      <c r="AV96" s="58" t="str">
        <f t="shared" si="83"/>
        <v>-173.393165706256+430.991704159558i</v>
      </c>
      <c r="AW96" s="64">
        <f t="shared" si="107"/>
        <v>53.34089754313613</v>
      </c>
      <c r="AX96" s="49">
        <f t="shared" si="108"/>
        <v>111.9155183541032</v>
      </c>
      <c r="AY96" s="310"/>
      <c r="BA96" s="31">
        <f t="shared" si="109"/>
        <v>0</v>
      </c>
      <c r="BB96" s="31">
        <f t="shared" si="110"/>
        <v>0</v>
      </c>
    </row>
    <row r="97" spans="14:54" x14ac:dyDescent="0.45">
      <c r="N97" s="10">
        <v>79</v>
      </c>
      <c r="O97" s="50">
        <f t="shared" si="84"/>
        <v>61.659500186148257</v>
      </c>
      <c r="P97" s="48" t="str">
        <f t="shared" si="73"/>
        <v>17.4002386318441</v>
      </c>
      <c r="Q97" s="17" t="str">
        <f t="shared" si="74"/>
        <v>1+0.0331793809345085i</v>
      </c>
      <c r="R97" s="17">
        <f t="shared" si="85"/>
        <v>1.0005502842532188</v>
      </c>
      <c r="S97" s="17">
        <f t="shared" si="86"/>
        <v>3.3167213560705795E-2</v>
      </c>
      <c r="T97" s="17" t="str">
        <f t="shared" si="75"/>
        <v>1+0.000116225419685293i</v>
      </c>
      <c r="U97" s="17">
        <f t="shared" si="87"/>
        <v>1.0000000067541741</v>
      </c>
      <c r="V97" s="17">
        <f t="shared" si="88"/>
        <v>1.1622541916195519E-4</v>
      </c>
      <c r="W97" s="31" t="str">
        <f t="shared" si="76"/>
        <v>1-0.000286742078497957i</v>
      </c>
      <c r="X97" s="17">
        <f t="shared" si="89"/>
        <v>1.000000041110509</v>
      </c>
      <c r="Y97" s="17">
        <f t="shared" si="90"/>
        <v>-2.8674207063921533E-4</v>
      </c>
      <c r="Z97" s="31" t="str">
        <f t="shared" si="77"/>
        <v>0.99999999655157+0.000401025960963863i</v>
      </c>
      <c r="AA97" s="17">
        <f t="shared" si="91"/>
        <v>1.0000000769624777</v>
      </c>
      <c r="AB97" s="17">
        <f t="shared" si="92"/>
        <v>4.0102594084886632E-4</v>
      </c>
      <c r="AC97" s="66" t="str">
        <f t="shared" si="93"/>
        <v>17.3807713227228-0.586628209316123i</v>
      </c>
      <c r="AD97" s="64">
        <f t="shared" si="94"/>
        <v>24.806325440824626</v>
      </c>
      <c r="AE97" s="61">
        <f t="shared" si="95"/>
        <v>-1.9330883335897691</v>
      </c>
      <c r="AF97" s="31" t="str">
        <f t="shared" si="78"/>
        <v>-9090.90909090909</v>
      </c>
      <c r="AG97" s="31" t="str">
        <f t="shared" si="79"/>
        <v>387.418065617644i</v>
      </c>
      <c r="AH97" s="31">
        <f t="shared" si="96"/>
        <v>387.418065617644</v>
      </c>
      <c r="AI97" s="31">
        <f t="shared" si="97"/>
        <v>1.5707963267948966</v>
      </c>
      <c r="AJ97" s="31" t="str">
        <f t="shared" si="80"/>
        <v>0.999456252963452+0.134142342965912i</v>
      </c>
      <c r="AK97" s="31">
        <f t="shared" si="98"/>
        <v>1.0084180530732916</v>
      </c>
      <c r="AL97" s="31">
        <f t="shared" si="99"/>
        <v>0.13341801486067226</v>
      </c>
      <c r="AM97" s="31" t="str">
        <f t="shared" si="81"/>
        <v>1+0.510539526870931i</v>
      </c>
      <c r="AN97" s="31">
        <f t="shared" si="100"/>
        <v>1.1227869826897683</v>
      </c>
      <c r="AO97" s="31">
        <f t="shared" si="101"/>
        <v>0.47204363631024193</v>
      </c>
      <c r="AP97" s="31" t="str">
        <f t="shared" si="82"/>
        <v>1+0.0852319744358816i</v>
      </c>
      <c r="AQ97" s="31">
        <f t="shared" si="102"/>
        <v>1.0036256719844501</v>
      </c>
      <c r="AR97" s="31">
        <f t="shared" si="103"/>
        <v>8.5026480453504277E-2</v>
      </c>
      <c r="AS97" s="58" t="str">
        <f t="shared" si="104"/>
        <v>-10.7794210079944+23.9032672259882i</v>
      </c>
      <c r="AT97" s="49">
        <f t="shared" si="105"/>
        <v>28.373119302161136</v>
      </c>
      <c r="AU97" s="61">
        <f t="shared" si="106"/>
        <v>114.27347742089233</v>
      </c>
      <c r="AV97" s="58" t="str">
        <f t="shared" si="83"/>
        <v>-173.332320681719+421.78073396422i</v>
      </c>
      <c r="AW97" s="64">
        <f t="shared" si="107"/>
        <v>53.179444742985773</v>
      </c>
      <c r="AX97" s="49">
        <f t="shared" si="108"/>
        <v>112.3403890873026</v>
      </c>
      <c r="AY97" s="310"/>
      <c r="BA97" s="31">
        <f t="shared" si="109"/>
        <v>0</v>
      </c>
      <c r="BB97" s="31">
        <f t="shared" si="110"/>
        <v>0</v>
      </c>
    </row>
    <row r="98" spans="14:54" x14ac:dyDescent="0.45">
      <c r="N98" s="10">
        <v>80</v>
      </c>
      <c r="O98" s="50">
        <f t="shared" si="84"/>
        <v>63.095734448019364</v>
      </c>
      <c r="P98" s="48" t="str">
        <f t="shared" si="73"/>
        <v>17.4002386318441</v>
      </c>
      <c r="Q98" s="17" t="str">
        <f t="shared" si="74"/>
        <v>1+0.0339522279984962i</v>
      </c>
      <c r="R98" s="17">
        <f t="shared" si="85"/>
        <v>1.0005762108835397</v>
      </c>
      <c r="S98" s="17">
        <f t="shared" si="86"/>
        <v>3.3939190828040672E-2</v>
      </c>
      <c r="T98" s="17" t="str">
        <f t="shared" si="75"/>
        <v>1+0.00011893265748885i</v>
      </c>
      <c r="U98" s="17">
        <f t="shared" si="87"/>
        <v>1.0000000070724884</v>
      </c>
      <c r="V98" s="17">
        <f t="shared" si="88"/>
        <v>1.1893265692808344E-4</v>
      </c>
      <c r="W98" s="31" t="str">
        <f t="shared" si="76"/>
        <v>1-0.000293421159518977i</v>
      </c>
      <c r="X98" s="17">
        <f t="shared" si="89"/>
        <v>1.0000000430479874</v>
      </c>
      <c r="Y98" s="17">
        <f t="shared" si="90"/>
        <v>-2.9342115109818364E-4</v>
      </c>
      <c r="Z98" s="31" t="str">
        <f t="shared" si="77"/>
        <v>0.999999996389051+0.000410367055576976i</v>
      </c>
      <c r="AA98" s="17">
        <f t="shared" si="91"/>
        <v>1.0000000805896079</v>
      </c>
      <c r="AB98" s="17">
        <f t="shared" si="92"/>
        <v>4.1036703402336862E-4</v>
      </c>
      <c r="AC98" s="66" t="str">
        <f t="shared" si="93"/>
        <v>17.3798549131063-0.600261421456054i</v>
      </c>
      <c r="AD98" s="64">
        <f t="shared" si="94"/>
        <v>24.806100359833305</v>
      </c>
      <c r="AE98" s="61">
        <f t="shared" si="95"/>
        <v>-1.9780821479262263</v>
      </c>
      <c r="AF98" s="31" t="str">
        <f t="shared" si="78"/>
        <v>-9090.90909090909</v>
      </c>
      <c r="AG98" s="31" t="str">
        <f t="shared" si="79"/>
        <v>396.4421916295i</v>
      </c>
      <c r="AH98" s="31">
        <f t="shared" si="96"/>
        <v>396.44219162949997</v>
      </c>
      <c r="AI98" s="31">
        <f t="shared" si="97"/>
        <v>1.5707963267948966</v>
      </c>
      <c r="AJ98" s="31" t="str">
        <f t="shared" si="80"/>
        <v>0.999430626955113+0.13726691952514i</v>
      </c>
      <c r="AK98" s="31">
        <f t="shared" si="98"/>
        <v>1.0088130576533054</v>
      </c>
      <c r="AL98" s="31">
        <f t="shared" si="99"/>
        <v>0.13649115331300971</v>
      </c>
      <c r="AM98" s="31" t="str">
        <f t="shared" si="81"/>
        <v>1+0.522431520129355i</v>
      </c>
      <c r="AN98" s="31">
        <f t="shared" si="100"/>
        <v>1.1282440752003391</v>
      </c>
      <c r="AO98" s="31">
        <f t="shared" si="101"/>
        <v>0.48143136658110031</v>
      </c>
      <c r="AP98" s="31" t="str">
        <f t="shared" si="82"/>
        <v>1+0.0872172821584899i</v>
      </c>
      <c r="AQ98" s="31">
        <f t="shared" si="102"/>
        <v>1.0037962215047005</v>
      </c>
      <c r="AR98" s="31">
        <f t="shared" si="103"/>
        <v>8.6997136339191358E-2</v>
      </c>
      <c r="AS98" s="58" t="str">
        <f t="shared" si="104"/>
        <v>-10.7769720956178+23.3790051740121i</v>
      </c>
      <c r="AT98" s="49">
        <f t="shared" si="105"/>
        <v>28.213307393993606</v>
      </c>
      <c r="AU98" s="61">
        <f t="shared" si="106"/>
        <v>114.74818714656399</v>
      </c>
      <c r="AV98" s="58" t="str">
        <f t="shared" si="83"/>
        <v>-173.268696546452+412.7927185262i</v>
      </c>
      <c r="AW98" s="64">
        <f t="shared" si="107"/>
        <v>53.019407753826926</v>
      </c>
      <c r="AX98" s="49">
        <f t="shared" si="108"/>
        <v>112.77010499863781</v>
      </c>
      <c r="AY98" s="310"/>
      <c r="BA98" s="31">
        <f t="shared" si="109"/>
        <v>0</v>
      </c>
      <c r="BB98" s="31">
        <f t="shared" si="110"/>
        <v>0</v>
      </c>
    </row>
    <row r="99" spans="14:54" x14ac:dyDescent="0.45">
      <c r="N99" s="10">
        <v>81</v>
      </c>
      <c r="O99" s="50">
        <f t="shared" si="84"/>
        <v>64.565422903465588</v>
      </c>
      <c r="P99" s="48" t="str">
        <f t="shared" si="73"/>
        <v>17.4002386318441</v>
      </c>
      <c r="Q99" s="17" t="str">
        <f t="shared" si="74"/>
        <v>1+0.0347430769831796i</v>
      </c>
      <c r="R99" s="17">
        <f t="shared" si="85"/>
        <v>1.0006033586782823</v>
      </c>
      <c r="S99" s="17">
        <f t="shared" si="86"/>
        <v>3.4729107858259056E-2</v>
      </c>
      <c r="T99" s="17" t="str">
        <f t="shared" si="75"/>
        <v>1+0.000121702954961667i</v>
      </c>
      <c r="U99" s="17">
        <f t="shared" si="87"/>
        <v>1.0000000074058046</v>
      </c>
      <c r="V99" s="17">
        <f t="shared" si="88"/>
        <v>1.217029543607948E-4</v>
      </c>
      <c r="W99" s="31" t="str">
        <f t="shared" si="76"/>
        <v>1-0.000300255816322662i</v>
      </c>
      <c r="X99" s="17">
        <f t="shared" si="89"/>
        <v>1.0000000450767765</v>
      </c>
      <c r="Y99" s="17">
        <f t="shared" si="90"/>
        <v>-3.0025580729961938E-4</v>
      </c>
      <c r="Z99" s="31" t="str">
        <f t="shared" si="77"/>
        <v>0.999999996218872+0.000419925732234806i</v>
      </c>
      <c r="AA99" s="17">
        <f t="shared" si="91"/>
        <v>1.0000000843876786</v>
      </c>
      <c r="AB99" s="17">
        <f t="shared" si="92"/>
        <v>4.1992570913969979E-4</v>
      </c>
      <c r="AC99" s="66" t="str">
        <f t="shared" si="93"/>
        <v>17.3788954162315-0.614209970171063i</v>
      </c>
      <c r="AD99" s="64">
        <f t="shared" si="94"/>
        <v>24.805864683602493</v>
      </c>
      <c r="AE99" s="61">
        <f t="shared" si="95"/>
        <v>-2.0241216022690245</v>
      </c>
      <c r="AF99" s="31" t="str">
        <f t="shared" si="78"/>
        <v>-9090.90909090909</v>
      </c>
      <c r="AG99" s="31" t="str">
        <f t="shared" si="79"/>
        <v>405.676516538891i</v>
      </c>
      <c r="AH99" s="31">
        <f t="shared" si="96"/>
        <v>405.67651653889101</v>
      </c>
      <c r="AI99" s="31">
        <f t="shared" si="97"/>
        <v>1.5707963267948966</v>
      </c>
      <c r="AJ99" s="31" t="str">
        <f t="shared" si="80"/>
        <v>0.999403793230208+0.140464276822042i</v>
      </c>
      <c r="AK99" s="31">
        <f t="shared" si="98"/>
        <v>1.009226513219935</v>
      </c>
      <c r="AL99" s="31">
        <f t="shared" si="99"/>
        <v>0.1396334377937751</v>
      </c>
      <c r="AM99" s="31" t="str">
        <f t="shared" si="81"/>
        <v>1+0.53460051349495i</v>
      </c>
      <c r="AN99" s="31">
        <f t="shared" si="100"/>
        <v>1.133930204655059</v>
      </c>
      <c r="AO99" s="31">
        <f t="shared" si="101"/>
        <v>0.49094336606393552</v>
      </c>
      <c r="AP99" s="31" t="str">
        <f t="shared" si="82"/>
        <v>1+0.0892488336385559i</v>
      </c>
      <c r="AQ99" s="31">
        <f t="shared" si="102"/>
        <v>1.0039747777239441</v>
      </c>
      <c r="AR99" s="31">
        <f t="shared" si="103"/>
        <v>8.9012993552790354E-2</v>
      </c>
      <c r="AS99" s="58" t="str">
        <f t="shared" si="104"/>
        <v>-10.7744118614211+22.8671089086987i</v>
      </c>
      <c r="AT99" s="49">
        <f t="shared" si="105"/>
        <v>28.05495842878971</v>
      </c>
      <c r="AU99" s="61">
        <f t="shared" si="106"/>
        <v>115.22864504332408</v>
      </c>
      <c r="AV99" s="58" t="str">
        <f t="shared" si="83"/>
        <v>-173.202170630331+404.022845383865i</v>
      </c>
      <c r="AW99" s="64">
        <f t="shared" si="107"/>
        <v>52.860823112392204</v>
      </c>
      <c r="AX99" s="49">
        <f t="shared" si="108"/>
        <v>113.20452344105502</v>
      </c>
      <c r="AY99" s="310"/>
      <c r="BA99" s="31">
        <f t="shared" si="109"/>
        <v>0</v>
      </c>
      <c r="BB99" s="31">
        <f t="shared" si="110"/>
        <v>0</v>
      </c>
    </row>
    <row r="100" spans="14:54" x14ac:dyDescent="0.45">
      <c r="N100" s="10">
        <v>82</v>
      </c>
      <c r="O100" s="50">
        <f t="shared" si="84"/>
        <v>66.069344800759623</v>
      </c>
      <c r="P100" s="48" t="str">
        <f t="shared" si="73"/>
        <v>17.4002386318441</v>
      </c>
      <c r="Q100" s="17" t="str">
        <f t="shared" si="74"/>
        <v>1+0.0355523472071584i</v>
      </c>
      <c r="R100" s="17">
        <f t="shared" si="85"/>
        <v>1.0006317851197504</v>
      </c>
      <c r="S100" s="17">
        <f t="shared" si="86"/>
        <v>3.553737953050369E-2</v>
      </c>
      <c r="T100" s="17" t="str">
        <f t="shared" si="75"/>
        <v>1+0.000124537780952135i</v>
      </c>
      <c r="U100" s="17">
        <f t="shared" si="87"/>
        <v>1.0000000077548294</v>
      </c>
      <c r="V100" s="17">
        <f t="shared" si="88"/>
        <v>1.2453778030828883E-4</v>
      </c>
      <c r="W100" s="31" t="str">
        <f t="shared" si="76"/>
        <v>1-0.000307249672734518i</v>
      </c>
      <c r="X100" s="17">
        <f t="shared" si="89"/>
        <v>1.0000000472011796</v>
      </c>
      <c r="Y100" s="17">
        <f t="shared" si="90"/>
        <v>-3.0724966306615369E-4</v>
      </c>
      <c r="Z100" s="31" t="str">
        <f t="shared" si="77"/>
        <v>0.999999996040673+0.000429707059074241i</v>
      </c>
      <c r="AA100" s="17">
        <f t="shared" si="91"/>
        <v>1.0000000883647475</v>
      </c>
      <c r="AB100" s="17">
        <f t="shared" si="92"/>
        <v>4.297070343273889E-4</v>
      </c>
      <c r="AC100" s="66" t="str">
        <f t="shared" si="93"/>
        <v>17.3778908112615-0.628481042127869i</v>
      </c>
      <c r="AD100" s="64">
        <f t="shared" si="94"/>
        <v>24.805617913998542</v>
      </c>
      <c r="AE100" s="61">
        <f t="shared" si="95"/>
        <v>-2.0712308812954241</v>
      </c>
      <c r="AF100" s="31" t="str">
        <f t="shared" si="78"/>
        <v>-9090.90909090909</v>
      </c>
      <c r="AG100" s="31" t="str">
        <f t="shared" si="79"/>
        <v>415.125936507115i</v>
      </c>
      <c r="AH100" s="31">
        <f t="shared" si="96"/>
        <v>415.125936507115</v>
      </c>
      <c r="AI100" s="31">
        <f t="shared" si="97"/>
        <v>1.5707963267948966</v>
      </c>
      <c r="AJ100" s="31" t="str">
        <f t="shared" si="80"/>
        <v>0.999375694870809+0.143736110137779i</v>
      </c>
      <c r="AK100" s="31">
        <f t="shared" si="98"/>
        <v>1.0096592736443579</v>
      </c>
      <c r="AL100" s="31">
        <f t="shared" si="99"/>
        <v>0.14284630893326425</v>
      </c>
      <c r="AM100" s="31" t="str">
        <f t="shared" si="81"/>
        <v>1+0.547052959129076i</v>
      </c>
      <c r="AN100" s="31">
        <f t="shared" si="100"/>
        <v>1.1398539117324986</v>
      </c>
      <c r="AO100" s="31">
        <f t="shared" si="101"/>
        <v>0.50057779228361354</v>
      </c>
      <c r="AP100" s="31" t="str">
        <f t="shared" si="82"/>
        <v>1+0.0913277060315652i</v>
      </c>
      <c r="AQ100" s="31">
        <f t="shared" si="102"/>
        <v>1.0041617150085878</v>
      </c>
      <c r="AR100" s="31">
        <f t="shared" si="103"/>
        <v>9.1075055357768095E-2</v>
      </c>
      <c r="AS100" s="58" t="str">
        <f t="shared" si="104"/>
        <v>-10.7717354427314+22.3673049442765i</v>
      </c>
      <c r="AT100" s="49">
        <f t="shared" si="105"/>
        <v>27.898109223350005</v>
      </c>
      <c r="AU100" s="61">
        <f t="shared" si="106"/>
        <v>115.71472048584992</v>
      </c>
      <c r="AV100" s="58" t="str">
        <f t="shared" si="83"/>
        <v>-173.132615250611+395.4664145804i</v>
      </c>
      <c r="AW100" s="64">
        <f t="shared" si="107"/>
        <v>52.703727137348544</v>
      </c>
      <c r="AX100" s="49">
        <f t="shared" si="108"/>
        <v>113.64348960455449</v>
      </c>
      <c r="AY100" s="310"/>
      <c r="BA100" s="31">
        <f t="shared" si="109"/>
        <v>0</v>
      </c>
      <c r="BB100" s="31">
        <f t="shared" si="110"/>
        <v>0</v>
      </c>
    </row>
    <row r="101" spans="14:54" x14ac:dyDescent="0.45">
      <c r="N101" s="10">
        <v>83</v>
      </c>
      <c r="O101" s="50">
        <f t="shared" si="84"/>
        <v>67.60829753919819</v>
      </c>
      <c r="P101" s="48" t="str">
        <f t="shared" si="73"/>
        <v>17.4002386318441</v>
      </c>
      <c r="Q101" s="17" t="str">
        <f t="shared" si="74"/>
        <v>1+0.0363804677562175i</v>
      </c>
      <c r="R101" s="17">
        <f t="shared" si="85"/>
        <v>1.0006615503926197</v>
      </c>
      <c r="S101" s="17">
        <f t="shared" si="86"/>
        <v>3.6364430174329936E-2</v>
      </c>
      <c r="T101" s="17" t="str">
        <f t="shared" si="75"/>
        <v>1+0.000127438638522515i</v>
      </c>
      <c r="U101" s="17">
        <f t="shared" si="87"/>
        <v>1.0000000081203033</v>
      </c>
      <c r="V101" s="17">
        <f t="shared" si="88"/>
        <v>1.2743863783262142E-4</v>
      </c>
      <c r="W101" s="31" t="str">
        <f t="shared" si="76"/>
        <v>1-0.000314406436989787i</v>
      </c>
      <c r="X101" s="17">
        <f t="shared" si="89"/>
        <v>1.0000000494257026</v>
      </c>
      <c r="Y101" s="17">
        <f t="shared" si="90"/>
        <v>-3.1440642662994799E-4</v>
      </c>
      <c r="Z101" s="31" t="str">
        <f t="shared" si="77"/>
        <v>0.999999995854075+0.000439716222284243i</v>
      </c>
      <c r="AA101" s="17">
        <f t="shared" si="91"/>
        <v>1.0000000925292487</v>
      </c>
      <c r="AB101" s="17">
        <f t="shared" si="92"/>
        <v>4.3971619576751368E-4</v>
      </c>
      <c r="AC101" s="66" t="str">
        <f t="shared" si="93"/>
        <v>17.3768389830633-0.64308198011127i</v>
      </c>
      <c r="AD101" s="64">
        <f t="shared" si="94"/>
        <v>24.80535952952745</v>
      </c>
      <c r="AE101" s="61">
        <f t="shared" si="95"/>
        <v>-2.1194347207912867</v>
      </c>
      <c r="AF101" s="31" t="str">
        <f t="shared" si="78"/>
        <v>-9090.90909090909</v>
      </c>
      <c r="AG101" s="31" t="str">
        <f t="shared" si="79"/>
        <v>424.795461741716i</v>
      </c>
      <c r="AH101" s="31">
        <f t="shared" si="96"/>
        <v>424.795461741716</v>
      </c>
      <c r="AI101" s="31">
        <f t="shared" si="97"/>
        <v>1.5707963267948966</v>
      </c>
      <c r="AJ101" s="31" t="str">
        <f t="shared" si="80"/>
        <v>0.99934627227653+0.147084154241684i</v>
      </c>
      <c r="AK101" s="31">
        <f t="shared" si="98"/>
        <v>1.010112231557458</v>
      </c>
      <c r="AL101" s="31">
        <f t="shared" si="99"/>
        <v>0.14613122927038105</v>
      </c>
      <c r="AM101" s="31" t="str">
        <f t="shared" si="81"/>
        <v>1+0.559795459483233i</v>
      </c>
      <c r="AN101" s="31">
        <f t="shared" si="100"/>
        <v>1.1460239772614025</v>
      </c>
      <c r="AO101" s="31">
        <f t="shared" si="101"/>
        <v>0.51033259844532408</v>
      </c>
      <c r="AP101" s="31" t="str">
        <f t="shared" si="82"/>
        <v>1+0.0934550015831774i</v>
      </c>
      <c r="AQ101" s="31">
        <f t="shared" si="102"/>
        <v>1.0043574250837755</v>
      </c>
      <c r="AR101" s="31">
        <f t="shared" si="103"/>
        <v>9.3184344903056548E-2</v>
      </c>
      <c r="AS101" s="58" t="str">
        <f t="shared" si="104"/>
        <v>-10.7689377831406+21.8793260676654i</v>
      </c>
      <c r="AT101" s="49">
        <f t="shared" si="105"/>
        <v>27.742796302329587</v>
      </c>
      <c r="AU101" s="61">
        <f t="shared" si="106"/>
        <v>116.20627102624678</v>
      </c>
      <c r="AV101" s="58" t="str">
        <f t="shared" si="83"/>
        <v>-173.059897545166+387.118835969038i</v>
      </c>
      <c r="AW101" s="64">
        <f t="shared" si="107"/>
        <v>52.548155831857031</v>
      </c>
      <c r="AX101" s="49">
        <f t="shared" si="108"/>
        <v>114.08683630545546</v>
      </c>
      <c r="AY101" s="310"/>
      <c r="BA101" s="31">
        <f t="shared" si="109"/>
        <v>0</v>
      </c>
      <c r="BB101" s="31">
        <f t="shared" si="110"/>
        <v>0</v>
      </c>
    </row>
    <row r="102" spans="14:54" x14ac:dyDescent="0.45">
      <c r="N102" s="10">
        <v>84</v>
      </c>
      <c r="O102" s="50">
        <f t="shared" si="84"/>
        <v>69.183097091893657</v>
      </c>
      <c r="P102" s="48" t="str">
        <f t="shared" si="73"/>
        <v>17.4002386318441</v>
      </c>
      <c r="Q102" s="17" t="str">
        <f t="shared" si="74"/>
        <v>1+0.0372278777108333i</v>
      </c>
      <c r="R102" s="17">
        <f t="shared" si="85"/>
        <v>1.0006927175106517</v>
      </c>
      <c r="S102" s="17">
        <f t="shared" si="86"/>
        <v>3.7210693774646135E-2</v>
      </c>
      <c r="T102" s="17" t="str">
        <f t="shared" si="75"/>
        <v>1+0.00013040706574589i</v>
      </c>
      <c r="U102" s="17">
        <f t="shared" si="87"/>
        <v>1.0000000085030014</v>
      </c>
      <c r="V102" s="17">
        <f t="shared" si="88"/>
        <v>1.3040706500665568E-4</v>
      </c>
      <c r="W102" s="31" t="str">
        <f t="shared" si="76"/>
        <v>1-0.00032172990369961i</v>
      </c>
      <c r="X102" s="17">
        <f t="shared" si="89"/>
        <v>1.000000051755064</v>
      </c>
      <c r="Y102" s="17">
        <f t="shared" si="90"/>
        <v>-3.2172989259884259E-4</v>
      </c>
      <c r="Z102" s="31" t="str">
        <f t="shared" si="77"/>
        <v>0.999999995658684+0.000449958528855632i</v>
      </c>
      <c r="AA102" s="17">
        <f t="shared" si="91"/>
        <v>1.0000000968900182</v>
      </c>
      <c r="AB102" s="17">
        <f t="shared" si="92"/>
        <v>4.4995850044244457E-4</v>
      </c>
      <c r="AC102" s="66" t="str">
        <f t="shared" si="93"/>
        <v>17.3757377178542-0.658020285860179i</v>
      </c>
      <c r="AD102" s="64">
        <f t="shared" si="94"/>
        <v>24.805088984244996</v>
      </c>
      <c r="AE102" s="61">
        <f t="shared" si="95"/>
        <v>-2.1687584196178777</v>
      </c>
      <c r="AF102" s="31" t="str">
        <f t="shared" si="78"/>
        <v>-9090.90909090909</v>
      </c>
      <c r="AG102" s="31" t="str">
        <f t="shared" si="79"/>
        <v>434.690219152965i</v>
      </c>
      <c r="AH102" s="31">
        <f t="shared" si="96"/>
        <v>434.69021915296503</v>
      </c>
      <c r="AI102" s="31">
        <f t="shared" si="97"/>
        <v>1.5707963267948966</v>
      </c>
      <c r="AJ102" s="31" t="str">
        <f t="shared" si="80"/>
        <v>0.999315463038102+0.150510184311057i</v>
      </c>
      <c r="AK102" s="31">
        <f t="shared" si="98"/>
        <v>1.0105863200382263</v>
      </c>
      <c r="AL102" s="31">
        <f t="shared" si="99"/>
        <v>0.14948968298999682</v>
      </c>
      <c r="AM102" s="31" t="str">
        <f t="shared" si="81"/>
        <v>1+0.572834770799777i</v>
      </c>
      <c r="AN102" s="31">
        <f t="shared" si="100"/>
        <v>1.1524494238955707</v>
      </c>
      <c r="AO102" s="31">
        <f t="shared" si="101"/>
        <v>0.52020553009903658</v>
      </c>
      <c r="AP102" s="31" t="str">
        <f t="shared" si="82"/>
        <v>1+0.0956318482136522i</v>
      </c>
      <c r="AQ102" s="31">
        <f t="shared" si="102"/>
        <v>1.0045623178244141</v>
      </c>
      <c r="AR102" s="31">
        <f t="shared" si="103"/>
        <v>9.5341905444871838E-2</v>
      </c>
      <c r="AS102" s="58" t="str">
        <f t="shared" si="104"/>
        <v>-10.7660136265665+21.4029111879607i</v>
      </c>
      <c r="AT102" s="49">
        <f t="shared" si="105"/>
        <v>27.589055797434536</v>
      </c>
      <c r="AU102" s="61">
        <f t="shared" si="106"/>
        <v>116.70314223069158</v>
      </c>
      <c r="AV102" s="58" t="str">
        <f t="shared" si="83"/>
        <v>-172.983879303922+378.97562656466i</v>
      </c>
      <c r="AW102" s="64">
        <f t="shared" si="107"/>
        <v>52.394144781679529</v>
      </c>
      <c r="AX102" s="49">
        <f t="shared" si="108"/>
        <v>114.53438381107375</v>
      </c>
      <c r="AY102" s="310"/>
      <c r="BA102" s="31">
        <f t="shared" si="109"/>
        <v>0</v>
      </c>
      <c r="BB102" s="31">
        <f t="shared" si="110"/>
        <v>0</v>
      </c>
    </row>
    <row r="103" spans="14:54" x14ac:dyDescent="0.45">
      <c r="N103" s="10">
        <v>85</v>
      </c>
      <c r="O103" s="50">
        <f t="shared" si="84"/>
        <v>70.794578438413865</v>
      </c>
      <c r="P103" s="48" t="str">
        <f t="shared" si="73"/>
        <v>17.4002386318441</v>
      </c>
      <c r="Q103" s="17" t="str">
        <f t="shared" si="74"/>
        <v>1+0.0380950263789806i</v>
      </c>
      <c r="R103" s="17">
        <f t="shared" si="85"/>
        <v>1.0007253524493198</v>
      </c>
      <c r="S103" s="17">
        <f t="shared" si="86"/>
        <v>3.8076614180351562E-2</v>
      </c>
      <c r="T103" s="17" t="str">
        <f t="shared" si="75"/>
        <v>1+0.000133444636521665i</v>
      </c>
      <c r="U103" s="17">
        <f t="shared" si="87"/>
        <v>1.0000000089037355</v>
      </c>
      <c r="V103" s="17">
        <f t="shared" si="88"/>
        <v>1.3344463572956118E-4</v>
      </c>
      <c r="W103" s="31" t="str">
        <f t="shared" si="76"/>
        <v>1-0.000329223955862973i</v>
      </c>
      <c r="X103" s="17">
        <f t="shared" si="89"/>
        <v>1.0000000541942051</v>
      </c>
      <c r="Y103" s="17">
        <f t="shared" si="90"/>
        <v>-3.2922394396828637E-4</v>
      </c>
      <c r="Z103" s="31" t="str">
        <f t="shared" si="77"/>
        <v>0.999999995454084+0.000460439409394927i</v>
      </c>
      <c r="AA103" s="17">
        <f t="shared" si="91"/>
        <v>1.0000001014563036</v>
      </c>
      <c r="AB103" s="17">
        <f t="shared" si="92"/>
        <v>4.6043937894964839E-4</v>
      </c>
      <c r="AC103" s="66" t="str">
        <f t="shared" si="93"/>
        <v>17.3745846986527-0.673303622913269i</v>
      </c>
      <c r="AD103" s="64">
        <f t="shared" si="94"/>
        <v>24.804805706617099</v>
      </c>
      <c r="AE103" s="61">
        <f t="shared" si="95"/>
        <v>-2.219227851895635</v>
      </c>
      <c r="AF103" s="31" t="str">
        <f t="shared" si="78"/>
        <v>-9090.90909090909</v>
      </c>
      <c r="AG103" s="31" t="str">
        <f t="shared" si="79"/>
        <v>444.815455072215i</v>
      </c>
      <c r="AH103" s="31">
        <f t="shared" si="96"/>
        <v>444.815455072215</v>
      </c>
      <c r="AI103" s="31">
        <f t="shared" si="97"/>
        <v>1.5707963267948966</v>
      </c>
      <c r="AJ103" s="31" t="str">
        <f t="shared" si="80"/>
        <v>0.999283201805001+0.154016016872389i</v>
      </c>
      <c r="AK103" s="31">
        <f t="shared" si="98"/>
        <v>1.0110825143690747</v>
      </c>
      <c r="AL103" s="31">
        <f t="shared" si="99"/>
        <v>0.15292317560589705</v>
      </c>
      <c r="AM103" s="31" t="str">
        <f t="shared" si="81"/>
        <v>1+0.586177806694165i</v>
      </c>
      <c r="AN103" s="31">
        <f t="shared" si="100"/>
        <v>1.1591395175132206</v>
      </c>
      <c r="AO103" s="31">
        <f t="shared" si="101"/>
        <v>0.53019412243972952</v>
      </c>
      <c r="AP103" s="31" t="str">
        <f t="shared" si="82"/>
        <v>1+0.0978594001158872i</v>
      </c>
      <c r="AQ103" s="31">
        <f t="shared" si="102"/>
        <v>1.0047768220809241</v>
      </c>
      <c r="AR103" s="31">
        <f t="shared" si="103"/>
        <v>9.7548800557363882E-2</v>
      </c>
      <c r="AS103" s="58" t="str">
        <f t="shared" si="104"/>
        <v>-10.7629575113102+20.937805188655i</v>
      </c>
      <c r="AT103" s="49">
        <f t="shared" si="105"/>
        <v>27.436923342500066</v>
      </c>
      <c r="AU103" s="61">
        <f t="shared" si="106"/>
        <v>117.20516755498336</v>
      </c>
      <c r="AV103" s="58" t="str">
        <f t="shared" si="83"/>
        <v>-172.904416798886+371.032407939803i</v>
      </c>
      <c r="AW103" s="64">
        <f t="shared" si="107"/>
        <v>52.241729049117168</v>
      </c>
      <c r="AX103" s="49">
        <f t="shared" si="108"/>
        <v>114.98593970308774</v>
      </c>
      <c r="AY103" s="310"/>
      <c r="BA103" s="31">
        <f t="shared" si="109"/>
        <v>0</v>
      </c>
      <c r="BB103" s="31">
        <f t="shared" si="110"/>
        <v>0</v>
      </c>
    </row>
    <row r="104" spans="14:54" x14ac:dyDescent="0.45">
      <c r="N104" s="10">
        <v>86</v>
      </c>
      <c r="O104" s="50">
        <f t="shared" si="84"/>
        <v>72.443596007499011</v>
      </c>
      <c r="P104" s="48" t="str">
        <f t="shared" si="73"/>
        <v>17.4002386318441</v>
      </c>
      <c r="Q104" s="17" t="str">
        <f t="shared" si="74"/>
        <v>1+0.0389823735343612i</v>
      </c>
      <c r="R104" s="17">
        <f t="shared" si="85"/>
        <v>1.0007595242846168</v>
      </c>
      <c r="S104" s="17">
        <f t="shared" si="86"/>
        <v>3.89626453166797E-2</v>
      </c>
      <c r="T104" s="17" t="str">
        <f t="shared" si="75"/>
        <v>1+0.000136552961410071i</v>
      </c>
      <c r="U104" s="17">
        <f t="shared" si="87"/>
        <v>1.0000000093233556</v>
      </c>
      <c r="V104" s="17">
        <f t="shared" si="88"/>
        <v>1.3655296056131646E-4</v>
      </c>
      <c r="W104" s="31" t="str">
        <f t="shared" si="76"/>
        <v>1-0.000336892566925528i</v>
      </c>
      <c r="X104" s="17">
        <f t="shared" si="89"/>
        <v>1.0000000567482992</v>
      </c>
      <c r="Y104" s="17">
        <f t="shared" si="90"/>
        <v>-3.368925541801417E-4</v>
      </c>
      <c r="Z104" s="31" t="str">
        <f t="shared" si="77"/>
        <v>0.999999995239842+0.000471164421003716i</v>
      </c>
      <c r="AA104" s="17">
        <f t="shared" si="91"/>
        <v>1.0000001062377921</v>
      </c>
      <c r="AB104" s="17">
        <f t="shared" si="92"/>
        <v>4.7116438838101218E-4</v>
      </c>
      <c r="AC104" s="66" t="str">
        <f t="shared" si="93"/>
        <v>17.3733775005223-0.688939819460434i</v>
      </c>
      <c r="AD104" s="64">
        <f t="shared" si="94"/>
        <v>24.804509098326516</v>
      </c>
      <c r="AE104" s="61">
        <f t="shared" si="95"/>
        <v>-2.2708694794057367</v>
      </c>
      <c r="AF104" s="31" t="str">
        <f t="shared" si="78"/>
        <v>-9090.90909090909</v>
      </c>
      <c r="AG104" s="31" t="str">
        <f t="shared" si="79"/>
        <v>455.176538033571i</v>
      </c>
      <c r="AH104" s="31">
        <f t="shared" si="96"/>
        <v>455.17653803357098</v>
      </c>
      <c r="AI104" s="31">
        <f t="shared" si="97"/>
        <v>1.5707963267948966</v>
      </c>
      <c r="AJ104" s="31" t="str">
        <f t="shared" si="80"/>
        <v>0.999249420146825+0.15760351076451i</v>
      </c>
      <c r="AK104" s="31">
        <f t="shared" si="98"/>
        <v>1.0116018338600743</v>
      </c>
      <c r="AL104" s="31">
        <f t="shared" si="99"/>
        <v>0.15643323358538747</v>
      </c>
      <c r="AM104" s="31" t="str">
        <f t="shared" si="81"/>
        <v>1+0.59983164182064i</v>
      </c>
      <c r="AN104" s="31">
        <f t="shared" si="100"/>
        <v>1.1661037683367825</v>
      </c>
      <c r="AO104" s="31">
        <f t="shared" si="101"/>
        <v>0.54029569829680124</v>
      </c>
      <c r="AP104" s="31" t="str">
        <f t="shared" si="82"/>
        <v>1+0.100138838367386i</v>
      </c>
      <c r="AQ104" s="31">
        <f t="shared" si="102"/>
        <v>1.0050013865411178</v>
      </c>
      <c r="AR104" s="31">
        <f t="shared" si="103"/>
        <v>9.9806114330779627E-2</v>
      </c>
      <c r="AS104" s="58" t="str">
        <f t="shared" si="104"/>
        <v>-10.7597637641312+20.4837587824984i</v>
      </c>
      <c r="AT104" s="49">
        <f t="shared" si="105"/>
        <v>27.286433964792014</v>
      </c>
      <c r="AU104" s="61">
        <f t="shared" si="106"/>
        <v>117.71216826220734</v>
      </c>
      <c r="AV104" s="58" t="str">
        <f t="shared" si="83"/>
        <v>-172.821360613207+363.284903663081i</v>
      </c>
      <c r="AW104" s="64">
        <f t="shared" si="107"/>
        <v>52.09094306311853</v>
      </c>
      <c r="AX104" s="49">
        <f t="shared" si="108"/>
        <v>115.44129878280167</v>
      </c>
      <c r="AY104" s="310"/>
      <c r="BA104" s="31">
        <f t="shared" si="109"/>
        <v>0</v>
      </c>
      <c r="BB104" s="31">
        <f t="shared" si="110"/>
        <v>0</v>
      </c>
    </row>
    <row r="105" spans="14:54" x14ac:dyDescent="0.45">
      <c r="N105" s="10">
        <v>87</v>
      </c>
      <c r="O105" s="50">
        <f t="shared" si="84"/>
        <v>74.131024130091816</v>
      </c>
      <c r="P105" s="48" t="str">
        <f t="shared" si="73"/>
        <v>17.4002386318441</v>
      </c>
      <c r="Q105" s="17" t="str">
        <f t="shared" si="74"/>
        <v>1+0.0398903896601826i</v>
      </c>
      <c r="R105" s="17">
        <f t="shared" si="85"/>
        <v>1.0007953053383301</v>
      </c>
      <c r="S105" s="17">
        <f t="shared" si="86"/>
        <v>3.9869251401254004E-2</v>
      </c>
      <c r="T105" s="17" t="str">
        <f t="shared" si="75"/>
        <v>1+0.000139733688486111i</v>
      </c>
      <c r="U105" s="17">
        <f t="shared" si="87"/>
        <v>1.0000000097627517</v>
      </c>
      <c r="V105" s="17">
        <f t="shared" si="88"/>
        <v>1.3973368757665413E-4</v>
      </c>
      <c r="W105" s="31" t="str">
        <f t="shared" si="76"/>
        <v>1-0.000344739802886368i</v>
      </c>
      <c r="X105" s="17">
        <f t="shared" si="89"/>
        <v>1.000000059422764</v>
      </c>
      <c r="Y105" s="17">
        <f t="shared" si="90"/>
        <v>-3.4473978922944058E-4</v>
      </c>
      <c r="Z105" s="31" t="str">
        <f t="shared" si="77"/>
        <v>0.999999995015502+0.000482139250225123i</v>
      </c>
      <c r="AA105" s="17">
        <f t="shared" si="91"/>
        <v>1.0000001112446242</v>
      </c>
      <c r="AB105" s="17">
        <f t="shared" si="92"/>
        <v>4.8213921526926663E-4</v>
      </c>
      <c r="AC105" s="66" t="str">
        <f t="shared" si="93"/>
        <v>17.3721135856043-0.704936871196112i</v>
      </c>
      <c r="AD105" s="64">
        <f t="shared" si="94"/>
        <v>24.804198533025975</v>
      </c>
      <c r="AE105" s="61">
        <f t="shared" si="95"/>
        <v>-2.3237103642097092</v>
      </c>
      <c r="AF105" s="31" t="str">
        <f t="shared" si="78"/>
        <v>-9090.90909090909</v>
      </c>
      <c r="AG105" s="31" t="str">
        <f t="shared" si="79"/>
        <v>465.778961620368i</v>
      </c>
      <c r="AH105" s="31">
        <f t="shared" si="96"/>
        <v>465.77896162036802</v>
      </c>
      <c r="AI105" s="31">
        <f t="shared" si="97"/>
        <v>1.5707963267948966</v>
      </c>
      <c r="AJ105" s="31" t="str">
        <f t="shared" si="80"/>
        <v>0.999214046408148+0.161274568124168i</v>
      </c>
      <c r="AK105" s="31">
        <f t="shared" si="98"/>
        <v>1.0121453437441588</v>
      </c>
      <c r="AL105" s="31">
        <f t="shared" si="99"/>
        <v>0.16002140391142963</v>
      </c>
      <c r="AM105" s="31" t="str">
        <f t="shared" si="81"/>
        <v>1+0.613803515623321i</v>
      </c>
      <c r="AN105" s="31">
        <f t="shared" si="100"/>
        <v>1.1733519317713457</v>
      </c>
      <c r="AO105" s="31">
        <f t="shared" si="101"/>
        <v>0.5505073668640913</v>
      </c>
      <c r="AP105" s="31" t="str">
        <f t="shared" si="82"/>
        <v>1+0.102471371556481i</v>
      </c>
      <c r="AQ105" s="31">
        <f t="shared" si="102"/>
        <v>1.005236480629641</v>
      </c>
      <c r="AR105" s="31">
        <f t="shared" si="103"/>
        <v>0.10211495155572795</v>
      </c>
      <c r="AS105" s="58" t="str">
        <f t="shared" si="104"/>
        <v>-10.7564264943649+20.0405283688959i</v>
      </c>
      <c r="AT105" s="49">
        <f t="shared" si="105"/>
        <v>27.137621972926851</v>
      </c>
      <c r="AU105" s="61">
        <f t="shared" si="106"/>
        <v>118.22395338561535</v>
      </c>
      <c r="AV105" s="58" t="str">
        <f t="shared" si="83"/>
        <v>-172.734555469824+355.728936778173i</v>
      </c>
      <c r="AW105" s="64">
        <f t="shared" si="107"/>
        <v>51.941820505952819</v>
      </c>
      <c r="AX105" s="49">
        <f t="shared" si="108"/>
        <v>115.90024302140566</v>
      </c>
      <c r="AY105" s="310"/>
      <c r="BA105" s="31">
        <f t="shared" si="109"/>
        <v>0</v>
      </c>
      <c r="BB105" s="31">
        <f t="shared" si="110"/>
        <v>0</v>
      </c>
    </row>
    <row r="106" spans="14:54" x14ac:dyDescent="0.45">
      <c r="N106" s="10">
        <v>88</v>
      </c>
      <c r="O106" s="50">
        <f t="shared" si="84"/>
        <v>75.857757502918361</v>
      </c>
      <c r="P106" s="48" t="str">
        <f t="shared" si="73"/>
        <v>17.4002386318441</v>
      </c>
      <c r="Q106" s="17" t="str">
        <f t="shared" si="74"/>
        <v>1+0.0408195561986135i</v>
      </c>
      <c r="R106" s="17">
        <f t="shared" si="85"/>
        <v>1.0008327713300817</v>
      </c>
      <c r="S106" s="17">
        <f t="shared" si="86"/>
        <v>4.0796907163853126E-2</v>
      </c>
      <c r="T106" s="17" t="str">
        <f t="shared" si="75"/>
        <v>1+0.000142988504213379i</v>
      </c>
      <c r="U106" s="17">
        <f t="shared" si="87"/>
        <v>1.0000000102228561</v>
      </c>
      <c r="V106" s="17">
        <f t="shared" si="88"/>
        <v>1.4298850323887842E-4</v>
      </c>
      <c r="W106" s="31" t="str">
        <f t="shared" si="76"/>
        <v>1-0.000352769824453869i</v>
      </c>
      <c r="X106" s="17">
        <f t="shared" si="89"/>
        <v>1.0000000622232725</v>
      </c>
      <c r="Y106" s="17">
        <f t="shared" si="90"/>
        <v>-3.527698098202077E-4</v>
      </c>
      <c r="Z106" s="31" t="str">
        <f t="shared" si="77"/>
        <v>0.99999999478059+0.000493369716058865i</v>
      </c>
      <c r="AA106" s="17">
        <f t="shared" si="91"/>
        <v>1.0000001164874215</v>
      </c>
      <c r="AB106" s="17">
        <f t="shared" si="92"/>
        <v>4.9336967860299022E-4</v>
      </c>
      <c r="AC106" s="66" t="str">
        <f t="shared" si="93"/>
        <v>17.3707902979255-0.721302944169871i</v>
      </c>
      <c r="AD106" s="64">
        <f t="shared" si="94"/>
        <v>24.803873355032717</v>
      </c>
      <c r="AE106" s="61">
        <f t="shared" si="95"/>
        <v>-2.3777781814873427</v>
      </c>
      <c r="AF106" s="31" t="str">
        <f t="shared" si="78"/>
        <v>-9090.90909090909</v>
      </c>
      <c r="AG106" s="31" t="str">
        <f t="shared" si="79"/>
        <v>476.628347377929i</v>
      </c>
      <c r="AH106" s="31">
        <f t="shared" si="96"/>
        <v>476.628347377929</v>
      </c>
      <c r="AI106" s="31">
        <f t="shared" si="97"/>
        <v>1.5707963267948966</v>
      </c>
      <c r="AJ106" s="31" t="str">
        <f t="shared" si="80"/>
        <v>0.999177005556529+0.165031135394566i</v>
      </c>
      <c r="AK106" s="31">
        <f t="shared" si="98"/>
        <v>1.0127141571453078</v>
      </c>
      <c r="AL106" s="31">
        <f t="shared" si="99"/>
        <v>0.16368925357799208</v>
      </c>
      <c r="AM106" s="31" t="str">
        <f t="shared" si="81"/>
        <v>1+0.628100836174635i</v>
      </c>
      <c r="AN106" s="31">
        <f t="shared" si="100"/>
        <v>1.1808940089623943</v>
      </c>
      <c r="AO106" s="31">
        <f t="shared" si="101"/>
        <v>0.56082602321918829</v>
      </c>
      <c r="AP106" s="31" t="str">
        <f t="shared" si="82"/>
        <v>1+0.104858236423144i</v>
      </c>
      <c r="AQ106" s="31">
        <f t="shared" si="102"/>
        <v>1.0054825954464712</v>
      </c>
      <c r="AR106" s="31">
        <f t="shared" si="103"/>
        <v>0.10447643789203619</v>
      </c>
      <c r="AS106" s="58" t="str">
        <f t="shared" si="104"/>
        <v>-10.7529395881112+19.6078758937468i</v>
      </c>
      <c r="AT106" s="49">
        <f t="shared" si="105"/>
        <v>26.990520841861962</v>
      </c>
      <c r="AU106" s="61">
        <f t="shared" si="106"/>
        <v>118.74031973967398</v>
      </c>
      <c r="AV106" s="58" t="str">
        <f t="shared" si="83"/>
        <v>-172.643840060264+348.36042732141i</v>
      </c>
      <c r="AW106" s="64">
        <f t="shared" si="107"/>
        <v>51.794394196894686</v>
      </c>
      <c r="AX106" s="49">
        <f t="shared" si="108"/>
        <v>116.36254155818662</v>
      </c>
      <c r="AY106" s="310"/>
      <c r="BA106" s="31">
        <f t="shared" si="109"/>
        <v>0</v>
      </c>
      <c r="BB106" s="31">
        <f t="shared" si="110"/>
        <v>0</v>
      </c>
    </row>
    <row r="107" spans="14:54" x14ac:dyDescent="0.45">
      <c r="N107" s="10">
        <v>89</v>
      </c>
      <c r="O107" s="50">
        <f t="shared" si="84"/>
        <v>77.624711662869217</v>
      </c>
      <c r="P107" s="48" t="str">
        <f t="shared" si="73"/>
        <v>17.4002386318441</v>
      </c>
      <c r="Q107" s="17" t="str">
        <f t="shared" si="74"/>
        <v>1+0.0417703658060517i</v>
      </c>
      <c r="R107" s="17">
        <f t="shared" si="85"/>
        <v>1.0008720015364458</v>
      </c>
      <c r="S107" s="17">
        <f t="shared" si="86"/>
        <v>4.1746098069882255E-2</v>
      </c>
      <c r="T107" s="17" t="str">
        <f t="shared" si="75"/>
        <v>1+0.000146319134338258i</v>
      </c>
      <c r="U107" s="17">
        <f t="shared" si="87"/>
        <v>1.0000000107046445</v>
      </c>
      <c r="V107" s="17">
        <f t="shared" si="88"/>
        <v>1.463191332940618E-4</v>
      </c>
      <c r="W107" s="31" t="str">
        <f t="shared" si="76"/>
        <v>1-0.000360986889251756i</v>
      </c>
      <c r="X107" s="17">
        <f t="shared" si="89"/>
        <v>1.000000065155765</v>
      </c>
      <c r="Y107" s="17">
        <f t="shared" si="90"/>
        <v>-3.6098687357150543E-4</v>
      </c>
      <c r="Z107" s="31" t="str">
        <f t="shared" si="77"/>
        <v>0.999999994534607+0.000504861773046582i</v>
      </c>
      <c r="AA107" s="17">
        <f t="shared" si="91"/>
        <v>1.0000001219773045</v>
      </c>
      <c r="AB107" s="17">
        <f t="shared" si="92"/>
        <v>5.0486173291188928E-4</v>
      </c>
      <c r="AC107" s="66" t="str">
        <f t="shared" si="93"/>
        <v>17.3694048579752-0.738046377629481i</v>
      </c>
      <c r="AD107" s="64">
        <f t="shared" si="94"/>
        <v>24.80353287796386</v>
      </c>
      <c r="AE107" s="61">
        <f t="shared" si="95"/>
        <v>-2.4331012325925117</v>
      </c>
      <c r="AF107" s="31" t="str">
        <f t="shared" si="78"/>
        <v>-9090.90909090909</v>
      </c>
      <c r="AG107" s="31" t="str">
        <f t="shared" si="79"/>
        <v>487.730447794192i</v>
      </c>
      <c r="AH107" s="31">
        <f t="shared" si="96"/>
        <v>487.730447794192</v>
      </c>
      <c r="AI107" s="31">
        <f t="shared" si="97"/>
        <v>1.5707963267948966</v>
      </c>
      <c r="AJ107" s="31" t="str">
        <f t="shared" si="80"/>
        <v>0.999138219023354+0.168875204357396i</v>
      </c>
      <c r="AK107" s="31">
        <f t="shared" si="98"/>
        <v>1.0133094371217075</v>
      </c>
      <c r="AL107" s="31">
        <f t="shared" si="99"/>
        <v>0.16743836901410197</v>
      </c>
      <c r="AM107" s="31" t="str">
        <f t="shared" si="81"/>
        <v>1+0.642731184103186i</v>
      </c>
      <c r="AN107" s="31">
        <f t="shared" si="100"/>
        <v>1.1887402470761574</v>
      </c>
      <c r="AO107" s="31">
        <f t="shared" si="101"/>
        <v>0.57124834867733365</v>
      </c>
      <c r="AP107" s="31" t="str">
        <f t="shared" si="82"/>
        <v>1+0.107300698514722i</v>
      </c>
      <c r="AQ107" s="31">
        <f t="shared" si="102"/>
        <v>1.0057402447460018</v>
      </c>
      <c r="AR107" s="31">
        <f t="shared" si="103"/>
        <v>0.10689172002058102</v>
      </c>
      <c r="AS107" s="58" t="str">
        <f t="shared" si="104"/>
        <v>-10.749296702522+19.1855687116249i</v>
      </c>
      <c r="AT107" s="49">
        <f t="shared" si="105"/>
        <v>26.845163095458219</v>
      </c>
      <c r="AU107" s="61">
        <f t="shared" si="106"/>
        <v>119.26105198204002</v>
      </c>
      <c r="AV107" s="58" t="str">
        <f t="shared" si="83"/>
        <v>-172.549046874226+341.175389876075i</v>
      </c>
      <c r="AW107" s="64">
        <f t="shared" si="107"/>
        <v>51.648695973422072</v>
      </c>
      <c r="AX107" s="49">
        <f t="shared" si="108"/>
        <v>116.82795074944751</v>
      </c>
      <c r="AY107" s="310"/>
      <c r="BA107" s="31">
        <f t="shared" si="109"/>
        <v>0</v>
      </c>
      <c r="BB107" s="31">
        <f t="shared" si="110"/>
        <v>0</v>
      </c>
    </row>
    <row r="108" spans="14:54" x14ac:dyDescent="0.45">
      <c r="N108" s="10">
        <v>90</v>
      </c>
      <c r="O108" s="50">
        <f t="shared" si="84"/>
        <v>79.432823472428197</v>
      </c>
      <c r="P108" s="48" t="str">
        <f t="shared" si="73"/>
        <v>17.4002386318441</v>
      </c>
      <c r="Q108" s="17" t="str">
        <f t="shared" si="74"/>
        <v>1+0.0427433226143363i</v>
      </c>
      <c r="R108" s="17">
        <f t="shared" si="85"/>
        <v>1.0009130789574654</v>
      </c>
      <c r="S108" s="17">
        <f t="shared" si="86"/>
        <v>4.2717320547534014E-2</v>
      </c>
      <c r="T108" s="17" t="str">
        <f t="shared" si="75"/>
        <v>1+0.000149727344804925i</v>
      </c>
      <c r="U108" s="17">
        <f t="shared" si="87"/>
        <v>1.0000000112091387</v>
      </c>
      <c r="V108" s="17">
        <f t="shared" si="88"/>
        <v>1.4972734368604861E-4</v>
      </c>
      <c r="W108" s="31" t="str">
        <f t="shared" si="76"/>
        <v>1-0.000369395354076551i</v>
      </c>
      <c r="X108" s="17">
        <f t="shared" si="89"/>
        <v>1.0000000682264616</v>
      </c>
      <c r="Y108" s="17">
        <f t="shared" si="90"/>
        <v>-3.6939533727485991E-4</v>
      </c>
      <c r="Z108" s="31" t="str">
        <f t="shared" si="77"/>
        <v>0.999999994277031+0.000516621514429004i</v>
      </c>
      <c r="AA108" s="17">
        <f t="shared" si="91"/>
        <v>1.0000001277259176</v>
      </c>
      <c r="AB108" s="17">
        <f t="shared" si="92"/>
        <v>5.1662147142390619E-4</v>
      </c>
      <c r="AC108" s="66" t="str">
        <f t="shared" si="93"/>
        <v>17.3679543570404-0.755175686851128i</v>
      </c>
      <c r="AD108" s="64">
        <f t="shared" si="94"/>
        <v>24.803176383309125</v>
      </c>
      <c r="AE108" s="61">
        <f t="shared" si="95"/>
        <v>-2.4897084583263491</v>
      </c>
      <c r="AF108" s="31" t="str">
        <f t="shared" si="78"/>
        <v>-9090.90909090909</v>
      </c>
      <c r="AG108" s="31" t="str">
        <f t="shared" si="79"/>
        <v>499.091149349751i</v>
      </c>
      <c r="AH108" s="31">
        <f t="shared" si="96"/>
        <v>499.09114934975099</v>
      </c>
      <c r="AI108" s="31">
        <f t="shared" si="97"/>
        <v>1.5707963267948966</v>
      </c>
      <c r="AJ108" s="31" t="str">
        <f t="shared" si="80"/>
        <v>0.999097604537187+0.172808813188903i</v>
      </c>
      <c r="AK108" s="31">
        <f t="shared" si="98"/>
        <v>1.0139323987858868</v>
      </c>
      <c r="AL108" s="31">
        <f t="shared" si="99"/>
        <v>0.17127035543186073</v>
      </c>
      <c r="AM108" s="31" t="str">
        <f t="shared" si="81"/>
        <v>1+0.657702316613102i</v>
      </c>
      <c r="AN108" s="31">
        <f t="shared" si="100"/>
        <v>1.1969011393086069</v>
      </c>
      <c r="AO108" s="31">
        <f t="shared" si="101"/>
        <v>0.58177081202095682</v>
      </c>
      <c r="AP108" s="31" t="str">
        <f t="shared" si="82"/>
        <v>1+0.109800052856945i</v>
      </c>
      <c r="AQ108" s="31">
        <f t="shared" si="102"/>
        <v>1.0060099659582842</v>
      </c>
      <c r="AR108" s="31">
        <f t="shared" si="103"/>
        <v>0.10936196577636807</v>
      </c>
      <c r="AS108" s="58" t="str">
        <f t="shared" si="104"/>
        <v>-10.7454912602236+18.7733794502079i</v>
      </c>
      <c r="AT108" s="49">
        <f t="shared" si="105"/>
        <v>26.701580187173168</v>
      </c>
      <c r="AU108" s="61">
        <f t="shared" si="106"/>
        <v>119.78592272898857</v>
      </c>
      <c r="AV108" s="58" t="str">
        <f t="shared" si="83"/>
        <v>-172.450002030712+334.169931161603i</v>
      </c>
      <c r="AW108" s="64">
        <f t="shared" si="107"/>
        <v>51.504756570482286</v>
      </c>
      <c r="AX108" s="49">
        <f t="shared" si="108"/>
        <v>117.29621427066218</v>
      </c>
      <c r="AY108" s="310"/>
      <c r="BA108" s="31">
        <f t="shared" si="109"/>
        <v>0</v>
      </c>
      <c r="BB108" s="31">
        <f t="shared" si="110"/>
        <v>0</v>
      </c>
    </row>
    <row r="109" spans="14:54" x14ac:dyDescent="0.45">
      <c r="N109" s="10">
        <v>91</v>
      </c>
      <c r="O109" s="50">
        <f t="shared" si="84"/>
        <v>81.283051616409963</v>
      </c>
      <c r="P109" s="48" t="str">
        <f t="shared" si="73"/>
        <v>17.4002386318441</v>
      </c>
      <c r="Q109" s="17" t="str">
        <f t="shared" si="74"/>
        <v>1+0.0437389424980458i</v>
      </c>
      <c r="R109" s="17">
        <f t="shared" si="85"/>
        <v>1.0009560904909103</v>
      </c>
      <c r="S109" s="17">
        <f t="shared" si="86"/>
        <v>4.3711082218621612E-2</v>
      </c>
      <c r="T109" s="17" t="str">
        <f t="shared" si="75"/>
        <v>1+0.000153214942691684i</v>
      </c>
      <c r="U109" s="17">
        <f t="shared" si="87"/>
        <v>1.0000000117374093</v>
      </c>
      <c r="V109" s="17">
        <f t="shared" si="88"/>
        <v>1.5321494149278636E-4</v>
      </c>
      <c r="W109" s="31" t="str">
        <f t="shared" si="76"/>
        <v>1-0.000377999677207602i</v>
      </c>
      <c r="X109" s="17">
        <f t="shared" si="89"/>
        <v>1.0000000714418755</v>
      </c>
      <c r="Y109" s="17">
        <f t="shared" si="90"/>
        <v>-3.7799965920426567E-4</v>
      </c>
      <c r="Z109" s="31" t="str">
        <f t="shared" si="77"/>
        <v>0.999999994007316+0.00052865517537667i</v>
      </c>
      <c r="AA109" s="17">
        <f t="shared" si="91"/>
        <v>1.0000001337454545</v>
      </c>
      <c r="AB109" s="17">
        <f t="shared" si="92"/>
        <v>5.2865512929587766E-4</v>
      </c>
      <c r="AC109" s="66" t="str">
        <f t="shared" si="93"/>
        <v>17.3664357512872-0.772699565950938i</v>
      </c>
      <c r="AD109" s="64">
        <f t="shared" si="94"/>
        <v>24.802803118937305</v>
      </c>
      <c r="AE109" s="61">
        <f t="shared" si="95"/>
        <v>-2.5476294524268672</v>
      </c>
      <c r="AF109" s="31" t="str">
        <f t="shared" si="78"/>
        <v>-9090.90909090909</v>
      </c>
      <c r="AG109" s="31" t="str">
        <f t="shared" si="79"/>
        <v>510.716475638947i</v>
      </c>
      <c r="AH109" s="31">
        <f t="shared" si="96"/>
        <v>510.71647563894697</v>
      </c>
      <c r="AI109" s="31">
        <f t="shared" si="97"/>
        <v>1.5707963267948966</v>
      </c>
      <c r="AJ109" s="31" t="str">
        <f t="shared" si="80"/>
        <v>0.999055075949257+0.176834047540558i</v>
      </c>
      <c r="AK109" s="31">
        <f t="shared" si="98"/>
        <v>1.0145843115037567</v>
      </c>
      <c r="AL109" s="31">
        <f t="shared" si="99"/>
        <v>0.1751868360935252</v>
      </c>
      <c r="AM109" s="31" t="str">
        <f t="shared" si="81"/>
        <v>1+0.673022171597004i</v>
      </c>
      <c r="AN109" s="31">
        <f t="shared" si="100"/>
        <v>1.2053874246320753</v>
      </c>
      <c r="AO109" s="31">
        <f t="shared" si="101"/>
        <v>0.59238967164095602</v>
      </c>
      <c r="AP109" s="31" t="str">
        <f t="shared" si="82"/>
        <v>1+0.112357624640568i</v>
      </c>
      <c r="AQ109" s="31">
        <f t="shared" si="102"/>
        <v>1.0062923212540533</v>
      </c>
      <c r="AR109" s="31">
        <f t="shared" si="103"/>
        <v>0.11188836426102647</v>
      </c>
      <c r="AS109" s="58" t="str">
        <f t="shared" si="104"/>
        <v>-10.7415164439089+18.3710858768601i</v>
      </c>
      <c r="AT109" s="49">
        <f t="shared" si="105"/>
        <v>26.559802379489636</v>
      </c>
      <c r="AU109" s="61">
        <f t="shared" si="106"/>
        <v>120.31469272653754</v>
      </c>
      <c r="AV109" s="58" t="str">
        <f t="shared" si="83"/>
        <v>-172.346525111442+327.340247655734i</v>
      </c>
      <c r="AW109" s="64">
        <f t="shared" si="107"/>
        <v>51.362605498426952</v>
      </c>
      <c r="AX109" s="49">
        <f t="shared" si="108"/>
        <v>117.7670632741107</v>
      </c>
      <c r="AY109" s="310"/>
      <c r="BA109" s="31">
        <f t="shared" si="109"/>
        <v>0</v>
      </c>
      <c r="BB109" s="31">
        <f t="shared" si="110"/>
        <v>0</v>
      </c>
    </row>
    <row r="110" spans="14:54" x14ac:dyDescent="0.45">
      <c r="N110" s="10">
        <v>92</v>
      </c>
      <c r="O110" s="50">
        <f t="shared" si="84"/>
        <v>83.176377110267126</v>
      </c>
      <c r="P110" s="48" t="str">
        <f t="shared" si="73"/>
        <v>17.4002386318441</v>
      </c>
      <c r="Q110" s="17" t="str">
        <f t="shared" si="74"/>
        <v>1+0.0447577533480212i</v>
      </c>
      <c r="R110" s="17">
        <f t="shared" si="85"/>
        <v>1.0010011271146313</v>
      </c>
      <c r="S110" s="17">
        <f t="shared" si="86"/>
        <v>4.4727902133053193E-2</v>
      </c>
      <c r="T110" s="17" t="str">
        <f t="shared" si="75"/>
        <v>1+0.000156783777169098i</v>
      </c>
      <c r="U110" s="17">
        <f t="shared" si="87"/>
        <v>1.0000000122905763</v>
      </c>
      <c r="V110" s="17">
        <f t="shared" si="88"/>
        <v>1.5678377588445604E-4</v>
      </c>
      <c r="W110" s="31" t="str">
        <f t="shared" si="76"/>
        <v>1-0.000386804420770926i</v>
      </c>
      <c r="X110" s="17">
        <f t="shared" si="89"/>
        <v>1.0000000748088271</v>
      </c>
      <c r="Y110" s="17">
        <f t="shared" si="90"/>
        <v>-3.8680440148000363E-4</v>
      </c>
      <c r="Z110" s="31" t="str">
        <f t="shared" si="77"/>
        <v>0.999999993724889+0.0005409691362959i</v>
      </c>
      <c r="AA110" s="17">
        <f t="shared" si="91"/>
        <v>1.0000001400486824</v>
      </c>
      <c r="AB110" s="17">
        <f t="shared" si="92"/>
        <v>5.40969086919442E-4</v>
      </c>
      <c r="AC110" s="66" t="str">
        <f t="shared" si="93"/>
        <v>17.3648458555821-0.790626890671595i</v>
      </c>
      <c r="AD110" s="64">
        <f t="shared" si="94"/>
        <v>24.80241229753554</v>
      </c>
      <c r="AE110" s="61">
        <f t="shared" si="95"/>
        <v>-2.6068944752732435</v>
      </c>
      <c r="AF110" s="31" t="str">
        <f t="shared" si="78"/>
        <v>-9090.90909090909</v>
      </c>
      <c r="AG110" s="31" t="str">
        <f t="shared" si="79"/>
        <v>522.612590563659i</v>
      </c>
      <c r="AH110" s="31">
        <f t="shared" si="96"/>
        <v>522.61259056365896</v>
      </c>
      <c r="AI110" s="31">
        <f t="shared" si="97"/>
        <v>1.5707963267948966</v>
      </c>
      <c r="AJ110" s="31" t="str">
        <f t="shared" si="80"/>
        <v>0.999010543050727+0.180953041644895i</v>
      </c>
      <c r="AK110" s="31">
        <f t="shared" si="98"/>
        <v>1.0152665011744686</v>
      </c>
      <c r="AL110" s="31">
        <f t="shared" si="99"/>
        <v>0.17918945149251655</v>
      </c>
      <c r="AM110" s="31" t="str">
        <f t="shared" si="81"/>
        <v>1+0.688698871844789i</v>
      </c>
      <c r="AN110" s="31">
        <f t="shared" si="100"/>
        <v>1.2142100872914394</v>
      </c>
      <c r="AO110" s="31">
        <f t="shared" si="101"/>
        <v>0.60310097862014012</v>
      </c>
      <c r="AP110" s="31" t="str">
        <f t="shared" si="82"/>
        <v>1+0.114974769924005i</v>
      </c>
      <c r="AQ110" s="31">
        <f t="shared" si="102"/>
        <v>1.0065878986551935</v>
      </c>
      <c r="AR110" s="31">
        <f t="shared" si="103"/>
        <v>0.11447212593275052</v>
      </c>
      <c r="AS110" s="58" t="str">
        <f t="shared" si="104"/>
        <v>-10.7373651911425+17.978470767278i</v>
      </c>
      <c r="AT110" s="49">
        <f t="shared" si="105"/>
        <v>26.419858622733699</v>
      </c>
      <c r="AU110" s="61">
        <f t="shared" si="106"/>
        <v>120.84711107919512</v>
      </c>
      <c r="AV110" s="58" t="str">
        <f t="shared" si="83"/>
        <v>-172.238428997519+320.68262324795i</v>
      </c>
      <c r="AW110" s="64">
        <f t="shared" si="107"/>
        <v>51.222270920269246</v>
      </c>
      <c r="AX110" s="49">
        <f t="shared" si="108"/>
        <v>118.24021660392182</v>
      </c>
      <c r="AY110" s="310"/>
      <c r="BA110" s="31">
        <f t="shared" si="109"/>
        <v>0</v>
      </c>
      <c r="BB110" s="31">
        <f t="shared" si="110"/>
        <v>0</v>
      </c>
    </row>
    <row r="111" spans="14:54" x14ac:dyDescent="0.45">
      <c r="N111" s="10">
        <v>93</v>
      </c>
      <c r="O111" s="50">
        <f t="shared" si="84"/>
        <v>85.113803820237734</v>
      </c>
      <c r="P111" s="48" t="str">
        <f t="shared" si="73"/>
        <v>17.4002386318441</v>
      </c>
      <c r="Q111" s="17" t="str">
        <f t="shared" si="74"/>
        <v>1+0.0458002953512606i</v>
      </c>
      <c r="R111" s="17">
        <f t="shared" si="85"/>
        <v>1.001048284077378</v>
      </c>
      <c r="S111" s="17">
        <f t="shared" si="86"/>
        <v>4.5768311006912303E-2</v>
      </c>
      <c r="T111" s="17" t="str">
        <f t="shared" si="75"/>
        <v>1+0.000160435740480445i</v>
      </c>
      <c r="U111" s="17">
        <f t="shared" si="87"/>
        <v>1.0000000128698134</v>
      </c>
      <c r="V111" s="17">
        <f t="shared" si="88"/>
        <v>1.6043573910392634E-4</v>
      </c>
      <c r="W111" s="31" t="str">
        <f t="shared" si="76"/>
        <v>1-0.000395814253158105i</v>
      </c>
      <c r="X111" s="17">
        <f t="shared" si="89"/>
        <v>1.0000000783344585</v>
      </c>
      <c r="Y111" s="17">
        <f t="shared" si="90"/>
        <v>-3.9581423248750936E-4</v>
      </c>
      <c r="Z111" s="31" t="str">
        <f t="shared" si="77"/>
        <v>0.999999993429152+0.000553569926211767i</v>
      </c>
      <c r="AA111" s="17">
        <f t="shared" si="91"/>
        <v>1.000000146648973</v>
      </c>
      <c r="AB111" s="17">
        <f t="shared" si="92"/>
        <v>5.5356987330393943E-4</v>
      </c>
      <c r="AC111" s="66" t="str">
        <f t="shared" si="93"/>
        <v>17.3631813370383-0.808966721137148i</v>
      </c>
      <c r="AD111" s="64">
        <f t="shared" si="94"/>
        <v>24.802003094976381</v>
      </c>
      <c r="AE111" s="61">
        <f t="shared" si="95"/>
        <v>-2.6675344678031609</v>
      </c>
      <c r="AF111" s="31" t="str">
        <f t="shared" si="78"/>
        <v>-9090.90909090909</v>
      </c>
      <c r="AG111" s="31" t="str">
        <f t="shared" si="79"/>
        <v>534.785801601484i</v>
      </c>
      <c r="AH111" s="31">
        <f t="shared" si="96"/>
        <v>534.78580160148397</v>
      </c>
      <c r="AI111" s="31">
        <f t="shared" si="97"/>
        <v>1.5707963267948966</v>
      </c>
      <c r="AJ111" s="31" t="str">
        <f t="shared" si="80"/>
        <v>0.998963911381349+0.185167979447109i</v>
      </c>
      <c r="AK111" s="31">
        <f t="shared" si="98"/>
        <v>1.0159803525929272</v>
      </c>
      <c r="AL111" s="31">
        <f t="shared" si="99"/>
        <v>0.1832798584430545</v>
      </c>
      <c r="AM111" s="31" t="str">
        <f t="shared" si="81"/>
        <v>1+0.704740729350435i</v>
      </c>
      <c r="AN111" s="31">
        <f t="shared" si="100"/>
        <v>1.2233803560648597</v>
      </c>
      <c r="AO111" s="31">
        <f t="shared" si="101"/>
        <v>0.61390058078280296</v>
      </c>
      <c r="AP111" s="31" t="str">
        <f t="shared" si="82"/>
        <v>1+0.117652876352326i</v>
      </c>
      <c r="AQ111" s="31">
        <f t="shared" si="102"/>
        <v>1.0068973131923511</v>
      </c>
      <c r="AR111" s="31">
        <f t="shared" si="103"/>
        <v>0.11711448267159884</v>
      </c>
      <c r="AS111" s="58" t="str">
        <f t="shared" si="104"/>
        <v>-10.7330301894193+17.5953217761077i</v>
      </c>
      <c r="AT111" s="49">
        <f t="shared" si="105"/>
        <v>26.281776433975708</v>
      </c>
      <c r="AU111" s="61">
        <f t="shared" si="106"/>
        <v>121.38291553788308</v>
      </c>
      <c r="AV111" s="58" t="str">
        <f t="shared" si="83"/>
        <v>-172.125519710223+314.193426922297i</v>
      </c>
      <c r="AW111" s="64">
        <f t="shared" si="107"/>
        <v>51.083779528952078</v>
      </c>
      <c r="AX111" s="49">
        <f t="shared" si="108"/>
        <v>118.71538107007993</v>
      </c>
      <c r="AY111" s="310"/>
      <c r="BA111" s="31">
        <f t="shared" si="109"/>
        <v>0</v>
      </c>
      <c r="BB111" s="31">
        <f t="shared" si="110"/>
        <v>0</v>
      </c>
    </row>
    <row r="112" spans="14:54" x14ac:dyDescent="0.45">
      <c r="N112" s="10">
        <v>94</v>
      </c>
      <c r="O112" s="50">
        <f t="shared" si="84"/>
        <v>87.096358995608071</v>
      </c>
      <c r="P112" s="48" t="str">
        <f t="shared" si="73"/>
        <v>17.4002386318441</v>
      </c>
      <c r="Q112" s="17" t="str">
        <f t="shared" si="74"/>
        <v>1+0.0468671212773336i</v>
      </c>
      <c r="R112" s="17">
        <f t="shared" si="85"/>
        <v>1.0010976610984685</v>
      </c>
      <c r="S112" s="17">
        <f t="shared" si="86"/>
        <v>4.6832851464098019E-2</v>
      </c>
      <c r="T112" s="17" t="str">
        <f t="shared" si="75"/>
        <v>1+0.000164172768945013i</v>
      </c>
      <c r="U112" s="17">
        <f t="shared" si="87"/>
        <v>1.0000000134763489</v>
      </c>
      <c r="V112" s="17">
        <f t="shared" si="88"/>
        <v>1.6417276747004666E-4</v>
      </c>
      <c r="W112" s="31" t="str">
        <f t="shared" si="76"/>
        <v>1-0.000405033951501529i</v>
      </c>
      <c r="X112" s="17">
        <f t="shared" si="89"/>
        <v>1.0000000820262476</v>
      </c>
      <c r="Y112" s="17">
        <f t="shared" si="90"/>
        <v>-4.0503392935258681E-4</v>
      </c>
      <c r="Z112" s="31" t="str">
        <f t="shared" si="77"/>
        <v>0.999999993119478+0.000566464226229874i</v>
      </c>
      <c r="AA112" s="17">
        <f t="shared" si="91"/>
        <v>1.0000001535603262</v>
      </c>
      <c r="AB112" s="17">
        <f t="shared" si="92"/>
        <v>5.6646416953811567E-4</v>
      </c>
      <c r="AC112" s="66" t="str">
        <f t="shared" si="93"/>
        <v>17.3614387082785-0.827728304568576i</v>
      </c>
      <c r="AD112" s="64">
        <f t="shared" si="94"/>
        <v>24.801574648610831</v>
      </c>
      <c r="AE112" s="61">
        <f t="shared" si="95"/>
        <v>-2.7295810656402963</v>
      </c>
      <c r="AF112" s="31" t="str">
        <f t="shared" si="78"/>
        <v>-9090.90909090909</v>
      </c>
      <c r="AG112" s="31" t="str">
        <f t="shared" si="79"/>
        <v>547.242563150043i</v>
      </c>
      <c r="AH112" s="31">
        <f t="shared" si="96"/>
        <v>547.242563150043</v>
      </c>
      <c r="AI112" s="31">
        <f t="shared" si="97"/>
        <v>1.5707963267948966</v>
      </c>
      <c r="AJ112" s="31" t="str">
        <f t="shared" si="80"/>
        <v>0.9989150820291+0.189481095763013i</v>
      </c>
      <c r="AK112" s="31">
        <f t="shared" si="98"/>
        <v>1.0167273118967324</v>
      </c>
      <c r="AL112" s="31">
        <f t="shared" si="99"/>
        <v>0.18745972907291281</v>
      </c>
      <c r="AM112" s="31" t="str">
        <f t="shared" si="81"/>
        <v>1+0.721156249719126i</v>
      </c>
      <c r="AN112" s="31">
        <f t="shared" si="100"/>
        <v>1.2329097033071621</v>
      </c>
      <c r="AO112" s="31">
        <f t="shared" si="101"/>
        <v>0.6247841277273517</v>
      </c>
      <c r="AP112" s="31" t="str">
        <f t="shared" si="82"/>
        <v>1+0.120393363893009i</v>
      </c>
      <c r="AQ112" s="31">
        <f t="shared" si="102"/>
        <v>1.0072212081114429</v>
      </c>
      <c r="AR112" s="31">
        <f t="shared" si="103"/>
        <v>0.11981668781793899</v>
      </c>
      <c r="AS112" s="58" t="str">
        <f t="shared" si="104"/>
        <v>-10.7285038715294+17.2214313094482i</v>
      </c>
      <c r="AT112" s="49">
        <f t="shared" si="105"/>
        <v>26.145581776748188</v>
      </c>
      <c r="AU112" s="61">
        <f t="shared" si="106"/>
        <v>121.92183284820057</v>
      </c>
      <c r="AV112" s="58" t="str">
        <f t="shared" si="83"/>
        <v>-172.007596257073+307.869110467952i</v>
      </c>
      <c r="AW112" s="64">
        <f t="shared" si="107"/>
        <v>50.947156425359026</v>
      </c>
      <c r="AX112" s="49">
        <f t="shared" si="108"/>
        <v>119.19225178256031</v>
      </c>
      <c r="AY112" s="310"/>
      <c r="BA112" s="31">
        <f t="shared" si="109"/>
        <v>0</v>
      </c>
      <c r="BB112" s="31">
        <f t="shared" si="110"/>
        <v>0</v>
      </c>
    </row>
    <row r="113" spans="14:54" x14ac:dyDescent="0.45">
      <c r="N113" s="10">
        <v>95</v>
      </c>
      <c r="O113" s="50">
        <f t="shared" si="84"/>
        <v>89.125093813374562</v>
      </c>
      <c r="P113" s="48" t="str">
        <f t="shared" si="73"/>
        <v>17.4002386318441</v>
      </c>
      <c r="Q113" s="17" t="str">
        <f t="shared" si="74"/>
        <v>1+0.0479587967714677i</v>
      </c>
      <c r="R113" s="17">
        <f t="shared" si="85"/>
        <v>1.0011493625767172</v>
      </c>
      <c r="S113" s="17">
        <f t="shared" si="86"/>
        <v>4.792207828146916E-2</v>
      </c>
      <c r="T113" s="17" t="str">
        <f t="shared" si="75"/>
        <v>1+0.000167996843984759i</v>
      </c>
      <c r="U113" s="17">
        <f t="shared" si="87"/>
        <v>1.0000000141114698</v>
      </c>
      <c r="V113" s="17">
        <f t="shared" si="88"/>
        <v>1.6799684240430409E-4</v>
      </c>
      <c r="W113" s="31" t="str">
        <f t="shared" si="76"/>
        <v>1-0.000414468404207297i</v>
      </c>
      <c r="X113" s="17">
        <f t="shared" si="89"/>
        <v>1.0000000858920253</v>
      </c>
      <c r="Y113" s="17">
        <f t="shared" si="90"/>
        <v>-4.1446838047427798E-4</v>
      </c>
      <c r="Z113" s="31" t="str">
        <f t="shared" si="77"/>
        <v>0.999999992795209+0.00057965887307877i</v>
      </c>
      <c r="AA113" s="17">
        <f t="shared" si="91"/>
        <v>1.0000001607974007</v>
      </c>
      <c r="AB113" s="17">
        <f t="shared" si="92"/>
        <v>5.7965881233245709E-4</v>
      </c>
      <c r="AC113" s="66" t="str">
        <f t="shared" si="93"/>
        <v>17.3596143204013-0.846921077952175i</v>
      </c>
      <c r="AD113" s="64">
        <f t="shared" si="94"/>
        <v>24.801126055483373</v>
      </c>
      <c r="AE113" s="61">
        <f t="shared" si="95"/>
        <v>-2.7930666134294557</v>
      </c>
      <c r="AF113" s="31" t="str">
        <f t="shared" si="78"/>
        <v>-9090.90909090909</v>
      </c>
      <c r="AG113" s="31" t="str">
        <f t="shared" si="79"/>
        <v>559.989479949197i</v>
      </c>
      <c r="AH113" s="31">
        <f t="shared" si="96"/>
        <v>559.98947994919695</v>
      </c>
      <c r="AI113" s="31">
        <f t="shared" si="97"/>
        <v>1.5707963267948966</v>
      </c>
      <c r="AJ113" s="31" t="str">
        <f t="shared" si="80"/>
        <v>0.998863951420377+0.19389467746397i</v>
      </c>
      <c r="AK113" s="31">
        <f t="shared" si="98"/>
        <v>1.0175088890992483</v>
      </c>
      <c r="AL113" s="31">
        <f t="shared" si="99"/>
        <v>0.19173074971361223</v>
      </c>
      <c r="AM113" s="31" t="str">
        <f t="shared" si="81"/>
        <v>1+0.737954136677051i</v>
      </c>
      <c r="AN113" s="31">
        <f t="shared" si="100"/>
        <v>1.2428098437970192</v>
      </c>
      <c r="AO113" s="31">
        <f t="shared" si="101"/>
        <v>0.63574707685121057</v>
      </c>
      <c r="AP113" s="31" t="str">
        <f t="shared" si="82"/>
        <v>1+0.123197685588823i</v>
      </c>
      <c r="AQ113" s="31">
        <f t="shared" si="102"/>
        <v>1.0075602561308394</v>
      </c>
      <c r="AR113" s="31">
        <f t="shared" si="103"/>
        <v>0.1225800161816631</v>
      </c>
      <c r="AS113" s="58" t="str">
        <f t="shared" si="104"/>
        <v>-10.7237784112779+16.8565963991546i</v>
      </c>
      <c r="AT113" s="49">
        <f t="shared" si="105"/>
        <v>26.011298942342975</v>
      </c>
      <c r="AU113" s="61">
        <f t="shared" si="106"/>
        <v>122.463579159739</v>
      </c>
      <c r="AV113" s="58" t="str">
        <f t="shared" si="83"/>
        <v>-171.884450484253+301.706206215789i</v>
      </c>
      <c r="AW113" s="64">
        <f t="shared" si="107"/>
        <v>50.812424997826341</v>
      </c>
      <c r="AX113" s="49">
        <f t="shared" si="108"/>
        <v>119.6705125463095</v>
      </c>
      <c r="AY113" s="310"/>
      <c r="BA113" s="31">
        <f t="shared" si="109"/>
        <v>0</v>
      </c>
      <c r="BB113" s="31">
        <f t="shared" si="110"/>
        <v>0</v>
      </c>
    </row>
    <row r="114" spans="14:54" x14ac:dyDescent="0.45">
      <c r="N114" s="10">
        <v>96</v>
      </c>
      <c r="O114" s="50">
        <f t="shared" si="84"/>
        <v>91.201083935590972</v>
      </c>
      <c r="P114" s="48" t="str">
        <f t="shared" si="73"/>
        <v>17.4002386318441</v>
      </c>
      <c r="Q114" s="17" t="str">
        <f t="shared" si="74"/>
        <v>1+0.0490759006544598i</v>
      </c>
      <c r="R114" s="17">
        <f t="shared" si="85"/>
        <v>1.0012034978090352</v>
      </c>
      <c r="S114" s="17">
        <f t="shared" si="86"/>
        <v>4.9036558637423039E-2</v>
      </c>
      <c r="T114" s="17" t="str">
        <f t="shared" si="75"/>
        <v>1+0.000171909993174887i</v>
      </c>
      <c r="U114" s="17">
        <f t="shared" si="87"/>
        <v>1.0000000147765229</v>
      </c>
      <c r="V114" s="17">
        <f t="shared" si="88"/>
        <v>1.7190999148139905E-4</v>
      </c>
      <c r="W114" s="31" t="str">
        <f t="shared" si="76"/>
        <v>1-0.000424122613547114i</v>
      </c>
      <c r="X114" s="17">
        <f t="shared" si="89"/>
        <v>1.0000000899399917</v>
      </c>
      <c r="Y114" s="17">
        <f t="shared" si="90"/>
        <v>-4.2412258811672608E-4</v>
      </c>
      <c r="Z114" s="31" t="str">
        <f t="shared" si="77"/>
        <v>0.999999992455657+0.000593160862734864i</v>
      </c>
      <c r="AA114" s="17">
        <f t="shared" si="91"/>
        <v>1.0000001683755475</v>
      </c>
      <c r="AB114" s="17">
        <f t="shared" si="92"/>
        <v>5.9316079764401791E-4</v>
      </c>
      <c r="AC114" s="66" t="str">
        <f t="shared" si="93"/>
        <v>17.3577043556401-0.866554670651883i</v>
      </c>
      <c r="AD114" s="64">
        <f t="shared" si="94"/>
        <v>24.800656370465987</v>
      </c>
      <c r="AE114" s="61">
        <f t="shared" si="95"/>
        <v>-2.8580241793749801</v>
      </c>
      <c r="AF114" s="31" t="str">
        <f t="shared" si="78"/>
        <v>-9090.90909090909</v>
      </c>
      <c r="AG114" s="31" t="str">
        <f t="shared" si="79"/>
        <v>573.033310582957i</v>
      </c>
      <c r="AH114" s="31">
        <f t="shared" si="96"/>
        <v>573.03331058295703</v>
      </c>
      <c r="AI114" s="31">
        <f t="shared" si="97"/>
        <v>1.5707963267948966</v>
      </c>
      <c r="AJ114" s="31" t="str">
        <f t="shared" si="80"/>
        <v>0.998810411100304+0.198411064689417i</v>
      </c>
      <c r="AK114" s="31">
        <f t="shared" si="98"/>
        <v>1.0183266607103765</v>
      </c>
      <c r="AL114" s="31">
        <f t="shared" si="99"/>
        <v>0.19609461968218284</v>
      </c>
      <c r="AM114" s="31" t="str">
        <f t="shared" si="81"/>
        <v>1+0.75514329668622i</v>
      </c>
      <c r="AN114" s="31">
        <f t="shared" si="100"/>
        <v>1.2530927334120698</v>
      </c>
      <c r="AO114" s="31">
        <f t="shared" si="101"/>
        <v>0.64678470036895874</v>
      </c>
      <c r="AP114" s="31" t="str">
        <f t="shared" si="82"/>
        <v>1+0.12606732832825i</v>
      </c>
      <c r="AQ114" s="31">
        <f t="shared" si="102"/>
        <v>1.0079151607510539</v>
      </c>
      <c r="AR114" s="31">
        <f t="shared" si="103"/>
        <v>0.12540576401967574</v>
      </c>
      <c r="AS114" s="58" t="str">
        <f t="shared" si="104"/>
        <v>-10.7188457196201+16.5006185788597i</v>
      </c>
      <c r="AT114" s="49">
        <f t="shared" si="105"/>
        <v>25.878950433476582</v>
      </c>
      <c r="AU114" s="61">
        <f t="shared" si="106"/>
        <v>123.00786049670378</v>
      </c>
      <c r="AV114" s="58" t="str">
        <f t="shared" si="83"/>
        <v>-171.755866936728+295.701324799363i</v>
      </c>
      <c r="AW114" s="64">
        <f t="shared" si="107"/>
        <v>50.679606803942576</v>
      </c>
      <c r="AX114" s="49">
        <f t="shared" si="108"/>
        <v>120.14983631732879</v>
      </c>
      <c r="AY114" s="310"/>
      <c r="BA114" s="31">
        <f t="shared" si="109"/>
        <v>0</v>
      </c>
      <c r="BB114" s="31">
        <f t="shared" si="110"/>
        <v>0</v>
      </c>
    </row>
    <row r="115" spans="14:54" x14ac:dyDescent="0.45">
      <c r="N115" s="10">
        <v>97</v>
      </c>
      <c r="O115" s="50">
        <f t="shared" si="84"/>
        <v>93.325430079699174</v>
      </c>
      <c r="P115" s="48" t="str">
        <f t="shared" si="73"/>
        <v>17.4002386318441</v>
      </c>
      <c r="Q115" s="17" t="str">
        <f t="shared" si="74"/>
        <v>1+0.0502190252295753i</v>
      </c>
      <c r="R115" s="17">
        <f t="shared" si="85"/>
        <v>1.0012601812191517</v>
      </c>
      <c r="S115" s="17">
        <f t="shared" si="86"/>
        <v>5.0176872363833655E-2</v>
      </c>
      <c r="T115" s="17" t="str">
        <f t="shared" si="75"/>
        <v>1+0.000175914291318895i</v>
      </c>
      <c r="U115" s="17">
        <f t="shared" si="87"/>
        <v>1.0000000154729187</v>
      </c>
      <c r="V115" s="17">
        <f t="shared" si="88"/>
        <v>1.7591428950428998E-4</v>
      </c>
      <c r="W115" s="31" t="str">
        <f t="shared" si="76"/>
        <v>1-0.000434001698310561i</v>
      </c>
      <c r="X115" s="17">
        <f t="shared" si="89"/>
        <v>1.0000000941787326</v>
      </c>
      <c r="Y115" s="17">
        <f t="shared" si="90"/>
        <v>-4.3400167106140956E-4</v>
      </c>
      <c r="Z115" s="31" t="str">
        <f t="shared" si="77"/>
        <v>0.999999992100103+0.000606977354131794i</v>
      </c>
      <c r="AA115" s="17">
        <f t="shared" si="91"/>
        <v>1.0000001763108417</v>
      </c>
      <c r="AB115" s="17">
        <f t="shared" si="92"/>
        <v>6.0697728438569639E-4</v>
      </c>
      <c r="AC115" s="66" t="str">
        <f t="shared" si="93"/>
        <v>17.3557048197013-0.886638906956278i</v>
      </c>
      <c r="AD115" s="64">
        <f t="shared" si="94"/>
        <v>24.800164604307163</v>
      </c>
      <c r="AE115" s="61">
        <f t="shared" si="95"/>
        <v>-2.9244875699787052</v>
      </c>
      <c r="AF115" s="31" t="str">
        <f t="shared" si="78"/>
        <v>-9090.90909090909</v>
      </c>
      <c r="AG115" s="31" t="str">
        <f t="shared" si="79"/>
        <v>586.380971062982i</v>
      </c>
      <c r="AH115" s="31">
        <f t="shared" si="96"/>
        <v>586.38097106298198</v>
      </c>
      <c r="AI115" s="31">
        <f t="shared" si="97"/>
        <v>1.5707963267948966</v>
      </c>
      <c r="AJ115" s="31" t="str">
        <f t="shared" si="80"/>
        <v>0.998754347502684+0.203032652087644i</v>
      </c>
      <c r="AK115" s="31">
        <f t="shared" si="98"/>
        <v>1.0191822724465207</v>
      </c>
      <c r="AL115" s="31">
        <f t="shared" si="99"/>
        <v>0.20055304994849765</v>
      </c>
      <c r="AM115" s="31" t="str">
        <f t="shared" si="81"/>
        <v>1+0.772732843666797i</v>
      </c>
      <c r="AN115" s="31">
        <f t="shared" si="100"/>
        <v>1.2637705676590885</v>
      </c>
      <c r="AO115" s="31">
        <f t="shared" si="101"/>
        <v>0.65789209331605492</v>
      </c>
      <c r="AP115" s="31" t="str">
        <f t="shared" si="82"/>
        <v>1+0.129003813633856i</v>
      </c>
      <c r="AQ115" s="31">
        <f t="shared" si="102"/>
        <v>1.0082866576187937</v>
      </c>
      <c r="AR115" s="31">
        <f t="shared" si="103"/>
        <v>0.12829524897899725</v>
      </c>
      <c r="AS115" s="58" t="str">
        <f t="shared" si="104"/>
        <v>-10.713697441271+16.1533037616354i</v>
      </c>
      <c r="AT115" s="49">
        <f t="shared" si="105"/>
        <v>25.748556851128317</v>
      </c>
      <c r="AU115" s="61">
        <f t="shared" si="106"/>
        <v>123.55437328958811</v>
      </c>
      <c r="AV115" s="58" t="str">
        <f t="shared" si="83"/>
        <v>-171.621622727339+289.851152938703i</v>
      </c>
      <c r="AW115" s="64">
        <f t="shared" si="107"/>
        <v>50.548721455435469</v>
      </c>
      <c r="AX115" s="49">
        <f t="shared" si="108"/>
        <v>120.6298857196094</v>
      </c>
      <c r="AY115" s="310"/>
      <c r="BA115" s="31">
        <f t="shared" si="109"/>
        <v>0</v>
      </c>
      <c r="BB115" s="31">
        <f t="shared" si="110"/>
        <v>0</v>
      </c>
    </row>
    <row r="116" spans="14:54" x14ac:dyDescent="0.45">
      <c r="N116" s="10">
        <v>98</v>
      </c>
      <c r="O116" s="50">
        <f t="shared" si="84"/>
        <v>95.499258602143655</v>
      </c>
      <c r="P116" s="48" t="str">
        <f t="shared" si="73"/>
        <v>17.4002386318441</v>
      </c>
      <c r="Q116" s="17" t="str">
        <f t="shared" si="74"/>
        <v>1+0.0513887765965947i</v>
      </c>
      <c r="R116" s="17">
        <f t="shared" si="85"/>
        <v>1.0013195325969102</v>
      </c>
      <c r="S116" s="17">
        <f t="shared" si="86"/>
        <v>5.1343612201254739E-2</v>
      </c>
      <c r="T116" s="17" t="str">
        <f t="shared" si="75"/>
        <v>1+0.00018001186154866i</v>
      </c>
      <c r="U116" s="17">
        <f t="shared" si="87"/>
        <v>1.000000016202135</v>
      </c>
      <c r="V116" s="17">
        <f t="shared" si="88"/>
        <v>1.8001185960427569E-4</v>
      </c>
      <c r="W116" s="31" t="str">
        <f t="shared" si="76"/>
        <v>1-0.000444110896519143i</v>
      </c>
      <c r="X116" s="17">
        <f t="shared" si="89"/>
        <v>1.0000000986172393</v>
      </c>
      <c r="Y116" s="17">
        <f t="shared" si="90"/>
        <v>-4.4411086732115132E-4</v>
      </c>
      <c r="Z116" s="31" t="str">
        <f t="shared" si="77"/>
        <v>0.999999991727793+0.000621115672956178i</v>
      </c>
      <c r="AA116" s="17">
        <f t="shared" si="91"/>
        <v>1.0000001846201154</v>
      </c>
      <c r="AB116" s="17">
        <f t="shared" si="92"/>
        <v>6.2111559822188836E-4</v>
      </c>
      <c r="AC116" s="66" t="str">
        <f t="shared" si="93"/>
        <v>17.35361153377-0.907183808549951i</v>
      </c>
      <c r="AD116" s="64">
        <f t="shared" si="94"/>
        <v>24.799649721592605</v>
      </c>
      <c r="AE116" s="61">
        <f t="shared" si="95"/>
        <v>-2.9924913449719255</v>
      </c>
      <c r="AF116" s="31" t="str">
        <f t="shared" si="78"/>
        <v>-9090.90909090909</v>
      </c>
      <c r="AG116" s="31" t="str">
        <f t="shared" si="79"/>
        <v>600.039538495533i</v>
      </c>
      <c r="AH116" s="31">
        <f t="shared" si="96"/>
        <v>600.03953849553295</v>
      </c>
      <c r="AI116" s="31">
        <f t="shared" si="97"/>
        <v>1.5707963267948966</v>
      </c>
      <c r="AJ116" s="31" t="str">
        <f t="shared" si="80"/>
        <v>0.998695641709109+0.207761890085463i</v>
      </c>
      <c r="AK116" s="31">
        <f t="shared" si="98"/>
        <v>1.020077442031071</v>
      </c>
      <c r="AL116" s="31">
        <f t="shared" si="99"/>
        <v>0.20510776168199293</v>
      </c>
      <c r="AM116" s="31" t="str">
        <f t="shared" si="81"/>
        <v>1+0.790732103829413i</v>
      </c>
      <c r="AN116" s="31">
        <f t="shared" si="100"/>
        <v>1.2748557800890616</v>
      </c>
      <c r="AO116" s="31">
        <f t="shared" si="101"/>
        <v>0.66906418252143696</v>
      </c>
      <c r="AP116" s="31" t="str">
        <f t="shared" si="82"/>
        <v>1+0.132008698469017i</v>
      </c>
      <c r="AQ116" s="31">
        <f t="shared" si="102"/>
        <v>1.0086755159472662</v>
      </c>
      <c r="AR116" s="31">
        <f t="shared" si="103"/>
        <v>0.13124981000265418</v>
      </c>
      <c r="AS116" s="58" t="str">
        <f t="shared" si="104"/>
        <v>-10.7083249518586+15.8144621192189i</v>
      </c>
      <c r="AT116" s="49">
        <f t="shared" si="105"/>
        <v>25.620136785365823</v>
      </c>
      <c r="AU116" s="61">
        <f t="shared" si="106"/>
        <v>124.10280496714158</v>
      </c>
      <c r="AV116" s="58" t="str">
        <f t="shared" si="83"/>
        <v>-171.481487416449+284.152451245463i</v>
      </c>
      <c r="AW116" s="64">
        <f t="shared" si="107"/>
        <v>50.419786506958424</v>
      </c>
      <c r="AX116" s="49">
        <f t="shared" si="108"/>
        <v>121.11031362216977</v>
      </c>
      <c r="AY116" s="310"/>
      <c r="BA116" s="31">
        <f t="shared" si="109"/>
        <v>0</v>
      </c>
      <c r="BB116" s="31">
        <f t="shared" si="110"/>
        <v>0</v>
      </c>
    </row>
    <row r="117" spans="14:54" x14ac:dyDescent="0.45">
      <c r="N117" s="10">
        <v>99</v>
      </c>
      <c r="O117" s="50">
        <f t="shared" si="84"/>
        <v>97.723722095581124</v>
      </c>
      <c r="P117" s="48" t="str">
        <f t="shared" si="73"/>
        <v>17.4002386318441</v>
      </c>
      <c r="Q117" s="17" t="str">
        <f t="shared" si="74"/>
        <v>1+0.0525857749731766i</v>
      </c>
      <c r="R117" s="17">
        <f t="shared" si="85"/>
        <v>1.001381677348617</v>
      </c>
      <c r="S117" s="17">
        <f t="shared" si="86"/>
        <v>5.2537384057284801E-2</v>
      </c>
      <c r="T117" s="17" t="str">
        <f t="shared" si="75"/>
        <v>1+0.000184204876450157i</v>
      </c>
      <c r="U117" s="17">
        <f t="shared" si="87"/>
        <v>1.0000000169657182</v>
      </c>
      <c r="V117" s="17">
        <f t="shared" si="88"/>
        <v>1.842048743667117E-4</v>
      </c>
      <c r="W117" s="31" t="str">
        <f t="shared" si="76"/>
        <v>1-0.000454455568203562i</v>
      </c>
      <c r="X117" s="17">
        <f t="shared" si="89"/>
        <v>1.0000001032649264</v>
      </c>
      <c r="Y117" s="17">
        <f t="shared" si="90"/>
        <v>-4.5445553691735035E-4</v>
      </c>
      <c r="Z117" s="31" t="str">
        <f t="shared" si="77"/>
        <v>0.999999991337936+0.000635583315531801i</v>
      </c>
      <c r="AA117" s="17">
        <f t="shared" si="91"/>
        <v>1.000000193320993</v>
      </c>
      <c r="AB117" s="17">
        <f t="shared" si="92"/>
        <v>6.3558323545256771E-4</v>
      </c>
      <c r="AC117" s="66" t="str">
        <f t="shared" si="93"/>
        <v>17.3514201261704-0.928199596898374i</v>
      </c>
      <c r="AD117" s="64">
        <f t="shared" si="94"/>
        <v>24.799110638613946</v>
      </c>
      <c r="AE117" s="61">
        <f t="shared" si="95"/>
        <v>-3.0620708324357779</v>
      </c>
      <c r="AF117" s="31" t="str">
        <f t="shared" si="78"/>
        <v>-9090.90909090909</v>
      </c>
      <c r="AG117" s="31" t="str">
        <f t="shared" si="79"/>
        <v>614.016254833856i</v>
      </c>
      <c r="AH117" s="31">
        <f t="shared" si="96"/>
        <v>614.01625483385601</v>
      </c>
      <c r="AI117" s="31">
        <f t="shared" si="97"/>
        <v>1.5707963267948966</v>
      </c>
      <c r="AJ117" s="31" t="str">
        <f t="shared" si="80"/>
        <v>0.998634169196722+0.212601286187458i</v>
      </c>
      <c r="AK117" s="31">
        <f t="shared" si="98"/>
        <v>1.0210139620866057</v>
      </c>
      <c r="AL117" s="31">
        <f t="shared" si="99"/>
        <v>0.20976048467150246</v>
      </c>
      <c r="AM117" s="31" t="str">
        <f t="shared" si="81"/>
        <v>1+0.809150620620055i</v>
      </c>
      <c r="AN117" s="31">
        <f t="shared" si="100"/>
        <v>1.2863610406296593</v>
      </c>
      <c r="AO117" s="31">
        <f t="shared" si="101"/>
        <v>0.68029573652310504</v>
      </c>
      <c r="AP117" s="31" t="str">
        <f t="shared" si="82"/>
        <v>1+0.135083576063448i</v>
      </c>
      <c r="AQ117" s="31">
        <f t="shared" si="102"/>
        <v>1.0090825399946672</v>
      </c>
      <c r="AR117" s="31">
        <f t="shared" si="103"/>
        <v>0.13427080719539652</v>
      </c>
      <c r="AS117" s="58" t="str">
        <f t="shared" si="104"/>
        <v>-10.7027193556898+15.4839079627316i</v>
      </c>
      <c r="AT117" s="49">
        <f t="shared" si="105"/>
        <v>25.493706710971157</v>
      </c>
      <c r="AU117" s="61">
        <f t="shared" si="106"/>
        <v>124.65283460733303</v>
      </c>
      <c r="AV117" s="58" t="str">
        <f t="shared" si="83"/>
        <v>-171.335222903651+278.602052047979i</v>
      </c>
      <c r="AW117" s="64">
        <f t="shared" si="107"/>
        <v>50.292817349585107</v>
      </c>
      <c r="AX117" s="49">
        <f t="shared" si="108"/>
        <v>121.59076377489733</v>
      </c>
      <c r="AY117" s="310"/>
      <c r="BA117" s="31">
        <f t="shared" si="109"/>
        <v>0</v>
      </c>
      <c r="BB117" s="31">
        <f t="shared" si="110"/>
        <v>0</v>
      </c>
    </row>
    <row r="118" spans="14:54" x14ac:dyDescent="0.45">
      <c r="N118" s="10">
        <v>100</v>
      </c>
      <c r="O118" s="50">
        <f t="shared" si="84"/>
        <v>100</v>
      </c>
      <c r="P118" s="48" t="str">
        <f t="shared" si="73"/>
        <v>17.4002386318441</v>
      </c>
      <c r="Q118" s="17" t="str">
        <f t="shared" si="74"/>
        <v>1+0.0538106550237043i</v>
      </c>
      <c r="R118" s="17">
        <f t="shared" si="85"/>
        <v>1.0014467467589478</v>
      </c>
      <c r="S118" s="17">
        <f t="shared" si="86"/>
        <v>5.3758807267970839E-2</v>
      </c>
      <c r="T118" s="17" t="str">
        <f t="shared" si="75"/>
        <v>1+0.000188495559215388i</v>
      </c>
      <c r="U118" s="17">
        <f t="shared" si="87"/>
        <v>1.0000000177652877</v>
      </c>
      <c r="V118" s="17">
        <f t="shared" si="88"/>
        <v>1.8849555698293612E-4</v>
      </c>
      <c r="W118" s="31" t="str">
        <f t="shared" si="76"/>
        <v>1-0.000465041198245673i</v>
      </c>
      <c r="X118" s="17">
        <f t="shared" si="89"/>
        <v>1.0000001081316523</v>
      </c>
      <c r="Y118" s="17">
        <f t="shared" si="90"/>
        <v>-4.6504116472189348E-4</v>
      </c>
      <c r="Z118" s="31" t="str">
        <f t="shared" si="77"/>
        <v>0.999999990929705+0.00065038795279426i</v>
      </c>
      <c r="AA118" s="17">
        <f t="shared" si="91"/>
        <v>1.000000202431929</v>
      </c>
      <c r="AB118" s="17">
        <f t="shared" si="92"/>
        <v>6.5038786698781682E-4</v>
      </c>
      <c r="AC118" s="66" t="str">
        <f t="shared" si="93"/>
        <v>17.3491260236661-0.949696695534264i</v>
      </c>
      <c r="AD118" s="64">
        <f t="shared" si="94"/>
        <v>24.798546221140711</v>
      </c>
      <c r="AE118" s="61">
        <f t="shared" si="95"/>
        <v>-3.1332621441031745</v>
      </c>
      <c r="AF118" s="31" t="str">
        <f t="shared" si="78"/>
        <v>-9090.90909090909</v>
      </c>
      <c r="AG118" s="31" t="str">
        <f t="shared" si="79"/>
        <v>628.318530717959i</v>
      </c>
      <c r="AH118" s="31">
        <f t="shared" si="96"/>
        <v>628.31853071795899</v>
      </c>
      <c r="AI118" s="31">
        <f t="shared" si="97"/>
        <v>1.5707963267948966</v>
      </c>
      <c r="AJ118" s="31" t="str">
        <f t="shared" si="80"/>
        <v>0.99856979957408+0.217553406305501i</v>
      </c>
      <c r="AK118" s="31">
        <f t="shared" si="98"/>
        <v>1.021993703119811</v>
      </c>
      <c r="AL118" s="31">
        <f t="shared" si="99"/>
        <v>0.21451295561181224</v>
      </c>
      <c r="AM118" s="31" t="str">
        <f t="shared" si="81"/>
        <v>1+0.827998159780126i</v>
      </c>
      <c r="AN118" s="31">
        <f t="shared" si="100"/>
        <v>1.2982992538699525</v>
      </c>
      <c r="AO118" s="31">
        <f t="shared" si="101"/>
        <v>0.6915813763914499</v>
      </c>
      <c r="AP118" s="31" t="str">
        <f t="shared" si="82"/>
        <v>1+0.138230076757951i</v>
      </c>
      <c r="AQ118" s="31">
        <f t="shared" si="102"/>
        <v>1.0095085706028002</v>
      </c>
      <c r="AR118" s="31">
        <f t="shared" si="103"/>
        <v>0.13735962164607035</v>
      </c>
      <c r="AS118" s="58" t="str">
        <f t="shared" si="104"/>
        <v>-10.6968714842083+15.1614596248267i</v>
      </c>
      <c r="AT118" s="49">
        <f t="shared" si="105"/>
        <v>25.369280888674126</v>
      </c>
      <c r="AU118" s="61">
        <f t="shared" si="106"/>
        <v>125.20413364547814</v>
      </c>
      <c r="AV118" s="58" t="str">
        <f t="shared" si="83"/>
        <v>-171.182583333316+273.196857234951i</v>
      </c>
      <c r="AW118" s="64">
        <f t="shared" si="107"/>
        <v>50.167827109814837</v>
      </c>
      <c r="AX118" s="49">
        <f t="shared" si="108"/>
        <v>122.07087150137495</v>
      </c>
      <c r="AY118" s="310"/>
      <c r="BA118" s="31">
        <f t="shared" si="109"/>
        <v>0</v>
      </c>
      <c r="BB118" s="31">
        <f t="shared" si="110"/>
        <v>0</v>
      </c>
    </row>
    <row r="119" spans="14:54" x14ac:dyDescent="0.45">
      <c r="N119" s="10">
        <v>1</v>
      </c>
      <c r="O119" s="50">
        <f>10^(2+(N119/100))</f>
        <v>102.32929922807544</v>
      </c>
      <c r="P119" s="48" t="str">
        <f t="shared" si="73"/>
        <v>17.4002386318441</v>
      </c>
      <c r="Q119" s="17" t="str">
        <f t="shared" si="74"/>
        <v>1+0.0550640661957937i</v>
      </c>
      <c r="R119" s="17">
        <f t="shared" si="85"/>
        <v>1.0015148782649286</v>
      </c>
      <c r="S119" s="17">
        <f t="shared" si="86"/>
        <v>5.500851486211774E-2</v>
      </c>
      <c r="T119" s="17" t="str">
        <f t="shared" si="75"/>
        <v>1+0.000192886184821148i</v>
      </c>
      <c r="U119" s="17">
        <f t="shared" si="87"/>
        <v>1.00000001860254</v>
      </c>
      <c r="V119" s="17">
        <f t="shared" si="88"/>
        <v>1.9288618242903271E-4</v>
      </c>
      <c r="W119" s="31" t="str">
        <f t="shared" si="76"/>
        <v>1-0.000475873399286642i</v>
      </c>
      <c r="X119" s="17">
        <f t="shared" si="89"/>
        <v>1.0000001132277396</v>
      </c>
      <c r="Y119" s="17">
        <f t="shared" si="90"/>
        <v>-4.7587336336526526E-4</v>
      </c>
      <c r="Z119" s="31" t="str">
        <f t="shared" si="77"/>
        <v>0.999999990502235+0.000665537434358192i</v>
      </c>
      <c r="AA119" s="17">
        <f t="shared" si="91"/>
        <v>1.0000002119722511</v>
      </c>
      <c r="AB119" s="17">
        <f t="shared" si="92"/>
        <v>6.6553734241493279E-4</v>
      </c>
      <c r="AC119" s="66" t="str">
        <f t="shared" si="93"/>
        <v>17.3467244423883-0.971685732232769i</v>
      </c>
      <c r="AD119" s="64">
        <f t="shared" si="94"/>
        <v>24.797955282092307</v>
      </c>
      <c r="AE119" s="61">
        <f t="shared" si="95"/>
        <v>-3.2061021908346956</v>
      </c>
      <c r="AF119" s="31" t="str">
        <f t="shared" si="78"/>
        <v>-9090.90909090909</v>
      </c>
      <c r="AG119" s="31" t="str">
        <f t="shared" si="79"/>
        <v>642.953949403827i</v>
      </c>
      <c r="AH119" s="31">
        <f t="shared" si="96"/>
        <v>642.95394940382698</v>
      </c>
      <c r="AI119" s="31">
        <f t="shared" si="97"/>
        <v>1.5707963267948966</v>
      </c>
      <c r="AJ119" s="31" t="str">
        <f t="shared" si="80"/>
        <v>0.998502396304584+0.222620876119227i</v>
      </c>
      <c r="AK119" s="31">
        <f t="shared" si="98"/>
        <v>1.0230186165999564</v>
      </c>
      <c r="AL119" s="31">
        <f t="shared" si="99"/>
        <v>0.21936691625044785</v>
      </c>
      <c r="AM119" s="31" t="str">
        <f t="shared" si="81"/>
        <v>1+0.847284714524363i</v>
      </c>
      <c r="AN119" s="31">
        <f t="shared" si="100"/>
        <v>1.310683557334352</v>
      </c>
      <c r="AO119" s="31">
        <f t="shared" si="101"/>
        <v>0.70291558741584237</v>
      </c>
      <c r="AP119" s="31" t="str">
        <f t="shared" si="82"/>
        <v>1+0.141449868868842i</v>
      </c>
      <c r="AQ119" s="31">
        <f t="shared" si="102"/>
        <v>1.0099544867978025</v>
      </c>
      <c r="AR119" s="31">
        <f t="shared" si="103"/>
        <v>0.14051765520333262</v>
      </c>
      <c r="AS119" s="58" t="str">
        <f t="shared" si="104"/>
        <v>-10.6907718952246+14.8469393432015i</v>
      </c>
      <c r="AT119" s="49">
        <f t="shared" si="105"/>
        <v>25.246871272778357</v>
      </c>
      <c r="AU119" s="61">
        <f t="shared" si="106"/>
        <v>125.75636663716192</v>
      </c>
      <c r="AV119" s="58" t="str">
        <f t="shared" si="83"/>
        <v>-171.023315015776+267.933836116515i</v>
      </c>
      <c r="AW119" s="64">
        <f t="shared" si="107"/>
        <v>50.044826554870667</v>
      </c>
      <c r="AX119" s="49">
        <f t="shared" si="108"/>
        <v>122.55026444632718</v>
      </c>
      <c r="AY119" s="310"/>
      <c r="BA119" s="31">
        <f t="shared" si="109"/>
        <v>0</v>
      </c>
      <c r="BB119" s="31">
        <f t="shared" si="110"/>
        <v>0</v>
      </c>
    </row>
    <row r="120" spans="14:54" x14ac:dyDescent="0.45">
      <c r="N120" s="10">
        <v>2</v>
      </c>
      <c r="O120" s="50">
        <f t="shared" ref="O120:O183" si="111">10^(2+(N120/100))</f>
        <v>104.71285480508998</v>
      </c>
      <c r="P120" s="48" t="str">
        <f t="shared" si="73"/>
        <v>17.4002386318441</v>
      </c>
      <c r="Q120" s="17" t="str">
        <f t="shared" si="74"/>
        <v>1+0.0563466730646393i</v>
      </c>
      <c r="R120" s="17">
        <f t="shared" si="85"/>
        <v>1.0015862157425357</v>
      </c>
      <c r="S120" s="17">
        <f t="shared" si="86"/>
        <v>5.6287153828348334E-2</v>
      </c>
      <c r="T120" s="17" t="str">
        <f t="shared" si="75"/>
        <v>1+0.000197379081235251i</v>
      </c>
      <c r="U120" s="17">
        <f t="shared" si="87"/>
        <v>1.0000000194792507</v>
      </c>
      <c r="V120" s="17">
        <f t="shared" si="88"/>
        <v>1.973790786720533E-4</v>
      </c>
      <c r="W120" s="31" t="str">
        <f t="shared" si="76"/>
        <v>1-0.000486957914702842i</v>
      </c>
      <c r="X120" s="17">
        <f t="shared" si="89"/>
        <v>1.0000001185639984</v>
      </c>
      <c r="Y120" s="17">
        <f t="shared" si="90"/>
        <v>-4.869578762123936E-4</v>
      </c>
      <c r="Z120" s="31" t="str">
        <f t="shared" si="77"/>
        <v>0.999999990054619+0.000681039792679251i</v>
      </c>
      <c r="AA120" s="17">
        <f t="shared" si="91"/>
        <v>1.0000002219621942</v>
      </c>
      <c r="AB120" s="17">
        <f t="shared" si="92"/>
        <v>6.8103969416027509E-4</v>
      </c>
      <c r="AC120" s="66" t="str">
        <f t="shared" si="93"/>
        <v>17.3442103783771-0.994177541061651i</v>
      </c>
      <c r="AD120" s="64">
        <f t="shared" si="94"/>
        <v>24.797336579105377</v>
      </c>
      <c r="AE120" s="61">
        <f t="shared" si="95"/>
        <v>-3.2806286982597972</v>
      </c>
      <c r="AF120" s="31" t="str">
        <f t="shared" si="78"/>
        <v>-9090.90909090909</v>
      </c>
      <c r="AG120" s="31" t="str">
        <f t="shared" si="79"/>
        <v>657.930270784171i</v>
      </c>
      <c r="AH120" s="31">
        <f t="shared" si="96"/>
        <v>657.93027078417094</v>
      </c>
      <c r="AI120" s="31">
        <f t="shared" si="97"/>
        <v>1.5707963267948966</v>
      </c>
      <c r="AJ120" s="31" t="str">
        <f t="shared" si="80"/>
        <v>0.998431816416864+0.227806382468207i</v>
      </c>
      <c r="AK120" s="31">
        <f t="shared" si="98"/>
        <v>1.0240907381315043</v>
      </c>
      <c r="AL120" s="31">
        <f t="shared" si="99"/>
        <v>0.22432411138819755</v>
      </c>
      <c r="AM120" s="31" t="str">
        <f t="shared" si="81"/>
        <v>1+0.86702051083938i</v>
      </c>
      <c r="AN120" s="31">
        <f t="shared" si="100"/>
        <v>1.3235273197845896</v>
      </c>
      <c r="AO120" s="31">
        <f t="shared" si="101"/>
        <v>0.71429273160093743</v>
      </c>
      <c r="AP120" s="31" t="str">
        <f t="shared" si="82"/>
        <v>1+0.144744659572517i</v>
      </c>
      <c r="AQ120" s="31">
        <f t="shared" si="102"/>
        <v>1.0104212074549721</v>
      </c>
      <c r="AR120" s="31">
        <f t="shared" si="103"/>
        <v>0.14374633020120317</v>
      </c>
      <c r="AS120" s="58" t="str">
        <f t="shared" si="104"/>
        <v>-10.6844108730069+14.5401731454206i</v>
      </c>
      <c r="AT120" s="49">
        <f t="shared" si="105"/>
        <v>25.126487425940578</v>
      </c>
      <c r="AU120" s="61">
        <f t="shared" si="106"/>
        <v>126.30919207306117</v>
      </c>
      <c r="AV120" s="58" t="str">
        <f t="shared" si="83"/>
        <v>-170.857156366127+262.810023301622i</v>
      </c>
      <c r="AW120" s="64">
        <f t="shared" si="107"/>
        <v>49.923824005045951</v>
      </c>
      <c r="AX120" s="49">
        <f t="shared" si="108"/>
        <v>123.02856337480148</v>
      </c>
      <c r="AY120" s="310"/>
      <c r="BA120" s="31">
        <f t="shared" si="109"/>
        <v>0</v>
      </c>
      <c r="BB120" s="31">
        <f t="shared" si="110"/>
        <v>0</v>
      </c>
    </row>
    <row r="121" spans="14:54" x14ac:dyDescent="0.45">
      <c r="N121" s="10">
        <v>3</v>
      </c>
      <c r="O121" s="50">
        <f t="shared" si="111"/>
        <v>107.15193052376065</v>
      </c>
      <c r="P121" s="48" t="str">
        <f t="shared" si="73"/>
        <v>17.4002386318441</v>
      </c>
      <c r="Q121" s="17" t="str">
        <f t="shared" si="74"/>
        <v>1+0.0576591556853801i</v>
      </c>
      <c r="R121" s="17">
        <f t="shared" si="85"/>
        <v>1.0016609098064828</v>
      </c>
      <c r="S121" s="17">
        <f t="shared" si="86"/>
        <v>5.7595385384741266E-2</v>
      </c>
      <c r="T121" s="17" t="str">
        <f t="shared" si="75"/>
        <v>1+0.000201976630650846i</v>
      </c>
      <c r="U121" s="17">
        <f t="shared" si="87"/>
        <v>1.0000000203972794</v>
      </c>
      <c r="V121" s="17">
        <f t="shared" si="88"/>
        <v>2.0197662790433018E-4</v>
      </c>
      <c r="W121" s="31" t="str">
        <f t="shared" si="76"/>
        <v>1-0.000498300621651068i</v>
      </c>
      <c r="X121" s="17">
        <f t="shared" si="89"/>
        <v>1.0000001241517471</v>
      </c>
      <c r="Y121" s="17">
        <f t="shared" si="90"/>
        <v>-4.9830058040780973E-4</v>
      </c>
      <c r="Z121" s="31" t="str">
        <f t="shared" si="77"/>
        <v>0.999999989585908+0.000696903247313015i</v>
      </c>
      <c r="AA121" s="17">
        <f t="shared" si="91"/>
        <v>1.0000002324229491</v>
      </c>
      <c r="AB121" s="17">
        <f t="shared" si="92"/>
        <v>6.9690314174803152E-4</v>
      </c>
      <c r="AC121" s="66" t="str">
        <f t="shared" si="93"/>
        <v>17.3415785977201-1.0171831642916i</v>
      </c>
      <c r="AD121" s="64">
        <f t="shared" si="94"/>
        <v>24.796688811991334</v>
      </c>
      <c r="AE121" s="61">
        <f t="shared" si="95"/>
        <v>-3.3568802225737775</v>
      </c>
      <c r="AF121" s="31" t="str">
        <f t="shared" si="78"/>
        <v>-9090.90909090909</v>
      </c>
      <c r="AG121" s="31" t="str">
        <f t="shared" si="79"/>
        <v>673.255435502821i</v>
      </c>
      <c r="AH121" s="31">
        <f t="shared" si="96"/>
        <v>673.255435502821</v>
      </c>
      <c r="AI121" s="31">
        <f t="shared" si="97"/>
        <v>1.5707963267948966</v>
      </c>
      <c r="AJ121" s="31" t="str">
        <f t="shared" si="80"/>
        <v>0.998357910201513+0.233112674776545i</v>
      </c>
      <c r="AK121" s="31">
        <f t="shared" si="98"/>
        <v>1.0252121907212219</v>
      </c>
      <c r="AL121" s="31">
        <f t="shared" si="99"/>
        <v>0.22938628672682684</v>
      </c>
      <c r="AM121" s="31" t="str">
        <f t="shared" si="81"/>
        <v>1+0.887216012905617i</v>
      </c>
      <c r="AN121" s="31">
        <f t="shared" si="100"/>
        <v>1.3368441395900046</v>
      </c>
      <c r="AO121" s="31">
        <f t="shared" si="101"/>
        <v>0.72570706091039094</v>
      </c>
      <c r="AP121" s="31" t="str">
        <f t="shared" si="82"/>
        <v>1+0.14811619581062i</v>
      </c>
      <c r="AQ121" s="31">
        <f t="shared" si="102"/>
        <v>1.0109096930297039</v>
      </c>
      <c r="AR121" s="31">
        <f t="shared" si="103"/>
        <v>0.14704708913075729</v>
      </c>
      <c r="AS121" s="58" t="str">
        <f t="shared" si="104"/>
        <v>-10.6777784293254+14.2409907350002i</v>
      </c>
      <c r="AT121" s="49">
        <f t="shared" si="105"/>
        <v>25.008136441825375</v>
      </c>
      <c r="AU121" s="61">
        <f t="shared" si="106"/>
        <v>126.86226324226021</v>
      </c>
      <c r="AV121" s="58" t="str">
        <f t="shared" si="83"/>
        <v>-170.683837862712+257.822516590756i</v>
      </c>
      <c r="AW121" s="64">
        <f t="shared" si="107"/>
        <v>49.80482525381673</v>
      </c>
      <c r="AX121" s="49">
        <f t="shared" si="108"/>
        <v>123.50538301968643</v>
      </c>
      <c r="AY121" s="310"/>
      <c r="BA121" s="31">
        <f t="shared" si="109"/>
        <v>0</v>
      </c>
      <c r="BB121" s="31">
        <f t="shared" si="110"/>
        <v>0</v>
      </c>
    </row>
    <row r="122" spans="14:54" x14ac:dyDescent="0.45">
      <c r="N122" s="10">
        <v>4</v>
      </c>
      <c r="O122" s="50">
        <f t="shared" si="111"/>
        <v>109.64781961431861</v>
      </c>
      <c r="P122" s="48" t="str">
        <f t="shared" si="73"/>
        <v>17.4002386318441</v>
      </c>
      <c r="Q122" s="17" t="str">
        <f t="shared" si="74"/>
        <v>1+0.0590022099536745i</v>
      </c>
      <c r="R122" s="17">
        <f t="shared" si="85"/>
        <v>1.0017391181237845</v>
      </c>
      <c r="S122" s="17">
        <f t="shared" si="86"/>
        <v>5.8933885250856827E-2</v>
      </c>
      <c r="T122" s="17" t="str">
        <f t="shared" si="75"/>
        <v>1+0.000206681270749489i</v>
      </c>
      <c r="U122" s="17">
        <f t="shared" si="87"/>
        <v>1.0000000213585736</v>
      </c>
      <c r="V122" s="17">
        <f t="shared" si="88"/>
        <v>2.0668126780654428E-4</v>
      </c>
      <c r="W122" s="31" t="str">
        <f t="shared" si="76"/>
        <v>1-0.000509907534184681i</v>
      </c>
      <c r="X122" s="17">
        <f t="shared" si="89"/>
        <v>1.0000001300028383</v>
      </c>
      <c r="Y122" s="17">
        <f t="shared" si="90"/>
        <v>-5.099074899917338E-4</v>
      </c>
      <c r="Z122" s="31" t="str">
        <f t="shared" si="77"/>
        <v>0.999999989095107+0.000713136209273109i</v>
      </c>
      <c r="AA122" s="17">
        <f t="shared" si="91"/>
        <v>1.0000002433767041</v>
      </c>
      <c r="AB122" s="17">
        <f t="shared" si="92"/>
        <v>7.1313609615819258E-4</v>
      </c>
      <c r="AC122" s="66" t="str">
        <f t="shared" si="93"/>
        <v>17.338823626277-1.04071385415089i</v>
      </c>
      <c r="AD122" s="64">
        <f t="shared" si="94"/>
        <v>24.796010620081223</v>
      </c>
      <c r="AE122" s="61">
        <f t="shared" si="95"/>
        <v>-3.4348961664795747</v>
      </c>
      <c r="AF122" s="31" t="str">
        <f t="shared" si="78"/>
        <v>-9090.90909090909</v>
      </c>
      <c r="AG122" s="31" t="str">
        <f t="shared" si="79"/>
        <v>688.937569164964i</v>
      </c>
      <c r="AH122" s="31">
        <f t="shared" si="96"/>
        <v>688.93756916496397</v>
      </c>
      <c r="AI122" s="31">
        <f t="shared" si="97"/>
        <v>1.5707963267948966</v>
      </c>
      <c r="AJ122" s="31" t="str">
        <f t="shared" si="80"/>
        <v>0.998280520893542+0.238542566510661i</v>
      </c>
      <c r="AK122" s="31">
        <f t="shared" si="98"/>
        <v>1.0263851881398984</v>
      </c>
      <c r="AL122" s="31">
        <f t="shared" si="99"/>
        <v>0.23455518655748331</v>
      </c>
      <c r="AM122" s="31" t="str">
        <f t="shared" si="81"/>
        <v>1+0.907881928645589i</v>
      </c>
      <c r="AN122" s="31">
        <f t="shared" si="100"/>
        <v>1.3506478432075604</v>
      </c>
      <c r="AO122" s="31">
        <f t="shared" si="101"/>
        <v>0.7371527311874656</v>
      </c>
      <c r="AP122" s="31" t="str">
        <f t="shared" si="82"/>
        <v>1+0.151566265216292i</v>
      </c>
      <c r="AQ122" s="31">
        <f t="shared" si="102"/>
        <v>1.0114209473565472</v>
      </c>
      <c r="AR122" s="31">
        <f t="shared" si="103"/>
        <v>0.15042139425407555</v>
      </c>
      <c r="AS122" s="58" t="str">
        <f t="shared" si="104"/>
        <v>-10.6708643055478+13.9492253787113i</v>
      </c>
      <c r="AT122" s="49">
        <f t="shared" si="105"/>
        <v>24.891822876311775</v>
      </c>
      <c r="AU122" s="61">
        <f t="shared" si="106"/>
        <v>127.41522914016797</v>
      </c>
      <c r="AV122" s="58" t="str">
        <f t="shared" si="83"/>
        <v>-170.50308202753+252.96847488321i</v>
      </c>
      <c r="AW122" s="64">
        <f t="shared" si="107"/>
        <v>49.687833496392997</v>
      </c>
      <c r="AX122" s="49">
        <f t="shared" si="108"/>
        <v>123.98033297368838</v>
      </c>
      <c r="AY122" s="310"/>
      <c r="BA122" s="31">
        <f t="shared" si="109"/>
        <v>0</v>
      </c>
      <c r="BB122" s="31">
        <f t="shared" si="110"/>
        <v>0</v>
      </c>
    </row>
    <row r="123" spans="14:54" x14ac:dyDescent="0.45">
      <c r="N123" s="10">
        <v>5</v>
      </c>
      <c r="O123" s="50">
        <f t="shared" si="111"/>
        <v>112.20184543019634</v>
      </c>
      <c r="P123" s="48" t="str">
        <f t="shared" si="73"/>
        <v>17.4002386318441</v>
      </c>
      <c r="Q123" s="17" t="str">
        <f t="shared" si="74"/>
        <v>1+0.0603765479746728i</v>
      </c>
      <c r="R123" s="17">
        <f t="shared" si="85"/>
        <v>1.0018210057417132</v>
      </c>
      <c r="S123" s="17">
        <f t="shared" si="86"/>
        <v>6.0303343921934628E-2</v>
      </c>
      <c r="T123" s="17" t="str">
        <f t="shared" si="75"/>
        <v>1+0.000211495495993634i</v>
      </c>
      <c r="U123" s="17">
        <f t="shared" si="87"/>
        <v>1.0000000223651722</v>
      </c>
      <c r="V123" s="17">
        <f t="shared" si="88"/>
        <v>2.1149549284021191E-4</v>
      </c>
      <c r="W123" s="31" t="str">
        <f t="shared" si="76"/>
        <v>1-0.000521784806442343i</v>
      </c>
      <c r="X123" s="17">
        <f t="shared" si="89"/>
        <v>1.0000001361296829</v>
      </c>
      <c r="Y123" s="17">
        <f t="shared" si="90"/>
        <v>-5.2178475908874733E-4</v>
      </c>
      <c r="Z123" s="31" t="str">
        <f t="shared" si="77"/>
        <v>0.999999988581175+0.000729747285490834i</v>
      </c>
      <c r="AA123" s="17">
        <f t="shared" si="91"/>
        <v>1.0000002548466929</v>
      </c>
      <c r="AB123" s="17">
        <f t="shared" si="92"/>
        <v>7.2974716428601924E-4</v>
      </c>
      <c r="AC123" s="66" t="str">
        <f t="shared" si="93"/>
        <v>17.3359397389716-1.06478107440701i</v>
      </c>
      <c r="AD123" s="64">
        <f t="shared" si="94"/>
        <v>24.795300579451283</v>
      </c>
      <c r="AE123" s="61">
        <f t="shared" si="95"/>
        <v>-3.5147167952622267</v>
      </c>
      <c r="AF123" s="31" t="str">
        <f t="shared" si="78"/>
        <v>-9090.90909090909</v>
      </c>
      <c r="AG123" s="31" t="str">
        <f t="shared" si="79"/>
        <v>704.984986645445i</v>
      </c>
      <c r="AH123" s="31">
        <f t="shared" si="96"/>
        <v>704.98498664544502</v>
      </c>
      <c r="AI123" s="31">
        <f t="shared" si="97"/>
        <v>1.5707963267948966</v>
      </c>
      <c r="AJ123" s="31" t="str">
        <f t="shared" si="80"/>
        <v>0.99819948433985+0.244098936671025i</v>
      </c>
      <c r="AK123" s="31">
        <f t="shared" si="98"/>
        <v>1.027612038378428</v>
      </c>
      <c r="AL123" s="31">
        <f t="shared" si="99"/>
        <v>0.23983255128335967</v>
      </c>
      <c r="AM123" s="31" t="str">
        <f t="shared" si="81"/>
        <v>1+0.929029215401367i</v>
      </c>
      <c r="AN123" s="31">
        <f t="shared" si="100"/>
        <v>1.3649524838137332</v>
      </c>
      <c r="AO123" s="31">
        <f t="shared" si="101"/>
        <v>0.74862381667437616</v>
      </c>
      <c r="AP123" s="31" t="str">
        <f t="shared" si="82"/>
        <v>1+0.155096697061998i</v>
      </c>
      <c r="AQ123" s="31">
        <f t="shared" si="102"/>
        <v>1.0119560195184083</v>
      </c>
      <c r="AR123" s="31">
        <f t="shared" si="103"/>
        <v>0.15387072715638114</v>
      </c>
      <c r="AS123" s="58" t="str">
        <f t="shared" si="104"/>
        <v>-10.6636579758903+13.6647137950673i</v>
      </c>
      <c r="AT123" s="49">
        <f t="shared" si="105"/>
        <v>24.777548687874265</v>
      </c>
      <c r="AU123" s="61">
        <f t="shared" si="106"/>
        <v>127.96773541669556</v>
      </c>
      <c r="AV123" s="58" t="str">
        <f t="shared" si="83"/>
        <v>-170.314603430862+248.245116098258i</v>
      </c>
      <c r="AW123" s="64">
        <f t="shared" si="107"/>
        <v>49.572849267325545</v>
      </c>
      <c r="AX123" s="49">
        <f t="shared" si="108"/>
        <v>124.45301862143333</v>
      </c>
      <c r="AY123" s="310"/>
      <c r="BA123" s="31">
        <f t="shared" si="109"/>
        <v>0</v>
      </c>
      <c r="BB123" s="31">
        <f t="shared" si="110"/>
        <v>0</v>
      </c>
    </row>
    <row r="124" spans="14:54" x14ac:dyDescent="0.45">
      <c r="N124" s="10">
        <v>6</v>
      </c>
      <c r="O124" s="50">
        <f t="shared" si="111"/>
        <v>114.81536214968835</v>
      </c>
      <c r="P124" s="48" t="str">
        <f t="shared" si="73"/>
        <v>17.4002386318441</v>
      </c>
      <c r="Q124" s="17" t="str">
        <f t="shared" si="74"/>
        <v>1+0.0617828984405855i</v>
      </c>
      <c r="R124" s="17">
        <f t="shared" si="85"/>
        <v>1.0019067454307911</v>
      </c>
      <c r="S124" s="17">
        <f t="shared" si="86"/>
        <v>6.1704466945028937E-2</v>
      </c>
      <c r="T124" s="17" t="str">
        <f t="shared" si="75"/>
        <v>1+0.000216421858949228i</v>
      </c>
      <c r="U124" s="17">
        <f t="shared" si="87"/>
        <v>1.0000000234192103</v>
      </c>
      <c r="V124" s="17">
        <f t="shared" si="88"/>
        <v>2.1642185557027539E-4</v>
      </c>
      <c r="W124" s="31" t="str">
        <f t="shared" si="76"/>
        <v>1-0.00053393873591102i</v>
      </c>
      <c r="X124" s="17">
        <f t="shared" si="89"/>
        <v>1.0000001425452767</v>
      </c>
      <c r="Y124" s="17">
        <f t="shared" si="90"/>
        <v>-5.339386851707285E-4</v>
      </c>
      <c r="Z124" s="31" t="str">
        <f t="shared" si="77"/>
        <v>0.999999988043023+0.000746745283378673i</v>
      </c>
      <c r="AA124" s="17">
        <f t="shared" si="91"/>
        <v>1.0000002668572465</v>
      </c>
      <c r="AB124" s="17">
        <f t="shared" si="92"/>
        <v>7.4674515350537545E-4</v>
      </c>
      <c r="AC124" s="66" t="str">
        <f t="shared" si="93"/>
        <v>17.3329209486377-1.08939650175702i</v>
      </c>
      <c r="AD124" s="64">
        <f t="shared" si="94"/>
        <v>24.794557200025217</v>
      </c>
      <c r="AE124" s="61">
        <f t="shared" si="95"/>
        <v>-3.5963832529828288</v>
      </c>
      <c r="AF124" s="31" t="str">
        <f t="shared" si="78"/>
        <v>-9090.90909090909</v>
      </c>
      <c r="AG124" s="31" t="str">
        <f t="shared" si="79"/>
        <v>721.406196497425i</v>
      </c>
      <c r="AH124" s="31">
        <f t="shared" si="96"/>
        <v>721.40619649742496</v>
      </c>
      <c r="AI124" s="31">
        <f t="shared" si="97"/>
        <v>1.5707963267948966</v>
      </c>
      <c r="AJ124" s="31" t="str">
        <f t="shared" si="80"/>
        <v>0.998114628651045+0.249784731318644i</v>
      </c>
      <c r="AK124" s="31">
        <f t="shared" si="98"/>
        <v>1.0288951471977796</v>
      </c>
      <c r="AL124" s="31">
        <f t="shared" si="99"/>
        <v>0.24522011477031019</v>
      </c>
      <c r="AM124" s="31" t="str">
        <f t="shared" si="81"/>
        <v>1+0.950669085744306i</v>
      </c>
      <c r="AN124" s="31">
        <f t="shared" si="100"/>
        <v>1.3797723401307602</v>
      </c>
      <c r="AO124" s="31">
        <f t="shared" si="101"/>
        <v>0.76011432504537935</v>
      </c>
      <c r="AP124" s="31" t="str">
        <f t="shared" si="82"/>
        <v>1+0.158709363229433i</v>
      </c>
      <c r="AQ124" s="31">
        <f t="shared" si="102"/>
        <v>1.0125160057879046</v>
      </c>
      <c r="AR124" s="31">
        <f t="shared" si="103"/>
        <v>0.15739658823209093</v>
      </c>
      <c r="AS124" s="58" t="str">
        <f t="shared" si="104"/>
        <v>-10.6561486519323+13.3872960439701i</v>
      </c>
      <c r="AT124" s="49">
        <f t="shared" si="105"/>
        <v>24.66531318769799</v>
      </c>
      <c r="AU124" s="61">
        <f t="shared" si="106"/>
        <v>128.51942535994024</v>
      </c>
      <c r="AV124" s="58" t="str">
        <f t="shared" si="83"/>
        <v>-170.118108722588+243.649715109762i</v>
      </c>
      <c r="AW124" s="64">
        <f t="shared" si="107"/>
        <v>49.459870387723214</v>
      </c>
      <c r="AX124" s="49">
        <f t="shared" si="108"/>
        <v>124.92304210695735</v>
      </c>
      <c r="AY124" s="310"/>
      <c r="BA124" s="31">
        <f t="shared" si="109"/>
        <v>0</v>
      </c>
      <c r="BB124" s="31">
        <f t="shared" si="110"/>
        <v>0</v>
      </c>
    </row>
    <row r="125" spans="14:54" x14ac:dyDescent="0.45">
      <c r="N125" s="10">
        <v>7</v>
      </c>
      <c r="O125" s="50">
        <f t="shared" si="111"/>
        <v>117.48975549395293</v>
      </c>
      <c r="P125" s="48" t="str">
        <f t="shared" si="73"/>
        <v>17.4002386318441</v>
      </c>
      <c r="Q125" s="17" t="str">
        <f t="shared" si="74"/>
        <v>1+0.0632220070170446i</v>
      </c>
      <c r="R125" s="17">
        <f t="shared" si="85"/>
        <v>1.0019965180434827</v>
      </c>
      <c r="S125" s="17">
        <f t="shared" si="86"/>
        <v>6.3137975196817325E-2</v>
      </c>
      <c r="T125" s="17" t="str">
        <f t="shared" si="75"/>
        <v>1+0.000221462971639118i</v>
      </c>
      <c r="U125" s="17">
        <f t="shared" si="87"/>
        <v>1.0000000245229237</v>
      </c>
      <c r="V125" s="17">
        <f t="shared" si="88"/>
        <v>2.2146296801850505E-4</v>
      </c>
      <c r="W125" s="31" t="str">
        <f t="shared" si="76"/>
        <v>1-0.00054637576676499i</v>
      </c>
      <c r="X125" s="17">
        <f t="shared" si="89"/>
        <v>1.000000149263228</v>
      </c>
      <c r="Y125" s="17">
        <f t="shared" si="90"/>
        <v>-5.4637571239578861E-4</v>
      </c>
      <c r="Z125" s="31" t="str">
        <f t="shared" si="77"/>
        <v>0.999999987479508+0.000764139215500102i</v>
      </c>
      <c r="AA125" s="17">
        <f t="shared" si="91"/>
        <v>1.0000002794338396</v>
      </c>
      <c r="AB125" s="17">
        <f t="shared" si="92"/>
        <v>7.6413907633835854E-4</v>
      </c>
      <c r="AC125" s="66" t="str">
        <f t="shared" si="93"/>
        <v>17.3297609944032-1.11457202700692i</v>
      </c>
      <c r="AD125" s="64">
        <f t="shared" si="94"/>
        <v>24.793778922547986</v>
      </c>
      <c r="AE125" s="61">
        <f t="shared" si="95"/>
        <v>-3.6799375787773472</v>
      </c>
      <c r="AF125" s="31" t="str">
        <f t="shared" si="78"/>
        <v>-9090.90909090909</v>
      </c>
      <c r="AG125" s="31" t="str">
        <f t="shared" si="79"/>
        <v>738.209905463727i</v>
      </c>
      <c r="AH125" s="31">
        <f t="shared" si="96"/>
        <v>738.20990546372695</v>
      </c>
      <c r="AI125" s="31">
        <f t="shared" si="97"/>
        <v>1.5707963267948966</v>
      </c>
      <c r="AJ125" s="31" t="str">
        <f t="shared" si="80"/>
        <v>0.998025773836832+0.255602965137099i</v>
      </c>
      <c r="AK125" s="31">
        <f t="shared" si="98"/>
        <v>1.0302370217719243</v>
      </c>
      <c r="AL125" s="31">
        <f t="shared" si="99"/>
        <v>0.25071960151929346</v>
      </c>
      <c r="AM125" s="31" t="str">
        <f t="shared" si="81"/>
        <v>1+0.972813013420099i</v>
      </c>
      <c r="AN125" s="31">
        <f t="shared" si="100"/>
        <v>1.3951219154896441</v>
      </c>
      <c r="AO125" s="31">
        <f t="shared" si="101"/>
        <v>0.77161821286264598</v>
      </c>
      <c r="AP125" s="31" t="str">
        <f t="shared" si="82"/>
        <v>1+0.16240617920202i</v>
      </c>
      <c r="AQ125" s="31">
        <f t="shared" si="102"/>
        <v>1.013102051642873</v>
      </c>
      <c r="AR125" s="31">
        <f t="shared" si="103"/>
        <v>0.16100049610030653</v>
      </c>
      <c r="AS125" s="58" t="str">
        <f t="shared" si="104"/>
        <v>-10.6483252885098+13.1168154174989i</v>
      </c>
      <c r="AT125" s="49">
        <f t="shared" si="105"/>
        <v>24.555113000019531</v>
      </c>
      <c r="AU125" s="61">
        <f t="shared" si="106"/>
        <v>129.06994091025962</v>
      </c>
      <c r="AV125" s="58" t="str">
        <f t="shared" si="83"/>
        <v>-169.913296692777+239.179601694002i</v>
      </c>
      <c r="AW125" s="64">
        <f t="shared" si="107"/>
        <v>49.348891922567503</v>
      </c>
      <c r="AX125" s="49">
        <f t="shared" si="108"/>
        <v>125.39000333148232</v>
      </c>
      <c r="AY125" s="310"/>
      <c r="BA125" s="31">
        <f t="shared" si="109"/>
        <v>0</v>
      </c>
      <c r="BB125" s="31">
        <f t="shared" si="110"/>
        <v>0</v>
      </c>
    </row>
    <row r="126" spans="14:54" x14ac:dyDescent="0.45">
      <c r="N126" s="10">
        <v>8</v>
      </c>
      <c r="O126" s="50">
        <f t="shared" si="111"/>
        <v>120.22644346174135</v>
      </c>
      <c r="P126" s="48" t="str">
        <f t="shared" si="73"/>
        <v>17.4002386318441</v>
      </c>
      <c r="Q126" s="17" t="str">
        <f t="shared" si="74"/>
        <v>1+0.0646946367384665i</v>
      </c>
      <c r="R126" s="17">
        <f t="shared" si="85"/>
        <v>1.002090512889291</v>
      </c>
      <c r="S126" s="17">
        <f t="shared" si="86"/>
        <v>6.4604605162798076E-2</v>
      </c>
      <c r="T126" s="17" t="str">
        <f t="shared" si="75"/>
        <v>1+0.000226621506927982i</v>
      </c>
      <c r="U126" s="17">
        <f t="shared" si="87"/>
        <v>1.0000000256786534</v>
      </c>
      <c r="V126" s="17">
        <f t="shared" si="88"/>
        <v>2.2662150304842533E-4</v>
      </c>
      <c r="W126" s="31" t="str">
        <f t="shared" si="76"/>
        <v>1-0.000559102493282639i</v>
      </c>
      <c r="X126" s="17">
        <f t="shared" si="89"/>
        <v>1.0000001562977867</v>
      </c>
      <c r="Y126" s="17">
        <f t="shared" si="90"/>
        <v>-5.5910243502499055E-4</v>
      </c>
      <c r="Z126" s="31" t="str">
        <f t="shared" si="77"/>
        <v>0.999999986889435+0.000781938304348168i</v>
      </c>
      <c r="AA126" s="17">
        <f t="shared" si="91"/>
        <v>1.0000002926031482</v>
      </c>
      <c r="AB126" s="17">
        <f t="shared" si="92"/>
        <v>7.8193815523367599E-4</v>
      </c>
      <c r="AC126" s="66" t="str">
        <f t="shared" si="93"/>
        <v>17.3264533295962-1.14031975601864i</v>
      </c>
      <c r="AD126" s="64">
        <f t="shared" si="94"/>
        <v>24.792964115425498</v>
      </c>
      <c r="AE126" s="61">
        <f t="shared" si="95"/>
        <v>-3.7654227232433941</v>
      </c>
      <c r="AF126" s="31" t="str">
        <f t="shared" si="78"/>
        <v>-9090.90909090909</v>
      </c>
      <c r="AG126" s="31" t="str">
        <f t="shared" si="79"/>
        <v>755.405023093271i</v>
      </c>
      <c r="AH126" s="31">
        <f t="shared" si="96"/>
        <v>755.40502309327098</v>
      </c>
      <c r="AI126" s="31">
        <f t="shared" si="97"/>
        <v>1.5707963267948966</v>
      </c>
      <c r="AJ126" s="31" t="str">
        <f t="shared" si="80"/>
        <v>0.997932731424237+0.261556723030976i</v>
      </c>
      <c r="AK126" s="31">
        <f t="shared" si="98"/>
        <v>1.0316402744225048</v>
      </c>
      <c r="AL126" s="31">
        <f t="shared" si="99"/>
        <v>0.256332723654767</v>
      </c>
      <c r="AM126" s="31" t="str">
        <f t="shared" si="81"/>
        <v>1+0.995472739432312i</v>
      </c>
      <c r="AN126" s="31">
        <f t="shared" si="100"/>
        <v>1.4110159371718207</v>
      </c>
      <c r="AO126" s="31">
        <f t="shared" si="101"/>
        <v>0.78312940135899578</v>
      </c>
      <c r="AP126" s="31" t="str">
        <f t="shared" si="82"/>
        <v>1+0.166189105080519i</v>
      </c>
      <c r="AQ126" s="31">
        <f t="shared" si="102"/>
        <v>1.0137153538580066</v>
      </c>
      <c r="AR126" s="31">
        <f t="shared" si="103"/>
        <v>0.16468398694506625</v>
      </c>
      <c r="AS126" s="58" t="str">
        <f t="shared" si="104"/>
        <v>-10.6401765911033+12.8531183318346i</v>
      </c>
      <c r="AT126" s="49">
        <f t="shared" si="105"/>
        <v>24.446942033107547</v>
      </c>
      <c r="AU126" s="61">
        <f t="shared" si="106"/>
        <v>129.61892369930572</v>
      </c>
      <c r="AV126" s="58" t="str">
        <f t="shared" si="83"/>
        <v>-169.699858364177+234.832158490672i</v>
      </c>
      <c r="AW126" s="64">
        <f t="shared" si="107"/>
        <v>49.239906148533052</v>
      </c>
      <c r="AX126" s="49">
        <f t="shared" si="108"/>
        <v>125.85350097606232</v>
      </c>
      <c r="AY126" s="310"/>
      <c r="BA126" s="31">
        <f t="shared" si="109"/>
        <v>0</v>
      </c>
      <c r="BB126" s="31">
        <f t="shared" si="110"/>
        <v>0</v>
      </c>
    </row>
    <row r="127" spans="14:54" x14ac:dyDescent="0.45">
      <c r="N127" s="10">
        <v>9</v>
      </c>
      <c r="O127" s="50">
        <f t="shared" si="111"/>
        <v>123.02687708123821</v>
      </c>
      <c r="P127" s="48" t="str">
        <f t="shared" si="73"/>
        <v>17.4002386318441</v>
      </c>
      <c r="Q127" s="17" t="str">
        <f t="shared" si="74"/>
        <v>1+0.0662015684126218i</v>
      </c>
      <c r="R127" s="17">
        <f t="shared" si="85"/>
        <v>1.0021889281269729</v>
      </c>
      <c r="S127" s="17">
        <f t="shared" si="86"/>
        <v>6.6105109217555524E-2</v>
      </c>
      <c r="T127" s="17" t="str">
        <f t="shared" si="75"/>
        <v>1+0.000231900199939508i</v>
      </c>
      <c r="U127" s="17">
        <f t="shared" si="87"/>
        <v>1.0000000268888509</v>
      </c>
      <c r="V127" s="17">
        <f t="shared" si="88"/>
        <v>2.3190019578248815E-4</v>
      </c>
      <c r="W127" s="31" t="str">
        <f t="shared" si="76"/>
        <v>1-0.000572125663342821i</v>
      </c>
      <c r="X127" s="17">
        <f t="shared" si="89"/>
        <v>1.000000163663874</v>
      </c>
      <c r="Y127" s="17">
        <f t="shared" si="90"/>
        <v>-5.7212560091862653E-4</v>
      </c>
      <c r="Z127" s="31" t="str">
        <f t="shared" si="77"/>
        <v>0.999999986271553+0.000800151987235376i</v>
      </c>
      <c r="AA127" s="17">
        <f t="shared" si="91"/>
        <v>1.0000003063931073</v>
      </c>
      <c r="AB127" s="17">
        <f t="shared" si="92"/>
        <v>8.0015182745632192E-4</v>
      </c>
      <c r="AC127" s="66" t="str">
        <f t="shared" si="93"/>
        <v>17.3229911091575-1.16665201040216i</v>
      </c>
      <c r="AD127" s="64">
        <f t="shared" si="94"/>
        <v>24.792111071425115</v>
      </c>
      <c r="AE127" s="61">
        <f t="shared" si="95"/>
        <v>-3.8528825648976541</v>
      </c>
      <c r="AF127" s="31" t="str">
        <f t="shared" si="78"/>
        <v>-9090.90909090909</v>
      </c>
      <c r="AG127" s="31" t="str">
        <f t="shared" si="79"/>
        <v>773.000666465025i</v>
      </c>
      <c r="AH127" s="31">
        <f t="shared" si="96"/>
        <v>773.00066646502501</v>
      </c>
      <c r="AI127" s="31">
        <f t="shared" si="97"/>
        <v>1.5707963267948966</v>
      </c>
      <c r="AJ127" s="31" t="str">
        <f t="shared" si="80"/>
        <v>0.99783530405783+0.267649161761515i</v>
      </c>
      <c r="AK127" s="31">
        <f t="shared" si="98"/>
        <v>1.0331076264435493</v>
      </c>
      <c r="AL127" s="31">
        <f t="shared" si="99"/>
        <v>0.26206117772345494</v>
      </c>
      <c r="AM127" s="31" t="str">
        <f t="shared" si="81"/>
        <v>1+1.01866027826761i</v>
      </c>
      <c r="AN127" s="31">
        <f t="shared" si="100"/>
        <v>1.4274693560704708</v>
      </c>
      <c r="AO127" s="31">
        <f t="shared" si="101"/>
        <v>0.79464179244768818</v>
      </c>
      <c r="AP127" s="31" t="str">
        <f t="shared" si="82"/>
        <v>1+0.170060146622305i</v>
      </c>
      <c r="AQ127" s="31">
        <f t="shared" si="102"/>
        <v>1.014357162674568</v>
      </c>
      <c r="AR127" s="31">
        <f t="shared" si="103"/>
        <v>0.16844861377550327</v>
      </c>
      <c r="AS127" s="58" t="str">
        <f t="shared" si="104"/>
        <v>-10.6316910248469+12.5960542203263i</v>
      </c>
      <c r="AT127" s="49">
        <f t="shared" si="105"/>
        <v>24.340791461220235</v>
      </c>
      <c r="AU127" s="61">
        <f t="shared" si="106"/>
        <v>130.16601610834701</v>
      </c>
      <c r="AV127" s="58" t="str">
        <f t="shared" si="83"/>
        <v>-169.477477119454+230.604818977291i</v>
      </c>
      <c r="AW127" s="64">
        <f t="shared" si="107"/>
        <v>49.13290253264536</v>
      </c>
      <c r="AX127" s="49">
        <f t="shared" si="108"/>
        <v>126.3131335434493</v>
      </c>
      <c r="AY127" s="310"/>
      <c r="BA127" s="31">
        <f t="shared" si="109"/>
        <v>0</v>
      </c>
      <c r="BB127" s="31">
        <f t="shared" si="110"/>
        <v>0</v>
      </c>
    </row>
    <row r="128" spans="14:54" x14ac:dyDescent="0.45">
      <c r="N128" s="10">
        <v>10</v>
      </c>
      <c r="O128" s="50">
        <f t="shared" si="111"/>
        <v>125.89254117941677</v>
      </c>
      <c r="P128" s="48" t="str">
        <f t="shared" si="73"/>
        <v>17.4002386318441</v>
      </c>
      <c r="Q128" s="17" t="str">
        <f t="shared" si="74"/>
        <v>1+0.0677436010346307i</v>
      </c>
      <c r="R128" s="17">
        <f t="shared" si="85"/>
        <v>1.002291971174637</v>
      </c>
      <c r="S128" s="17">
        <f t="shared" si="86"/>
        <v>6.764025590575018E-2</v>
      </c>
      <c r="T128" s="17" t="str">
        <f t="shared" si="75"/>
        <v>1+0.000237301849506604i</v>
      </c>
      <c r="U128" s="17">
        <f t="shared" si="87"/>
        <v>1.0000000281560835</v>
      </c>
      <c r="V128" s="17">
        <f t="shared" si="88"/>
        <v>2.3730184505227694E-4</v>
      </c>
      <c r="W128" s="31" t="str">
        <f t="shared" si="76"/>
        <v>1-0.000585452182002687i</v>
      </c>
      <c r="X128" s="17">
        <f t="shared" si="89"/>
        <v>1.0000001713771141</v>
      </c>
      <c r="Y128" s="17">
        <f t="shared" si="90"/>
        <v>-5.8545211511395817E-4</v>
      </c>
      <c r="Z128" s="31" t="str">
        <f t="shared" si="77"/>
        <v>0.999999985624552+0.000818789921297479i</v>
      </c>
      <c r="AA128" s="17">
        <f t="shared" si="91"/>
        <v>1.0000003208329682</v>
      </c>
      <c r="AB128" s="17">
        <f t="shared" si="92"/>
        <v>8.1878975009114035E-4</v>
      </c>
      <c r="AC128" s="66" t="str">
        <f t="shared" si="93"/>
        <v>17.3193671765423-1.19358132792828i</v>
      </c>
      <c r="AD128" s="64">
        <f t="shared" si="94"/>
        <v>24.791218004230586</v>
      </c>
      <c r="AE128" s="61">
        <f t="shared" si="95"/>
        <v>-3.9423619266839944</v>
      </c>
      <c r="AF128" s="31" t="str">
        <f t="shared" si="78"/>
        <v>-9090.90909090909</v>
      </c>
      <c r="AG128" s="31" t="str">
        <f t="shared" si="79"/>
        <v>791.006165022012i</v>
      </c>
      <c r="AH128" s="31">
        <f t="shared" si="96"/>
        <v>791.00616502201206</v>
      </c>
      <c r="AI128" s="31">
        <f t="shared" si="97"/>
        <v>1.5707963267948966</v>
      </c>
      <c r="AJ128" s="31" t="str">
        <f t="shared" si="80"/>
        <v>0.997733285081104+0.273883511620377i</v>
      </c>
      <c r="AK128" s="31">
        <f t="shared" si="98"/>
        <v>1.0346419120141233</v>
      </c>
      <c r="AL128" s="31">
        <f t="shared" si="99"/>
        <v>0.26790664129834912</v>
      </c>
      <c r="AM128" s="31" t="str">
        <f t="shared" si="81"/>
        <v>1+1.04238792426601i</v>
      </c>
      <c r="AN128" s="31">
        <f t="shared" si="100"/>
        <v>1.4444973467111668</v>
      </c>
      <c r="AO128" s="31">
        <f t="shared" si="101"/>
        <v>0.80614928485678383</v>
      </c>
      <c r="AP128" s="31" t="str">
        <f t="shared" si="82"/>
        <v>1+0.174021356304843i</v>
      </c>
      <c r="AQ128" s="31">
        <f t="shared" si="102"/>
        <v>1.0150287840500767</v>
      </c>
      <c r="AR128" s="31">
        <f t="shared" si="103"/>
        <v>0.17229594560081571</v>
      </c>
      <c r="AS128" s="58" t="str">
        <f t="shared" si="104"/>
        <v>-10.6228568252814+12.3454754277156i</v>
      </c>
      <c r="AT128" s="49">
        <f t="shared" si="105"/>
        <v>24.236649717789046</v>
      </c>
      <c r="AU128" s="61">
        <f t="shared" si="106"/>
        <v>130.71086234000518</v>
      </c>
      <c r="AV128" s="58" t="str">
        <f t="shared" si="83"/>
        <v>-169.245828865968+226.495065457498i</v>
      </c>
      <c r="AW128" s="64">
        <f t="shared" si="107"/>
        <v>49.027867722019622</v>
      </c>
      <c r="AX128" s="49">
        <f t="shared" si="108"/>
        <v>126.76850041332119</v>
      </c>
      <c r="AY128" s="310"/>
      <c r="BA128" s="31">
        <f t="shared" si="109"/>
        <v>0</v>
      </c>
      <c r="BB128" s="31">
        <f t="shared" si="110"/>
        <v>0</v>
      </c>
    </row>
    <row r="129" spans="14:54" x14ac:dyDescent="0.45">
      <c r="N129" s="10">
        <v>11</v>
      </c>
      <c r="O129" s="50">
        <f t="shared" si="111"/>
        <v>128.82495516931343</v>
      </c>
      <c r="P129" s="48" t="str">
        <f t="shared" si="73"/>
        <v>17.4002386318441</v>
      </c>
      <c r="Q129" s="17" t="str">
        <f t="shared" si="74"/>
        <v>1+0.0693215522106009i</v>
      </c>
      <c r="R129" s="17">
        <f t="shared" si="85"/>
        <v>1.0023998591385013</v>
      </c>
      <c r="S129" s="17">
        <f t="shared" si="86"/>
        <v>6.9210830223451245E-2</v>
      </c>
      <c r="T129" s="17" t="str">
        <f t="shared" si="75"/>
        <v>1+0.00024282931965537i</v>
      </c>
      <c r="U129" s="17">
        <f t="shared" si="87"/>
        <v>1.0000000294830389</v>
      </c>
      <c r="V129" s="17">
        <f t="shared" si="88"/>
        <v>2.428293148824726E-4</v>
      </c>
      <c r="W129" s="31" t="str">
        <f t="shared" si="76"/>
        <v>1-0.000599089115158826i</v>
      </c>
      <c r="X129" s="17">
        <f t="shared" si="89"/>
        <v>1.0000001794538678</v>
      </c>
      <c r="Y129" s="17">
        <f t="shared" si="90"/>
        <v>-5.9908904348626236E-4</v>
      </c>
      <c r="Z129" s="31" t="str">
        <f t="shared" si="77"/>
        <v>0.999999984947058+0.000837861988613821i</v>
      </c>
      <c r="AA129" s="17">
        <f t="shared" si="91"/>
        <v>1.0000003359533576</v>
      </c>
      <c r="AB129" s="17">
        <f t="shared" si="92"/>
        <v>8.3786180516292718E-4</v>
      </c>
      <c r="AC129" s="66" t="str">
        <f t="shared" si="93"/>
        <v>17.3155740500969-1.22112046263616i</v>
      </c>
      <c r="AD129" s="64">
        <f t="shared" si="94"/>
        <v>24.790283044846714</v>
      </c>
      <c r="AE129" s="61">
        <f t="shared" si="95"/>
        <v>-4.0339065925107764</v>
      </c>
      <c r="AF129" s="31" t="str">
        <f t="shared" si="78"/>
        <v>-9090.90909090909</v>
      </c>
      <c r="AG129" s="31" t="str">
        <f t="shared" si="79"/>
        <v>809.431065517899i</v>
      </c>
      <c r="AH129" s="31">
        <f t="shared" si="96"/>
        <v>809.43106551789901</v>
      </c>
      <c r="AI129" s="31">
        <f t="shared" si="97"/>
        <v>1.5707963267948966</v>
      </c>
      <c r="AJ129" s="31" t="str">
        <f t="shared" si="80"/>
        <v>0.997626458098131+0.280263078142376i</v>
      </c>
      <c r="AK129" s="31">
        <f t="shared" si="98"/>
        <v>1.0362460821963388</v>
      </c>
      <c r="AL129" s="31">
        <f t="shared" si="99"/>
        <v>0.27387076938321508</v>
      </c>
      <c r="AM129" s="31" t="str">
        <f t="shared" si="81"/>
        <v>1+1.06666825813949i</v>
      </c>
      <c r="AN129" s="31">
        <f t="shared" si="100"/>
        <v>1.462115307669793</v>
      </c>
      <c r="AO129" s="31">
        <f t="shared" si="101"/>
        <v>0.81764579028405548</v>
      </c>
      <c r="AP129" s="31" t="str">
        <f t="shared" si="82"/>
        <v>1+0.178074834413938i</v>
      </c>
      <c r="AQ129" s="31">
        <f t="shared" si="102"/>
        <v>1.0157315819898245</v>
      </c>
      <c r="AR129" s="31">
        <f t="shared" si="103"/>
        <v>0.17622756651479241</v>
      </c>
      <c r="AS129" s="58" t="str">
        <f t="shared" si="104"/>
        <v>-10.6136620109828+12.1012371055515i</v>
      </c>
      <c r="AT129" s="49">
        <f t="shared" si="105"/>
        <v>24.134502499994976</v>
      </c>
      <c r="AU129" s="61">
        <f t="shared" si="106"/>
        <v>131.25310949741504</v>
      </c>
      <c r="AV129" s="58" t="str">
        <f t="shared" si="83"/>
        <v>-169.004582241072+222.500427064072i</v>
      </c>
      <c r="AW129" s="64">
        <f t="shared" si="107"/>
        <v>48.924785544841676</v>
      </c>
      <c r="AX129" s="49">
        <f t="shared" si="108"/>
        <v>127.21920290490429</v>
      </c>
      <c r="AY129" s="310"/>
      <c r="BA129" s="31">
        <f t="shared" si="109"/>
        <v>0</v>
      </c>
      <c r="BB129" s="31">
        <f t="shared" si="110"/>
        <v>0</v>
      </c>
    </row>
    <row r="130" spans="14:54" x14ac:dyDescent="0.45">
      <c r="N130" s="10">
        <v>12</v>
      </c>
      <c r="O130" s="50">
        <f t="shared" si="111"/>
        <v>131.82567385564084</v>
      </c>
      <c r="P130" s="48" t="str">
        <f t="shared" si="73"/>
        <v>17.4002386318441</v>
      </c>
      <c r="Q130" s="17" t="str">
        <f t="shared" si="74"/>
        <v>1+0.0709362585911324i</v>
      </c>
      <c r="R130" s="17">
        <f t="shared" si="85"/>
        <v>1.0025128192611343</v>
      </c>
      <c r="S130" s="17">
        <f t="shared" si="86"/>
        <v>7.081763389939609E-2</v>
      </c>
      <c r="T130" s="17" t="str">
        <f t="shared" si="75"/>
        <v>1+0.000248485541123644i</v>
      </c>
      <c r="U130" s="17">
        <f t="shared" si="87"/>
        <v>1.0000000308725316</v>
      </c>
      <c r="V130" s="17">
        <f t="shared" si="88"/>
        <v>2.4848553600939231E-4</v>
      </c>
      <c r="W130" s="31" t="str">
        <f t="shared" si="76"/>
        <v>1-0.000613043693293705i</v>
      </c>
      <c r="X130" s="17">
        <f t="shared" si="89"/>
        <v>1.0000001879112672</v>
      </c>
      <c r="Y130" s="17">
        <f t="shared" si="90"/>
        <v>-6.130436164951702E-4</v>
      </c>
      <c r="Z130" s="31" t="str">
        <f t="shared" si="77"/>
        <v>0.999999984237634+0.000857378301446941i</v>
      </c>
      <c r="AA130" s="17">
        <f t="shared" si="91"/>
        <v>1.0000003517863481</v>
      </c>
      <c r="AB130" s="17">
        <f t="shared" si="92"/>
        <v>8.5737810487577105E-4</v>
      </c>
      <c r="AC130" s="66" t="str">
        <f t="shared" si="93"/>
        <v>17.3116039088922-1.24928238460758i</v>
      </c>
      <c r="AD130" s="64">
        <f t="shared" si="94"/>
        <v>24.7893042378467</v>
      </c>
      <c r="AE130" s="61">
        <f t="shared" si="95"/>
        <v>-4.1275633237935399</v>
      </c>
      <c r="AF130" s="31" t="str">
        <f t="shared" si="78"/>
        <v>-9090.90909090909</v>
      </c>
      <c r="AG130" s="31" t="str">
        <f t="shared" si="79"/>
        <v>828.285137078811i</v>
      </c>
      <c r="AH130" s="31">
        <f t="shared" si="96"/>
        <v>828.28513707881098</v>
      </c>
      <c r="AI130" s="31">
        <f t="shared" si="97"/>
        <v>1.5707963267948966</v>
      </c>
      <c r="AJ130" s="31" t="str">
        <f t="shared" si="80"/>
        <v>0.997514596514558+0.286791243858127i</v>
      </c>
      <c r="AK130" s="31">
        <f t="shared" si="98"/>
        <v>1.0379232090156252</v>
      </c>
      <c r="AL130" s="31">
        <f t="shared" si="99"/>
        <v>0.27995519061352608</v>
      </c>
      <c r="AM130" s="31" t="str">
        <f t="shared" si="81"/>
        <v>1+1.09151415364246i</v>
      </c>
      <c r="AN130" s="31">
        <f t="shared" si="100"/>
        <v>1.4803388624236733</v>
      </c>
      <c r="AO130" s="31">
        <f t="shared" si="101"/>
        <v>0.82912524946822952</v>
      </c>
      <c r="AP130" s="31" t="str">
        <f t="shared" si="82"/>
        <v>1+0.182222730157338i</v>
      </c>
      <c r="AQ130" s="31">
        <f t="shared" si="102"/>
        <v>1.0164669809619957</v>
      </c>
      <c r="AR130" s="31">
        <f t="shared" si="103"/>
        <v>0.1802450746844354</v>
      </c>
      <c r="AS130" s="58" t="str">
        <f t="shared" si="104"/>
        <v>-10.6040943981992+11.8631971088389i</v>
      </c>
      <c r="AT130" s="49">
        <f t="shared" si="105"/>
        <v>24.034332784814524</v>
      </c>
      <c r="AU130" s="61">
        <f t="shared" si="106"/>
        <v>131.79240866476403</v>
      </c>
      <c r="AV130" s="58" t="str">
        <f t="shared" si="83"/>
        <v>-168.753398860927+218.61847777772i</v>
      </c>
      <c r="AW130" s="64">
        <f t="shared" si="107"/>
        <v>48.823637022661217</v>
      </c>
      <c r="AX130" s="49">
        <f t="shared" si="108"/>
        <v>127.66484534097052</v>
      </c>
      <c r="AY130" s="310"/>
      <c r="BA130" s="31">
        <f t="shared" si="109"/>
        <v>0</v>
      </c>
      <c r="BB130" s="31">
        <f t="shared" si="110"/>
        <v>0</v>
      </c>
    </row>
    <row r="131" spans="14:54" x14ac:dyDescent="0.45">
      <c r="N131" s="10">
        <v>13</v>
      </c>
      <c r="O131" s="50">
        <f t="shared" si="111"/>
        <v>134.89628825916537</v>
      </c>
      <c r="P131" s="48" t="str">
        <f t="shared" si="73"/>
        <v>17.4002386318441</v>
      </c>
      <c r="Q131" s="17" t="str">
        <f t="shared" si="74"/>
        <v>1+0.0725885763149211i</v>
      </c>
      <c r="R131" s="17">
        <f t="shared" si="85"/>
        <v>1.0026310893900245</v>
      </c>
      <c r="S131" s="17">
        <f t="shared" si="86"/>
        <v>7.2461485675726495E-2</v>
      </c>
      <c r="T131" s="17" t="str">
        <f t="shared" si="75"/>
        <v>1+0.000254273512914915i</v>
      </c>
      <c r="U131" s="17">
        <f t="shared" si="87"/>
        <v>1.0000000323275091</v>
      </c>
      <c r="V131" s="17">
        <f t="shared" si="88"/>
        <v>2.5427350743489554E-4</v>
      </c>
      <c r="W131" s="31" t="str">
        <f t="shared" si="76"/>
        <v>1-0.00062732331530936i</v>
      </c>
      <c r="X131" s="17">
        <f t="shared" si="89"/>
        <v>1.0000001967672516</v>
      </c>
      <c r="Y131" s="17">
        <f t="shared" si="90"/>
        <v>-6.273232330182483E-4</v>
      </c>
      <c r="Z131" s="31" t="str">
        <f t="shared" si="77"/>
        <v>0.999999983494777+0.000877349207604229i</v>
      </c>
      <c r="AA131" s="17">
        <f t="shared" si="91"/>
        <v>1.0000003683655252</v>
      </c>
      <c r="AB131" s="17">
        <f t="shared" si="92"/>
        <v>8.7734899697442935E-4</v>
      </c>
      <c r="AC131" s="66" t="str">
        <f t="shared" si="93"/>
        <v>17.3074485779978-1.27808027937832i</v>
      </c>
      <c r="AD131" s="64">
        <f t="shared" si="94"/>
        <v>24.788279537456098</v>
      </c>
      <c r="AE131" s="61">
        <f t="shared" si="95"/>
        <v>-4.2233798759779155</v>
      </c>
      <c r="AF131" s="31" t="str">
        <f t="shared" si="78"/>
        <v>-9090.90909090909</v>
      </c>
      <c r="AG131" s="31" t="str">
        <f t="shared" si="79"/>
        <v>847.57837638305i</v>
      </c>
      <c r="AH131" s="31">
        <f t="shared" si="96"/>
        <v>847.57837638305</v>
      </c>
      <c r="AI131" s="31">
        <f t="shared" si="97"/>
        <v>1.5707963267948966</v>
      </c>
      <c r="AJ131" s="31" t="str">
        <f t="shared" si="80"/>
        <v>0.997397463056969+0.293471470087502i</v>
      </c>
      <c r="AK131" s="31">
        <f t="shared" si="98"/>
        <v>1.0396764896196302</v>
      </c>
      <c r="AL131" s="31">
        <f t="shared" si="99"/>
        <v>0.28616150325034806</v>
      </c>
      <c r="AM131" s="31" t="str">
        <f t="shared" si="81"/>
        <v>1+1.11693878439758i</v>
      </c>
      <c r="AN131" s="31">
        <f t="shared" si="100"/>
        <v>1.499183860669379</v>
      </c>
      <c r="AO131" s="31">
        <f t="shared" si="101"/>
        <v>0.84058164807329494</v>
      </c>
      <c r="AP131" s="31" t="str">
        <f t="shared" si="82"/>
        <v>1+0.186467242804271i</v>
      </c>
      <c r="AQ131" s="31">
        <f t="shared" si="102"/>
        <v>1.0172364683980943</v>
      </c>
      <c r="AR131" s="31">
        <f t="shared" si="103"/>
        <v>0.18435008123702301</v>
      </c>
      <c r="AS131" s="58" t="str">
        <f t="shared" si="104"/>
        <v>-10.5941416176274+11.6312158939822i</v>
      </c>
      <c r="AT131" s="49">
        <f t="shared" si="105"/>
        <v>23.936120856525378</v>
      </c>
      <c r="AU131" s="61">
        <f t="shared" si="106"/>
        <v>132.32841598316193</v>
      </c>
      <c r="AV131" s="58" t="str">
        <f t="shared" si="83"/>
        <v>-168.491933615822+214.846834463118i</v>
      </c>
      <c r="AW131" s="64">
        <f t="shared" si="107"/>
        <v>48.724400393981462</v>
      </c>
      <c r="AX131" s="49">
        <f t="shared" si="108"/>
        <v>128.10503610718399</v>
      </c>
      <c r="AY131" s="310"/>
      <c r="BA131" s="31">
        <f t="shared" si="109"/>
        <v>0</v>
      </c>
      <c r="BB131" s="31">
        <f t="shared" si="110"/>
        <v>0</v>
      </c>
    </row>
    <row r="132" spans="14:54" x14ac:dyDescent="0.45">
      <c r="N132" s="10">
        <v>14</v>
      </c>
      <c r="O132" s="50">
        <f t="shared" si="111"/>
        <v>138.0384264602886</v>
      </c>
      <c r="P132" s="48" t="str">
        <f t="shared" si="73"/>
        <v>17.4002386318441</v>
      </c>
      <c r="Q132" s="17" t="str">
        <f t="shared" si="74"/>
        <v>1+0.0742793814626956i</v>
      </c>
      <c r="R132" s="17">
        <f t="shared" si="85"/>
        <v>1.0027549184673594</v>
      </c>
      <c r="S132" s="17">
        <f t="shared" si="86"/>
        <v>7.4143221587708127E-2</v>
      </c>
      <c r="T132" s="17" t="str">
        <f t="shared" si="75"/>
        <v>1+0.000260196303888443i</v>
      </c>
      <c r="U132" s="17">
        <f t="shared" si="87"/>
        <v>1.0000000338510577</v>
      </c>
      <c r="V132" s="17">
        <f t="shared" si="88"/>
        <v>2.6019629801649638E-4</v>
      </c>
      <c r="W132" s="31" t="str">
        <f t="shared" si="76"/>
        <v>1-0.000641935552450398i</v>
      </c>
      <c r="X132" s="17">
        <f t="shared" si="89"/>
        <v>1.0000002060406055</v>
      </c>
      <c r="Y132" s="17">
        <f t="shared" si="90"/>
        <v>-6.4193546427388404E-4</v>
      </c>
      <c r="Z132" s="31" t="str">
        <f t="shared" si="77"/>
        <v>0.99999998271691+0.000897785295924481i</v>
      </c>
      <c r="AA132" s="17">
        <f t="shared" si="91"/>
        <v>1.0000003857260547</v>
      </c>
      <c r="AB132" s="17">
        <f t="shared" si="92"/>
        <v>8.9778507023058893E-4</v>
      </c>
      <c r="AC132" s="66" t="str">
        <f t="shared" si="93"/>
        <v>17.3030995131817-1.30752754695482i</v>
      </c>
      <c r="AD132" s="64">
        <f t="shared" si="94"/>
        <v>24.78720680346747</v>
      </c>
      <c r="AE132" s="61">
        <f t="shared" si="95"/>
        <v>-4.3214050150143848</v>
      </c>
      <c r="AF132" s="31" t="str">
        <f t="shared" si="78"/>
        <v>-9090.90909090909</v>
      </c>
      <c r="AG132" s="31" t="str">
        <f t="shared" si="79"/>
        <v>867.321012961475i</v>
      </c>
      <c r="AH132" s="31">
        <f t="shared" si="96"/>
        <v>867.32101296147505</v>
      </c>
      <c r="AI132" s="31">
        <f t="shared" si="97"/>
        <v>1.5707963267948966</v>
      </c>
      <c r="AJ132" s="31" t="str">
        <f t="shared" si="80"/>
        <v>0.997274809269595+0.300307298774872i</v>
      </c>
      <c r="AK132" s="31">
        <f t="shared" si="98"/>
        <v>1.0415092505115677</v>
      </c>
      <c r="AL132" s="31">
        <f t="shared" si="99"/>
        <v>0.29249127096453398</v>
      </c>
      <c r="AM132" s="31" t="str">
        <f t="shared" si="81"/>
        <v>1+1.14295563088063i</v>
      </c>
      <c r="AN132" s="31">
        <f t="shared" si="100"/>
        <v>1.5186663801380931</v>
      </c>
      <c r="AO132" s="31">
        <f t="shared" si="101"/>
        <v>0.85200903228491087</v>
      </c>
      <c r="AP132" s="31" t="str">
        <f t="shared" si="82"/>
        <v>1+0.190810622851524i</v>
      </c>
      <c r="AQ132" s="31">
        <f t="shared" si="102"/>
        <v>1.0180415972802814</v>
      </c>
      <c r="AR132" s="31">
        <f t="shared" si="103"/>
        <v>0.18854420903979499</v>
      </c>
      <c r="AS132" s="58" t="str">
        <f t="shared" si="104"/>
        <v>-10.583791133465+11.4051564180999i</v>
      </c>
      <c r="AT132" s="49">
        <f t="shared" si="105"/>
        <v>23.839844345577241</v>
      </c>
      <c r="AU132" s="61">
        <f t="shared" si="106"/>
        <v>132.8607937158784</v>
      </c>
      <c r="AV132" s="58" t="str">
        <f t="shared" si="83"/>
        <v>-168.219835015081+211.183154924007i</v>
      </c>
      <c r="AW132" s="64">
        <f t="shared" si="107"/>
        <v>48.627051149044711</v>
      </c>
      <c r="AX132" s="49">
        <f t="shared" si="108"/>
        <v>128.53938870086404</v>
      </c>
      <c r="AY132" s="310"/>
      <c r="BA132" s="31">
        <f t="shared" si="109"/>
        <v>0</v>
      </c>
      <c r="BB132" s="31">
        <f t="shared" si="110"/>
        <v>0</v>
      </c>
    </row>
    <row r="133" spans="14:54" x14ac:dyDescent="0.45">
      <c r="N133" s="10">
        <v>15</v>
      </c>
      <c r="O133" s="50">
        <f t="shared" si="111"/>
        <v>141.25375446227542</v>
      </c>
      <c r="P133" s="48" t="str">
        <f t="shared" si="73"/>
        <v>17.4002386318441</v>
      </c>
      <c r="Q133" s="17" t="str">
        <f t="shared" si="74"/>
        <v>1+0.0760095705217253i</v>
      </c>
      <c r="R133" s="17">
        <f t="shared" si="85"/>
        <v>1.0028845670419388</v>
      </c>
      <c r="S133" s="17">
        <f t="shared" si="86"/>
        <v>7.5863695241895804E-2</v>
      </c>
      <c r="T133" s="17" t="str">
        <f t="shared" si="75"/>
        <v>1+0.000266257054386397i</v>
      </c>
      <c r="U133" s="17">
        <f t="shared" si="87"/>
        <v>1.0000000354464089</v>
      </c>
      <c r="V133" s="17">
        <f t="shared" si="88"/>
        <v>2.662570480944929E-4</v>
      </c>
      <c r="W133" s="31" t="str">
        <f t="shared" si="76"/>
        <v>1-0.000656888152318366i</v>
      </c>
      <c r="X133" s="17">
        <f t="shared" si="89"/>
        <v>1.0000002157509991</v>
      </c>
      <c r="Y133" s="17">
        <f t="shared" si="90"/>
        <v>-6.568880578355302E-4</v>
      </c>
      <c r="Z133" s="31" t="str">
        <f t="shared" si="77"/>
        <v>0.999999981902383+0.000918697401892224i</v>
      </c>
      <c r="AA133" s="17">
        <f t="shared" si="91"/>
        <v>1.0000004039047599</v>
      </c>
      <c r="AB133" s="17">
        <f t="shared" si="92"/>
        <v>9.1869716005686696E-4</v>
      </c>
      <c r="AC133" s="66" t="str">
        <f t="shared" si="93"/>
        <v>17.2985477850184-1.33763780040207i</v>
      </c>
      <c r="AD133" s="64">
        <f t="shared" si="94"/>
        <v>24.786083796978705</v>
      </c>
      <c r="AE133" s="61">
        <f t="shared" si="95"/>
        <v>-4.4216885337543372</v>
      </c>
      <c r="AF133" s="31" t="str">
        <f t="shared" si="78"/>
        <v>-9090.90909090909</v>
      </c>
      <c r="AG133" s="31" t="str">
        <f t="shared" si="79"/>
        <v>887.523514621322i</v>
      </c>
      <c r="AH133" s="31">
        <f t="shared" si="96"/>
        <v>887.52351462132197</v>
      </c>
      <c r="AI133" s="31">
        <f t="shared" si="97"/>
        <v>1.5707963267948966</v>
      </c>
      <c r="AJ133" s="31" t="str">
        <f t="shared" si="80"/>
        <v>0.997146374987309+0.307302354367089i</v>
      </c>
      <c r="AK133" s="31">
        <f t="shared" si="98"/>
        <v>1.0434249518532164</v>
      </c>
      <c r="AL133" s="31">
        <f t="shared" si="99"/>
        <v>0.29894601840944202</v>
      </c>
      <c r="AM133" s="31" t="str">
        <f t="shared" si="81"/>
        <v>1+1.16957848756798i</v>
      </c>
      <c r="AN133" s="31">
        <f t="shared" si="100"/>
        <v>1.5388027289363</v>
      </c>
      <c r="AO133" s="31">
        <f t="shared" si="101"/>
        <v>0.86340152402125914</v>
      </c>
      <c r="AP133" s="31" t="str">
        <f t="shared" si="82"/>
        <v>1+0.195255173216691i</v>
      </c>
      <c r="AQ133" s="31">
        <f t="shared" si="102"/>
        <v>1.0188839888171175</v>
      </c>
      <c r="AR133" s="31">
        <f t="shared" si="103"/>
        <v>0.19282909136628112</v>
      </c>
      <c r="AS133" s="58" t="str">
        <f t="shared" si="104"/>
        <v>-10.5730302648691+11.1848840398042i</v>
      </c>
      <c r="AT133" s="49">
        <f t="shared" si="105"/>
        <v>23.745478278649372</v>
      </c>
      <c r="AU133" s="61">
        <f t="shared" si="106"/>
        <v>133.38921129711045</v>
      </c>
      <c r="AV133" s="58" t="str">
        <f t="shared" si="83"/>
        <v>-167.936745584528+207.625135979527i</v>
      </c>
      <c r="AW133" s="64">
        <f t="shared" si="107"/>
        <v>48.531562075628088</v>
      </c>
      <c r="AX133" s="49">
        <f t="shared" si="108"/>
        <v>128.96752276335607</v>
      </c>
      <c r="AY133" s="310"/>
      <c r="BA133" s="31">
        <f t="shared" si="109"/>
        <v>0</v>
      </c>
      <c r="BB133" s="31">
        <f t="shared" si="110"/>
        <v>0</v>
      </c>
    </row>
    <row r="134" spans="14:54" x14ac:dyDescent="0.45">
      <c r="N134" s="10">
        <v>16</v>
      </c>
      <c r="O134" s="50">
        <f t="shared" si="111"/>
        <v>144.54397707459285</v>
      </c>
      <c r="P134" s="48" t="str">
        <f t="shared" si="73"/>
        <v>17.4002386318441</v>
      </c>
      <c r="Q134" s="17" t="str">
        <f t="shared" si="74"/>
        <v>1+0.0777800608611513i</v>
      </c>
      <c r="R134" s="17">
        <f t="shared" si="85"/>
        <v>1.0030203078041662</v>
      </c>
      <c r="S134" s="17">
        <f t="shared" si="86"/>
        <v>7.7623778092168472E-2</v>
      </c>
      <c r="T134" s="17" t="str">
        <f t="shared" si="75"/>
        <v>1+0.000272458977898916i</v>
      </c>
      <c r="U134" s="17">
        <f t="shared" si="87"/>
        <v>1.0000000371169466</v>
      </c>
      <c r="V134" s="17">
        <f t="shared" si="88"/>
        <v>2.7245897115701928E-4</v>
      </c>
      <c r="W134" s="31" t="str">
        <f t="shared" si="76"/>
        <v>1-0.000672189042979638i</v>
      </c>
      <c r="X134" s="17">
        <f t="shared" si="89"/>
        <v>1.0000002259190293</v>
      </c>
      <c r="Y134" s="17">
        <f t="shared" si="90"/>
        <v>-6.7218894173945659E-4</v>
      </c>
      <c r="Z134" s="31" t="str">
        <f t="shared" si="77"/>
        <v>0.999999981049468+0.000940096613382849i</v>
      </c>
      <c r="AA134" s="17">
        <f t="shared" si="91"/>
        <v>1.0000004229402</v>
      </c>
      <c r="AB134" s="17">
        <f t="shared" si="92"/>
        <v>9.4009635425160176E-4</v>
      </c>
      <c r="AC134" s="66" t="str">
        <f t="shared" si="93"/>
        <v>17.2937840623904-1.36842486396669i</v>
      </c>
      <c r="AD134" s="64">
        <f t="shared" si="94"/>
        <v>24.784908175948619</v>
      </c>
      <c r="AE134" s="61">
        <f t="shared" si="95"/>
        <v>-4.524281268234807</v>
      </c>
      <c r="AF134" s="31" t="str">
        <f t="shared" si="78"/>
        <v>-9090.90909090909</v>
      </c>
      <c r="AG134" s="31" t="str">
        <f t="shared" si="79"/>
        <v>908.196592996385i</v>
      </c>
      <c r="AH134" s="31">
        <f t="shared" si="96"/>
        <v>908.19659299638499</v>
      </c>
      <c r="AI134" s="31">
        <f t="shared" si="97"/>
        <v>1.5707963267948966</v>
      </c>
      <c r="AJ134" s="31" t="str">
        <f t="shared" si="80"/>
        <v>0.997011887783779+0.314460345735219i</v>
      </c>
      <c r="AK134" s="31">
        <f t="shared" si="98"/>
        <v>1.045427191832166</v>
      </c>
      <c r="AL134" s="31">
        <f t="shared" si="99"/>
        <v>0.30552722658144227</v>
      </c>
      <c r="AM134" s="31" t="str">
        <f t="shared" si="81"/>
        <v>1+1.19682147025064i</v>
      </c>
      <c r="AN134" s="31">
        <f t="shared" si="100"/>
        <v>1.5596094484366601</v>
      </c>
      <c r="AO134" s="31">
        <f t="shared" si="101"/>
        <v>0.87475333566538593</v>
      </c>
      <c r="AP134" s="31" t="str">
        <f t="shared" si="82"/>
        <v>1+0.199803250459205i</v>
      </c>
      <c r="AQ134" s="31">
        <f t="shared" si="102"/>
        <v>1.0197653352090685</v>
      </c>
      <c r="AR134" s="31">
        <f t="shared" si="103"/>
        <v>0.1972063704431179</v>
      </c>
      <c r="AS134" s="58" t="str">
        <f t="shared" si="104"/>
        <v>-10.5618462099553+10.9702664215578i</v>
      </c>
      <c r="AT134" s="49">
        <f t="shared" si="105"/>
        <v>23.652995139639987</v>
      </c>
      <c r="AU134" s="61">
        <f t="shared" si="106"/>
        <v>133.91334635864754</v>
      </c>
      <c r="AV134" s="58" t="str">
        <f t="shared" si="83"/>
        <v>-167.642302319545+204.170511564408i</v>
      </c>
      <c r="AW134" s="64">
        <f t="shared" si="107"/>
        <v>48.437903315588606</v>
      </c>
      <c r="AX134" s="49">
        <f t="shared" si="108"/>
        <v>129.38906509041277</v>
      </c>
      <c r="AY134" s="310"/>
      <c r="BA134" s="31">
        <f t="shared" si="109"/>
        <v>0</v>
      </c>
      <c r="BB134" s="31">
        <f t="shared" si="110"/>
        <v>0</v>
      </c>
    </row>
    <row r="135" spans="14:54" x14ac:dyDescent="0.45">
      <c r="N135" s="10">
        <v>17</v>
      </c>
      <c r="O135" s="50">
        <f t="shared" si="111"/>
        <v>147.91083881682084</v>
      </c>
      <c r="P135" s="48" t="str">
        <f t="shared" si="73"/>
        <v>17.4002386318441</v>
      </c>
      <c r="Q135" s="17" t="str">
        <f t="shared" si="74"/>
        <v>1+0.0795917912183867i</v>
      </c>
      <c r="R135" s="17">
        <f t="shared" si="85"/>
        <v>1.003162426145114</v>
      </c>
      <c r="S135" s="17">
        <f t="shared" si="86"/>
        <v>7.9424359712999409E-2</v>
      </c>
      <c r="T135" s="17" t="str">
        <f t="shared" si="75"/>
        <v>1+0.000278805362767937i</v>
      </c>
      <c r="U135" s="17">
        <f t="shared" si="87"/>
        <v>1.0000000388662145</v>
      </c>
      <c r="V135" s="17">
        <f t="shared" si="88"/>
        <v>2.7880535554386456E-4</v>
      </c>
      <c r="W135" s="31" t="str">
        <f t="shared" si="76"/>
        <v>1-0.00068784633716897i</v>
      </c>
      <c r="X135" s="17">
        <f t="shared" si="89"/>
        <v>1.0000002365662637</v>
      </c>
      <c r="Y135" s="17">
        <f t="shared" si="90"/>
        <v>-6.8784622868816258E-4</v>
      </c>
      <c r="Z135" s="31" t="str">
        <f t="shared" si="77"/>
        <v>0.999999980156357+0.000961994276541539i</v>
      </c>
      <c r="AA135" s="17">
        <f t="shared" si="91"/>
        <v>1.0000004428727534</v>
      </c>
      <c r="AB135" s="17">
        <f t="shared" si="92"/>
        <v>9.6199399887741152E-4</v>
      </c>
      <c r="AC135" s="66" t="str">
        <f t="shared" si="93"/>
        <v>17.288798595366-1.39990277069642i</v>
      </c>
      <c r="AD135" s="64">
        <f t="shared" si="94"/>
        <v>24.783677490562091</v>
      </c>
      <c r="AE135" s="61">
        <f t="shared" si="95"/>
        <v>-4.6292351138158523</v>
      </c>
      <c r="AF135" s="31" t="str">
        <f t="shared" si="78"/>
        <v>-9090.90909090909</v>
      </c>
      <c r="AG135" s="31" t="str">
        <f t="shared" si="79"/>
        <v>929.351209226457i</v>
      </c>
      <c r="AH135" s="31">
        <f t="shared" si="96"/>
        <v>929.35120922645694</v>
      </c>
      <c r="AI135" s="31">
        <f t="shared" si="97"/>
        <v>1.5707963267948966</v>
      </c>
      <c r="AJ135" s="31" t="str">
        <f t="shared" si="80"/>
        <v>0.996871062393616+0.321785068141033i</v>
      </c>
      <c r="AK135" s="31">
        <f t="shared" si="98"/>
        <v>1.0475197110872454</v>
      </c>
      <c r="AL135" s="31">
        <f t="shared" si="99"/>
        <v>0.31223632796859824</v>
      </c>
      <c r="AM135" s="31" t="str">
        <f t="shared" si="81"/>
        <v>1+1.22469902351862i</v>
      </c>
      <c r="AN135" s="31">
        <f t="shared" si="100"/>
        <v>1.5811033167403898</v>
      </c>
      <c r="AO135" s="31">
        <f t="shared" si="101"/>
        <v>0.8860587842315073</v>
      </c>
      <c r="AP135" s="31" t="str">
        <f t="shared" si="82"/>
        <v>1+0.20445726602982i</v>
      </c>
      <c r="AQ135" s="31">
        <f t="shared" si="102"/>
        <v>1.0206874025049926</v>
      </c>
      <c r="AR135" s="31">
        <f t="shared" si="103"/>
        <v>0.20167769587110065</v>
      </c>
      <c r="AS135" s="58" t="str">
        <f t="shared" si="104"/>
        <v>-10.5502260724606+10.7611734337394i</v>
      </c>
      <c r="AT135" s="49">
        <f t="shared" si="105"/>
        <v>23.562364941257115</v>
      </c>
      <c r="AU135" s="61">
        <f t="shared" si="106"/>
        <v>134.43288572903188</v>
      </c>
      <c r="AV135" s="58" t="str">
        <f t="shared" si="83"/>
        <v>-167.336137196514+200.817050856035i</v>
      </c>
      <c r="AW135" s="64">
        <f t="shared" si="107"/>
        <v>48.346042431819207</v>
      </c>
      <c r="AX135" s="49">
        <f t="shared" si="108"/>
        <v>129.80365061521599</v>
      </c>
      <c r="AY135" s="310"/>
      <c r="BA135" s="31">
        <f t="shared" si="109"/>
        <v>0</v>
      </c>
      <c r="BB135" s="31">
        <f t="shared" si="110"/>
        <v>0</v>
      </c>
    </row>
    <row r="136" spans="14:54" x14ac:dyDescent="0.45">
      <c r="N136" s="10">
        <v>18</v>
      </c>
      <c r="O136" s="50">
        <f t="shared" si="111"/>
        <v>151.3561248436209</v>
      </c>
      <c r="P136" s="48" t="str">
        <f t="shared" si="73"/>
        <v>17.4002386318441</v>
      </c>
      <c r="Q136" s="17" t="str">
        <f t="shared" si="74"/>
        <v>1+0.081445722196848i</v>
      </c>
      <c r="R136" s="17">
        <f t="shared" si="85"/>
        <v>1.0033112207406862</v>
      </c>
      <c r="S136" s="17">
        <f t="shared" si="86"/>
        <v>8.1266348069283789E-2</v>
      </c>
      <c r="T136" s="17" t="str">
        <f t="shared" si="75"/>
        <v>1+0.000285299573930724i</v>
      </c>
      <c r="U136" s="17">
        <f t="shared" si="87"/>
        <v>1.0000000406979226</v>
      </c>
      <c r="V136" s="17">
        <f t="shared" si="88"/>
        <v>2.8529956618999092E-4</v>
      </c>
      <c r="W136" s="31" t="str">
        <f t="shared" si="76"/>
        <v>1-0.000703868336590991i</v>
      </c>
      <c r="X136" s="17">
        <f t="shared" si="89"/>
        <v>1.0000002477152869</v>
      </c>
      <c r="Y136" s="17">
        <f t="shared" si="90"/>
        <v>-7.0386822035171318E-4</v>
      </c>
      <c r="Z136" s="31" t="str">
        <f t="shared" si="77"/>
        <v>0.999999979221155+0.00098440200179915i</v>
      </c>
      <c r="AA136" s="17">
        <f t="shared" si="91"/>
        <v>1.0000004637446982</v>
      </c>
      <c r="AB136" s="17">
        <f t="shared" si="92"/>
        <v>9.8440170427668426E-4</v>
      </c>
      <c r="AC136" s="66" t="str">
        <f t="shared" si="93"/>
        <v>17.2835811974407-1.432085759515i</v>
      </c>
      <c r="AD136" s="64">
        <f t="shared" si="94"/>
        <v>24.782389178398802</v>
      </c>
      <c r="AE136" s="61">
        <f t="shared" si="95"/>
        <v>-4.7366030411315858</v>
      </c>
      <c r="AF136" s="31" t="str">
        <f t="shared" si="78"/>
        <v>-9090.90909090909</v>
      </c>
      <c r="AG136" s="31" t="str">
        <f t="shared" si="79"/>
        <v>950.998579769078i</v>
      </c>
      <c r="AH136" s="31">
        <f t="shared" si="96"/>
        <v>950.99857976907799</v>
      </c>
      <c r="AI136" s="31">
        <f t="shared" si="97"/>
        <v>1.5707963267948966</v>
      </c>
      <c r="AJ136" s="31" t="str">
        <f t="shared" si="80"/>
        <v>0.996723600107285+0.329280405249304i</v>
      </c>
      <c r="AK136" s="31">
        <f t="shared" si="98"/>
        <v>1.0497063971854095</v>
      </c>
      <c r="AL136" s="31">
        <f t="shared" si="99"/>
        <v>0.31907470148920808</v>
      </c>
      <c r="AM136" s="31" t="str">
        <f t="shared" si="81"/>
        <v>1+1.25322592841969i</v>
      </c>
      <c r="AN136" s="31">
        <f t="shared" si="100"/>
        <v>1.6033013527292348</v>
      </c>
      <c r="AO136" s="31">
        <f t="shared" si="101"/>
        <v>0.89731230488438385</v>
      </c>
      <c r="AP136" s="31" t="str">
        <f t="shared" si="82"/>
        <v>1+0.209219687549197i</v>
      </c>
      <c r="AQ136" s="31">
        <f t="shared" si="102"/>
        <v>1.0216520335506525</v>
      </c>
      <c r="AR136" s="31">
        <f t="shared" si="103"/>
        <v>0.20624472291407991</v>
      </c>
      <c r="AS136" s="58" t="str">
        <f t="shared" si="104"/>
        <v>-10.5381568911938+10.5574770605674i</v>
      </c>
      <c r="AT136" s="49">
        <f t="shared" si="105"/>
        <v>23.473555306814895</v>
      </c>
      <c r="AU136" s="61">
        <f t="shared" si="106"/>
        <v>134.94752640012501</v>
      </c>
      <c r="AV136" s="58" t="str">
        <f t="shared" si="83"/>
        <v>-167.017877745472+197.562556431848i</v>
      </c>
      <c r="AW136" s="64">
        <f t="shared" si="107"/>
        <v>48.255944485213689</v>
      </c>
      <c r="AX136" s="49">
        <f t="shared" si="108"/>
        <v>130.21092335899334</v>
      </c>
      <c r="AY136" s="310"/>
      <c r="BA136" s="31">
        <f t="shared" si="109"/>
        <v>0</v>
      </c>
      <c r="BB136" s="31">
        <f t="shared" si="110"/>
        <v>0</v>
      </c>
    </row>
    <row r="137" spans="14:54" x14ac:dyDescent="0.45">
      <c r="N137" s="10">
        <v>19</v>
      </c>
      <c r="O137" s="50">
        <f t="shared" si="111"/>
        <v>154.8816618912482</v>
      </c>
      <c r="P137" s="48" t="str">
        <f t="shared" si="73"/>
        <v>17.4002386318441</v>
      </c>
      <c r="Q137" s="17" t="str">
        <f t="shared" si="74"/>
        <v>1+0.0833428367752796i</v>
      </c>
      <c r="R137" s="17">
        <f t="shared" si="85"/>
        <v>1.003467004161946</v>
      </c>
      <c r="S137" s="17">
        <f t="shared" si="86"/>
        <v>8.3150669781985445E-2</v>
      </c>
      <c r="T137" s="17" t="str">
        <f t="shared" si="75"/>
        <v>1+0.000291945054703994i</v>
      </c>
      <c r="U137" s="17">
        <f t="shared" si="87"/>
        <v>1.0000000426159565</v>
      </c>
      <c r="V137" s="17">
        <f t="shared" si="88"/>
        <v>2.9194504640964907E-4</v>
      </c>
      <c r="W137" s="31" t="str">
        <f t="shared" si="76"/>
        <v>1-0.000720263536321872i</v>
      </c>
      <c r="X137" s="17">
        <f t="shared" si="89"/>
        <v>1.0000002593897472</v>
      </c>
      <c r="Y137" s="17">
        <f t="shared" si="90"/>
        <v>-7.2026341176924344E-4</v>
      </c>
      <c r="Z137" s="31" t="str">
        <f t="shared" si="77"/>
        <v>0.999999978241878+0.00100733167002822i</v>
      </c>
      <c r="AA137" s="17">
        <f t="shared" si="91"/>
        <v>1.0000004856003071</v>
      </c>
      <c r="AB137" s="17">
        <f t="shared" si="92"/>
        <v>1.007331351227163E-3</v>
      </c>
      <c r="AC137" s="66" t="str">
        <f t="shared" si="93"/>
        <v>17.2781212271257-1.46498827170864i</v>
      </c>
      <c r="AD137" s="64">
        <f t="shared" si="94"/>
        <v>24.781040559397333</v>
      </c>
      <c r="AE137" s="61">
        <f t="shared" si="95"/>
        <v>-4.8464391118133134</v>
      </c>
      <c r="AF137" s="31" t="str">
        <f t="shared" si="78"/>
        <v>-9090.90909090909</v>
      </c>
      <c r="AG137" s="31" t="str">
        <f t="shared" si="79"/>
        <v>973.150182346647i</v>
      </c>
      <c r="AH137" s="31">
        <f t="shared" si="96"/>
        <v>973.15018234664694</v>
      </c>
      <c r="AI137" s="31">
        <f t="shared" si="97"/>
        <v>1.5707963267948966</v>
      </c>
      <c r="AJ137" s="31" t="str">
        <f t="shared" si="80"/>
        <v>0.996569188137507+0.33695033118698i</v>
      </c>
      <c r="AK137" s="31">
        <f t="shared" si="98"/>
        <v>1.0519912891426741</v>
      </c>
      <c r="AL137" s="31">
        <f t="shared" si="99"/>
        <v>0.32604366722331213</v>
      </c>
      <c r="AM137" s="31" t="str">
        <f t="shared" si="81"/>
        <v>1+1.28241731029641i</v>
      </c>
      <c r="AN137" s="31">
        <f t="shared" si="100"/>
        <v>1.6262208207214293</v>
      </c>
      <c r="AO137" s="31">
        <f t="shared" si="101"/>
        <v>0.90850846373807326</v>
      </c>
      <c r="AP137" s="31" t="str">
        <f t="shared" si="82"/>
        <v>1+0.214093040116262i</v>
      </c>
      <c r="AQ137" s="31">
        <f t="shared" si="102"/>
        <v>1.0226611510301071</v>
      </c>
      <c r="AR137" s="31">
        <f t="shared" si="103"/>
        <v>0.21090911064922191</v>
      </c>
      <c r="AS137" s="58" t="str">
        <f t="shared" si="104"/>
        <v>-10.5256256723844+10.3590513080566i</v>
      </c>
      <c r="AT137" s="49">
        <f t="shared" si="105"/>
        <v>23.386531561779229</v>
      </c>
      <c r="AU137" s="61">
        <f t="shared" si="106"/>
        <v>135.45697645630028</v>
      </c>
      <c r="AV137" s="58" t="str">
        <f t="shared" si="83"/>
        <v>-166.687147686473+194.404862461055i</v>
      </c>
      <c r="AW137" s="64">
        <f t="shared" si="107"/>
        <v>48.167572121176548</v>
      </c>
      <c r="AX137" s="49">
        <f t="shared" si="108"/>
        <v>130.61053734448703</v>
      </c>
      <c r="AY137" s="310"/>
      <c r="BA137" s="31">
        <f t="shared" si="109"/>
        <v>0</v>
      </c>
      <c r="BB137" s="31">
        <f t="shared" si="110"/>
        <v>0</v>
      </c>
    </row>
    <row r="138" spans="14:54" x14ac:dyDescent="0.45">
      <c r="N138" s="10">
        <v>20</v>
      </c>
      <c r="O138" s="50">
        <f t="shared" si="111"/>
        <v>158.48931924611153</v>
      </c>
      <c r="P138" s="48" t="str">
        <f t="shared" si="73"/>
        <v>17.4002386318441</v>
      </c>
      <c r="Q138" s="17" t="str">
        <f t="shared" si="74"/>
        <v>1+0.0852841408289424i</v>
      </c>
      <c r="R138" s="17">
        <f t="shared" si="85"/>
        <v>1.0036301035127089</v>
      </c>
      <c r="S138" s="17">
        <f t="shared" si="86"/>
        <v>8.5078270388808247E-2</v>
      </c>
      <c r="T138" s="17" t="str">
        <f t="shared" si="75"/>
        <v>1+0.000298745328609619i</v>
      </c>
      <c r="U138" s="17">
        <f t="shared" si="87"/>
        <v>1.0000000446243846</v>
      </c>
      <c r="V138" s="17">
        <f t="shared" si="88"/>
        <v>2.9874531972206832E-4</v>
      </c>
      <c r="W138" s="31" t="str">
        <f t="shared" si="76"/>
        <v>1-0.000737040629313527i</v>
      </c>
      <c r="X138" s="17">
        <f t="shared" si="89"/>
        <v>1.0000002716144076</v>
      </c>
      <c r="Y138" s="17">
        <f t="shared" si="90"/>
        <v>-7.3704049585298303E-4</v>
      </c>
      <c r="Z138" s="31" t="str">
        <f t="shared" si="77"/>
        <v>0.99999997721645+0.00103079543884234i</v>
      </c>
      <c r="AA138" s="17">
        <f t="shared" si="91"/>
        <v>1.0000005084859394</v>
      </c>
      <c r="AB138" s="17">
        <f t="shared" si="92"/>
        <v>1.0307950972408616E-3</v>
      </c>
      <c r="AC138" s="66" t="str">
        <f t="shared" si="93"/>
        <v>17.2724075688703-1.49862494677755i</v>
      </c>
      <c r="AD138" s="64">
        <f t="shared" si="94"/>
        <v>24.779628830607415</v>
      </c>
      <c r="AE138" s="61">
        <f t="shared" si="95"/>
        <v>-4.9587984939394874</v>
      </c>
      <c r="AF138" s="31" t="str">
        <f t="shared" si="78"/>
        <v>-9090.90909090909</v>
      </c>
      <c r="AG138" s="31" t="str">
        <f t="shared" si="79"/>
        <v>995.817762032063i</v>
      </c>
      <c r="AH138" s="31">
        <f t="shared" si="96"/>
        <v>995.817762032063</v>
      </c>
      <c r="AI138" s="31">
        <f t="shared" si="97"/>
        <v>1.5707963267948966</v>
      </c>
      <c r="AJ138" s="31" t="str">
        <f t="shared" si="80"/>
        <v>0.996407498955792+0.344798912650316i</v>
      </c>
      <c r="AK138" s="31">
        <f t="shared" si="98"/>
        <v>1.0543785819809584</v>
      </c>
      <c r="AL138" s="31">
        <f t="shared" si="99"/>
        <v>0.33314448094183496</v>
      </c>
      <c r="AM138" s="31" t="str">
        <f t="shared" si="81"/>
        <v>1+1.31228864680585i</v>
      </c>
      <c r="AN138" s="31">
        <f t="shared" si="100"/>
        <v>1.6498792357428858</v>
      </c>
      <c r="AO138" s="31">
        <f t="shared" si="101"/>
        <v>0.91964196986856306</v>
      </c>
      <c r="AP138" s="31" t="str">
        <f t="shared" si="82"/>
        <v>1+0.219079907647054i</v>
      </c>
      <c r="AQ138" s="31">
        <f t="shared" si="102"/>
        <v>1.0237167606006272</v>
      </c>
      <c r="AR138" s="31">
        <f t="shared" si="103"/>
        <v>0.21567251997212808</v>
      </c>
      <c r="AS138" s="58" t="str">
        <f t="shared" si="104"/>
        <v>-10.5126194250357+10.165772114197i</v>
      </c>
      <c r="AT138" s="49">
        <f t="shared" si="105"/>
        <v>23.30125683455341</v>
      </c>
      <c r="AU138" s="61">
        <f t="shared" si="106"/>
        <v>135.96095596187618</v>
      </c>
      <c r="AV138" s="58" t="str">
        <f t="shared" si="83"/>
        <v>-166.343567632048+191.341832935004i</v>
      </c>
      <c r="AW138" s="64">
        <f t="shared" si="107"/>
        <v>48.080885665160828</v>
      </c>
      <c r="AX138" s="49">
        <f t="shared" si="108"/>
        <v>131.0021574679366</v>
      </c>
      <c r="AY138" s="310"/>
      <c r="BA138" s="31">
        <f t="shared" si="109"/>
        <v>0</v>
      </c>
      <c r="BB138" s="31">
        <f t="shared" si="110"/>
        <v>0</v>
      </c>
    </row>
    <row r="139" spans="14:54" x14ac:dyDescent="0.45">
      <c r="N139" s="10">
        <v>21</v>
      </c>
      <c r="O139" s="50">
        <f t="shared" si="111"/>
        <v>162.18100973589304</v>
      </c>
      <c r="P139" s="48" t="str">
        <f t="shared" si="73"/>
        <v>17.4002386318441</v>
      </c>
      <c r="Q139" s="17" t="str">
        <f t="shared" si="74"/>
        <v>1+0.0872706636629414i</v>
      </c>
      <c r="R139" s="17">
        <f t="shared" si="85"/>
        <v>1.0038008610955513</v>
      </c>
      <c r="S139" s="17">
        <f t="shared" si="86"/>
        <v>8.705011459903321E-2</v>
      </c>
      <c r="T139" s="17" t="str">
        <f t="shared" si="75"/>
        <v>1+0.000305704001242833i</v>
      </c>
      <c r="U139" s="17">
        <f t="shared" si="87"/>
        <v>1.0000000467274672</v>
      </c>
      <c r="V139" s="17">
        <f t="shared" si="88"/>
        <v>3.057039917196509E-4</v>
      </c>
      <c r="W139" s="31" t="str">
        <f t="shared" si="76"/>
        <v>1-0.000754208511002727i</v>
      </c>
      <c r="X139" s="17">
        <f t="shared" si="89"/>
        <v>1.0000002844151985</v>
      </c>
      <c r="Y139" s="17">
        <f t="shared" si="90"/>
        <v>-7.5420836799717985E-4</v>
      </c>
      <c r="Z139" s="31" t="str">
        <f t="shared" si="77"/>
        <v>0.999999976142694+0.00105480574904233i</v>
      </c>
      <c r="AA139" s="17">
        <f t="shared" si="91"/>
        <v>1.0000005324501366</v>
      </c>
      <c r="AB139" s="17">
        <f t="shared" si="92"/>
        <v>1.0548053830097619E-3</v>
      </c>
      <c r="AC139" s="66" t="str">
        <f t="shared" si="93"/>
        <v>17.2664286133057-1.53301061760281i</v>
      </c>
      <c r="AD139" s="64">
        <f t="shared" si="94"/>
        <v>24.778151060723008</v>
      </c>
      <c r="AE139" s="61">
        <f t="shared" si="95"/>
        <v>-5.0737374771627204</v>
      </c>
      <c r="AF139" s="31" t="str">
        <f t="shared" si="78"/>
        <v>-9090.90909090909</v>
      </c>
      <c r="AG139" s="31" t="str">
        <f t="shared" si="79"/>
        <v>1019.01333747611i</v>
      </c>
      <c r="AH139" s="31">
        <f t="shared" si="96"/>
        <v>1019.01333747611</v>
      </c>
      <c r="AI139" s="31">
        <f t="shared" si="97"/>
        <v>1.5707963267948966</v>
      </c>
      <c r="AJ139" s="31" t="str">
        <f t="shared" si="80"/>
        <v>0.996238189597707+0.352830311061092i</v>
      </c>
      <c r="AK139" s="31">
        <f t="shared" si="98"/>
        <v>1.0568726313120156</v>
      </c>
      <c r="AL139" s="31">
        <f t="shared" si="99"/>
        <v>0.34037832843976246</v>
      </c>
      <c r="AM139" s="31" t="str">
        <f t="shared" si="81"/>
        <v>1+1.34285577612602i</v>
      </c>
      <c r="AN139" s="31">
        <f t="shared" si="100"/>
        <v>1.6742943694210453</v>
      </c>
      <c r="AO139" s="31">
        <f t="shared" si="101"/>
        <v>0.93070768648314417</v>
      </c>
      <c r="AP139" s="31" t="str">
        <f t="shared" si="82"/>
        <v>1+0.224182934244744i</v>
      </c>
      <c r="AQ139" s="31">
        <f t="shared" si="102"/>
        <v>1.0248209541215398</v>
      </c>
      <c r="AR139" s="31">
        <f t="shared" si="103"/>
        <v>0.22053661145023215</v>
      </c>
      <c r="AS139" s="58" t="str">
        <f t="shared" si="104"/>
        <v>-10.4991251993718+9.97751726157269i</v>
      </c>
      <c r="AT139" s="49">
        <f t="shared" si="105"/>
        <v>23.217692165951131</v>
      </c>
      <c r="AU139" s="61">
        <f t="shared" si="106"/>
        <v>136.45919780276779</v>
      </c>
      <c r="AV139" s="58" t="str">
        <f t="shared" si="83"/>
        <v>-165.986755857806+188.371359941148i</v>
      </c>
      <c r="AW139" s="64">
        <f t="shared" si="107"/>
        <v>47.995843226674133</v>
      </c>
      <c r="AX139" s="49">
        <f t="shared" si="108"/>
        <v>131.38546032560515</v>
      </c>
      <c r="AY139" s="310"/>
      <c r="BA139" s="31">
        <f t="shared" si="109"/>
        <v>0</v>
      </c>
      <c r="BB139" s="31">
        <f t="shared" si="110"/>
        <v>0</v>
      </c>
    </row>
    <row r="140" spans="14:54" x14ac:dyDescent="0.45">
      <c r="N140" s="10">
        <v>22</v>
      </c>
      <c r="O140" s="50">
        <f t="shared" si="111"/>
        <v>165.95869074375622</v>
      </c>
      <c r="P140" s="48" t="str">
        <f t="shared" si="73"/>
        <v>17.4002386318441</v>
      </c>
      <c r="Q140" s="17" t="str">
        <f t="shared" si="74"/>
        <v>1+0.0893034585579789i</v>
      </c>
      <c r="R140" s="17">
        <f t="shared" si="85"/>
        <v>1.0039796351074142</v>
      </c>
      <c r="S140" s="17">
        <f t="shared" si="86"/>
        <v>8.9067186541600896E-2</v>
      </c>
      <c r="T140" s="17" t="str">
        <f t="shared" si="75"/>
        <v>1+0.000312824762183979i</v>
      </c>
      <c r="U140" s="17">
        <f t="shared" si="87"/>
        <v>1.0000000489296648</v>
      </c>
      <c r="V140" s="17">
        <f t="shared" si="88"/>
        <v>3.1282475197970551E-4</v>
      </c>
      <c r="W140" s="31" t="str">
        <f t="shared" si="76"/>
        <v>1-0.000771776284027595i</v>
      </c>
      <c r="X140" s="17">
        <f t="shared" si="89"/>
        <v>1.0000002978192719</v>
      </c>
      <c r="Y140" s="17">
        <f t="shared" si="90"/>
        <v>-7.7177613079439295E-4</v>
      </c>
      <c r="Z140" s="31" t="str">
        <f t="shared" si="77"/>
        <v>0.999999975018334+0.00107937533121247i</v>
      </c>
      <c r="AA140" s="17">
        <f t="shared" si="91"/>
        <v>1.0000005575437316</v>
      </c>
      <c r="AB140" s="17">
        <f t="shared" si="92"/>
        <v>1.0793749390015186E-3</v>
      </c>
      <c r="AC140" s="66" t="str">
        <f t="shared" si="93"/>
        <v>17.2601722367976-1.56816030487647i</v>
      </c>
      <c r="AD140" s="64">
        <f t="shared" si="94"/>
        <v>24.776604184388088</v>
      </c>
      <c r="AE140" s="61">
        <f t="shared" si="95"/>
        <v>-5.1913134874628843</v>
      </c>
      <c r="AF140" s="31" t="str">
        <f t="shared" si="78"/>
        <v>-9090.90909090909</v>
      </c>
      <c r="AG140" s="31" t="str">
        <f t="shared" si="79"/>
        <v>1042.74920727993i</v>
      </c>
      <c r="AH140" s="31">
        <f t="shared" si="96"/>
        <v>1042.74920727993</v>
      </c>
      <c r="AI140" s="31">
        <f t="shared" si="97"/>
        <v>1.5707963267948966</v>
      </c>
      <c r="AJ140" s="31" t="str">
        <f t="shared" si="80"/>
        <v>0.996060900935404+0.361048784773054i</v>
      </c>
      <c r="AK140" s="31">
        <f t="shared" si="98"/>
        <v>1.0594779579388842</v>
      </c>
      <c r="AL140" s="31">
        <f t="shared" si="99"/>
        <v>0.34774631968160841</v>
      </c>
      <c r="AM140" s="31" t="str">
        <f t="shared" si="81"/>
        <v>1+1.37413490535349i</v>
      </c>
      <c r="AN140" s="31">
        <f t="shared" si="100"/>
        <v>1.6994842565057331</v>
      </c>
      <c r="AO140" s="31">
        <f t="shared" si="101"/>
        <v>0.94170064119848185</v>
      </c>
      <c r="AP140" s="31" t="str">
        <f t="shared" si="82"/>
        <v>1+0.229404825601584i</v>
      </c>
      <c r="AQ140" s="31">
        <f t="shared" si="102"/>
        <v>1.0259759129771484</v>
      </c>
      <c r="AR140" s="31">
        <f t="shared" si="103"/>
        <v>0.22550304301796598</v>
      </c>
      <c r="AS140" s="58" t="str">
        <f t="shared" si="104"/>
        <v>-10.4851301284535+9.79416629265309i</v>
      </c>
      <c r="AT140" s="49">
        <f t="shared" si="105"/>
        <v>23.135796626765433</v>
      </c>
      <c r="AU140" s="61">
        <f t="shared" si="106"/>
        <v>136.95144847875983</v>
      </c>
      <c r="AV140" s="58" t="str">
        <f t="shared" si="83"/>
        <v>-165.616329142845+185.491361985935i</v>
      </c>
      <c r="AW140" s="64">
        <f t="shared" si="107"/>
        <v>47.91240081115351</v>
      </c>
      <c r="AX140" s="49">
        <f t="shared" si="108"/>
        <v>131.76013499129684</v>
      </c>
      <c r="AY140" s="310"/>
      <c r="BA140" s="31">
        <f t="shared" si="109"/>
        <v>0</v>
      </c>
      <c r="BB140" s="31">
        <f t="shared" si="110"/>
        <v>0</v>
      </c>
    </row>
    <row r="141" spans="14:54" x14ac:dyDescent="0.45">
      <c r="N141" s="10">
        <v>23</v>
      </c>
      <c r="O141" s="50">
        <f t="shared" si="111"/>
        <v>169.82436524617444</v>
      </c>
      <c r="P141" s="48" t="str">
        <f t="shared" si="73"/>
        <v>17.4002386318441</v>
      </c>
      <c r="Q141" s="17" t="str">
        <f t="shared" si="74"/>
        <v>1+0.0913836033288142i</v>
      </c>
      <c r="R141" s="17">
        <f t="shared" si="85"/>
        <v>1.0041668003660338</v>
      </c>
      <c r="S141" s="17">
        <f t="shared" si="86"/>
        <v>9.1130490005436132E-2</v>
      </c>
      <c r="T141" s="17" t="str">
        <f t="shared" si="75"/>
        <v>1+0.000320111386954758i</v>
      </c>
      <c r="U141" s="17">
        <f t="shared" si="87"/>
        <v>1.0000000512356488</v>
      </c>
      <c r="V141" s="17">
        <f t="shared" si="88"/>
        <v>3.2011137602068202E-4</v>
      </c>
      <c r="W141" s="31" t="str">
        <f t="shared" si="76"/>
        <v>1-0.000789753263053916i</v>
      </c>
      <c r="X141" s="17">
        <f t="shared" si="89"/>
        <v>1.0000003118550598</v>
      </c>
      <c r="Y141" s="17">
        <f t="shared" si="90"/>
        <v>-7.8975309886158453E-4</v>
      </c>
      <c r="Z141" s="31" t="str">
        <f t="shared" si="77"/>
        <v>0.999999973840984+0.00110451721247044i</v>
      </c>
      <c r="AA141" s="17">
        <f t="shared" si="91"/>
        <v>1.0000005838199504</v>
      </c>
      <c r="AB141" s="17">
        <f t="shared" si="92"/>
        <v>1.1045167922088474E-3</v>
      </c>
      <c r="AC141" s="66" t="str">
        <f t="shared" si="93"/>
        <v>17.2536257802977-1.60408921073856i</v>
      </c>
      <c r="AD141" s="64">
        <f t="shared" si="94"/>
        <v>24.77498499626774</v>
      </c>
      <c r="AE141" s="61">
        <f t="shared" si="95"/>
        <v>-5.3115851014675677</v>
      </c>
      <c r="AF141" s="31" t="str">
        <f t="shared" si="78"/>
        <v>-9090.90909090909</v>
      </c>
      <c r="AG141" s="31" t="str">
        <f t="shared" si="79"/>
        <v>1067.03795651586i</v>
      </c>
      <c r="AH141" s="31">
        <f t="shared" si="96"/>
        <v>1067.0379565158601</v>
      </c>
      <c r="AI141" s="31">
        <f t="shared" si="97"/>
        <v>1.5707963267948966</v>
      </c>
      <c r="AJ141" s="31" t="str">
        <f t="shared" si="80"/>
        <v>0.995875256915861+0.369458691329748i</v>
      </c>
      <c r="AK141" s="31">
        <f t="shared" si="98"/>
        <v>1.0621992524645847</v>
      </c>
      <c r="AL141" s="31">
        <f t="shared" si="99"/>
        <v>0.35524948276945167</v>
      </c>
      <c r="AM141" s="31" t="str">
        <f t="shared" si="81"/>
        <v>1+1.4061426190966i</v>
      </c>
      <c r="AN141" s="31">
        <f t="shared" si="100"/>
        <v>1.725467202018006</v>
      </c>
      <c r="AO141" s="31">
        <f t="shared" si="101"/>
        <v>0.95261603538847828</v>
      </c>
      <c r="AP141" s="31" t="str">
        <f t="shared" si="82"/>
        <v>1+0.234748350433489i</v>
      </c>
      <c r="AQ141" s="31">
        <f t="shared" si="102"/>
        <v>1.0271839114935768</v>
      </c>
      <c r="AR141" s="31">
        <f t="shared" si="103"/>
        <v>0.2305734675071725</v>
      </c>
      <c r="AS141" s="58" t="str">
        <f t="shared" si="104"/>
        <v>-10.4706214730225+9.61560042801709i</v>
      </c>
      <c r="AT141" s="49">
        <f t="shared" si="105"/>
        <v>23.055527442817496</v>
      </c>
      <c r="AU141" s="61">
        <f t="shared" si="106"/>
        <v>137.43746884320777</v>
      </c>
      <c r="AV141" s="58" t="str">
        <f t="shared" si="83"/>
        <v>-165.231903681324+182.69978237248i</v>
      </c>
      <c r="AW141" s="64">
        <f t="shared" si="107"/>
        <v>47.830512439085226</v>
      </c>
      <c r="AX141" s="49">
        <f t="shared" si="108"/>
        <v>132.12588374174015</v>
      </c>
      <c r="AY141" s="310"/>
      <c r="BA141" s="31">
        <f t="shared" si="109"/>
        <v>0</v>
      </c>
      <c r="BB141" s="31">
        <f t="shared" si="110"/>
        <v>0</v>
      </c>
    </row>
    <row r="142" spans="14:54" x14ac:dyDescent="0.45">
      <c r="N142" s="10">
        <v>24</v>
      </c>
      <c r="O142" s="50">
        <f t="shared" si="111"/>
        <v>173.78008287493768</v>
      </c>
      <c r="P142" s="48" t="str">
        <f t="shared" si="73"/>
        <v>17.4002386318441</v>
      </c>
      <c r="Q142" s="17" t="str">
        <f t="shared" si="74"/>
        <v>1+0.0935122008957401i</v>
      </c>
      <c r="R142" s="17">
        <f t="shared" si="85"/>
        <v>1.0043627490684655</v>
      </c>
      <c r="S142" s="17">
        <f t="shared" si="86"/>
        <v>9.3241048670960086E-2</v>
      </c>
      <c r="T142" s="17" t="str">
        <f t="shared" si="75"/>
        <v>1+0.000327567739020078i</v>
      </c>
      <c r="U142" s="17">
        <f t="shared" si="87"/>
        <v>1.0000000536503104</v>
      </c>
      <c r="V142" s="17">
        <f t="shared" si="88"/>
        <v>3.2756772730400453E-4</v>
      </c>
      <c r="W142" s="31" t="str">
        <f t="shared" si="76"/>
        <v>1-0.000808148979713934i</v>
      </c>
      <c r="X142" s="17">
        <f t="shared" si="89"/>
        <v>1.0000003265523334</v>
      </c>
      <c r="Y142" s="17">
        <f t="shared" si="90"/>
        <v>-8.081488037786842E-4</v>
      </c>
      <c r="Z142" s="31" t="str">
        <f t="shared" si="77"/>
        <v>0.999999972608148+0.00113024472337448i</v>
      </c>
      <c r="AA142" s="17">
        <f t="shared" si="91"/>
        <v>1.000000611334529</v>
      </c>
      <c r="AB142" s="17">
        <f t="shared" si="92"/>
        <v>1.1302442730560848E-3</v>
      </c>
      <c r="AC142" s="66" t="str">
        <f t="shared" si="93"/>
        <v>17.2467760274843-1.64081271156237i</v>
      </c>
      <c r="AD142" s="64">
        <f t="shared" si="94"/>
        <v>24.773290144876267</v>
      </c>
      <c r="AE142" s="61">
        <f t="shared" si="95"/>
        <v>-5.4346120602806911</v>
      </c>
      <c r="AF142" s="31" t="str">
        <f t="shared" si="78"/>
        <v>-9090.90909090909</v>
      </c>
      <c r="AG142" s="31" t="str">
        <f t="shared" si="79"/>
        <v>1091.89246340026i</v>
      </c>
      <c r="AH142" s="31">
        <f t="shared" si="96"/>
        <v>1091.8924634002601</v>
      </c>
      <c r="AI142" s="31">
        <f t="shared" si="97"/>
        <v>1.5707963267948966</v>
      </c>
      <c r="AJ142" s="31" t="str">
        <f t="shared" si="80"/>
        <v>0.995680863763223+0.37806448977495i</v>
      </c>
      <c r="AK142" s="31">
        <f t="shared" si="98"/>
        <v>1.0650413798970775</v>
      </c>
      <c r="AL142" s="31">
        <f t="shared" si="99"/>
        <v>0.36288875774599838</v>
      </c>
      <c r="AM142" s="31" t="str">
        <f t="shared" si="81"/>
        <v>1+1.43889588826886i</v>
      </c>
      <c r="AN142" s="31">
        <f t="shared" si="100"/>
        <v>1.7522617890249823</v>
      </c>
      <c r="AO142" s="31">
        <f t="shared" si="101"/>
        <v>0.9634492525723608</v>
      </c>
      <c r="AP142" s="31" t="str">
        <f t="shared" si="82"/>
        <v>1+0.240216341948057i</v>
      </c>
      <c r="AQ142" s="31">
        <f t="shared" si="102"/>
        <v>1.0284473204490865</v>
      </c>
      <c r="AR142" s="31">
        <f t="shared" si="103"/>
        <v>0.23574953000643245</v>
      </c>
      <c r="AS142" s="58" t="str">
        <f t="shared" si="104"/>
        <v>-10.4555866696101+9.44170248778526i</v>
      </c>
      <c r="AT142" s="49">
        <f t="shared" si="105"/>
        <v>22.976840126845566</v>
      </c>
      <c r="AU142" s="61">
        <f t="shared" si="106"/>
        <v>137.91703478740018</v>
      </c>
      <c r="AV142" s="58" t="str">
        <f t="shared" si="83"/>
        <v>-164.833096065968+179.994587639312i</v>
      </c>
      <c r="AW142" s="64">
        <f t="shared" si="107"/>
        <v>47.750130271721829</v>
      </c>
      <c r="AX142" s="49">
        <f t="shared" si="108"/>
        <v>132.48242272711951</v>
      </c>
      <c r="AY142" s="310"/>
      <c r="BA142" s="31">
        <f t="shared" si="109"/>
        <v>0</v>
      </c>
      <c r="BB142" s="31">
        <f t="shared" si="110"/>
        <v>0</v>
      </c>
    </row>
    <row r="143" spans="14:54" x14ac:dyDescent="0.45">
      <c r="N143" s="10">
        <v>25</v>
      </c>
      <c r="O143" s="50">
        <f t="shared" si="111"/>
        <v>177.82794100389242</v>
      </c>
      <c r="P143" s="48" t="str">
        <f t="shared" si="73"/>
        <v>17.4002386318441</v>
      </c>
      <c r="Q143" s="17" t="str">
        <f t="shared" si="74"/>
        <v>1+0.0956903798693613i</v>
      </c>
      <c r="R143" s="17">
        <f t="shared" si="85"/>
        <v>1.0045678915830143</v>
      </c>
      <c r="S143" s="17">
        <f t="shared" si="86"/>
        <v>9.5399906331623374E-2</v>
      </c>
      <c r="T143" s="17" t="str">
        <f t="shared" si="75"/>
        <v>1+0.000335197771836498i</v>
      </c>
      <c r="U143" s="17">
        <f t="shared" si="87"/>
        <v>1.0000000561787714</v>
      </c>
      <c r="V143" s="17">
        <f t="shared" si="88"/>
        <v>3.3519775928249915E-4</v>
      </c>
      <c r="W143" s="31" t="str">
        <f t="shared" si="76"/>
        <v>1-0.000826973187660113i</v>
      </c>
      <c r="X143" s="17">
        <f t="shared" si="89"/>
        <v>1.0000003419422681</v>
      </c>
      <c r="Y143" s="17">
        <f t="shared" si="90"/>
        <v>-8.2697299914209982E-4</v>
      </c>
      <c r="Z143" s="31" t="str">
        <f t="shared" si="77"/>
        <v>0.999999971317209+0.00115657150499141i</v>
      </c>
      <c r="AA143" s="17">
        <f t="shared" si="91"/>
        <v>1.0000006401458277</v>
      </c>
      <c r="AB143" s="17">
        <f t="shared" si="92"/>
        <v>1.1565710224665734E-3</v>
      </c>
      <c r="AC143" s="66" t="str">
        <f t="shared" si="93"/>
        <v>17.2396091821829-1.67834634982493i</v>
      </c>
      <c r="AD143" s="64">
        <f t="shared" si="94"/>
        <v>24.771516126153546</v>
      </c>
      <c r="AE143" s="61">
        <f t="shared" si="95"/>
        <v>-5.5604552827528471</v>
      </c>
      <c r="AF143" s="31" t="str">
        <f t="shared" si="78"/>
        <v>-9090.90909090909</v>
      </c>
      <c r="AG143" s="31" t="str">
        <f t="shared" si="79"/>
        <v>1117.32590612166i</v>
      </c>
      <c r="AH143" s="31">
        <f t="shared" si="96"/>
        <v>1117.32590612166</v>
      </c>
      <c r="AI143" s="31">
        <f t="shared" si="97"/>
        <v>1.5707963267948966</v>
      </c>
      <c r="AJ143" s="31" t="str">
        <f t="shared" si="80"/>
        <v>0.995477309143549+0.386870743016905i</v>
      </c>
      <c r="AK143" s="31">
        <f t="shared" si="98"/>
        <v>1.0680093842387965</v>
      </c>
      <c r="AL143" s="31">
        <f t="shared" si="99"/>
        <v>0.37066499024741562</v>
      </c>
      <c r="AM143" s="31" t="str">
        <f t="shared" si="81"/>
        <v>1+1.47241207908712i</v>
      </c>
      <c r="AN143" s="31">
        <f t="shared" si="100"/>
        <v>1.7798868870357059</v>
      </c>
      <c r="AO143" s="31">
        <f t="shared" si="101"/>
        <v>0.97419586582266826</v>
      </c>
      <c r="AP143" s="31" t="str">
        <f t="shared" si="82"/>
        <v>1+0.245811699346765i</v>
      </c>
      <c r="AQ143" s="31">
        <f t="shared" si="102"/>
        <v>1.0297686106770512</v>
      </c>
      <c r="AR143" s="31">
        <f t="shared" si="103"/>
        <v>0.24103286504305158</v>
      </c>
      <c r="AS143" s="58" t="str">
        <f t="shared" si="104"/>
        <v>-10.440013381923+9.27235681656059i</v>
      </c>
      <c r="AT143" s="49">
        <f t="shared" si="105"/>
        <v>22.899688616584235</v>
      </c>
      <c r="AU143" s="61">
        <f t="shared" si="106"/>
        <v>138.38993786721056</v>
      </c>
      <c r="AV143" s="58" t="str">
        <f t="shared" si="83"/>
        <v>-164.419524343763+177.373766066928i</v>
      </c>
      <c r="AW143" s="64">
        <f t="shared" si="107"/>
        <v>47.671204742737771</v>
      </c>
      <c r="AX143" s="49">
        <f t="shared" si="108"/>
        <v>132.82948258445768</v>
      </c>
      <c r="AY143" s="310"/>
      <c r="BA143" s="31">
        <f t="shared" si="109"/>
        <v>0</v>
      </c>
      <c r="BB143" s="31">
        <f t="shared" si="110"/>
        <v>0</v>
      </c>
    </row>
    <row r="144" spans="14:54" x14ac:dyDescent="0.45">
      <c r="N144" s="10">
        <v>26</v>
      </c>
      <c r="O144" s="50">
        <f t="shared" si="111"/>
        <v>181.9700858609983</v>
      </c>
      <c r="P144" s="48" t="str">
        <f t="shared" si="73"/>
        <v>17.4002386318441</v>
      </c>
      <c r="Q144" s="17" t="str">
        <f t="shared" si="74"/>
        <v>1+0.097919295149i</v>
      </c>
      <c r="R144" s="17">
        <f t="shared" si="85"/>
        <v>1.0047826572759289</v>
      </c>
      <c r="S144" s="17">
        <f t="shared" si="86"/>
        <v>9.7608127104243089E-2</v>
      </c>
      <c r="T144" s="17" t="str">
        <f t="shared" si="75"/>
        <v>1+0.000343005530948409i</v>
      </c>
      <c r="U144" s="17">
        <f t="shared" si="87"/>
        <v>1.0000000588263953</v>
      </c>
      <c r="V144" s="17">
        <f t="shared" si="88"/>
        <v>3.430055174965569E-4</v>
      </c>
      <c r="W144" s="31" t="str">
        <f t="shared" si="76"/>
        <v>1-0.000846235867736665i</v>
      </c>
      <c r="X144" s="17">
        <f t="shared" si="89"/>
        <v>1.0000003580575079</v>
      </c>
      <c r="Y144" s="17">
        <f t="shared" si="90"/>
        <v>-8.4623566573597847E-4</v>
      </c>
      <c r="Z144" s="31" t="str">
        <f t="shared" si="77"/>
        <v>0.999999969965431+0.0011835115161293i</v>
      </c>
      <c r="AA144" s="17">
        <f t="shared" si="91"/>
        <v>1.0000006703149611</v>
      </c>
      <c r="AB144" s="17">
        <f t="shared" si="92"/>
        <v>1.183510999094641E-3</v>
      </c>
      <c r="AC144" s="66" t="str">
        <f t="shared" si="93"/>
        <v>17.2321108450648-1.71670582499671i</v>
      </c>
      <c r="AD144" s="64">
        <f t="shared" si="94"/>
        <v>24.769659276783436</v>
      </c>
      <c r="AE144" s="61">
        <f t="shared" si="95"/>
        <v>-5.6891768781229013</v>
      </c>
      <c r="AF144" s="31" t="str">
        <f t="shared" si="78"/>
        <v>-9090.90909090909</v>
      </c>
      <c r="AG144" s="31" t="str">
        <f t="shared" si="79"/>
        <v>1143.35176982803i</v>
      </c>
      <c r="AH144" s="31">
        <f t="shared" si="96"/>
        <v>1143.35176982803</v>
      </c>
      <c r="AI144" s="31">
        <f t="shared" si="97"/>
        <v>1.5707963267948966</v>
      </c>
      <c r="AJ144" s="31" t="str">
        <f t="shared" si="80"/>
        <v>0.995264161290202+0.395882120247647i</v>
      </c>
      <c r="AK144" s="31">
        <f t="shared" si="98"/>
        <v>1.071108493048422</v>
      </c>
      <c r="AL144" s="31">
        <f t="shared" si="99"/>
        <v>0.37857892502315876</v>
      </c>
      <c r="AM144" s="31" t="str">
        <f t="shared" si="81"/>
        <v>1+1.50670896227938i</v>
      </c>
      <c r="AN144" s="31">
        <f t="shared" si="100"/>
        <v>1.8083616610105973</v>
      </c>
      <c r="AO144" s="31">
        <f t="shared" si="101"/>
        <v>0.98485164418197091</v>
      </c>
      <c r="AP144" s="31" t="str">
        <f t="shared" si="82"/>
        <v>1+0.251537389362166i</v>
      </c>
      <c r="AQ144" s="31">
        <f t="shared" si="102"/>
        <v>1.0311503567604163</v>
      </c>
      <c r="AR144" s="31">
        <f t="shared" si="103"/>
        <v>0.24642509358174591</v>
      </c>
      <c r="AS144" s="58" t="str">
        <f t="shared" si="104"/>
        <v>-10.4238895554923+9.10744921219448i</v>
      </c>
      <c r="AT144" s="49">
        <f t="shared" si="105"/>
        <v>22.82402541837811</v>
      </c>
      <c r="AU144" s="61">
        <f t="shared" si="106"/>
        <v>138.85598587007055</v>
      </c>
      <c r="AV144" s="58" t="str">
        <f t="shared" si="83"/>
        <v>-163.990809143521+174.835326259369i</v>
      </c>
      <c r="AW144" s="64">
        <f t="shared" si="107"/>
        <v>47.593684695161549</v>
      </c>
      <c r="AX144" s="49">
        <f t="shared" si="108"/>
        <v>133.16680899194779</v>
      </c>
      <c r="AY144" s="310"/>
      <c r="BA144" s="31">
        <f t="shared" si="109"/>
        <v>0</v>
      </c>
      <c r="BB144" s="31">
        <f t="shared" si="110"/>
        <v>0</v>
      </c>
    </row>
    <row r="145" spans="14:54" x14ac:dyDescent="0.45">
      <c r="N145" s="10">
        <v>27</v>
      </c>
      <c r="O145" s="50">
        <f t="shared" si="111"/>
        <v>186.20871366628685</v>
      </c>
      <c r="P145" s="48" t="str">
        <f t="shared" si="73"/>
        <v>17.4002386318441</v>
      </c>
      <c r="Q145" s="17" t="str">
        <f t="shared" si="74"/>
        <v>1+0.100200128535042i</v>
      </c>
      <c r="R145" s="17">
        <f t="shared" si="85"/>
        <v>1.0050074953742578</v>
      </c>
      <c r="S145" s="17">
        <f t="shared" si="86"/>
        <v>9.9866795626818841E-2</v>
      </c>
      <c r="T145" s="17" t="str">
        <f t="shared" si="75"/>
        <v>1+0.000350995156133046i</v>
      </c>
      <c r="U145" s="17">
        <f t="shared" si="87"/>
        <v>1.0000000615987978</v>
      </c>
      <c r="V145" s="17">
        <f t="shared" si="88"/>
        <v>3.5099514171912683E-4</v>
      </c>
      <c r="W145" s="31" t="str">
        <f t="shared" si="76"/>
        <v>1-0.000865947233271552i</v>
      </c>
      <c r="X145" s="17">
        <f t="shared" si="89"/>
        <v>1.000000374932235</v>
      </c>
      <c r="Y145" s="17">
        <f t="shared" si="90"/>
        <v>-8.6594701682392099E-4</v>
      </c>
      <c r="Z145" s="31" t="str">
        <f t="shared" si="77"/>
        <v>0.999999968549946+0.00121107904073868i</v>
      </c>
      <c r="AA145" s="17">
        <f t="shared" si="91"/>
        <v>1.0000007019059216</v>
      </c>
      <c r="AB145" s="17">
        <f t="shared" si="92"/>
        <v>1.2110784867260813E-3</v>
      </c>
      <c r="AC145" s="66" t="str">
        <f t="shared" si="93"/>
        <v>17.2242659896159-1.75590698338039i</v>
      </c>
      <c r="AD145" s="64">
        <f t="shared" si="94"/>
        <v>24.767715767243828</v>
      </c>
      <c r="AE145" s="61">
        <f t="shared" si="95"/>
        <v>-5.8208401579566109</v>
      </c>
      <c r="AF145" s="31" t="str">
        <f t="shared" si="78"/>
        <v>-9090.90909090909</v>
      </c>
      <c r="AG145" s="31" t="str">
        <f t="shared" si="79"/>
        <v>1169.98385377682i</v>
      </c>
      <c r="AH145" s="31">
        <f t="shared" si="96"/>
        <v>1169.9838537768201</v>
      </c>
      <c r="AI145" s="31">
        <f t="shared" si="97"/>
        <v>1.5707963267948966</v>
      </c>
      <c r="AJ145" s="31" t="str">
        <f t="shared" si="80"/>
        <v>0.995040968088006+0.405103399418664i</v>
      </c>
      <c r="AK145" s="31">
        <f t="shared" si="98"/>
        <v>1.0743441219618943</v>
      </c>
      <c r="AL145" s="31">
        <f t="shared" si="99"/>
        <v>0.38663119934256468</v>
      </c>
      <c r="AM145" s="31" t="str">
        <f t="shared" si="81"/>
        <v>1+1.54180472250709i</v>
      </c>
      <c r="AN145" s="31">
        <f t="shared" si="100"/>
        <v>1.8377055809745928</v>
      </c>
      <c r="AO145" s="31">
        <f t="shared" si="101"/>
        <v>0.99541255808593043</v>
      </c>
      <c r="AP145" s="31" t="str">
        <f t="shared" si="82"/>
        <v>1+0.2573964478309i</v>
      </c>
      <c r="AQ145" s="31">
        <f t="shared" si="102"/>
        <v>1.0325952408160544</v>
      </c>
      <c r="AR145" s="31">
        <f t="shared" si="103"/>
        <v>0.25192781983432494</v>
      </c>
      <c r="AS145" s="58" t="str">
        <f t="shared" si="104"/>
        <v>-10.40720347554+8.94686685871047i</v>
      </c>
      <c r="AT145" s="49">
        <f t="shared" si="105"/>
        <v>22.749801755674014</v>
      </c>
      <c r="AU145" s="61">
        <f t="shared" si="106"/>
        <v>139.31500332067347</v>
      </c>
      <c r="AV145" s="58" t="str">
        <f t="shared" si="83"/>
        <v>-163.546574874172+172.37729580827i</v>
      </c>
      <c r="AW145" s="64">
        <f t="shared" si="107"/>
        <v>47.517517522917849</v>
      </c>
      <c r="AX145" s="49">
        <f t="shared" si="108"/>
        <v>133.49416316271686</v>
      </c>
      <c r="AY145" s="310"/>
      <c r="BA145" s="31">
        <f t="shared" si="109"/>
        <v>0</v>
      </c>
      <c r="BB145" s="31">
        <f t="shared" si="110"/>
        <v>0</v>
      </c>
    </row>
    <row r="146" spans="14:54" x14ac:dyDescent="0.45">
      <c r="N146" s="10">
        <v>28</v>
      </c>
      <c r="O146" s="50">
        <f t="shared" si="111"/>
        <v>190.54607179632498</v>
      </c>
      <c r="P146" s="48" t="str">
        <f t="shared" si="73"/>
        <v>17.4002386318441</v>
      </c>
      <c r="Q146" s="17" t="str">
        <f t="shared" si="74"/>
        <v>1+0.102534089355541i</v>
      </c>
      <c r="R146" s="17">
        <f t="shared" si="85"/>
        <v>1.0052428758663103</v>
      </c>
      <c r="S146" s="17">
        <f t="shared" si="86"/>
        <v>0.10217701724240645</v>
      </c>
      <c r="T146" s="17" t="str">
        <f t="shared" si="75"/>
        <v>1+0.000359170883595438i</v>
      </c>
      <c r="U146" s="17">
        <f t="shared" si="87"/>
        <v>1.0000000645018599</v>
      </c>
      <c r="V146" s="17">
        <f t="shared" si="88"/>
        <v>3.5917086815064541E-4</v>
      </c>
      <c r="W146" s="31" t="str">
        <f t="shared" si="76"/>
        <v>1-0.000886117735491693i</v>
      </c>
      <c r="X146" s="17">
        <f t="shared" si="89"/>
        <v>1.0000003926022434</v>
      </c>
      <c r="Y146" s="17">
        <f t="shared" si="90"/>
        <v>-8.8611750356388272E-4</v>
      </c>
      <c r="Z146" s="31" t="str">
        <f t="shared" si="77"/>
        <v>0.99999996706775+0.001239288695486i</v>
      </c>
      <c r="AA146" s="17">
        <f t="shared" si="91"/>
        <v>1.0000007349857158</v>
      </c>
      <c r="AB146" s="17">
        <f t="shared" si="92"/>
        <v>1.2392881018508297E-3</v>
      </c>
      <c r="AC146" s="66" t="str">
        <f t="shared" si="93"/>
        <v>17.2160589373769-1.79596580682444i</v>
      </c>
      <c r="AD146" s="64">
        <f t="shared" si="94"/>
        <v>24.765681594581391</v>
      </c>
      <c r="AE146" s="61">
        <f t="shared" si="95"/>
        <v>-5.9555096472999969</v>
      </c>
      <c r="AF146" s="31" t="str">
        <f t="shared" si="78"/>
        <v>-9090.90909090909</v>
      </c>
      <c r="AG146" s="31" t="str">
        <f t="shared" si="79"/>
        <v>1197.23627865146i</v>
      </c>
      <c r="AH146" s="31">
        <f t="shared" si="96"/>
        <v>1197.23627865146</v>
      </c>
      <c r="AI146" s="31">
        <f t="shared" si="97"/>
        <v>1.5707963267948966</v>
      </c>
      <c r="AJ146" s="31" t="str">
        <f t="shared" si="80"/>
        <v>0.994807256114256+0.414539469774231i</v>
      </c>
      <c r="AK146" s="31">
        <f t="shared" si="98"/>
        <v>1.0777218791591248</v>
      </c>
      <c r="AL146" s="31">
        <f t="shared" si="99"/>
        <v>0.39482233631068159</v>
      </c>
      <c r="AM146" s="31" t="str">
        <f t="shared" si="81"/>
        <v>1+1.57771796800689i</v>
      </c>
      <c r="AN146" s="31">
        <f t="shared" si="100"/>
        <v>1.8679384322219481</v>
      </c>
      <c r="AO146" s="31">
        <f t="shared" si="101"/>
        <v>1.0058747837987165</v>
      </c>
      <c r="AP146" s="31" t="str">
        <f t="shared" si="82"/>
        <v>1+0.263391981303321i</v>
      </c>
      <c r="AQ146" s="31">
        <f t="shared" si="102"/>
        <v>1.0341060563669904</v>
      </c>
      <c r="AR146" s="31">
        <f t="shared" si="103"/>
        <v>0.25754262787501303</v>
      </c>
      <c r="AS146" s="58" t="str">
        <f t="shared" si="104"/>
        <v>-10.3899438279841+8.79049826373944i</v>
      </c>
      <c r="AT146" s="49">
        <f t="shared" si="105"/>
        <v>22.676967721745577</v>
      </c>
      <c r="AU146" s="61">
        <f t="shared" si="106"/>
        <v>139.76683192415018</v>
      </c>
      <c r="AV146" s="58" t="str">
        <f t="shared" si="83"/>
        <v>-163.086450991984+169.997720047334i</v>
      </c>
      <c r="AW146" s="64">
        <f t="shared" si="107"/>
        <v>47.442649316326978</v>
      </c>
      <c r="AX146" s="49">
        <f t="shared" si="108"/>
        <v>133.81132227685012</v>
      </c>
      <c r="AY146" s="310"/>
      <c r="BA146" s="31">
        <f t="shared" si="109"/>
        <v>0</v>
      </c>
      <c r="BB146" s="31">
        <f t="shared" si="110"/>
        <v>0</v>
      </c>
    </row>
    <row r="147" spans="14:54" x14ac:dyDescent="0.45">
      <c r="N147" s="10">
        <v>29</v>
      </c>
      <c r="O147" s="50">
        <f t="shared" si="111"/>
        <v>194.98445997580458</v>
      </c>
      <c r="P147" s="48" t="str">
        <f t="shared" ref="P147:P210" si="112">COMPLEX(Adc,0)</f>
        <v>17.4002386318441</v>
      </c>
      <c r="Q147" s="17" t="str">
        <f t="shared" ref="Q147:Q210" si="113">IMSUM(COMPLEX(1,0),IMDIV(COMPLEX(0,2*PI()*O147),COMPLEX(wp_lf,0)))</f>
        <v>1+0.104922415107413i</v>
      </c>
      <c r="R147" s="17">
        <f t="shared" si="85"/>
        <v>1.005489290441212</v>
      </c>
      <c r="S147" s="17">
        <f t="shared" si="86"/>
        <v>0.10453991816753502</v>
      </c>
      <c r="T147" s="17" t="str">
        <f t="shared" ref="T147:T210" si="114">IMSUM(COMPLEX(1,0),IMDIV(COMPLEX(0,2*PI()*O147),COMPLEX(wz_esr,0)))</f>
        <v>1+0.000367537048214496i</v>
      </c>
      <c r="U147" s="17">
        <f t="shared" si="87"/>
        <v>1.0000000675417386</v>
      </c>
      <c r="V147" s="17">
        <f t="shared" si="88"/>
        <v>3.6753703166510264E-4</v>
      </c>
      <c r="W147" s="31" t="str">
        <f t="shared" ref="W147:W210" si="115">IMSUB(COMPLEX(1,0),IMDIV(COMPLEX(0,2*PI()*O147),COMPLEX(wz_rhp,0)))</f>
        <v>1-0.000906758069064335i</v>
      </c>
      <c r="X147" s="17">
        <f t="shared" si="89"/>
        <v>1.0000004111050134</v>
      </c>
      <c r="Y147" s="17">
        <f t="shared" si="90"/>
        <v>-9.0675782054921441E-4</v>
      </c>
      <c r="Z147" s="31" t="str">
        <f t="shared" ref="Z147:Z210" si="116">IMSUM(COMPLEX(1,0),IMDIV(COMPLEX(0,2*PI()*O147),COMPLEX(Q*(wsl/2),0)),IMDIV(IMPOWER(COMPLEX(0,2*PI()*O147),2),IMPOWER(COMPLEX(wsl/2,0),2)))</f>
        <v>0.999999965515701+0.00126815543750358i</v>
      </c>
      <c r="AA147" s="17">
        <f t="shared" si="91"/>
        <v>1.0000007696245123</v>
      </c>
      <c r="AB147" s="17">
        <f t="shared" si="92"/>
        <v>1.2681548014120609E-3</v>
      </c>
      <c r="AC147" s="66" t="str">
        <f t="shared" si="93"/>
        <v>17.207473332456-1.83689840023355i</v>
      </c>
      <c r="AD147" s="64">
        <f t="shared" si="94"/>
        <v>24.76355257490254</v>
      </c>
      <c r="AE147" s="61">
        <f t="shared" si="95"/>
        <v>-6.0932510949617109</v>
      </c>
      <c r="AF147" s="31" t="str">
        <f t="shared" ref="AF147:AF210" si="117">IF(FB_type=1,COMPLEX(Adc_ea_iso,0),COMPLEX(Adc_ea,0))</f>
        <v>-9090.90909090909</v>
      </c>
      <c r="AG147" s="31" t="str">
        <f t="shared" ref="AG147:AG210" si="118">IF(FB_type=1,COMPLEX(0,2*PI()*O147),COMPLEX(0,2*PI()*O147*wp0_ea))</f>
        <v>1225.12349404832i</v>
      </c>
      <c r="AH147" s="31">
        <f t="shared" si="96"/>
        <v>1225.12349404832</v>
      </c>
      <c r="AI147" s="31">
        <f t="shared" si="97"/>
        <v>1.5707963267948966</v>
      </c>
      <c r="AJ147" s="31" t="str">
        <f t="shared" ref="AJ147:AJ210" si="119">IF(FB_type=1,IMSUM(IMPRODUCT(COMPLEX(wpA_ea_iso,0),IMPOWER(COMPLEX(0,2*PI()*O147),2)),COMPLEX(0,wpB_ea_iso*2*PI()*O147),COMPLEX(1,0)),IMSUM(COMPLEX(1,0),IMDIV(COMPLEX(0,2*PI()*O147),COMPLEX(wp1_ea,0))))</f>
        <v>0.99456252963452+0.424195334443749i</v>
      </c>
      <c r="AK147" s="31">
        <f t="shared" si="98"/>
        <v>1.0812475697622905</v>
      </c>
      <c r="AL147" s="31">
        <f t="shared" si="99"/>
        <v>0.40315273811859481</v>
      </c>
      <c r="AM147" s="31" t="str">
        <f t="shared" ref="AM147:AM210" si="120">IMSUM(COMPLEX(1,0),IMDIV(COMPLEX(0,2*PI()*O147),COMPLEX(wz1_ea_iso,0)))</f>
        <v>1+1.61446774045688i</v>
      </c>
      <c r="AN147" s="31">
        <f t="shared" si="100"/>
        <v>1.8990803260989102</v>
      </c>
      <c r="AO147" s="31">
        <f t="shared" si="101"/>
        <v>1.0162347068747215</v>
      </c>
      <c r="AP147" s="31" t="str">
        <f t="shared" ref="AP147:AP210" si="121">IF(FB_type=1,IMSUM(COMPLEX(1,0),IMDIV(COMPLEX(0,2*PI()*O147),COMPLEX(wz2_ea_iso,0))),1)</f>
        <v>1+0.26952716869063i</v>
      </c>
      <c r="AQ147" s="31">
        <f t="shared" si="102"/>
        <v>1.0356857123000138</v>
      </c>
      <c r="AR147" s="31">
        <f t="shared" si="103"/>
        <v>0.26327107805656447</v>
      </c>
      <c r="AS147" s="58" t="str">
        <f t="shared" si="104"/>
        <v>-10.3720997634646+8.63823320082501i</v>
      </c>
      <c r="AT147" s="49">
        <f t="shared" si="105"/>
        <v>22.605472436011912</v>
      </c>
      <c r="AU147" s="61">
        <f t="shared" si="106"/>
        <v>140.21133094579795</v>
      </c>
      <c r="AV147" s="58" t="str">
        <f t="shared" ref="AV147:AV210" si="122">IMPRODUCT(AC147,AS147)</f>
        <v>-162.610073333951+167.694660905303i</v>
      </c>
      <c r="AW147" s="64">
        <f t="shared" si="107"/>
        <v>47.369025010914456</v>
      </c>
      <c r="AX147" s="49">
        <f t="shared" si="108"/>
        <v>134.11807985083638</v>
      </c>
      <c r="AY147" s="310"/>
      <c r="BA147" s="31">
        <f t="shared" si="109"/>
        <v>0</v>
      </c>
      <c r="BB147" s="31">
        <f t="shared" si="110"/>
        <v>0</v>
      </c>
    </row>
    <row r="148" spans="14:54" x14ac:dyDescent="0.45">
      <c r="N148" s="10">
        <v>30</v>
      </c>
      <c r="O148" s="50">
        <f t="shared" si="111"/>
        <v>199.52623149688802</v>
      </c>
      <c r="P148" s="48" t="str">
        <f t="shared" si="112"/>
        <v>17.4002386318441</v>
      </c>
      <c r="Q148" s="17" t="str">
        <f t="shared" si="113"/>
        <v>1+0.107366372112588i</v>
      </c>
      <c r="R148" s="17">
        <f t="shared" ref="R148:R211" si="123">IMABS(Q148)</f>
        <v>1.0057472534690903</v>
      </c>
      <c r="S148" s="17">
        <f t="shared" ref="S148:S211" si="124">IMARGUMENT(Q148)</f>
        <v>0.10695664564357692</v>
      </c>
      <c r="T148" s="17" t="str">
        <f t="shared" si="114"/>
        <v>1+0.000376098085841448i</v>
      </c>
      <c r="U148" s="17">
        <f t="shared" ref="U148:U211" si="125">IMABS(T148)</f>
        <v>1.0000000707248826</v>
      </c>
      <c r="V148" s="17">
        <f t="shared" ref="V148:V211" si="126">IMARGUMENT(T148)</f>
        <v>3.7609806810845356E-4</v>
      </c>
      <c r="W148" s="31" t="str">
        <f t="shared" si="115"/>
        <v>1-0.000927879177767564i</v>
      </c>
      <c r="X148" s="17">
        <f t="shared" ref="X148:X211" si="127">IMABS(W148)</f>
        <v>1.0000004304797916</v>
      </c>
      <c r="Y148" s="17">
        <f t="shared" ref="Y148:Y211" si="128">IMARGUMENT(W148)</f>
        <v>-9.2787891147882084E-4</v>
      </c>
      <c r="Z148" s="31" t="str">
        <f t="shared" si="116"/>
        <v>0.999999963890506+0.00129769457232015i</v>
      </c>
      <c r="AA148" s="17">
        <f t="shared" ref="AA148:AA211" si="129">IMABS(Z148)</f>
        <v>1.0000008058957837</v>
      </c>
      <c r="AB148" s="17">
        <f t="shared" ref="AB148:AB211" si="130">IMARGUMENT(Z148)</f>
        <v>1.2976938907358372E-3</v>
      </c>
      <c r="AC148" s="66" t="str">
        <f t="shared" ref="AC148:AC211" si="131">(IMDIV(IMPRODUCT(P148,T148,W148),IMPRODUCT(Q148,Z148)))</f>
        <v>17.1984921153186-1.87872097779406i</v>
      </c>
      <c r="AD148" s="64">
        <f t="shared" ref="AD148:AD211" si="132">20*LOG(IMABS(AC148))</f>
        <v>24.761324335572262</v>
      </c>
      <c r="AE148" s="61">
        <f t="shared" ref="AE148:AE211" si="133">(180/PI())*IMARGUMENT(AC148)</f>
        <v>-6.2341314828336438</v>
      </c>
      <c r="AF148" s="31" t="str">
        <f t="shared" si="117"/>
        <v>-9090.90909090909</v>
      </c>
      <c r="AG148" s="31" t="str">
        <f t="shared" si="118"/>
        <v>1253.66028613816i</v>
      </c>
      <c r="AH148" s="31">
        <f t="shared" ref="AH148:AH211" si="134">IMABS(AG148)</f>
        <v>1253.66028613816</v>
      </c>
      <c r="AI148" s="31">
        <f t="shared" ref="AI148:AI211" si="135">IMARGUMENT(AG148)</f>
        <v>1.5707963267948966</v>
      </c>
      <c r="AJ148" s="31" t="str">
        <f t="shared" si="119"/>
        <v>0.994306269551125+0.434076113094479i</v>
      </c>
      <c r="AK148" s="31">
        <f t="shared" ref="AK148:AK211" si="136">IMABS(AJ148)</f>
        <v>1.0849272001511832</v>
      </c>
      <c r="AL148" s="31">
        <f t="shared" ref="AL148:AL211" si="137">IMARGUMENT(AJ148)</f>
        <v>0.41162267925636997</v>
      </c>
      <c r="AM148" s="31" t="str">
        <f t="shared" si="120"/>
        <v>1+1.65207352507287i</v>
      </c>
      <c r="AN148" s="31">
        <f t="shared" ref="AN148:AN211" si="138">IMABS(AM148)</f>
        <v>1.9311517113491368</v>
      </c>
      <c r="AO148" s="31">
        <f t="shared" ref="AO148:AO211" si="139">IMARGUMENT(AM148)</f>
        <v>1.0264889246679092</v>
      </c>
      <c r="AP148" s="31" t="str">
        <f t="shared" si="121"/>
        <v>1+0.275805262950395i</v>
      </c>
      <c r="AQ148" s="31">
        <f t="shared" ref="AQ148:AQ211" si="140">IMABS(AP148)</f>
        <v>1.0373372369056924</v>
      </c>
      <c r="AR148" s="31">
        <f t="shared" ref="AR148:AR211" si="141">IMARGUMENT(AP148)</f>
        <v>0.26911470322284209</v>
      </c>
      <c r="AS148" s="58" t="str">
        <f t="shared" ref="AS148:AS211" si="142">IMDIV(IMPRODUCT(AF148,AM148,AP148),IMPRODUCT(AG148,AJ148))</f>
        <v>-10.3536609642336+8.48996265697235i</v>
      </c>
      <c r="AT148" s="49">
        <f t="shared" ref="AT148:AT211" si="143">20*LOG(IMABS(AS148))</f>
        <v>22.53526420333047</v>
      </c>
      <c r="AU148" s="61">
        <f t="shared" ref="AU148:AU211" si="144">(180/PI())*IMARGUMENT(AS148)</f>
        <v>140.64837752672091</v>
      </c>
      <c r="AV148" s="58" t="str">
        <f t="shared" si="122"/>
        <v>-162.117085513711+165.466195865761i</v>
      </c>
      <c r="AW148" s="64">
        <f t="shared" ref="AW148:AW211" si="145">20*LOG(IMABS(AV148))</f>
        <v>47.296588538902711</v>
      </c>
      <c r="AX148" s="49">
        <f t="shared" ref="AX148:AX211" si="146">(180/PI())*IMARGUMENT(AV148)</f>
        <v>134.41424604388729</v>
      </c>
      <c r="AY148" s="310"/>
      <c r="BA148" s="31">
        <f t="shared" ref="BA148:BA211" si="147">SUM((AW149&lt;0)*(AW148&gt;0))*O148</f>
        <v>0</v>
      </c>
      <c r="BB148" s="31">
        <f t="shared" ref="BB148:BB211" si="148">IF(BA148&gt;0,AX148,0)</f>
        <v>0</v>
      </c>
    </row>
    <row r="149" spans="14:54" x14ac:dyDescent="0.45">
      <c r="N149" s="10">
        <v>31</v>
      </c>
      <c r="O149" s="50">
        <f t="shared" si="111"/>
        <v>204.17379446695315</v>
      </c>
      <c r="P149" s="48" t="str">
        <f t="shared" si="112"/>
        <v>17.4002386318441</v>
      </c>
      <c r="Q149" s="17" t="str">
        <f t="shared" si="113"/>
        <v>1+0.109867256189419i</v>
      </c>
      <c r="R149" s="17">
        <f t="shared" si="123"/>
        <v>1.0060173030234576</v>
      </c>
      <c r="S149" s="17">
        <f t="shared" si="124"/>
        <v>0.1094283680692951</v>
      </c>
      <c r="T149" s="17" t="str">
        <f t="shared" si="114"/>
        <v>1+0.000384858535651758i</v>
      </c>
      <c r="U149" s="17">
        <f t="shared" si="125"/>
        <v>1.0000000740580435</v>
      </c>
      <c r="V149" s="17">
        <f t="shared" si="126"/>
        <v>3.8485851665051222E-4</v>
      </c>
      <c r="W149" s="31" t="str">
        <f t="shared" si="115"/>
        <v>1-0.000949492260292773i</v>
      </c>
      <c r="X149" s="17">
        <f t="shared" si="127"/>
        <v>1.0000004507676745</v>
      </c>
      <c r="Y149" s="17">
        <f t="shared" si="128"/>
        <v>-9.4949197495925093E-4</v>
      </c>
      <c r="Z149" s="31" t="str">
        <f t="shared" si="116"/>
        <v>0.999999962188718+0.00132792176197597i</v>
      </c>
      <c r="AA149" s="17">
        <f t="shared" si="129"/>
        <v>1.0000008438764656</v>
      </c>
      <c r="AB149" s="17">
        <f t="shared" si="130"/>
        <v>1.327921031645254E-3</v>
      </c>
      <c r="AC149" s="66" t="str">
        <f t="shared" si="131"/>
        <v>17.1890974958621-1.92144984782669i</v>
      </c>
      <c r="AD149" s="64">
        <f t="shared" si="132"/>
        <v>24.758992307112738</v>
      </c>
      <c r="AE149" s="61">
        <f t="shared" si="133"/>
        <v>-6.378219034147623</v>
      </c>
      <c r="AF149" s="31" t="str">
        <f t="shared" si="117"/>
        <v>-9090.90909090909</v>
      </c>
      <c r="AG149" s="31" t="str">
        <f t="shared" si="118"/>
        <v>1282.86178550586i</v>
      </c>
      <c r="AH149" s="31">
        <f t="shared" si="134"/>
        <v>1282.8617855058601</v>
      </c>
      <c r="AI149" s="31">
        <f t="shared" si="135"/>
        <v>1.5707963267948966</v>
      </c>
      <c r="AJ149" s="31" t="str">
        <f t="shared" si="119"/>
        <v>0.994037932302077+0.444187044646049i</v>
      </c>
      <c r="AK149" s="31">
        <f t="shared" si="136"/>
        <v>1.0887669821806591</v>
      </c>
      <c r="AL149" s="31">
        <f t="shared" si="137"/>
        <v>0.42023229971962572</v>
      </c>
      <c r="AM149" s="31" t="str">
        <f t="shared" si="120"/>
        <v>1+1.69055526093962i</v>
      </c>
      <c r="AN149" s="31">
        <f t="shared" si="138"/>
        <v>1.9641733860050712</v>
      </c>
      <c r="AO149" s="31">
        <f t="shared" si="139"/>
        <v>1.0366342479166615</v>
      </c>
      <c r="AP149" s="31" t="str">
        <f t="shared" si="121"/>
        <v>1+0.282229592811289i</v>
      </c>
      <c r="AQ149" s="31">
        <f t="shared" si="140"/>
        <v>1.0390637819972488</v>
      </c>
      <c r="AR149" s="31">
        <f t="shared" si="141"/>
        <v>0.27507500471410173</v>
      </c>
      <c r="AS149" s="58" t="str">
        <f t="shared" si="142"/>
        <v>-10.3346177137076+8.34557878581873i</v>
      </c>
      <c r="AT149" s="49">
        <f t="shared" si="143"/>
        <v>22.466290675661526</v>
      </c>
      <c r="AU149" s="61">
        <f t="shared" si="144"/>
        <v>141.07786693499096</v>
      </c>
      <c r="AV149" s="58" t="str">
        <f t="shared" si="122"/>
        <v>-161.607140375346+163.310417042187i</v>
      </c>
      <c r="AW149" s="64">
        <f t="shared" si="145"/>
        <v>47.225282982774246</v>
      </c>
      <c r="AX149" s="49">
        <f t="shared" si="146"/>
        <v>134.69964790084327</v>
      </c>
      <c r="AY149" s="310"/>
      <c r="BA149" s="31">
        <f t="shared" si="147"/>
        <v>0</v>
      </c>
      <c r="BB149" s="31">
        <f t="shared" si="148"/>
        <v>0</v>
      </c>
    </row>
    <row r="150" spans="14:54" x14ac:dyDescent="0.45">
      <c r="N150" s="10">
        <v>32</v>
      </c>
      <c r="O150" s="50">
        <f t="shared" si="111"/>
        <v>208.92961308540396</v>
      </c>
      <c r="P150" s="48" t="str">
        <f t="shared" si="112"/>
        <v>17.4002386318441</v>
      </c>
      <c r="Q150" s="17" t="str">
        <f t="shared" si="113"/>
        <v>1+0.112426393339747i</v>
      </c>
      <c r="R150" s="17">
        <f t="shared" si="123"/>
        <v>1.0063000019474231</v>
      </c>
      <c r="S150" s="17">
        <f t="shared" si="124"/>
        <v>0.11195627511276704</v>
      </c>
      <c r="T150" s="17" t="str">
        <f t="shared" si="114"/>
        <v>1+0.000393823042551879i</v>
      </c>
      <c r="U150" s="17">
        <f t="shared" si="125"/>
        <v>1.0000000775482913</v>
      </c>
      <c r="V150" s="17">
        <f t="shared" si="126"/>
        <v>3.9382302219167744E-4</v>
      </c>
      <c r="W150" s="31" t="str">
        <f t="shared" si="115"/>
        <v>1-0.000971608776182414i</v>
      </c>
      <c r="X150" s="17">
        <f t="shared" si="127"/>
        <v>1.0000004720116955</v>
      </c>
      <c r="Y150" s="17">
        <f t="shared" si="128"/>
        <v>-9.7160847044204448E-4</v>
      </c>
      <c r="Z150" s="31" t="str">
        <f t="shared" si="116"/>
        <v>0.999999960406727+0.00135885303332713i</v>
      </c>
      <c r="AA150" s="17">
        <f t="shared" si="129"/>
        <v>1.0000008836471206</v>
      </c>
      <c r="AB150" s="17">
        <f t="shared" si="130"/>
        <v>1.358852250763706E-3</v>
      </c>
      <c r="AC150" s="66" t="str">
        <f t="shared" si="131"/>
        <v>17.1792709257881-1.96510139617656i</v>
      </c>
      <c r="AD150" s="64">
        <f t="shared" si="132"/>
        <v>24.756551714793655</v>
      </c>
      <c r="AE150" s="61">
        <f t="shared" si="133"/>
        <v>-6.5255832205664843</v>
      </c>
      <c r="AF150" s="31" t="str">
        <f t="shared" si="117"/>
        <v>-9090.90909090909</v>
      </c>
      <c r="AG150" s="31" t="str">
        <f t="shared" si="118"/>
        <v>1312.74347517293i</v>
      </c>
      <c r="AH150" s="31">
        <f t="shared" si="134"/>
        <v>1312.7434751729299</v>
      </c>
      <c r="AI150" s="31">
        <f t="shared" si="135"/>
        <v>1.5707963267948966</v>
      </c>
      <c r="AJ150" s="31" t="str">
        <f t="shared" si="119"/>
        <v>0.993756948708093+0.4545334900482i</v>
      </c>
      <c r="AK150" s="31">
        <f t="shared" si="136"/>
        <v>1.0927733372850092</v>
      </c>
      <c r="AL150" s="31">
        <f t="shared" si="137"/>
        <v>0.42898159824371523</v>
      </c>
      <c r="AM150" s="31" t="str">
        <f t="shared" si="120"/>
        <v>1+1.72993335158289i</v>
      </c>
      <c r="AN150" s="31">
        <f t="shared" si="138"/>
        <v>1.998166509808132</v>
      </c>
      <c r="AO150" s="31">
        <f t="shared" si="139"/>
        <v>1.0466677014381642</v>
      </c>
      <c r="AP150" s="31" t="str">
        <f t="shared" si="121"/>
        <v>1+0.288803564538044i</v>
      </c>
      <c r="AQ150" s="31">
        <f t="shared" si="140"/>
        <v>1.0408686271042471</v>
      </c>
      <c r="AR150" s="31">
        <f t="shared" si="141"/>
        <v>0.28115344816210686</v>
      </c>
      <c r="AS150" s="58" t="str">
        <f t="shared" si="142"/>
        <v>-10.3149609684338+8.204974866804i</v>
      </c>
      <c r="AT150" s="49">
        <f t="shared" si="143"/>
        <v>22.398499015521519</v>
      </c>
      <c r="AU150" s="61">
        <f t="shared" si="144"/>
        <v>141.49971275216316</v>
      </c>
      <c r="AV150" s="58" t="str">
        <f t="shared" si="122"/>
        <v>-161.079901499304+161.225430376684i</v>
      </c>
      <c r="AW150" s="64">
        <f t="shared" si="145"/>
        <v>47.155050730315182</v>
      </c>
      <c r="AX150" s="49">
        <f t="shared" si="146"/>
        <v>134.97412953159673</v>
      </c>
      <c r="AY150" s="310"/>
      <c r="BA150" s="31">
        <f t="shared" si="147"/>
        <v>0</v>
      </c>
      <c r="BB150" s="31">
        <f t="shared" si="148"/>
        <v>0</v>
      </c>
    </row>
    <row r="151" spans="14:54" x14ac:dyDescent="0.45">
      <c r="N151" s="10">
        <v>33</v>
      </c>
      <c r="O151" s="50">
        <f t="shared" si="111"/>
        <v>213.79620895022339</v>
      </c>
      <c r="P151" s="48" t="str">
        <f t="shared" si="112"/>
        <v>17.4002386318441</v>
      </c>
      <c r="Q151" s="17" t="str">
        <f t="shared" si="113"/>
        <v>1+0.115045140451963i</v>
      </c>
      <c r="R151" s="17">
        <f t="shared" si="123"/>
        <v>1.0065959389653885</v>
      </c>
      <c r="S151" s="17">
        <f t="shared" si="124"/>
        <v>0.1145415778006974</v>
      </c>
      <c r="T151" s="17" t="str">
        <f t="shared" si="114"/>
        <v>1+0.000402996359642022i</v>
      </c>
      <c r="U151" s="17">
        <f t="shared" si="125"/>
        <v>1.0000000812030296</v>
      </c>
      <c r="V151" s="17">
        <f t="shared" si="126"/>
        <v>4.0299633782567301E-4</v>
      </c>
      <c r="W151" s="31" t="str">
        <f t="shared" si="115"/>
        <v>1-0.000994240451905941i</v>
      </c>
      <c r="X151" s="17">
        <f t="shared" si="127"/>
        <v>1.0000004942569158</v>
      </c>
      <c r="Y151" s="17">
        <f t="shared" si="128"/>
        <v>-9.9424012429924144E-4</v>
      </c>
      <c r="Z151" s="31" t="str">
        <f t="shared" si="116"/>
        <v>0.999999958540754+0.0013905047865431i</v>
      </c>
      <c r="AA151" s="17">
        <f t="shared" si="129"/>
        <v>1.0000009252921074</v>
      </c>
      <c r="AB151" s="17">
        <f t="shared" si="130"/>
        <v>1.390503948011325E-3</v>
      </c>
      <c r="AC151" s="66" t="str">
        <f t="shared" si="131"/>
        <v>17.168993070289-2.00969206804422i</v>
      </c>
      <c r="AD151" s="64">
        <f t="shared" si="132"/>
        <v>24.753997569906851</v>
      </c>
      <c r="AE151" s="61">
        <f t="shared" si="133"/>
        <v>-6.6762947679949045</v>
      </c>
      <c r="AF151" s="31" t="str">
        <f t="shared" si="117"/>
        <v>-9090.90909090909</v>
      </c>
      <c r="AG151" s="31" t="str">
        <f t="shared" si="118"/>
        <v>1343.32119880674i</v>
      </c>
      <c r="AH151" s="31">
        <f t="shared" si="134"/>
        <v>1343.3211988067401</v>
      </c>
      <c r="AI151" s="31">
        <f t="shared" si="135"/>
        <v>1.5707963267948966</v>
      </c>
      <c r="AJ151" s="31" t="str">
        <f t="shared" si="119"/>
        <v>0.993462722765298+0.465120935123237i</v>
      </c>
      <c r="AK151" s="31">
        <f t="shared" si="136"/>
        <v>1.0969529004538681</v>
      </c>
      <c r="AL151" s="31">
        <f t="shared" si="137"/>
        <v>0.43787042560239808</v>
      </c>
      <c r="AM151" s="31" t="str">
        <f t="shared" si="120"/>
        <v>1+1.77022867578752i</v>
      </c>
      <c r="AN151" s="31">
        <f t="shared" si="138"/>
        <v>2.0331526171393128</v>
      </c>
      <c r="AO151" s="31">
        <f t="shared" si="139"/>
        <v>1.0565865239714309</v>
      </c>
      <c r="AP151" s="31" t="str">
        <f t="shared" si="121"/>
        <v>1+0.295530663737483i</v>
      </c>
      <c r="AQ151" s="31">
        <f t="shared" si="140"/>
        <v>1.0427551837363924</v>
      </c>
      <c r="AR151" s="31">
        <f t="shared" si="141"/>
        <v>0.28735145907290766</v>
      </c>
      <c r="AS151" s="58" t="str">
        <f t="shared" si="142"/>
        <v>-10.2946824321698+8.06804527071693i</v>
      </c>
      <c r="AT151" s="49">
        <f t="shared" si="143"/>
        <v>22.331836060662273</v>
      </c>
      <c r="AU151" s="61">
        <f t="shared" si="144"/>
        <v>141.91384699515049</v>
      </c>
      <c r="AV151" s="58" t="str">
        <f t="shared" si="122"/>
        <v>-160.535044753568+159.209354970683i</v>
      </c>
      <c r="AW151" s="64">
        <f t="shared" si="145"/>
        <v>47.085833630569141</v>
      </c>
      <c r="AX151" s="49">
        <f t="shared" si="146"/>
        <v>135.23755222715556</v>
      </c>
      <c r="AY151" s="310"/>
      <c r="BA151" s="31">
        <f t="shared" si="147"/>
        <v>0</v>
      </c>
      <c r="BB151" s="31">
        <f t="shared" si="148"/>
        <v>0</v>
      </c>
    </row>
    <row r="152" spans="14:54" x14ac:dyDescent="0.45">
      <c r="N152" s="10">
        <v>34</v>
      </c>
      <c r="O152" s="50">
        <f t="shared" si="111"/>
        <v>218.77616239495524</v>
      </c>
      <c r="P152" s="48" t="str">
        <f t="shared" si="112"/>
        <v>17.4002386318441</v>
      </c>
      <c r="Q152" s="17" t="str">
        <f t="shared" si="113"/>
        <v>1+0.117724886020449i</v>
      </c>
      <c r="R152" s="17">
        <f t="shared" si="123"/>
        <v>1.006905729841939</v>
      </c>
      <c r="S152" s="17">
        <f t="shared" si="124"/>
        <v>0.11718550858303638</v>
      </c>
      <c r="T152" s="17" t="str">
        <f t="shared" si="114"/>
        <v>1+0.000412383350736336i</v>
      </c>
      <c r="U152" s="17">
        <f t="shared" si="125"/>
        <v>1.0000000850300104</v>
      </c>
      <c r="V152" s="17">
        <f t="shared" si="126"/>
        <v>4.1238332735969702E-4</v>
      </c>
      <c r="W152" s="31" t="str">
        <f t="shared" si="115"/>
        <v>1-0.0010173992870774i</v>
      </c>
      <c r="X152" s="17">
        <f t="shared" si="127"/>
        <v>1.0000005175505207</v>
      </c>
      <c r="Y152" s="17">
        <f t="shared" si="128"/>
        <v>-1.0173989360405067E-3</v>
      </c>
      <c r="Z152" s="31" t="str">
        <f t="shared" si="116"/>
        <v>0.99999995658684+0.0014228938038024i</v>
      </c>
      <c r="AA152" s="17">
        <f t="shared" si="129"/>
        <v>1.00000096889976</v>
      </c>
      <c r="AB152" s="17">
        <f t="shared" si="130"/>
        <v>1.422892905299462E-3</v>
      </c>
      <c r="AC152" s="66" t="str">
        <f t="shared" si="131"/>
        <v>17.1582437790694-2.05523834815772i</v>
      </c>
      <c r="AD152" s="64">
        <f t="shared" si="132"/>
        <v>24.751324660716989</v>
      </c>
      <c r="AE152" s="61">
        <f t="shared" si="133"/>
        <v>-6.8304256609917893</v>
      </c>
      <c r="AF152" s="31" t="str">
        <f t="shared" si="117"/>
        <v>-9090.90909090909</v>
      </c>
      <c r="AG152" s="31" t="str">
        <f t="shared" si="118"/>
        <v>1374.61116912112i</v>
      </c>
      <c r="AH152" s="31">
        <f t="shared" si="134"/>
        <v>1374.6111691211199</v>
      </c>
      <c r="AI152" s="31">
        <f t="shared" si="135"/>
        <v>1.5707963267948966</v>
      </c>
      <c r="AJ152" s="31" t="str">
        <f t="shared" si="119"/>
        <v>0.99315463038102+0.47595499347468i</v>
      </c>
      <c r="AK152" s="31">
        <f t="shared" si="136"/>
        <v>1.1013125240642383</v>
      </c>
      <c r="AL152" s="31">
        <f t="shared" si="137"/>
        <v>0.44689847801075644</v>
      </c>
      <c r="AM152" s="31" t="str">
        <f t="shared" si="120"/>
        <v>1+1.81146259866781i</v>
      </c>
      <c r="AN152" s="31">
        <f t="shared" si="138"/>
        <v>2.0691536304422482</v>
      </c>
      <c r="AO152" s="31">
        <f t="shared" si="139"/>
        <v>1.0663881672128026</v>
      </c>
      <c r="AP152" s="31" t="str">
        <f t="shared" si="121"/>
        <v>1+0.302414457206646i</v>
      </c>
      <c r="AQ152" s="31">
        <f t="shared" si="140"/>
        <v>1.0447269997121689</v>
      </c>
      <c r="AR152" s="31">
        <f t="shared" si="141"/>
        <v>0.29367041819622014</v>
      </c>
      <c r="AS152" s="58" t="str">
        <f t="shared" si="142"/>
        <v>-10.2737746317325+7.93468543198438i</v>
      </c>
      <c r="AT152" s="49">
        <f t="shared" si="143"/>
        <v>22.266248489437803</v>
      </c>
      <c r="AU152" s="61">
        <f t="shared" si="144"/>
        <v>142.32022017363366</v>
      </c>
      <c r="AV152" s="58" t="str">
        <f t="shared" si="122"/>
        <v>-159.972259882103+157.260322555685i</v>
      </c>
      <c r="AW152" s="64">
        <f t="shared" si="145"/>
        <v>47.017573150154803</v>
      </c>
      <c r="AX152" s="49">
        <f t="shared" si="146"/>
        <v>135.48979451264199</v>
      </c>
      <c r="AY152" s="310"/>
      <c r="BA152" s="31">
        <f t="shared" si="147"/>
        <v>0</v>
      </c>
      <c r="BB152" s="31">
        <f t="shared" si="148"/>
        <v>0</v>
      </c>
    </row>
    <row r="153" spans="14:54" x14ac:dyDescent="0.45">
      <c r="N153" s="10">
        <v>35</v>
      </c>
      <c r="O153" s="50">
        <f t="shared" si="111"/>
        <v>223.87211385683412</v>
      </c>
      <c r="P153" s="48" t="str">
        <f t="shared" si="112"/>
        <v>17.4002386318441</v>
      </c>
      <c r="Q153" s="17" t="str">
        <f t="shared" si="113"/>
        <v>1+0.120467050881776i</v>
      </c>
      <c r="R153" s="17">
        <f t="shared" si="123"/>
        <v>1.0072300185896728</v>
      </c>
      <c r="S153" s="17">
        <f t="shared" si="124"/>
        <v>0.11988932137067487</v>
      </c>
      <c r="T153" s="17" t="str">
        <f t="shared" si="114"/>
        <v>1+0.00042198899294175i</v>
      </c>
      <c r="U153" s="17">
        <f t="shared" si="125"/>
        <v>1.000000089037351</v>
      </c>
      <c r="V153" s="17">
        <f t="shared" si="126"/>
        <v>4.2198896789323018E-4</v>
      </c>
      <c r="W153" s="31" t="str">
        <f t="shared" si="115"/>
        <v>1-0.00104109756081774i</v>
      </c>
      <c r="X153" s="17">
        <f t="shared" si="127"/>
        <v>1.0000005419419187</v>
      </c>
      <c r="Y153" s="17">
        <f t="shared" si="128"/>
        <v>-1.041097184674943E-3</v>
      </c>
      <c r="Z153" s="31" t="str">
        <f t="shared" si="116"/>
        <v>0.99999995454084+0.0014560372581907i</v>
      </c>
      <c r="AA153" s="17">
        <f t="shared" si="129"/>
        <v>1.0000010145625751</v>
      </c>
      <c r="AB153" s="17">
        <f t="shared" si="130"/>
        <v>1.4560362954275099E-3</v>
      </c>
      <c r="AC153" s="66" t="str">
        <f t="shared" si="131"/>
        <v>17.1470020567294-2.10175673918067i</v>
      </c>
      <c r="AD153" s="64">
        <f t="shared" si="132"/>
        <v>24.748527543081167</v>
      </c>
      <c r="AE153" s="61">
        <f t="shared" si="133"/>
        <v>-6.9880491456565634</v>
      </c>
      <c r="AF153" s="31" t="str">
        <f t="shared" si="117"/>
        <v>-9090.90909090909</v>
      </c>
      <c r="AG153" s="31" t="str">
        <f t="shared" si="118"/>
        <v>1406.6299764725i</v>
      </c>
      <c r="AH153" s="31">
        <f t="shared" si="134"/>
        <v>1406.6299764724999</v>
      </c>
      <c r="AI153" s="31">
        <f t="shared" si="135"/>
        <v>1.5707963267948966</v>
      </c>
      <c r="AJ153" s="31" t="str">
        <f t="shared" si="119"/>
        <v>0.992832018050006+0.487041409463672i</v>
      </c>
      <c r="AK153" s="31">
        <f t="shared" si="136"/>
        <v>1.1058592815533121</v>
      </c>
      <c r="AL153" s="31">
        <f t="shared" si="137"/>
        <v>0.45606529067491119</v>
      </c>
      <c r="AM153" s="31" t="str">
        <f t="shared" si="120"/>
        <v>1+1.85365698299546i</v>
      </c>
      <c r="AN153" s="31">
        <f t="shared" si="138"/>
        <v>2.1061918741196948</v>
      </c>
      <c r="AO153" s="31">
        <f t="shared" si="139"/>
        <v>1.076070294091213</v>
      </c>
      <c r="AP153" s="31" t="str">
        <f t="shared" si="121"/>
        <v>1+0.30945859482395i</v>
      </c>
      <c r="AQ153" s="31">
        <f t="shared" si="140"/>
        <v>1.0467877635463712</v>
      </c>
      <c r="AR153" s="31">
        <f t="shared" si="141"/>
        <v>0.30011165668135359</v>
      </c>
      <c r="AS153" s="58" t="str">
        <f t="shared" si="142"/>
        <v>-10.252230994207+7.80479182805539i</v>
      </c>
      <c r="AT153" s="49">
        <f t="shared" si="143"/>
        <v>22.201682986334035</v>
      </c>
      <c r="AU153" s="61">
        <f t="shared" si="144"/>
        <v>142.7188012832689</v>
      </c>
      <c r="AV153" s="58" t="str">
        <f t="shared" si="122"/>
        <v>-159.391252121215+155.376477111722i</v>
      </c>
      <c r="AW153" s="64">
        <f t="shared" si="145"/>
        <v>46.950210529415209</v>
      </c>
      <c r="AX153" s="49">
        <f t="shared" si="146"/>
        <v>135.7307521376124</v>
      </c>
      <c r="AY153" s="310"/>
      <c r="BA153" s="31">
        <f t="shared" si="147"/>
        <v>0</v>
      </c>
      <c r="BB153" s="31">
        <f t="shared" si="148"/>
        <v>0</v>
      </c>
    </row>
    <row r="154" spans="14:54" x14ac:dyDescent="0.45">
      <c r="N154" s="10">
        <v>36</v>
      </c>
      <c r="O154" s="50">
        <f t="shared" si="111"/>
        <v>229.08676527677744</v>
      </c>
      <c r="P154" s="48" t="str">
        <f t="shared" si="112"/>
        <v>17.4002386318441</v>
      </c>
      <c r="Q154" s="17" t="str">
        <f t="shared" si="113"/>
        <v>1+0.12327308896805i</v>
      </c>
      <c r="R154" s="17">
        <f t="shared" si="123"/>
        <v>1.0075694787277574</v>
      </c>
      <c r="S154" s="17">
        <f t="shared" si="124"/>
        <v>0.12265429154385213</v>
      </c>
      <c r="T154" s="17" t="str">
        <f t="shared" si="114"/>
        <v>1+0.000431818379296905i</v>
      </c>
      <c r="U154" s="17">
        <f t="shared" si="125"/>
        <v>1.000000093233552</v>
      </c>
      <c r="V154" s="17">
        <f t="shared" si="126"/>
        <v>4.3181835245693255E-4</v>
      </c>
      <c r="W154" s="31" t="str">
        <f t="shared" si="115"/>
        <v>1-0.00106534783826538i</v>
      </c>
      <c r="X154" s="17">
        <f t="shared" si="127"/>
        <v>1.0000005674828472</v>
      </c>
      <c r="Y154" s="17">
        <f t="shared" si="128"/>
        <v>-1.0653474352211238E-3</v>
      </c>
      <c r="Z154" s="31" t="str">
        <f t="shared" si="116"/>
        <v>0.999999952398416+0.00148995272280623i</v>
      </c>
      <c r="AA154" s="17">
        <f t="shared" si="129"/>
        <v>1.0000010623774109</v>
      </c>
      <c r="AB154" s="17">
        <f t="shared" si="130"/>
        <v>1.4899516911869443E-3</v>
      </c>
      <c r="AC154" s="66" t="str">
        <f t="shared" si="131"/>
        <v>17.1352460325426-2.14926373824669i</v>
      </c>
      <c r="AD154" s="64">
        <f t="shared" si="132"/>
        <v>24.745600530730485</v>
      </c>
      <c r="AE154" s="61">
        <f t="shared" si="133"/>
        <v>-7.1492397308544504</v>
      </c>
      <c r="AF154" s="31" t="str">
        <f t="shared" si="117"/>
        <v>-9090.90909090909</v>
      </c>
      <c r="AG154" s="31" t="str">
        <f t="shared" si="118"/>
        <v>1439.39459765635i</v>
      </c>
      <c r="AH154" s="31">
        <f t="shared" si="134"/>
        <v>1439.39459765635</v>
      </c>
      <c r="AI154" s="31">
        <f t="shared" si="135"/>
        <v>1.5707963267948966</v>
      </c>
      <c r="AJ154" s="31" t="str">
        <f t="shared" si="119"/>
        <v>0.992494201468247+0.498386061254717i</v>
      </c>
      <c r="AK154" s="31">
        <f t="shared" si="136"/>
        <v>1.1106004709170096</v>
      </c>
      <c r="AL154" s="31">
        <f t="shared" si="137"/>
        <v>0.46537023153373319</v>
      </c>
      <c r="AM154" s="31" t="str">
        <f t="shared" si="120"/>
        <v>1+1.89683420079154i</v>
      </c>
      <c r="AN154" s="31">
        <f t="shared" si="138"/>
        <v>2.1442900888854757</v>
      </c>
      <c r="AO154" s="31">
        <f t="shared" si="139"/>
        <v>1.0856307763337758</v>
      </c>
      <c r="AP154" s="31" t="str">
        <f t="shared" si="121"/>
        <v>1+0.316666811484397i</v>
      </c>
      <c r="AQ154" s="31">
        <f t="shared" si="140"/>
        <v>1.0489413088899182</v>
      </c>
      <c r="AR154" s="31">
        <f t="shared" si="141"/>
        <v>0.30667645102092217</v>
      </c>
      <c r="AS154" s="58" t="str">
        <f t="shared" si="142"/>
        <v>-10.2300459250627+7.67826196621023i</v>
      </c>
      <c r="AT154" s="49">
        <f t="shared" si="143"/>
        <v>22.138086407159697</v>
      </c>
      <c r="AU154" s="61">
        <f t="shared" si="144"/>
        <v>143.10957773507701</v>
      </c>
      <c r="AV154" s="58" t="str">
        <f t="shared" si="122"/>
        <v>-158.791743833425+153.555974640662i</v>
      </c>
      <c r="AW154" s="64">
        <f t="shared" si="145"/>
        <v>46.883686937890175</v>
      </c>
      <c r="AX154" s="49">
        <f t="shared" si="146"/>
        <v>135.96033800422262</v>
      </c>
      <c r="AY154" s="310"/>
      <c r="BA154" s="31">
        <f t="shared" si="147"/>
        <v>0</v>
      </c>
      <c r="BB154" s="31">
        <f t="shared" si="148"/>
        <v>0</v>
      </c>
    </row>
    <row r="155" spans="14:54" x14ac:dyDescent="0.45">
      <c r="N155" s="10">
        <v>37</v>
      </c>
      <c r="O155" s="50">
        <f t="shared" si="111"/>
        <v>234.42288153199232</v>
      </c>
      <c r="P155" s="48" t="str">
        <f t="shared" si="112"/>
        <v>17.4002386318441</v>
      </c>
      <c r="Q155" s="17" t="str">
        <f t="shared" si="113"/>
        <v>1+0.126144488077807i</v>
      </c>
      <c r="R155" s="17">
        <f t="shared" si="123"/>
        <v>1.0079248145930391</v>
      </c>
      <c r="S155" s="17">
        <f t="shared" si="124"/>
        <v>0.12548171592876636</v>
      </c>
      <c r="T155" s="17" t="str">
        <f t="shared" si="114"/>
        <v>1+0.000441876721472553i</v>
      </c>
      <c r="U155" s="17">
        <f t="shared" si="125"/>
        <v>1.0000000976275139</v>
      </c>
      <c r="V155" s="17">
        <f t="shared" si="126"/>
        <v>4.4187669271300448E-4</v>
      </c>
      <c r="W155" s="31" t="str">
        <f t="shared" si="115"/>
        <v>1-0.00109016297723841i</v>
      </c>
      <c r="X155" s="17">
        <f t="shared" si="127"/>
        <v>1.0000005942274819</v>
      </c>
      <c r="Y155" s="17">
        <f t="shared" si="128"/>
        <v>-1.0901625453687224E-3</v>
      </c>
      <c r="Z155" s="31" t="str">
        <f t="shared" si="116"/>
        <v>0.999999950155023+0.00152465818007723i</v>
      </c>
      <c r="AA155" s="17">
        <f t="shared" si="129"/>
        <v>1.0000011124456885</v>
      </c>
      <c r="AB155" s="17">
        <f t="shared" si="130"/>
        <v>1.5246570746773153E-3</v>
      </c>
      <c r="AC155" s="66" t="str">
        <f t="shared" si="131"/>
        <v>17.1229529296683-2.19777581150574i</v>
      </c>
      <c r="AD155" s="64">
        <f t="shared" si="132"/>
        <v>24.742537685207104</v>
      </c>
      <c r="AE155" s="61">
        <f t="shared" si="133"/>
        <v>-7.3140731876368008</v>
      </c>
      <c r="AF155" s="31" t="str">
        <f t="shared" si="117"/>
        <v>-9090.90909090909</v>
      </c>
      <c r="AG155" s="31" t="str">
        <f t="shared" si="118"/>
        <v>1472.92240490851i</v>
      </c>
      <c r="AH155" s="31">
        <f t="shared" si="134"/>
        <v>1472.9224049085101</v>
      </c>
      <c r="AI155" s="31">
        <f t="shared" si="135"/>
        <v>1.5707963267948966</v>
      </c>
      <c r="AJ155" s="31" t="str">
        <f t="shared" si="119"/>
        <v>0.992140464081483+0.509994963932359i</v>
      </c>
      <c r="AK155" s="31">
        <f t="shared" si="136"/>
        <v>1.1155436180195684</v>
      </c>
      <c r="AL155" s="31">
        <f t="shared" si="137"/>
        <v>0.4748124952402008</v>
      </c>
      <c r="AM155" s="31" t="str">
        <f t="shared" si="120"/>
        <v>1+1.94101714518843i</v>
      </c>
      <c r="AN155" s="31">
        <f t="shared" si="138"/>
        <v>2.1834714465537308</v>
      </c>
      <c r="AO155" s="31">
        <f t="shared" si="139"/>
        <v>1.0950676913743378</v>
      </c>
      <c r="AP155" s="31" t="str">
        <f t="shared" si="121"/>
        <v>1+0.324042929079872i</v>
      </c>
      <c r="AQ155" s="31">
        <f t="shared" si="140"/>
        <v>1.0511916190146604</v>
      </c>
      <c r="AR155" s="31">
        <f t="shared" si="141"/>
        <v>0.31336601778495671</v>
      </c>
      <c r="AS155" s="58" t="str">
        <f t="shared" si="142"/>
        <v>-10.207214886663+7.55499437809697i</v>
      </c>
      <c r="AT155" s="49">
        <f t="shared" si="143"/>
        <v>22.075405943408775</v>
      </c>
      <c r="AU155" s="61">
        <f t="shared" si="144"/>
        <v>143.49255522144463</v>
      </c>
      <c r="AV155" s="58" t="str">
        <f t="shared" si="122"/>
        <v>-158.173476147097+151.796983100812i</v>
      </c>
      <c r="AW155" s="64">
        <f t="shared" si="145"/>
        <v>46.817943628615879</v>
      </c>
      <c r="AX155" s="49">
        <f t="shared" si="146"/>
        <v>136.17848203380794</v>
      </c>
      <c r="AY155" s="310"/>
      <c r="BA155" s="31">
        <f t="shared" si="147"/>
        <v>0</v>
      </c>
      <c r="BB155" s="31">
        <f t="shared" si="148"/>
        <v>0</v>
      </c>
    </row>
    <row r="156" spans="14:54" x14ac:dyDescent="0.45">
      <c r="N156" s="10">
        <v>38</v>
      </c>
      <c r="O156" s="50">
        <f t="shared" si="111"/>
        <v>239.88329190194912</v>
      </c>
      <c r="P156" s="48" t="str">
        <f t="shared" si="112"/>
        <v>17.4002386318441</v>
      </c>
      <c r="Q156" s="17" t="str">
        <f t="shared" si="113"/>
        <v>1+0.129082770664863i</v>
      </c>
      <c r="R156" s="17">
        <f t="shared" si="123"/>
        <v>1.0082967627055626</v>
      </c>
      <c r="S156" s="17">
        <f t="shared" si="124"/>
        <v>0.12837291273972312</v>
      </c>
      <c r="T156" s="17" t="str">
        <f t="shared" si="114"/>
        <v>1+0.00045216935253486i</v>
      </c>
      <c r="U156" s="17">
        <f t="shared" si="125"/>
        <v>1.0000001022285565</v>
      </c>
      <c r="V156" s="17">
        <f t="shared" si="126"/>
        <v>4.5216932171844874E-4</v>
      </c>
      <c r="W156" s="31" t="str">
        <f t="shared" si="115"/>
        <v>1-0.00111555613505199i</v>
      </c>
      <c r="X156" s="17">
        <f t="shared" si="127"/>
        <v>1.0000006222325517</v>
      </c>
      <c r="Y156" s="17">
        <f t="shared" si="128"/>
        <v>-1.1155556722952978E-3</v>
      </c>
      <c r="Z156" s="31" t="str">
        <f t="shared" si="116"/>
        <v>0.999999947805901+0.00156017203129657i</v>
      </c>
      <c r="AA156" s="17">
        <f t="shared" si="129"/>
        <v>1.0000011648736076</v>
      </c>
      <c r="AB156" s="17">
        <f t="shared" si="130"/>
        <v>1.5601708468392969E-3</v>
      </c>
      <c r="AC156" s="66" t="str">
        <f t="shared" si="131"/>
        <v>17.1100990338437-2.24730936656339i</v>
      </c>
      <c r="AD156" s="64">
        <f t="shared" si="132"/>
        <v>24.739332805450264</v>
      </c>
      <c r="AE156" s="61">
        <f t="shared" si="133"/>
        <v>-7.482626546705216</v>
      </c>
      <c r="AF156" s="31" t="str">
        <f t="shared" si="117"/>
        <v>-9090.90909090909</v>
      </c>
      <c r="AG156" s="31" t="str">
        <f t="shared" si="118"/>
        <v>1507.2311751162i</v>
      </c>
      <c r="AH156" s="31">
        <f t="shared" si="134"/>
        <v>1507.2311751161999</v>
      </c>
      <c r="AI156" s="31">
        <f t="shared" si="135"/>
        <v>1.5707963267948966</v>
      </c>
      <c r="AJ156" s="31" t="str">
        <f t="shared" si="119"/>
        <v>0.99177005556529+0.521874272690458i</v>
      </c>
      <c r="AK156" s="31">
        <f t="shared" si="136"/>
        <v>1.1206964797000893</v>
      </c>
      <c r="AL156" s="31">
        <f t="shared" si="137"/>
        <v>0.48439109743230213</v>
      </c>
      <c r="AM156" s="31" t="str">
        <f t="shared" si="120"/>
        <v>1+1.98622924256813i</v>
      </c>
      <c r="AN156" s="31">
        <f t="shared" si="138"/>
        <v>2.2237595652481783</v>
      </c>
      <c r="AO156" s="31">
        <f t="shared" si="139"/>
        <v>1.1043793186592872</v>
      </c>
      <c r="AP156" s="31" t="str">
        <f t="shared" si="121"/>
        <v>1+0.331590858525564i</v>
      </c>
      <c r="AQ156" s="31">
        <f t="shared" si="140"/>
        <v>1.0535428313351671</v>
      </c>
      <c r="AR156" s="31">
        <f t="shared" si="141"/>
        <v>0.32018150814952551</v>
      </c>
      <c r="AS156" s="58" t="str">
        <f t="shared" si="142"/>
        <v>-10.1837344766037+7.43488862226028i</v>
      </c>
      <c r="AT156" s="49">
        <f t="shared" si="143"/>
        <v>22.013589285317497</v>
      </c>
      <c r="AU156" s="61">
        <f t="shared" si="144"/>
        <v>143.86775751923085</v>
      </c>
      <c r="AV156" s="58" t="str">
        <f t="shared" si="122"/>
        <v>-157.536210588897+150.097682508337i</v>
      </c>
      <c r="AW156" s="64">
        <f t="shared" si="145"/>
        <v>46.752922090767768</v>
      </c>
      <c r="AX156" s="49">
        <f t="shared" si="146"/>
        <v>136.38513097252573</v>
      </c>
      <c r="AY156" s="310"/>
      <c r="BA156" s="31">
        <f t="shared" si="147"/>
        <v>0</v>
      </c>
      <c r="BB156" s="31">
        <f t="shared" si="148"/>
        <v>0</v>
      </c>
    </row>
    <row r="157" spans="14:54" x14ac:dyDescent="0.45">
      <c r="N157" s="10">
        <v>39</v>
      </c>
      <c r="O157" s="50">
        <f t="shared" si="111"/>
        <v>245.4708915685033</v>
      </c>
      <c r="P157" s="48" t="str">
        <f t="shared" si="112"/>
        <v>17.4002386318441</v>
      </c>
      <c r="Q157" s="17" t="str">
        <f t="shared" si="113"/>
        <v>1+0.132089494645538i</v>
      </c>
      <c r="R157" s="17">
        <f t="shared" si="123"/>
        <v>1.0086860931904007</v>
      </c>
      <c r="S157" s="17">
        <f t="shared" si="124"/>
        <v>0.13132922148400131</v>
      </c>
      <c r="T157" s="17" t="str">
        <f t="shared" si="114"/>
        <v>1+0.000462701729773047i</v>
      </c>
      <c r="U157" s="17">
        <f t="shared" si="125"/>
        <v>1.0000001070464397</v>
      </c>
      <c r="V157" s="17">
        <f t="shared" si="126"/>
        <v>4.6270169675266759E-4</v>
      </c>
      <c r="W157" s="31" t="str">
        <f t="shared" si="115"/>
        <v>1-0.0011415407754945i</v>
      </c>
      <c r="X157" s="17">
        <f t="shared" si="127"/>
        <v>1.0000006515574589</v>
      </c>
      <c r="Y157" s="17">
        <f t="shared" si="128"/>
        <v>-1.1415402796417882E-3</v>
      </c>
      <c r="Z157" s="31" t="str">
        <f t="shared" si="116"/>
        <v>0.999999945346069+0.0015965131063782i</v>
      </c>
      <c r="AA157" s="17">
        <f t="shared" si="129"/>
        <v>1.000001219772376</v>
      </c>
      <c r="AB157" s="17">
        <f t="shared" si="130"/>
        <v>1.596511837209449E-3</v>
      </c>
      <c r="AC157" s="66" t="str">
        <f t="shared" si="131"/>
        <v>17.0966596616104-2.29788072268886i</v>
      </c>
      <c r="AD157" s="64">
        <f t="shared" si="132"/>
        <v>24.73597941702582</v>
      </c>
      <c r="AE157" s="61">
        <f t="shared" si="133"/>
        <v>-7.6549780937570855</v>
      </c>
      <c r="AF157" s="31" t="str">
        <f t="shared" si="117"/>
        <v>-9090.90909090909</v>
      </c>
      <c r="AG157" s="31" t="str">
        <f t="shared" si="118"/>
        <v>1542.33909924349i</v>
      </c>
      <c r="AH157" s="31">
        <f t="shared" si="134"/>
        <v>1542.33909924349</v>
      </c>
      <c r="AI157" s="31">
        <f t="shared" si="135"/>
        <v>1.5707963267948966</v>
      </c>
      <c r="AJ157" s="31" t="str">
        <f t="shared" si="119"/>
        <v>0.991382190233542+0.534030286095762i</v>
      </c>
      <c r="AK157" s="31">
        <f t="shared" si="136"/>
        <v>1.1260670466627538</v>
      </c>
      <c r="AL157" s="31">
        <f t="shared" si="137"/>
        <v>0.49410486934530201</v>
      </c>
      <c r="AM157" s="31" t="str">
        <f t="shared" si="120"/>
        <v>1+2.03249446498307i</v>
      </c>
      <c r="AN157" s="31">
        <f t="shared" si="138"/>
        <v>2.2651785250144889</v>
      </c>
      <c r="AO157" s="31">
        <f t="shared" si="139"/>
        <v>1.1135641354057106</v>
      </c>
      <c r="AP157" s="31" t="str">
        <f t="shared" si="121"/>
        <v>1+0.339314601833567i</v>
      </c>
      <c r="AQ157" s="31">
        <f t="shared" si="140"/>
        <v>1.0559992419587583</v>
      </c>
      <c r="AR157" s="31">
        <f t="shared" si="141"/>
        <v>0.32712400222564242</v>
      </c>
      <c r="AS157" s="58" t="str">
        <f t="shared" si="142"/>
        <v>-10.1596025052603+7.31784529488662i</v>
      </c>
      <c r="AT157" s="49">
        <f t="shared" si="143"/>
        <v>21.952584783146687</v>
      </c>
      <c r="AU157" s="61">
        <f t="shared" si="144"/>
        <v>144.23522623049033</v>
      </c>
      <c r="AV157" s="58" t="str">
        <f t="shared" si="122"/>
        <v>-156.87973069494+148.456265210013i</v>
      </c>
      <c r="AW157" s="64">
        <f t="shared" si="145"/>
        <v>46.6885642001725</v>
      </c>
      <c r="AX157" s="49">
        <f t="shared" si="146"/>
        <v>136.5802481367331</v>
      </c>
      <c r="AY157" s="310"/>
      <c r="BA157" s="31">
        <f t="shared" si="147"/>
        <v>0</v>
      </c>
      <c r="BB157" s="31">
        <f t="shared" si="148"/>
        <v>0</v>
      </c>
    </row>
    <row r="158" spans="14:54" x14ac:dyDescent="0.45">
      <c r="N158" s="10">
        <v>40</v>
      </c>
      <c r="O158" s="50">
        <f t="shared" si="111"/>
        <v>251.18864315095806</v>
      </c>
      <c r="P158" s="48" t="str">
        <f t="shared" si="112"/>
        <v>17.4002386318441</v>
      </c>
      <c r="Q158" s="17" t="str">
        <f t="shared" si="113"/>
        <v>1+0.135166254224686i</v>
      </c>
      <c r="R158" s="17">
        <f t="shared" si="123"/>
        <v>1.0090936112577129</v>
      </c>
      <c r="S158" s="17">
        <f t="shared" si="124"/>
        <v>0.13435200282645629</v>
      </c>
      <c r="T158" s="17" t="str">
        <f t="shared" si="114"/>
        <v>1+0.000473479437592944i</v>
      </c>
      <c r="U158" s="17">
        <f t="shared" si="125"/>
        <v>1.0000001120913826</v>
      </c>
      <c r="V158" s="17">
        <f t="shared" si="126"/>
        <v>4.7347940221097022E-4</v>
      </c>
      <c r="W158" s="31" t="str">
        <f t="shared" si="115"/>
        <v>1-0.00116813067596627i</v>
      </c>
      <c r="X158" s="17">
        <f t="shared" si="127"/>
        <v>1.0000006822644054</v>
      </c>
      <c r="Y158" s="17">
        <f t="shared" si="128"/>
        <v>-1.1681301446505364E-3</v>
      </c>
      <c r="Z158" s="31" t="str">
        <f t="shared" si="116"/>
        <v>0.999999942770309+0.0016337006738412i</v>
      </c>
      <c r="AA158" s="17">
        <f t="shared" si="129"/>
        <v>1.0000012772584408</v>
      </c>
      <c r="AB158" s="17">
        <f t="shared" si="130"/>
        <v>1.6336993139024747E-3</v>
      </c>
      <c r="AC158" s="66" t="str">
        <f t="shared" si="131"/>
        <v>17.0826091281392-2.34950607866393i</v>
      </c>
      <c r="AD158" s="64">
        <f t="shared" si="132"/>
        <v>24.732470760994669</v>
      </c>
      <c r="AE158" s="61">
        <f t="shared" si="133"/>
        <v>-7.831207362543096</v>
      </c>
      <c r="AF158" s="31" t="str">
        <f t="shared" si="117"/>
        <v>-9090.90909090909</v>
      </c>
      <c r="AG158" s="31" t="str">
        <f t="shared" si="118"/>
        <v>1578.26479197648i</v>
      </c>
      <c r="AH158" s="31">
        <f t="shared" si="134"/>
        <v>1578.26479197648</v>
      </c>
      <c r="AI158" s="31">
        <f t="shared" si="135"/>
        <v>1.5707963267948966</v>
      </c>
      <c r="AJ158" s="31" t="str">
        <f t="shared" si="119"/>
        <v>0.99097604537187+0.546469449427479i</v>
      </c>
      <c r="AK158" s="31">
        <f t="shared" si="136"/>
        <v>1.1316635461383577</v>
      </c>
      <c r="AL158" s="31">
        <f t="shared" si="137"/>
        <v>0.50395245281876</v>
      </c>
      <c r="AM158" s="31" t="str">
        <f t="shared" si="120"/>
        <v>1+2.0798373428666i</v>
      </c>
      <c r="AN158" s="31">
        <f t="shared" si="138"/>
        <v>2.3077528838206223</v>
      </c>
      <c r="AO158" s="31">
        <f t="shared" si="139"/>
        <v>1.1226208118674621</v>
      </c>
      <c r="AP158" s="31" t="str">
        <f t="shared" si="121"/>
        <v>1+0.347218254234825i</v>
      </c>
      <c r="AQ158" s="31">
        <f t="shared" si="140"/>
        <v>1.058565310254346</v>
      </c>
      <c r="AR158" s="31">
        <f t="shared" si="141"/>
        <v>0.33419450319613525</v>
      </c>
      <c r="AS158" s="58" t="str">
        <f t="shared" si="142"/>
        <v>-10.1348180718799+7.20376604893347i</v>
      </c>
      <c r="AT158" s="49">
        <f t="shared" si="143"/>
        <v>21.892341606225784</v>
      </c>
      <c r="AU158" s="61">
        <f t="shared" si="144"/>
        <v>144.59502046138476</v>
      </c>
      <c r="AV158" s="58" t="str">
        <f t="shared" si="122"/>
        <v>-156.203843585484+146.870936330525i</v>
      </c>
      <c r="AW158" s="64">
        <f t="shared" si="145"/>
        <v>46.624812367220457</v>
      </c>
      <c r="AX158" s="49">
        <f t="shared" si="146"/>
        <v>136.76381309884172</v>
      </c>
      <c r="AY158" s="310"/>
      <c r="BA158" s="31">
        <f t="shared" si="147"/>
        <v>0</v>
      </c>
      <c r="BB158" s="31">
        <f t="shared" si="148"/>
        <v>0</v>
      </c>
    </row>
    <row r="159" spans="14:54" x14ac:dyDescent="0.45">
      <c r="N159" s="10">
        <v>41</v>
      </c>
      <c r="O159" s="50">
        <f t="shared" si="111"/>
        <v>257.03957827688663</v>
      </c>
      <c r="P159" s="48" t="str">
        <f t="shared" si="112"/>
        <v>17.4002386318441</v>
      </c>
      <c r="Q159" s="17" t="str">
        <f t="shared" si="113"/>
        <v>1+0.13831468074096i</v>
      </c>
      <c r="R159" s="17">
        <f t="shared" si="123"/>
        <v>1.0095201587429909</v>
      </c>
      <c r="S159" s="17">
        <f t="shared" si="124"/>
        <v>0.13744263841069632</v>
      </c>
      <c r="T159" s="17" t="str">
        <f t="shared" si="114"/>
        <v>1+0.000484508190477891i</v>
      </c>
      <c r="U159" s="17">
        <f t="shared" si="125"/>
        <v>1.0000001173740865</v>
      </c>
      <c r="V159" s="17">
        <f t="shared" si="126"/>
        <v>4.8450815256542327E-4</v>
      </c>
      <c r="W159" s="31" t="str">
        <f t="shared" si="115"/>
        <v>1-0.00119533993478446i</v>
      </c>
      <c r="X159" s="17">
        <f t="shared" si="127"/>
        <v>1.0000007144185246</v>
      </c>
      <c r="Y159" s="17">
        <f t="shared" si="128"/>
        <v>-1.1953393654694164E-3</v>
      </c>
      <c r="Z159" s="31" t="str">
        <f t="shared" si="116"/>
        <v>0.999999940073157+0.00167175445102604i</v>
      </c>
      <c r="AA159" s="17">
        <f t="shared" si="129"/>
        <v>1.0000013374537366</v>
      </c>
      <c r="AB159" s="17">
        <f t="shared" si="130"/>
        <v>1.6717529938255467E-3</v>
      </c>
      <c r="AC159" s="66" t="str">
        <f t="shared" si="131"/>
        <v>17.0679207147245-2.40220147813958i</v>
      </c>
      <c r="AD159" s="64">
        <f t="shared" si="132"/>
        <v>24.728799782415642</v>
      </c>
      <c r="AE159" s="61">
        <f t="shared" si="133"/>
        <v>-8.0113951254556905</v>
      </c>
      <c r="AF159" s="31" t="str">
        <f t="shared" si="117"/>
        <v>-9090.90909090909</v>
      </c>
      <c r="AG159" s="31" t="str">
        <f t="shared" si="118"/>
        <v>1615.02730159297i</v>
      </c>
      <c r="AH159" s="31">
        <f t="shared" si="134"/>
        <v>1615.0273015929699</v>
      </c>
      <c r="AI159" s="31">
        <f t="shared" si="135"/>
        <v>1.5707963267948966</v>
      </c>
      <c r="AJ159" s="31" t="str">
        <f t="shared" si="119"/>
        <v>0.990550759492569+0.559198358094662i</v>
      </c>
      <c r="AK159" s="31">
        <f t="shared" si="136"/>
        <v>1.1374944443060242</v>
      </c>
      <c r="AL159" s="31">
        <f t="shared" si="137"/>
        <v>0.51393229575291755</v>
      </c>
      <c r="AM159" s="31" t="str">
        <f t="shared" si="120"/>
        <v>1+2.12828297803921i</v>
      </c>
      <c r="AN159" s="31">
        <f t="shared" si="138"/>
        <v>2.3515076939298853</v>
      </c>
      <c r="AO159" s="31">
        <f t="shared" si="139"/>
        <v>1.1315482061641544</v>
      </c>
      <c r="AP159" s="31" t="str">
        <f t="shared" si="121"/>
        <v>1+0.355306006350453i</v>
      </c>
      <c r="AQ159" s="31">
        <f t="shared" si="140"/>
        <v>1.0612456634298715</v>
      </c>
      <c r="AR159" s="31">
        <f t="shared" si="141"/>
        <v>0.34139393126997292</v>
      </c>
      <c r="AS159" s="58" t="str">
        <f t="shared" si="142"/>
        <v>-10.1093816384993+7.09255362175591i</v>
      </c>
      <c r="AT159" s="49">
        <f t="shared" si="143"/>
        <v>21.832809899292354</v>
      </c>
      <c r="AU159" s="61">
        <f t="shared" si="144"/>
        <v>144.94721643984249</v>
      </c>
      <c r="AV159" s="58" t="str">
        <f t="shared" si="122"/>
        <v>-155.508381486831+145.339914396142i</v>
      </c>
      <c r="AW159" s="64">
        <f t="shared" si="145"/>
        <v>46.561609681707978</v>
      </c>
      <c r="AX159" s="49">
        <f t="shared" si="146"/>
        <v>136.93582131438677</v>
      </c>
      <c r="AY159" s="310"/>
      <c r="BA159" s="31">
        <f t="shared" si="147"/>
        <v>0</v>
      </c>
      <c r="BB159" s="31">
        <f t="shared" si="148"/>
        <v>0</v>
      </c>
    </row>
    <row r="160" spans="14:54" x14ac:dyDescent="0.45">
      <c r="N160" s="10">
        <v>42</v>
      </c>
      <c r="O160" s="50">
        <f t="shared" si="111"/>
        <v>263.02679918953817</v>
      </c>
      <c r="P160" s="48" t="str">
        <f t="shared" si="112"/>
        <v>17.4002386318441</v>
      </c>
      <c r="Q160" s="17" t="str">
        <f t="shared" si="113"/>
        <v>1+0.141536443531774i</v>
      </c>
      <c r="R160" s="17">
        <f t="shared" si="123"/>
        <v>1.0099666157094613</v>
      </c>
      <c r="S160" s="17">
        <f t="shared" si="124"/>
        <v>0.14060253063351613</v>
      </c>
      <c r="T160" s="17" t="str">
        <f t="shared" si="114"/>
        <v>1+0.000495793836018654i</v>
      </c>
      <c r="U160" s="17">
        <f t="shared" si="125"/>
        <v>1.0000001229057562</v>
      </c>
      <c r="V160" s="17">
        <f t="shared" si="126"/>
        <v>4.9579379539471322E-4</v>
      </c>
      <c r="W160" s="31" t="str">
        <f t="shared" si="115"/>
        <v>1-0.00122318297865827i</v>
      </c>
      <c r="X160" s="17">
        <f t="shared" si="127"/>
        <v>1.0000007480880198</v>
      </c>
      <c r="Y160" s="17">
        <f t="shared" si="128"/>
        <v>-1.2231823686262345E-3</v>
      </c>
      <c r="Z160" s="31" t="str">
        <f t="shared" si="116"/>
        <v>0.999999937248892+0.0017106946145491i</v>
      </c>
      <c r="AA160" s="17">
        <f t="shared" si="129"/>
        <v>1.0000014004859454</v>
      </c>
      <c r="AB160" s="17">
        <f t="shared" si="130"/>
        <v>1.7106930531307577E-3</v>
      </c>
      <c r="AC160" s="66" t="str">
        <f t="shared" si="131"/>
        <v>17.0525666360311-2.45598277236339i</v>
      </c>
      <c r="AD160" s="64">
        <f t="shared" si="132"/>
        <v>24.724959118479383</v>
      </c>
      <c r="AE160" s="61">
        <f t="shared" si="133"/>
        <v>-8.1956233814582582</v>
      </c>
      <c r="AF160" s="31" t="str">
        <f t="shared" si="117"/>
        <v>-9090.90909090909</v>
      </c>
      <c r="AG160" s="31" t="str">
        <f t="shared" si="118"/>
        <v>1652.64612006218i</v>
      </c>
      <c r="AH160" s="31">
        <f t="shared" si="134"/>
        <v>1652.64612006218</v>
      </c>
      <c r="AI160" s="31">
        <f t="shared" si="135"/>
        <v>1.5707963267948966</v>
      </c>
      <c r="AJ160" s="31" t="str">
        <f t="shared" si="119"/>
        <v>0.99010543050727+0.57222376113317i</v>
      </c>
      <c r="AK160" s="31">
        <f t="shared" si="136"/>
        <v>1.1435684484653192</v>
      </c>
      <c r="AL160" s="31">
        <f t="shared" si="137"/>
        <v>0.52404264806970013</v>
      </c>
      <c r="AM160" s="31" t="str">
        <f t="shared" si="120"/>
        <v>1+2.17785705701794i</v>
      </c>
      <c r="AN160" s="31">
        <f t="shared" si="138"/>
        <v>2.3964685186337924</v>
      </c>
      <c r="AO160" s="31">
        <f t="shared" si="139"/>
        <v>1.1403453587275403</v>
      </c>
      <c r="AP160" s="31" t="str">
        <f t="shared" si="121"/>
        <v>1+0.363582146413679i</v>
      </c>
      <c r="AQ160" s="31">
        <f t="shared" si="140"/>
        <v>1.0640451011074568</v>
      </c>
      <c r="AR160" s="31">
        <f t="shared" si="141"/>
        <v>0.34872311746584178</v>
      </c>
      <c r="AS160" s="58" t="str">
        <f t="shared" si="142"/>
        <v>-10.0832951009387+6.98411187127067i</v>
      </c>
      <c r="AT160" s="49">
        <f t="shared" si="143"/>
        <v>21.773940935659923</v>
      </c>
      <c r="AU160" s="61">
        <f t="shared" si="144"/>
        <v>145.29190707260423</v>
      </c>
      <c r="AV160" s="58" t="str">
        <f t="shared" si="122"/>
        <v>-154.793203183424+143.861432134901i</v>
      </c>
      <c r="AW160" s="64">
        <f t="shared" si="145"/>
        <v>46.498900054139327</v>
      </c>
      <c r="AX160" s="49">
        <f t="shared" si="146"/>
        <v>137.09628369114594</v>
      </c>
      <c r="AY160" s="310"/>
      <c r="BA160" s="31">
        <f t="shared" si="147"/>
        <v>0</v>
      </c>
      <c r="BB160" s="31">
        <f t="shared" si="148"/>
        <v>0</v>
      </c>
    </row>
    <row r="161" spans="14:54" x14ac:dyDescent="0.45">
      <c r="N161" s="10">
        <v>43</v>
      </c>
      <c r="O161" s="50">
        <f t="shared" si="111"/>
        <v>269.15348039269179</v>
      </c>
      <c r="P161" s="48" t="str">
        <f t="shared" si="112"/>
        <v>17.4002386318441</v>
      </c>
      <c r="Q161" s="17" t="str">
        <f t="shared" si="113"/>
        <v>1+0.144833250818405i</v>
      </c>
      <c r="R161" s="17">
        <f t="shared" si="123"/>
        <v>1.0104339021146445</v>
      </c>
      <c r="S161" s="17">
        <f t="shared" si="124"/>
        <v>0.14383310236906144</v>
      </c>
      <c r="T161" s="17" t="str">
        <f t="shared" si="114"/>
        <v>1+0.000507342358013883i</v>
      </c>
      <c r="U161" s="17">
        <f t="shared" si="125"/>
        <v>1.0000001286981259</v>
      </c>
      <c r="V161" s="17">
        <f t="shared" si="126"/>
        <v>5.0734231448454651E-4</v>
      </c>
      <c r="W161" s="31" t="str">
        <f t="shared" si="115"/>
        <v>1-0.00125167457033811i</v>
      </c>
      <c r="X161" s="17">
        <f t="shared" si="127"/>
        <v>1.0000007833443083</v>
      </c>
      <c r="Y161" s="17">
        <f t="shared" si="128"/>
        <v>-1.2516739166770349E-3</v>
      </c>
      <c r="Z161" s="31" t="str">
        <f t="shared" si="116"/>
        <v>0.999999934291523+0.00175054181100053i</v>
      </c>
      <c r="AA161" s="17">
        <f t="shared" si="129"/>
        <v>1.000001466488766</v>
      </c>
      <c r="AB161" s="17">
        <f t="shared" si="130"/>
        <v>1.7505401379107658E-3</v>
      </c>
      <c r="AC161" s="66" t="str">
        <f t="shared" si="131"/>
        <v>17.0365180071882-2.51086558013696i</v>
      </c>
      <c r="AD161" s="64">
        <f t="shared" si="132"/>
        <v>24.720941086271651</v>
      </c>
      <c r="AE161" s="61">
        <f t="shared" si="133"/>
        <v>-8.383975341154688</v>
      </c>
      <c r="AF161" s="31" t="str">
        <f t="shared" si="117"/>
        <v>-9090.90909090909</v>
      </c>
      <c r="AG161" s="31" t="str">
        <f t="shared" si="118"/>
        <v>1691.14119337961i</v>
      </c>
      <c r="AH161" s="31">
        <f t="shared" si="134"/>
        <v>1691.1411933796101</v>
      </c>
      <c r="AI161" s="31">
        <f t="shared" si="135"/>
        <v>1.5707963267948966</v>
      </c>
      <c r="AJ161" s="31" t="str">
        <f t="shared" si="119"/>
        <v>0.989639113813489+0.58555256478411i</v>
      </c>
      <c r="AK161" s="31">
        <f t="shared" si="136"/>
        <v>1.1498945089506241</v>
      </c>
      <c r="AL161" s="31">
        <f t="shared" si="137"/>
        <v>0.53428155823385759</v>
      </c>
      <c r="AM161" s="31" t="str">
        <f t="shared" si="120"/>
        <v>1+2.22858586463565i</v>
      </c>
      <c r="AN161" s="31">
        <f t="shared" si="138"/>
        <v>2.4426614493322294</v>
      </c>
      <c r="AO161" s="31">
        <f t="shared" si="139"/>
        <v>1.1490114864183083</v>
      </c>
      <c r="AP161" s="31" t="str">
        <f t="shared" si="121"/>
        <v>1+0.372051062543514i</v>
      </c>
      <c r="AQ161" s="31">
        <f t="shared" si="140"/>
        <v>1.0669685998846252</v>
      </c>
      <c r="AR161" s="31">
        <f t="shared" si="141"/>
        <v>0.35618279723887492</v>
      </c>
      <c r="AS161" s="58" t="str">
        <f t="shared" si="142"/>
        <v>-10.056561856078+6.87834582062738i</v>
      </c>
      <c r="AT161" s="49">
        <f t="shared" si="143"/>
        <v>21.715687266736857</v>
      </c>
      <c r="AU161" s="61">
        <f t="shared" si="144"/>
        <v>145.62920144230065</v>
      </c>
      <c r="AV161" s="58" t="str">
        <f t="shared" si="122"/>
        <v>-154.058195382183+142.433737451731i</v>
      </c>
      <c r="AW161" s="64">
        <f t="shared" si="145"/>
        <v>46.43662835300853</v>
      </c>
      <c r="AX161" s="49">
        <f t="shared" si="146"/>
        <v>137.24522610114593</v>
      </c>
      <c r="AY161" s="310"/>
      <c r="BA161" s="31">
        <f t="shared" si="147"/>
        <v>0</v>
      </c>
      <c r="BB161" s="31">
        <f t="shared" si="148"/>
        <v>0</v>
      </c>
    </row>
    <row r="162" spans="14:54" x14ac:dyDescent="0.45">
      <c r="N162" s="10">
        <v>44</v>
      </c>
      <c r="O162" s="50">
        <f t="shared" si="111"/>
        <v>275.42287033381683</v>
      </c>
      <c r="P162" s="48" t="str">
        <f t="shared" si="112"/>
        <v>17.4002386318441</v>
      </c>
      <c r="Q162" s="17" t="str">
        <f t="shared" si="113"/>
        <v>1+0.148206850611715i</v>
      </c>
      <c r="R162" s="17">
        <f t="shared" si="123"/>
        <v>1.0109229795430723</v>
      </c>
      <c r="S162" s="17">
        <f t="shared" si="124"/>
        <v>0.14713579663903786</v>
      </c>
      <c r="T162" s="17" t="str">
        <f t="shared" si="114"/>
        <v>1+0.000519159879642801i</v>
      </c>
      <c r="U162" s="17">
        <f t="shared" si="125"/>
        <v>1.0000001347634813</v>
      </c>
      <c r="V162" s="17">
        <f t="shared" si="126"/>
        <v>5.1915983300027699E-4</v>
      </c>
      <c r="W162" s="31" t="str">
        <f t="shared" si="115"/>
        <v>1-0.00128082981644301i</v>
      </c>
      <c r="X162" s="17">
        <f t="shared" si="127"/>
        <v>1.0000008202621729</v>
      </c>
      <c r="Y162" s="17">
        <f t="shared" si="128"/>
        <v>-1.2808291160325799E-3</v>
      </c>
      <c r="Z162" s="31" t="str">
        <f t="shared" si="116"/>
        <v>0.999999931194778+0.0017913171678913i</v>
      </c>
      <c r="AA162" s="17">
        <f t="shared" si="129"/>
        <v>1.0000015356021994</v>
      </c>
      <c r="AB162" s="17">
        <f t="shared" si="130"/>
        <v>1.7913153751434668E-3</v>
      </c>
      <c r="AC162" s="66" t="str">
        <f t="shared" si="131"/>
        <v>17.0197448108353-2.56686524485838i</v>
      </c>
      <c r="AD162" s="64">
        <f t="shared" si="132"/>
        <v>24.716737670164036</v>
      </c>
      <c r="AE162" s="61">
        <f t="shared" si="133"/>
        <v>-8.5765354087871462</v>
      </c>
      <c r="AF162" s="31" t="str">
        <f t="shared" si="117"/>
        <v>-9090.90909090909</v>
      </c>
      <c r="AG162" s="31" t="str">
        <f t="shared" si="118"/>
        <v>1730.53293214267i</v>
      </c>
      <c r="AH162" s="31">
        <f t="shared" si="134"/>
        <v>1730.53293214267</v>
      </c>
      <c r="AI162" s="31">
        <f t="shared" si="135"/>
        <v>1.5707963267948966</v>
      </c>
      <c r="AJ162" s="31" t="str">
        <f t="shared" si="119"/>
        <v>0.989150820290998+0.599191836155602i</v>
      </c>
      <c r="AK162" s="31">
        <f t="shared" si="136"/>
        <v>1.156481820781406</v>
      </c>
      <c r="AL162" s="31">
        <f t="shared" si="137"/>
        <v>0.54464687038928472</v>
      </c>
      <c r="AM162" s="31" t="str">
        <f t="shared" si="120"/>
        <v>1+2.28049629797761i</v>
      </c>
      <c r="AN162" s="31">
        <f t="shared" si="138"/>
        <v>2.4901131229503579</v>
      </c>
      <c r="AO162" s="31">
        <f t="shared" si="139"/>
        <v>1.1575459763647857</v>
      </c>
      <c r="AP162" s="31" t="str">
        <f t="shared" si="121"/>
        <v>1+0.380717245071387i</v>
      </c>
      <c r="AQ162" s="31">
        <f t="shared" si="140"/>
        <v>1.0700213178692968</v>
      </c>
      <c r="AR162" s="31">
        <f t="shared" si="141"/>
        <v>0.36377360396693731</v>
      </c>
      <c r="AS162" s="58" t="str">
        <f t="shared" si="142"/>
        <v>-10.0291868646021+6.77516171127021i</v>
      </c>
      <c r="AT162" s="49">
        <f t="shared" si="143"/>
        <v>21.658002867409994</v>
      </c>
      <c r="AU162" s="61">
        <f t="shared" si="144"/>
        <v>145.95922424530667</v>
      </c>
      <c r="AV162" s="58" t="str">
        <f t="shared" si="122"/>
        <v>-153.303273970754+141.055094574898i</v>
      </c>
      <c r="AW162" s="64">
        <f t="shared" si="145"/>
        <v>46.374740537574006</v>
      </c>
      <c r="AX162" s="49">
        <f t="shared" si="146"/>
        <v>137.38268883651958</v>
      </c>
      <c r="AY162" s="310"/>
      <c r="BA162" s="31">
        <f t="shared" si="147"/>
        <v>0</v>
      </c>
      <c r="BB162" s="31">
        <f t="shared" si="148"/>
        <v>0</v>
      </c>
    </row>
    <row r="163" spans="14:54" x14ac:dyDescent="0.45">
      <c r="N163" s="10">
        <v>45</v>
      </c>
      <c r="O163" s="50">
        <f t="shared" si="111"/>
        <v>281.83829312644554</v>
      </c>
      <c r="P163" s="48" t="str">
        <f t="shared" si="112"/>
        <v>17.4002386318441</v>
      </c>
      <c r="Q163" s="17" t="str">
        <f t="shared" si="113"/>
        <v>1+0.151659031638968i</v>
      </c>
      <c r="R163" s="17">
        <f t="shared" si="123"/>
        <v>1.0114348530071868</v>
      </c>
      <c r="S163" s="17">
        <f t="shared" si="124"/>
        <v>0.15051207622507284</v>
      </c>
      <c r="T163" s="17" t="str">
        <f t="shared" si="114"/>
        <v>1+0.000531252666711798i</v>
      </c>
      <c r="U163" s="17">
        <f t="shared" si="125"/>
        <v>1.0000001411146879</v>
      </c>
      <c r="V163" s="17">
        <f t="shared" si="126"/>
        <v>5.3125261673343338E-4</v>
      </c>
      <c r="W163" s="31" t="str">
        <f t="shared" si="115"/>
        <v>1-0.00131066417547038i</v>
      </c>
      <c r="X163" s="17">
        <f t="shared" si="127"/>
        <v>1.0000008589199216</v>
      </c>
      <c r="Y163" s="17">
        <f t="shared" si="128"/>
        <v>-1.3106634249671174E-3</v>
      </c>
      <c r="Z163" s="31" t="str">
        <f t="shared" si="116"/>
        <v>0.999999927952088+0.00183304230485538i</v>
      </c>
      <c r="AA163" s="17">
        <f t="shared" si="129"/>
        <v>1.0000016079728433</v>
      </c>
      <c r="AB163" s="17">
        <f t="shared" si="130"/>
        <v>1.8330403838916337E-3</v>
      </c>
      <c r="AC163" s="66" t="str">
        <f t="shared" si="131"/>
        <v>17.0022158642397-2.6239967885023i</v>
      </c>
      <c r="AD163" s="64">
        <f t="shared" si="132"/>
        <v>24.712340508832803</v>
      </c>
      <c r="AE163" s="61">
        <f t="shared" si="133"/>
        <v>-8.7733891609407095</v>
      </c>
      <c r="AF163" s="31" t="str">
        <f t="shared" si="117"/>
        <v>-9090.90909090909</v>
      </c>
      <c r="AG163" s="31" t="str">
        <f t="shared" si="118"/>
        <v>1770.84222237266i</v>
      </c>
      <c r="AH163" s="31">
        <f t="shared" si="134"/>
        <v>1770.84222237266</v>
      </c>
      <c r="AI163" s="31">
        <f t="shared" si="135"/>
        <v>1.5707963267948966</v>
      </c>
      <c r="AJ163" s="31" t="str">
        <f t="shared" si="119"/>
        <v>0.98863951420377+0.613148806969865i</v>
      </c>
      <c r="AK163" s="31">
        <f t="shared" si="136"/>
        <v>1.1633398250440992</v>
      </c>
      <c r="AL163" s="31">
        <f t="shared" si="137"/>
        <v>0.55513622216463798</v>
      </c>
      <c r="AM163" s="31" t="str">
        <f t="shared" si="120"/>
        <v>1+2.33361588064269i</v>
      </c>
      <c r="AN163" s="31">
        <f t="shared" si="138"/>
        <v>2.5388507396827715</v>
      </c>
      <c r="AO163" s="31">
        <f t="shared" si="139"/>
        <v>1.1659483795729819</v>
      </c>
      <c r="AP163" s="31" t="str">
        <f t="shared" si="121"/>
        <v>1+0.389585288921985i</v>
      </c>
      <c r="AQ163" s="31">
        <f t="shared" si="140"/>
        <v>1.0732085991755873</v>
      </c>
      <c r="AR163" s="31">
        <f t="shared" si="141"/>
        <v>0.37149606231538185</v>
      </c>
      <c r="AS163" s="58" t="str">
        <f t="shared" si="142"/>
        <v>-10.0011767083759+6.67446706418584i</v>
      </c>
      <c r="AT163" s="49">
        <f t="shared" si="143"/>
        <v>21.600843276789092</v>
      </c>
      <c r="AU163" s="61">
        <f t="shared" si="144"/>
        <v>146.28211517117902</v>
      </c>
      <c r="AV163" s="58" t="str">
        <f t="shared" si="122"/>
        <v>-152.528385150825+139.723785368068i</v>
      </c>
      <c r="AW163" s="64">
        <f t="shared" si="145"/>
        <v>46.313183785621881</v>
      </c>
      <c r="AX163" s="49">
        <f t="shared" si="146"/>
        <v>137.50872601023829</v>
      </c>
      <c r="AY163" s="310"/>
      <c r="BA163" s="31">
        <f t="shared" si="147"/>
        <v>0</v>
      </c>
      <c r="BB163" s="31">
        <f t="shared" si="148"/>
        <v>0</v>
      </c>
    </row>
    <row r="164" spans="14:54" x14ac:dyDescent="0.45">
      <c r="N164" s="10">
        <v>46</v>
      </c>
      <c r="O164" s="50">
        <f t="shared" si="111"/>
        <v>288.40315031266073</v>
      </c>
      <c r="P164" s="48" t="str">
        <f t="shared" si="112"/>
        <v>17.4002386318441</v>
      </c>
      <c r="Q164" s="17" t="str">
        <f t="shared" si="113"/>
        <v>1+0.155191624292241i</v>
      </c>
      <c r="R164" s="17">
        <f t="shared" si="123"/>
        <v>1.0119705728184314</v>
      </c>
      <c r="S164" s="17">
        <f t="shared" si="124"/>
        <v>0.15396342321915704</v>
      </c>
      <c r="T164" s="17" t="str">
        <f t="shared" si="114"/>
        <v>1+0.000543627130976646i</v>
      </c>
      <c r="U164" s="17">
        <f t="shared" si="125"/>
        <v>1.0000001477652178</v>
      </c>
      <c r="V164" s="17">
        <f t="shared" si="126"/>
        <v>5.4362707742386385E-4</v>
      </c>
      <c r="W164" s="31" t="str">
        <f t="shared" si="115"/>
        <v>1-0.00134119346599227i</v>
      </c>
      <c r="X164" s="17">
        <f t="shared" si="127"/>
        <v>1.0000008993995522</v>
      </c>
      <c r="Y164" s="17">
        <f t="shared" si="128"/>
        <v>-1.3411926618135746E-3</v>
      </c>
      <c r="Z164" s="31" t="str">
        <f t="shared" si="116"/>
        <v>0.999999924556574+0.00187573934511267i</v>
      </c>
      <c r="AA164" s="17">
        <f t="shared" si="129"/>
        <v>1.0000016837542047</v>
      </c>
      <c r="AB164" s="17">
        <f t="shared" si="130"/>
        <v>1.8757372867631188E-3</v>
      </c>
      <c r="AC164" s="66" t="str">
        <f t="shared" si="131"/>
        <v>16.9838987866191-2.68227486238721i</v>
      </c>
      <c r="AD164" s="64">
        <f t="shared" si="132"/>
        <v>24.707740881907352</v>
      </c>
      <c r="AE164" s="61">
        <f t="shared" si="133"/>
        <v>-8.974623321721479</v>
      </c>
      <c r="AF164" s="31" t="str">
        <f t="shared" si="117"/>
        <v>-9090.90909090909</v>
      </c>
      <c r="AG164" s="31" t="str">
        <f t="shared" si="118"/>
        <v>1812.09043658882i</v>
      </c>
      <c r="AH164" s="31">
        <f t="shared" si="134"/>
        <v>1812.09043658882</v>
      </c>
      <c r="AI164" s="31">
        <f t="shared" si="135"/>
        <v>1.5707963267948966</v>
      </c>
      <c r="AJ164" s="31" t="str">
        <f t="shared" si="119"/>
        <v>0.988104111003041+0.627430877397568i</v>
      </c>
      <c r="AK164" s="31">
        <f t="shared" si="136"/>
        <v>1.1704782100034976</v>
      </c>
      <c r="AL164" s="31">
        <f t="shared" si="137"/>
        <v>0.56574704320060554</v>
      </c>
      <c r="AM164" s="31" t="str">
        <f t="shared" si="120"/>
        <v>1+2.38797277733675i</v>
      </c>
      <c r="AN164" s="31">
        <f t="shared" si="138"/>
        <v>2.5889020810570242</v>
      </c>
      <c r="AO164" s="31">
        <f t="shared" si="139"/>
        <v>1.1742184043551644</v>
      </c>
      <c r="AP164" s="31" t="str">
        <f t="shared" si="121"/>
        <v>1+0.39865989604954i</v>
      </c>
      <c r="AQ164" s="31">
        <f t="shared" si="140"/>
        <v>1.0765359783668311</v>
      </c>
      <c r="AR164" s="31">
        <f t="shared" si="141"/>
        <v>0.37935058150181883</v>
      </c>
      <c r="AS164" s="58" t="str">
        <f t="shared" si="142"/>
        <v>-9.97253964160891+6.57617074903844i</v>
      </c>
      <c r="AT164" s="49">
        <f t="shared" si="143"/>
        <v>21.544165733796149</v>
      </c>
      <c r="AU164" s="61">
        <f t="shared" si="144"/>
        <v>146.59802822462436</v>
      </c>
      <c r="AV164" s="58" t="str">
        <f t="shared" si="122"/>
        <v>-151.733506427721+138.438110800041i</v>
      </c>
      <c r="AW164" s="64">
        <f t="shared" si="145"/>
        <v>46.251906615703497</v>
      </c>
      <c r="AX164" s="49">
        <f t="shared" si="146"/>
        <v>137.62340490290308</v>
      </c>
      <c r="AY164" s="310"/>
      <c r="BA164" s="31">
        <f t="shared" si="147"/>
        <v>0</v>
      </c>
      <c r="BB164" s="31">
        <f t="shared" si="148"/>
        <v>0</v>
      </c>
    </row>
    <row r="165" spans="14:54" x14ac:dyDescent="0.45">
      <c r="N165" s="10">
        <v>47</v>
      </c>
      <c r="O165" s="50">
        <f t="shared" si="111"/>
        <v>295.12092266663871</v>
      </c>
      <c r="P165" s="48" t="str">
        <f t="shared" si="112"/>
        <v>17.4002386318441</v>
      </c>
      <c r="Q165" s="17" t="str">
        <f t="shared" si="113"/>
        <v>1+0.158806501598918i</v>
      </c>
      <c r="R165" s="17">
        <f t="shared" si="123"/>
        <v>1.0125312365305512</v>
      </c>
      <c r="S165" s="17">
        <f t="shared" si="124"/>
        <v>0.15749133850787325</v>
      </c>
      <c r="T165" s="17" t="str">
        <f t="shared" si="114"/>
        <v>1+0.000556289833542093i</v>
      </c>
      <c r="U165" s="17">
        <f t="shared" si="125"/>
        <v>1.0000001547291775</v>
      </c>
      <c r="V165" s="17">
        <f t="shared" si="126"/>
        <v>5.5628977615925358E-4</v>
      </c>
      <c r="W165" s="31" t="str">
        <f t="shared" si="115"/>
        <v>1-0.00137243387504262i</v>
      </c>
      <c r="X165" s="17">
        <f t="shared" si="127"/>
        <v>1.0000009417869271</v>
      </c>
      <c r="Y165" s="17">
        <f t="shared" si="128"/>
        <v>-1.3724330133496666E-3</v>
      </c>
      <c r="Z165" s="31" t="str">
        <f t="shared" si="116"/>
        <v>0.999999921001035+0.00191943092719909i</v>
      </c>
      <c r="AA165" s="17">
        <f t="shared" si="129"/>
        <v>1.0000017631070259</v>
      </c>
      <c r="AB165" s="17">
        <f t="shared" si="130"/>
        <v>1.919428721638019E-3</v>
      </c>
      <c r="AC165" s="66" t="str">
        <f t="shared" si="131"/>
        <v>16.9647599668162-2.74171369457687i</v>
      </c>
      <c r="AD165" s="64">
        <f t="shared" si="132"/>
        <v>24.702929696250937</v>
      </c>
      <c r="AE165" s="61">
        <f t="shared" si="133"/>
        <v>-9.1803257341625404</v>
      </c>
      <c r="AF165" s="31" t="str">
        <f t="shared" si="117"/>
        <v>-9090.90909090909</v>
      </c>
      <c r="AG165" s="31" t="str">
        <f t="shared" si="118"/>
        <v>1854.29944514031i</v>
      </c>
      <c r="AH165" s="31">
        <f t="shared" si="134"/>
        <v>1854.2994451403099</v>
      </c>
      <c r="AI165" s="31">
        <f t="shared" si="135"/>
        <v>1.5707963267948966</v>
      </c>
      <c r="AJ165" s="31" t="str">
        <f t="shared" si="119"/>
        <v>0.987543475026839+0.642045619981496i</v>
      </c>
      <c r="AK165" s="31">
        <f t="shared" si="136"/>
        <v>1.1779069119440249</v>
      </c>
      <c r="AL165" s="31">
        <f t="shared" si="137"/>
        <v>0.5764765544488285</v>
      </c>
      <c r="AM165" s="31" t="str">
        <f t="shared" si="120"/>
        <v>1+2.4435958088059i</v>
      </c>
      <c r="AN165" s="31">
        <f t="shared" si="138"/>
        <v>2.6402955283099963</v>
      </c>
      <c r="AO165" s="31">
        <f t="shared" si="139"/>
        <v>1.1823559096216372</v>
      </c>
      <c r="AP165" s="31" t="str">
        <f t="shared" si="121"/>
        <v>1+0.407945877930868i</v>
      </c>
      <c r="AQ165" s="31">
        <f t="shared" si="140"/>
        <v>1.0800091848316786</v>
      </c>
      <c r="AR165" s="31">
        <f t="shared" si="141"/>
        <v>0.38733744848522977</v>
      </c>
      <c r="AS165" s="58" t="str">
        <f t="shared" si="142"/>
        <v>-9.94328563496623+6.48018306079389i</v>
      </c>
      <c r="AT165" s="49">
        <f t="shared" si="143"/>
        <v>21.487929307062444</v>
      </c>
      <c r="AU165" s="61">
        <f t="shared" si="144"/>
        <v>146.90713099107938</v>
      </c>
      <c r="AV165" s="58" t="str">
        <f t="shared" si="122"/>
        <v>-150.91864743755+137.196392561873i</v>
      </c>
      <c r="AW165" s="64">
        <f t="shared" si="145"/>
        <v>46.190859003313378</v>
      </c>
      <c r="AX165" s="49">
        <f t="shared" si="146"/>
        <v>137.72680525691686</v>
      </c>
      <c r="AY165" s="310"/>
      <c r="BA165" s="31">
        <f t="shared" si="147"/>
        <v>0</v>
      </c>
      <c r="BB165" s="31">
        <f t="shared" si="148"/>
        <v>0</v>
      </c>
    </row>
    <row r="166" spans="14:54" x14ac:dyDescent="0.45">
      <c r="N166" s="10">
        <v>48</v>
      </c>
      <c r="O166" s="50">
        <f t="shared" si="111"/>
        <v>301.99517204020168</v>
      </c>
      <c r="P166" s="48" t="str">
        <f t="shared" si="112"/>
        <v>17.4002386318441</v>
      </c>
      <c r="Q166" s="17" t="str">
        <f t="shared" si="113"/>
        <v>1+0.162505580214795i</v>
      </c>
      <c r="R166" s="17">
        <f t="shared" si="123"/>
        <v>1.0131179909570984</v>
      </c>
      <c r="S166" s="17">
        <f t="shared" si="124"/>
        <v>0.16109734118594957</v>
      </c>
      <c r="T166" s="17" t="str">
        <f t="shared" si="114"/>
        <v>1+0.000569247488340651i</v>
      </c>
      <c r="U166" s="17">
        <f t="shared" si="125"/>
        <v>1.0000001620213383</v>
      </c>
      <c r="V166" s="17">
        <f t="shared" si="126"/>
        <v>5.692474268538313E-4</v>
      </c>
      <c r="W166" s="31" t="str">
        <f t="shared" si="115"/>
        <v>1-0.00140440196669984i</v>
      </c>
      <c r="X166" s="17">
        <f t="shared" si="127"/>
        <v>1.0000009861719559</v>
      </c>
      <c r="Y166" s="17">
        <f t="shared" si="128"/>
        <v>-1.4044010433792546E-3</v>
      </c>
      <c r="Z166" s="31" t="str">
        <f t="shared" si="116"/>
        <v>0.999999917277928+0.00196414021696977i</v>
      </c>
      <c r="AA166" s="17">
        <f t="shared" si="129"/>
        <v>1.0000018461996232</v>
      </c>
      <c r="AB166" s="17">
        <f t="shared" si="130"/>
        <v>1.9641378536687398E-3</v>
      </c>
      <c r="AC166" s="66" t="str">
        <f t="shared" si="131"/>
        <v>16.9447645314918-2.80232703376266i</v>
      </c>
      <c r="AD166" s="64">
        <f t="shared" si="132"/>
        <v>24.697897471879337</v>
      </c>
      <c r="AE166" s="61">
        <f t="shared" si="133"/>
        <v>-9.3905853276030218</v>
      </c>
      <c r="AF166" s="31" t="str">
        <f t="shared" si="117"/>
        <v>-9090.90909090909</v>
      </c>
      <c r="AG166" s="31" t="str">
        <f t="shared" si="118"/>
        <v>1897.49162780217i</v>
      </c>
      <c r="AH166" s="31">
        <f t="shared" si="134"/>
        <v>1897.4916278021699</v>
      </c>
      <c r="AI166" s="31">
        <f t="shared" si="135"/>
        <v>1.5707963267948966</v>
      </c>
      <c r="AJ166" s="31" t="str">
        <f t="shared" si="119"/>
        <v>0.986956417091094+0.657000783651617i</v>
      </c>
      <c r="AK166" s="31">
        <f t="shared" si="136"/>
        <v>1.1856361157438349</v>
      </c>
      <c r="AL166" s="31">
        <f t="shared" si="137"/>
        <v>0.58732176828934535</v>
      </c>
      <c r="AM166" s="31" t="str">
        <f t="shared" si="120"/>
        <v>1+2.5005144671177i</v>
      </c>
      <c r="AN166" s="31">
        <f t="shared" si="138"/>
        <v>2.6930600810722578</v>
      </c>
      <c r="AO166" s="31">
        <f t="shared" si="139"/>
        <v>1.1903608980777449</v>
      </c>
      <c r="AP166" s="31" t="str">
        <f t="shared" si="121"/>
        <v>1+0.417448158116477i</v>
      </c>
      <c r="AQ166" s="31">
        <f t="shared" si="140"/>
        <v>1.0836341470786344</v>
      </c>
      <c r="AR166" s="31">
        <f t="shared" si="141"/>
        <v>0.3954568211065761</v>
      </c>
      <c r="AS166" s="58" t="str">
        <f t="shared" si="142"/>
        <v>-9.91342641180002+6.38641580333109i</v>
      </c>
      <c r="AT166" s="49">
        <f t="shared" si="143"/>
        <v>21.432095018578622</v>
      </c>
      <c r="AU166" s="61">
        <f t="shared" si="144"/>
        <v>147.20960384718401</v>
      </c>
      <c r="AV166" s="58" t="str">
        <f t="shared" si="122"/>
        <v>-150.083850593699+135.996974818647i</v>
      </c>
      <c r="AW166" s="64">
        <f t="shared" si="145"/>
        <v>46.129992490457937</v>
      </c>
      <c r="AX166" s="49">
        <f t="shared" si="146"/>
        <v>137.81901851958102</v>
      </c>
      <c r="AY166" s="310"/>
      <c r="BA166" s="31">
        <f t="shared" si="147"/>
        <v>0</v>
      </c>
      <c r="BB166" s="31">
        <f t="shared" si="148"/>
        <v>0</v>
      </c>
    </row>
    <row r="167" spans="14:54" x14ac:dyDescent="0.45">
      <c r="N167" s="10">
        <v>49</v>
      </c>
      <c r="O167" s="50">
        <f t="shared" si="111"/>
        <v>309.02954325135937</v>
      </c>
      <c r="P167" s="48" t="str">
        <f t="shared" si="112"/>
        <v>17.4002386318441</v>
      </c>
      <c r="Q167" s="17" t="str">
        <f t="shared" si="113"/>
        <v>1+0.166290821440318i</v>
      </c>
      <c r="R167" s="17">
        <f t="shared" si="123"/>
        <v>1.0137320342651186</v>
      </c>
      <c r="S167" s="17">
        <f t="shared" si="124"/>
        <v>0.16478296789445349</v>
      </c>
      <c r="T167" s="17" t="str">
        <f t="shared" si="114"/>
        <v>1+0.000582506965692409i</v>
      </c>
      <c r="U167" s="17">
        <f t="shared" si="125"/>
        <v>1.0000001696571681</v>
      </c>
      <c r="V167" s="17">
        <f t="shared" si="126"/>
        <v>5.8250689980809533E-4</v>
      </c>
      <c r="W167" s="31" t="str">
        <f t="shared" si="115"/>
        <v>1-0.00143711469086925i</v>
      </c>
      <c r="X167" s="17">
        <f t="shared" si="127"/>
        <v>1.0000010326487843</v>
      </c>
      <c r="Y167" s="17">
        <f t="shared" si="128"/>
        <v>-1.437113701513473E-3</v>
      </c>
      <c r="Z167" s="31" t="str">
        <f t="shared" si="116"/>
        <v>0.999999913379357+0.00200989091988197i</v>
      </c>
      <c r="AA167" s="17">
        <f t="shared" si="129"/>
        <v>1.000001933208247</v>
      </c>
      <c r="AB167" s="17">
        <f t="shared" si="130"/>
        <v>2.0098883875595561E-3</v>
      </c>
      <c r="AC167" s="66" t="str">
        <f t="shared" si="131"/>
        <v>16.9238763140164-2.86412808947204i</v>
      </c>
      <c r="AD167" s="64">
        <f t="shared" si="132"/>
        <v>24.692634327523415</v>
      </c>
      <c r="AE167" s="61">
        <f t="shared" si="133"/>
        <v>-9.6054920807723203</v>
      </c>
      <c r="AF167" s="31" t="str">
        <f t="shared" si="117"/>
        <v>-9090.90909090909</v>
      </c>
      <c r="AG167" s="31" t="str">
        <f t="shared" si="118"/>
        <v>1941.68988564136i</v>
      </c>
      <c r="AH167" s="31">
        <f t="shared" si="134"/>
        <v>1941.68988564136</v>
      </c>
      <c r="AI167" s="31">
        <f t="shared" si="135"/>
        <v>1.5707963267948966</v>
      </c>
      <c r="AJ167" s="31" t="str">
        <f t="shared" si="119"/>
        <v>0.986341691967216+0.672304297833664i</v>
      </c>
      <c r="AK167" s="31">
        <f t="shared" si="136"/>
        <v>1.1936762551874636</v>
      </c>
      <c r="AL167" s="31">
        <f t="shared" si="137"/>
        <v>0.59827948950953047</v>
      </c>
      <c r="AM167" s="31" t="str">
        <f t="shared" si="120"/>
        <v>1+2.55875893129818i</v>
      </c>
      <c r="AN167" s="31">
        <f t="shared" si="138"/>
        <v>2.7472253763566985</v>
      </c>
      <c r="AO167" s="31">
        <f t="shared" si="139"/>
        <v>1.198233509365275</v>
      </c>
      <c r="AP167" s="31" t="str">
        <f t="shared" si="121"/>
        <v>1+0.427171774841099i</v>
      </c>
      <c r="AQ167" s="31">
        <f t="shared" si="140"/>
        <v>1.0874169969339704</v>
      </c>
      <c r="AR167" s="31">
        <f t="shared" si="141"/>
        <v>0.40370872121095891</v>
      </c>
      <c r="AS167" s="58" t="str">
        <f t="shared" si="142"/>
        <v>-9.88297547570494+6.29478237943637i</v>
      </c>
      <c r="AT167" s="49">
        <f t="shared" si="143"/>
        <v>21.37662596052694</v>
      </c>
      <c r="AU167" s="61">
        <f t="shared" si="144"/>
        <v>147.50563911765374</v>
      </c>
      <c r="AV167" s="58" t="str">
        <f t="shared" si="122"/>
        <v>-149.22919153523+134.838226080761i</v>
      </c>
      <c r="AW167" s="64">
        <f t="shared" si="145"/>
        <v>46.069260288050344</v>
      </c>
      <c r="AX167" s="49">
        <f t="shared" si="146"/>
        <v>137.90014703688129</v>
      </c>
      <c r="AY167" s="310"/>
      <c r="BA167" s="31">
        <f t="shared" si="147"/>
        <v>0</v>
      </c>
      <c r="BB167" s="31">
        <f t="shared" si="148"/>
        <v>0</v>
      </c>
    </row>
    <row r="168" spans="14:54" x14ac:dyDescent="0.45">
      <c r="N168" s="10">
        <v>50</v>
      </c>
      <c r="O168" s="50">
        <f t="shared" si="111"/>
        <v>316.22776601683825</v>
      </c>
      <c r="P168" s="48" t="str">
        <f t="shared" si="112"/>
        <v>17.4002386318441</v>
      </c>
      <c r="Q168" s="17" t="str">
        <f t="shared" si="113"/>
        <v>1+0.170164232260487i</v>
      </c>
      <c r="R168" s="17">
        <f t="shared" si="123"/>
        <v>1.0143746181469648</v>
      </c>
      <c r="S168" s="17">
        <f t="shared" si="124"/>
        <v>0.16854977207874355</v>
      </c>
      <c r="T168" s="17" t="str">
        <f t="shared" si="114"/>
        <v>1+0.000596075295947767i</v>
      </c>
      <c r="U168" s="17">
        <f t="shared" si="125"/>
        <v>1.0000001776528633</v>
      </c>
      <c r="V168" s="17">
        <f t="shared" si="126"/>
        <v>5.960752253514537E-4</v>
      </c>
      <c r="W168" s="31" t="str">
        <f t="shared" si="115"/>
        <v>1-0.00147058939227023i</v>
      </c>
      <c r="X168" s="17">
        <f t="shared" si="127"/>
        <v>1.0000010813159956</v>
      </c>
      <c r="Y168" s="17">
        <f t="shared" si="128"/>
        <v>-1.4705883321564771E-3</v>
      </c>
      <c r="Z168" s="31" t="str">
        <f t="shared" si="116"/>
        <v>0.999999909297052+0.00205670729356393i</v>
      </c>
      <c r="AA168" s="17">
        <f t="shared" si="129"/>
        <v>1.0000020243174528</v>
      </c>
      <c r="AB168" s="17">
        <f t="shared" si="130"/>
        <v>2.056704580131873E-3</v>
      </c>
      <c r="AC168" s="66" t="str">
        <f t="shared" si="131"/>
        <v>16.9020578242631-2.9271294684492i</v>
      </c>
      <c r="AD168" s="64">
        <f t="shared" si="132"/>
        <v>24.6871299658456</v>
      </c>
      <c r="AE168" s="61">
        <f t="shared" si="133"/>
        <v>-9.8251369802995132</v>
      </c>
      <c r="AF168" s="31" t="str">
        <f t="shared" si="117"/>
        <v>-9090.90909090909</v>
      </c>
      <c r="AG168" s="31" t="str">
        <f t="shared" si="118"/>
        <v>1986.91765315922i</v>
      </c>
      <c r="AH168" s="31">
        <f t="shared" si="134"/>
        <v>1986.91765315922</v>
      </c>
      <c r="AI168" s="31">
        <f t="shared" si="135"/>
        <v>1.5707963267948966</v>
      </c>
      <c r="AJ168" s="31" t="str">
        <f t="shared" si="119"/>
        <v>0.985697995740799+0.687964276653421i</v>
      </c>
      <c r="AK168" s="31">
        <f t="shared" si="136"/>
        <v>1.2020380130256667</v>
      </c>
      <c r="AL168" s="31">
        <f t="shared" si="137"/>
        <v>0.60934631718287191</v>
      </c>
      <c r="AM168" s="31" t="str">
        <f t="shared" si="120"/>
        <v>1+2.61836008333322i</v>
      </c>
      <c r="AN168" s="31">
        <f t="shared" si="138"/>
        <v>2.8028217078495636</v>
      </c>
      <c r="AO168" s="31">
        <f t="shared" si="139"/>
        <v>1.2059740131845991</v>
      </c>
      <c r="AP168" s="31" t="str">
        <f t="shared" si="121"/>
        <v>1+0.437121883695028i</v>
      </c>
      <c r="AQ168" s="31">
        <f t="shared" si="140"/>
        <v>1.0913640736276276</v>
      </c>
      <c r="AR168" s="31">
        <f t="shared" si="141"/>
        <v>0.41209302778431239</v>
      </c>
      <c r="AS168" s="58" t="str">
        <f t="shared" si="142"/>
        <v>-9.85194812863959+6.20519788647136i</v>
      </c>
      <c r="AT168" s="49">
        <f t="shared" si="143"/>
        <v>21.321487404706055</v>
      </c>
      <c r="AU168" s="61">
        <f t="shared" si="144"/>
        <v>147.79544018032169</v>
      </c>
      <c r="AV168" s="58" t="str">
        <f t="shared" si="122"/>
        <v>-148.354779360858+133.718541177108i</v>
      </c>
      <c r="AW168" s="64">
        <f t="shared" si="145"/>
        <v>46.008617370551654</v>
      </c>
      <c r="AX168" s="49">
        <f t="shared" si="146"/>
        <v>137.97030320002222</v>
      </c>
      <c r="AY168" s="310"/>
      <c r="BA168" s="31">
        <f t="shared" si="147"/>
        <v>0</v>
      </c>
      <c r="BB168" s="31">
        <f t="shared" si="148"/>
        <v>0</v>
      </c>
    </row>
    <row r="169" spans="14:54" x14ac:dyDescent="0.45">
      <c r="N169" s="10">
        <v>51</v>
      </c>
      <c r="O169" s="50">
        <f t="shared" si="111"/>
        <v>323.59365692962825</v>
      </c>
      <c r="P169" s="48" t="str">
        <f t="shared" si="112"/>
        <v>17.4002386318441</v>
      </c>
      <c r="Q169" s="17" t="str">
        <f t="shared" si="113"/>
        <v>1+0.174127866408991i</v>
      </c>
      <c r="R169" s="17">
        <f t="shared" si="123"/>
        <v>1.0150470500721369</v>
      </c>
      <c r="S169" s="17">
        <f t="shared" si="124"/>
        <v>0.17239932316111364</v>
      </c>
      <c r="T169" s="17" t="str">
        <f t="shared" si="114"/>
        <v>1+0.000609959673215026i</v>
      </c>
      <c r="U169" s="17">
        <f t="shared" si="125"/>
        <v>1.0000001860253842</v>
      </c>
      <c r="V169" s="17">
        <f t="shared" si="126"/>
        <v>6.0995959756971418E-4</v>
      </c>
      <c r="W169" s="31" t="str">
        <f t="shared" si="115"/>
        <v>1-0.00150484381963253i</v>
      </c>
      <c r="X169" s="17">
        <f t="shared" si="127"/>
        <v>1.0000011322768199</v>
      </c>
      <c r="Y169" s="17">
        <f t="shared" si="128"/>
        <v>-1.5048426837002476E-3</v>
      </c>
      <c r="Z169" s="31" t="str">
        <f t="shared" si="116"/>
        <v>0.999999905022354+0.00210461416067669i</v>
      </c>
      <c r="AA169" s="17">
        <f t="shared" si="129"/>
        <v>1.0000021197204947</v>
      </c>
      <c r="AB169" s="17">
        <f t="shared" si="130"/>
        <v>2.1046112531821893E-3</v>
      </c>
      <c r="AC169" s="66" t="str">
        <f t="shared" si="131"/>
        <v>16.8792702195201-2.99134310705592i</v>
      </c>
      <c r="AD169" s="64">
        <f t="shared" si="132"/>
        <v>24.681373658320709</v>
      </c>
      <c r="AE169" s="61">
        <f t="shared" si="133"/>
        <v>-10.049611974359806</v>
      </c>
      <c r="AF169" s="31" t="str">
        <f t="shared" si="117"/>
        <v>-9090.90909090909</v>
      </c>
      <c r="AG169" s="31" t="str">
        <f t="shared" si="118"/>
        <v>2033.19891071675i</v>
      </c>
      <c r="AH169" s="31">
        <f t="shared" si="134"/>
        <v>2033.1989107167501</v>
      </c>
      <c r="AI169" s="31">
        <f t="shared" si="135"/>
        <v>1.5707963267948966</v>
      </c>
      <c r="AJ169" s="31" t="str">
        <f t="shared" si="119"/>
        <v>0.985023963045845+0.703989023238943i</v>
      </c>
      <c r="AK169" s="31">
        <f t="shared" si="136"/>
        <v>1.2107323207940983</v>
      </c>
      <c r="AL169" s="31">
        <f t="shared" si="137"/>
        <v>0.62051864748054386</v>
      </c>
      <c r="AM169" s="31" t="str">
        <f t="shared" si="120"/>
        <v>1+2.67934952454253i</v>
      </c>
      <c r="AN169" s="31">
        <f t="shared" si="138"/>
        <v>2.8598800455030071</v>
      </c>
      <c r="AO169" s="31">
        <f t="shared" si="139"/>
        <v>1.2135828024309112</v>
      </c>
      <c r="AP169" s="31" t="str">
        <f t="shared" si="121"/>
        <v>1+0.447303760357685i</v>
      </c>
      <c r="AQ169" s="31">
        <f t="shared" si="140"/>
        <v>1.095481927751492</v>
      </c>
      <c r="AR169" s="31">
        <f t="shared" si="141"/>
        <v>0.42060947014054706</v>
      </c>
      <c r="AS169" s="58" t="str">
        <f t="shared" si="142"/>
        <v>-9.82036147891617+6.11757921690412i</v>
      </c>
      <c r="AT169" s="49">
        <f t="shared" si="143"/>
        <v>21.266646903948594</v>
      </c>
      <c r="AU169" s="61">
        <f t="shared" si="144"/>
        <v>148.07922052143593</v>
      </c>
      <c r="AV169" s="58" t="str">
        <f t="shared" si="122"/>
        <v>-147.460756633637+132.636343310198i</v>
      </c>
      <c r="AW169" s="64">
        <f t="shared" si="145"/>
        <v>45.948020562269285</v>
      </c>
      <c r="AX169" s="49">
        <f t="shared" si="146"/>
        <v>138.02960854707609</v>
      </c>
      <c r="AY169" s="310"/>
      <c r="BA169" s="31">
        <f t="shared" si="147"/>
        <v>0</v>
      </c>
      <c r="BB169" s="31">
        <f t="shared" si="148"/>
        <v>0</v>
      </c>
    </row>
    <row r="170" spans="14:54" x14ac:dyDescent="0.45">
      <c r="N170" s="10">
        <v>52</v>
      </c>
      <c r="O170" s="50">
        <f t="shared" si="111"/>
        <v>331.13112148259137</v>
      </c>
      <c r="P170" s="48" t="str">
        <f t="shared" si="112"/>
        <v>17.4002386318441</v>
      </c>
      <c r="Q170" s="17" t="str">
        <f t="shared" si="113"/>
        <v>1+0.178183825457121i</v>
      </c>
      <c r="R170" s="17">
        <f t="shared" si="123"/>
        <v>1.0157506956209943</v>
      </c>
      <c r="S170" s="17">
        <f t="shared" si="124"/>
        <v>0.17633320562283894</v>
      </c>
      <c r="T170" s="17" t="str">
        <f t="shared" si="114"/>
        <v>1+0.000624167459174797i</v>
      </c>
      <c r="U170" s="17">
        <f t="shared" si="125"/>
        <v>1.0000001947924897</v>
      </c>
      <c r="V170" s="17">
        <f t="shared" si="126"/>
        <v>6.2416737811938586E-4</v>
      </c>
      <c r="W170" s="31" t="str">
        <f t="shared" si="115"/>
        <v>1-0.00153989613510698i</v>
      </c>
      <c r="X170" s="17">
        <f t="shared" si="127"/>
        <v>1.0000011856393507</v>
      </c>
      <c r="Y170" s="17">
        <f t="shared" si="128"/>
        <v>-1.5398949179336878E-3</v>
      </c>
      <c r="Z170" s="31" t="str">
        <f t="shared" si="116"/>
        <v>0.999999900546195+0.0021536369220753i</v>
      </c>
      <c r="AA170" s="17">
        <f t="shared" si="129"/>
        <v>1.0000022196197327</v>
      </c>
      <c r="AB170" s="17">
        <f t="shared" si="130"/>
        <v>2.1536338066391867E-3</v>
      </c>
      <c r="AC170" s="66" t="str">
        <f t="shared" si="131"/>
        <v>16.855473276766-3.05678019954261i</v>
      </c>
      <c r="AD170" s="64">
        <f t="shared" si="132"/>
        <v>24.675354229795904</v>
      </c>
      <c r="AE170" s="61">
        <f t="shared" si="133"/>
        <v>-10.27900992115358</v>
      </c>
      <c r="AF170" s="31" t="str">
        <f t="shared" si="117"/>
        <v>-9090.90909090909</v>
      </c>
      <c r="AG170" s="31" t="str">
        <f t="shared" si="118"/>
        <v>2080.55819724932i</v>
      </c>
      <c r="AH170" s="31">
        <f t="shared" si="134"/>
        <v>2080.5581972493201</v>
      </c>
      <c r="AI170" s="31">
        <f t="shared" si="135"/>
        <v>1.5707963267948966</v>
      </c>
      <c r="AJ170" s="31" t="str">
        <f t="shared" si="119"/>
        <v>0.984318164168639+0.720387034122984i</v>
      </c>
      <c r="AK170" s="31">
        <f t="shared" si="136"/>
        <v>1.2197703584055604</v>
      </c>
      <c r="AL170" s="31">
        <f t="shared" si="137"/>
        <v>0.63179267744260326</v>
      </c>
      <c r="AM170" s="31" t="str">
        <f t="shared" si="120"/>
        <v>1+2.74175959233515i</v>
      </c>
      <c r="AN170" s="31">
        <f t="shared" si="138"/>
        <v>2.918432055430074</v>
      </c>
      <c r="AO170" s="31">
        <f t="shared" si="139"/>
        <v>1.2210603863750462</v>
      </c>
      <c r="AP170" s="31" t="str">
        <f t="shared" si="121"/>
        <v>1+0.45772280339485i</v>
      </c>
      <c r="AQ170" s="31">
        <f t="shared" si="140"/>
        <v>1.0997773250743264</v>
      </c>
      <c r="AR170" s="31">
        <f t="shared" si="141"/>
        <v>0.42925762119794536</v>
      </c>
      <c r="AS170" s="58" t="str">
        <f t="shared" si="142"/>
        <v>-9.7882344384277+6.03184516279453i</v>
      </c>
      <c r="AT170" s="49">
        <f t="shared" si="143"/>
        <v>21.212074384920101</v>
      </c>
      <c r="AU170" s="61">
        <f t="shared" si="144"/>
        <v>148.35720274364004</v>
      </c>
      <c r="AV170" s="58" t="str">
        <f t="shared" si="122"/>
        <v>-146.547299143302+131.59008617094i</v>
      </c>
      <c r="AW170" s="64">
        <f t="shared" si="145"/>
        <v>45.887428614716008</v>
      </c>
      <c r="AX170" s="49">
        <f t="shared" si="146"/>
        <v>138.07819282248664</v>
      </c>
      <c r="AY170" s="310"/>
      <c r="BA170" s="31">
        <f t="shared" si="147"/>
        <v>0</v>
      </c>
      <c r="BB170" s="31">
        <f t="shared" si="148"/>
        <v>0</v>
      </c>
    </row>
    <row r="171" spans="14:54" x14ac:dyDescent="0.45">
      <c r="N171" s="10">
        <v>53</v>
      </c>
      <c r="O171" s="50">
        <f t="shared" si="111"/>
        <v>338.84415613920277</v>
      </c>
      <c r="P171" s="48" t="str">
        <f t="shared" si="112"/>
        <v>17.4002386318441</v>
      </c>
      <c r="Q171" s="17" t="str">
        <f t="shared" si="113"/>
        <v>1+0.182334259928048i</v>
      </c>
      <c r="R171" s="17">
        <f t="shared" si="123"/>
        <v>1.0164869809021211</v>
      </c>
      <c r="S171" s="17">
        <f t="shared" si="124"/>
        <v>0.18035301799016693</v>
      </c>
      <c r="T171" s="17" t="str">
        <f t="shared" si="114"/>
        <v>1+0.000638706186983251i</v>
      </c>
      <c r="U171" s="17">
        <f t="shared" si="125"/>
        <v>1.0000002039727758</v>
      </c>
      <c r="V171" s="17">
        <f t="shared" si="126"/>
        <v>6.3870610013081407E-4</v>
      </c>
      <c r="W171" s="31" t="str">
        <f t="shared" si="115"/>
        <v>1-0.00157576492389518i</v>
      </c>
      <c r="X171" s="17">
        <f t="shared" si="127"/>
        <v>1.0000012415167769</v>
      </c>
      <c r="Y171" s="17">
        <f t="shared" si="128"/>
        <v>-1.5757636196705872E-3</v>
      </c>
      <c r="Z171" s="31" t="str">
        <f t="shared" si="116"/>
        <v>0.999999895859082+0.00220380157027674i</v>
      </c>
      <c r="AA171" s="17">
        <f t="shared" si="129"/>
        <v>1.000002324227067</v>
      </c>
      <c r="AB171" s="17">
        <f t="shared" si="130"/>
        <v>2.2037982320272185E-3</v>
      </c>
      <c r="AC171" s="66" t="str">
        <f t="shared" si="131"/>
        <v>16.8306253665698-3.12345112204485i</v>
      </c>
      <c r="AD171" s="64">
        <f t="shared" si="132"/>
        <v>24.669060042745727</v>
      </c>
      <c r="AE171" s="61">
        <f t="shared" si="133"/>
        <v>-10.51342453190782</v>
      </c>
      <c r="AF171" s="31" t="str">
        <f t="shared" si="117"/>
        <v>-9090.90909090909</v>
      </c>
      <c r="AG171" s="31" t="str">
        <f t="shared" si="118"/>
        <v>2129.0206232775i</v>
      </c>
      <c r="AH171" s="31">
        <f t="shared" si="134"/>
        <v>2129.0206232774999</v>
      </c>
      <c r="AI171" s="31">
        <f t="shared" si="135"/>
        <v>1.5707963267948966</v>
      </c>
      <c r="AJ171" s="31" t="str">
        <f t="shared" si="119"/>
        <v>0.983579102015135+0.737167003747966i</v>
      </c>
      <c r="AK171" s="31">
        <f t="shared" si="136"/>
        <v>1.2291635535337244</v>
      </c>
      <c r="AL171" s="31">
        <f t="shared" si="137"/>
        <v>0.64316440972883682</v>
      </c>
      <c r="AM171" s="31" t="str">
        <f t="shared" si="120"/>
        <v>1+2.80562337735509i</v>
      </c>
      <c r="AN171" s="31">
        <f t="shared" si="138"/>
        <v>2.9785101201039055</v>
      </c>
      <c r="AO171" s="31">
        <f t="shared" si="139"/>
        <v>1.2284073839163911</v>
      </c>
      <c r="AP171" s="31" t="str">
        <f t="shared" si="121"/>
        <v>1+0.46838453712105i</v>
      </c>
      <c r="AQ171" s="31">
        <f t="shared" si="140"/>
        <v>1.1042572501976613</v>
      </c>
      <c r="AR171" s="31">
        <f t="shared" si="141"/>
        <v>0.43803689088643871</v>
      </c>
      <c r="AS171" s="58" t="str">
        <f t="shared" si="142"/>
        <v>-9.75558770856947+5.94791652323392i</v>
      </c>
      <c r="AT171" s="49">
        <f t="shared" si="143"/>
        <v>21.157742231686264</v>
      </c>
      <c r="AU171" s="61">
        <f t="shared" si="144"/>
        <v>148.6296175294562</v>
      </c>
      <c r="AV171" s="58" t="str">
        <f t="shared" si="122"/>
        <v>-145.614615415322+130.578256088719i</v>
      </c>
      <c r="AW171" s="64">
        <f t="shared" si="145"/>
        <v>45.826802274431998</v>
      </c>
      <c r="AX171" s="49">
        <f t="shared" si="146"/>
        <v>138.11619299754838</v>
      </c>
      <c r="AY171" s="310"/>
      <c r="BA171" s="31">
        <f t="shared" si="147"/>
        <v>0</v>
      </c>
      <c r="BB171" s="31">
        <f t="shared" si="148"/>
        <v>0</v>
      </c>
    </row>
    <row r="172" spans="14:54" x14ac:dyDescent="0.45">
      <c r="N172" s="10">
        <v>54</v>
      </c>
      <c r="O172" s="50">
        <f t="shared" si="111"/>
        <v>346.73685045253183</v>
      </c>
      <c r="P172" s="48" t="str">
        <f t="shared" si="112"/>
        <v>17.4002386318441</v>
      </c>
      <c r="Q172" s="17" t="str">
        <f t="shared" si="113"/>
        <v>1+0.186581370437069i</v>
      </c>
      <c r="R172" s="17">
        <f t="shared" si="123"/>
        <v>1.0172573950550445</v>
      </c>
      <c r="S172" s="17">
        <f t="shared" si="124"/>
        <v>0.18446037171861462</v>
      </c>
      <c r="T172" s="17" t="str">
        <f t="shared" si="114"/>
        <v>1+0.000653583565266322i</v>
      </c>
      <c r="U172" s="17">
        <f t="shared" si="125"/>
        <v>1.0000002135857156</v>
      </c>
      <c r="V172" s="17">
        <f t="shared" si="126"/>
        <v>6.5358347220226026E-4</v>
      </c>
      <c r="W172" s="31" t="str">
        <f t="shared" si="115"/>
        <v>1-0.00161246920410376i</v>
      </c>
      <c r="X172" s="17">
        <f t="shared" si="127"/>
        <v>1.000001300027622</v>
      </c>
      <c r="Y172" s="17">
        <f t="shared" si="128"/>
        <v>-1.6124678066020285E-3</v>
      </c>
      <c r="Z172" s="31" t="str">
        <f t="shared" si="116"/>
        <v>0.999999890951072+0.00225513470324151i</v>
      </c>
      <c r="AA172" s="17">
        <f t="shared" si="129"/>
        <v>1.0000024337643814</v>
      </c>
      <c r="AB172" s="17">
        <f t="shared" si="130"/>
        <v>2.2551311262431714E-3</v>
      </c>
      <c r="AC172" s="66" t="str">
        <f t="shared" si="131"/>
        <v>16.8046834289053-3.19136535216644i</v>
      </c>
      <c r="AD172" s="64">
        <f t="shared" si="132"/>
        <v>24.662478981243652</v>
      </c>
      <c r="AE172" s="61">
        <f t="shared" si="133"/>
        <v>-10.75295030807559</v>
      </c>
      <c r="AF172" s="31" t="str">
        <f t="shared" si="117"/>
        <v>-9090.90909090909</v>
      </c>
      <c r="AG172" s="31" t="str">
        <f t="shared" si="118"/>
        <v>2178.61188422107i</v>
      </c>
      <c r="AH172" s="31">
        <f t="shared" si="134"/>
        <v>2178.6118842210699</v>
      </c>
      <c r="AI172" s="31">
        <f t="shared" si="135"/>
        <v>1.5707963267948966</v>
      </c>
      <c r="AJ172" s="31" t="str">
        <f t="shared" si="119"/>
        <v>0.982805208935416+0.754337829075894i</v>
      </c>
      <c r="AK172" s="31">
        <f t="shared" si="136"/>
        <v>1.238923580809373</v>
      </c>
      <c r="AL172" s="31">
        <f t="shared" si="137"/>
        <v>0.65462965836185594</v>
      </c>
      <c r="AM172" s="31" t="str">
        <f t="shared" si="120"/>
        <v>1+2.87097474102652i</v>
      </c>
      <c r="AN172" s="31">
        <f t="shared" si="138"/>
        <v>3.0401473588647465</v>
      </c>
      <c r="AO172" s="31">
        <f t="shared" si="139"/>
        <v>1.2356245169326356</v>
      </c>
      <c r="AP172" s="31" t="str">
        <f t="shared" si="121"/>
        <v>1+0.479294614528635i</v>
      </c>
      <c r="AQ172" s="31">
        <f t="shared" si="140"/>
        <v>1.1089289100371371</v>
      </c>
      <c r="AR172" s="31">
        <f t="shared" si="141"/>
        <v>0.44694651973010258</v>
      </c>
      <c r="AS172" s="58" t="str">
        <f t="shared" si="142"/>
        <v>-9.72244375440944+5.86571621365632i</v>
      </c>
      <c r="AT172" s="49">
        <f t="shared" si="143"/>
        <v>21.103625359437622</v>
      </c>
      <c r="AU172" s="61">
        <f t="shared" si="144"/>
        <v>148.89670256350141</v>
      </c>
      <c r="AV172" s="58" t="str">
        <f t="shared" si="122"/>
        <v>-144.662945958284+129.599374190501i</v>
      </c>
      <c r="AW172" s="64">
        <f t="shared" si="145"/>
        <v>45.766104340681267</v>
      </c>
      <c r="AX172" s="49">
        <f t="shared" si="146"/>
        <v>138.14375225542565</v>
      </c>
      <c r="AY172" s="310"/>
      <c r="BA172" s="31">
        <f t="shared" si="147"/>
        <v>0</v>
      </c>
      <c r="BB172" s="31">
        <f t="shared" si="148"/>
        <v>0</v>
      </c>
    </row>
    <row r="173" spans="14:54" x14ac:dyDescent="0.45">
      <c r="N173" s="10">
        <v>55</v>
      </c>
      <c r="O173" s="50">
        <f t="shared" si="111"/>
        <v>354.81338923357566</v>
      </c>
      <c r="P173" s="48" t="str">
        <f t="shared" si="112"/>
        <v>17.4002386318441</v>
      </c>
      <c r="Q173" s="17" t="str">
        <f t="shared" si="113"/>
        <v>1+0.190927408858392i</v>
      </c>
      <c r="R173" s="17">
        <f t="shared" si="123"/>
        <v>1.0180634928399013</v>
      </c>
      <c r="S173" s="17">
        <f t="shared" si="124"/>
        <v>0.188656889969712</v>
      </c>
      <c r="T173" s="17" t="str">
        <f t="shared" si="114"/>
        <v>1+0.000668807482206898i</v>
      </c>
      <c r="U173" s="17">
        <f t="shared" si="125"/>
        <v>1.0000002236516992</v>
      </c>
      <c r="V173" s="17">
        <f t="shared" si="126"/>
        <v>6.6880738248696039E-4</v>
      </c>
      <c r="W173" s="31" t="str">
        <f t="shared" si="115"/>
        <v>1-0.0016500284368279i</v>
      </c>
      <c r="X173" s="17">
        <f t="shared" si="127"/>
        <v>1.0000013612959946</v>
      </c>
      <c r="Y173" s="17">
        <f t="shared" si="128"/>
        <v>-1.6500269393779257E-3</v>
      </c>
      <c r="Z173" s="31" t="str">
        <f t="shared" si="116"/>
        <v>0.999999885811754+0.00230766353847618i</v>
      </c>
      <c r="AA173" s="17">
        <f t="shared" si="129"/>
        <v>1.0000025484640167</v>
      </c>
      <c r="AB173" s="17">
        <f t="shared" si="130"/>
        <v>2.307659705653933E-3</v>
      </c>
      <c r="AC173" s="66" t="str">
        <f t="shared" si="131"/>
        <v>16.777602951188-3.26053138401709i</v>
      </c>
      <c r="AD173" s="64">
        <f t="shared" si="132"/>
        <v>24.655598434671514</v>
      </c>
      <c r="AE173" s="61">
        <f t="shared" si="133"/>
        <v>-10.997682472400401</v>
      </c>
      <c r="AF173" s="31" t="str">
        <f t="shared" si="117"/>
        <v>-9090.90909090909</v>
      </c>
      <c r="AG173" s="31" t="str">
        <f t="shared" si="118"/>
        <v>2229.35827402299i</v>
      </c>
      <c r="AH173" s="31">
        <f t="shared" si="134"/>
        <v>2229.3582740229899</v>
      </c>
      <c r="AI173" s="31">
        <f t="shared" si="135"/>
        <v>1.5707963267948966</v>
      </c>
      <c r="AJ173" s="31" t="str">
        <f t="shared" si="119"/>
        <v>0.981994843398504+0.77190861430564i</v>
      </c>
      <c r="AK173" s="31">
        <f t="shared" si="136"/>
        <v>1.2490623608533344</v>
      </c>
      <c r="AL173" s="31">
        <f t="shared" si="137"/>
        <v>0.66618405546699067</v>
      </c>
      <c r="AM173" s="31" t="str">
        <f t="shared" si="120"/>
        <v>1+2.93784833350749i</v>
      </c>
      <c r="AN173" s="31">
        <f t="shared" si="138"/>
        <v>3.1033776487389892</v>
      </c>
      <c r="AO173" s="31">
        <f t="shared" si="139"/>
        <v>1.2427126037482514</v>
      </c>
      <c r="AP173" s="31" t="str">
        <f t="shared" si="121"/>
        <v>1+0.490458820285057i</v>
      </c>
      <c r="AQ173" s="31">
        <f t="shared" si="140"/>
        <v>1.1137997371140873</v>
      </c>
      <c r="AR173" s="31">
        <f t="shared" si="141"/>
        <v>0.45598557265169098</v>
      </c>
      <c r="AS173" s="58" t="str">
        <f t="shared" si="142"/>
        <v>-9.68882676677306+5.78516937586508i</v>
      </c>
      <c r="AT173" s="49">
        <f t="shared" si="143"/>
        <v>21.04970127777074</v>
      </c>
      <c r="AU173" s="61">
        <f t="shared" si="144"/>
        <v>149.15870141711832</v>
      </c>
      <c r="AV173" s="58" t="str">
        <f t="shared" si="122"/>
        <v>-143.692562243898+128.651998541005i</v>
      </c>
      <c r="AW173" s="64">
        <f t="shared" si="145"/>
        <v>45.705299712442255</v>
      </c>
      <c r="AX173" s="49">
        <f t="shared" si="146"/>
        <v>138.16101894471782</v>
      </c>
      <c r="AY173" s="310"/>
      <c r="BA173" s="31">
        <f t="shared" si="147"/>
        <v>0</v>
      </c>
      <c r="BB173" s="31">
        <f t="shared" si="148"/>
        <v>0</v>
      </c>
    </row>
    <row r="174" spans="14:54" x14ac:dyDescent="0.45">
      <c r="N174" s="10">
        <v>56</v>
      </c>
      <c r="O174" s="50">
        <f t="shared" si="111"/>
        <v>363.07805477010152</v>
      </c>
      <c r="P174" s="48" t="str">
        <f t="shared" si="112"/>
        <v>17.4002386318441</v>
      </c>
      <c r="Q174" s="17" t="str">
        <f t="shared" si="113"/>
        <v>1+0.195374679519116i</v>
      </c>
      <c r="R174" s="17">
        <f t="shared" si="123"/>
        <v>1.0189068973155484</v>
      </c>
      <c r="S174" s="17">
        <f t="shared" si="124"/>
        <v>0.19294420627423656</v>
      </c>
      <c r="T174" s="17" t="str">
        <f t="shared" si="114"/>
        <v>1+0.000684386009727256i</v>
      </c>
      <c r="U174" s="17">
        <f t="shared" si="125"/>
        <v>1.0000002341920777</v>
      </c>
      <c r="V174" s="17">
        <f t="shared" si="126"/>
        <v>6.843859028754192E-4</v>
      </c>
      <c r="W174" s="31" t="str">
        <f t="shared" si="115"/>
        <v>1-0.00168846253646996i</v>
      </c>
      <c r="X174" s="17">
        <f t="shared" si="127"/>
        <v>1.0000014254518526</v>
      </c>
      <c r="Y174" s="17">
        <f t="shared" si="128"/>
        <v>-1.6884609319235272E-3</v>
      </c>
      <c r="Z174" s="31" t="str">
        <f t="shared" si="116"/>
        <v>0.999999880430228+0.00236141592746449i</v>
      </c>
      <c r="AA174" s="17">
        <f t="shared" si="129"/>
        <v>1.0000026685692658</v>
      </c>
      <c r="AB174" s="17">
        <f t="shared" si="130"/>
        <v>2.3614118205220504E-3</v>
      </c>
      <c r="AC174" s="66" t="str">
        <f t="shared" si="131"/>
        <v>16.7493379488757-3.33095663858405i</v>
      </c>
      <c r="AD174" s="64">
        <f t="shared" si="132"/>
        <v>24.648405281195835</v>
      </c>
      <c r="AE174" s="61">
        <f t="shared" si="133"/>
        <v>-11.247716893502504</v>
      </c>
      <c r="AF174" s="31" t="str">
        <f t="shared" si="117"/>
        <v>-9090.90909090909</v>
      </c>
      <c r="AG174" s="31" t="str">
        <f t="shared" si="118"/>
        <v>2281.28669909085i</v>
      </c>
      <c r="AH174" s="31">
        <f t="shared" si="134"/>
        <v>2281.2866990908501</v>
      </c>
      <c r="AI174" s="31">
        <f t="shared" si="135"/>
        <v>1.5707963267948966</v>
      </c>
      <c r="AJ174" s="31" t="str">
        <f t="shared" si="119"/>
        <v>0.981146286510446+0.789888675700108i</v>
      </c>
      <c r="AK174" s="31">
        <f t="shared" si="136"/>
        <v>1.2595920591733296</v>
      </c>
      <c r="AL174" s="31">
        <f t="shared" si="137"/>
        <v>0.67782305900507855</v>
      </c>
      <c r="AM174" s="31" t="str">
        <f t="shared" si="120"/>
        <v>1+3.00627961206192i</v>
      </c>
      <c r="AN174" s="31">
        <f t="shared" si="138"/>
        <v>3.1682356455761251</v>
      </c>
      <c r="AO174" s="31">
        <f t="shared" si="139"/>
        <v>1.249672552740994</v>
      </c>
      <c r="AP174" s="31" t="str">
        <f t="shared" si="121"/>
        <v>1+0.501883073799987i</v>
      </c>
      <c r="AQ174" s="31">
        <f t="shared" si="140"/>
        <v>1.1188773926426985</v>
      </c>
      <c r="AR174" s="31">
        <f t="shared" si="141"/>
        <v>0.46515293304840677</v>
      </c>
      <c r="AS174" s="58" t="str">
        <f t="shared" si="142"/>
        <v>-9.6547626120329+5.70620348755992i</v>
      </c>
      <c r="AT174" s="49">
        <f t="shared" si="143"/>
        <v>20.995950142945148</v>
      </c>
      <c r="AU174" s="61">
        <f t="shared" si="144"/>
        <v>149.41586239956584</v>
      </c>
      <c r="AV174" s="58" t="str">
        <f t="shared" si="122"/>
        <v>-142.70376541711+127.734726234698i</v>
      </c>
      <c r="AW174" s="64">
        <f t="shared" si="145"/>
        <v>45.644355424140983</v>
      </c>
      <c r="AX174" s="49">
        <f t="shared" si="146"/>
        <v>138.16814550606344</v>
      </c>
      <c r="AY174" s="310"/>
      <c r="BA174" s="31">
        <f t="shared" si="147"/>
        <v>0</v>
      </c>
      <c r="BB174" s="31">
        <f t="shared" si="148"/>
        <v>0</v>
      </c>
    </row>
    <row r="175" spans="14:54" x14ac:dyDescent="0.45">
      <c r="N175" s="10">
        <v>57</v>
      </c>
      <c r="O175" s="50">
        <f t="shared" si="111"/>
        <v>371.53522909717265</v>
      </c>
      <c r="P175" s="48" t="str">
        <f t="shared" si="112"/>
        <v>17.4002386318441</v>
      </c>
      <c r="Q175" s="17" t="str">
        <f t="shared" si="113"/>
        <v>1+0.199925540421009i</v>
      </c>
      <c r="R175" s="17">
        <f t="shared" si="123"/>
        <v>1.0197893026074711</v>
      </c>
      <c r="S175" s="17">
        <f t="shared" si="124"/>
        <v>0.19732396307576835</v>
      </c>
      <c r="T175" s="17" t="str">
        <f t="shared" si="114"/>
        <v>1+0.000700327407768889i</v>
      </c>
      <c r="U175" s="17">
        <f t="shared" si="125"/>
        <v>1.0000002452292089</v>
      </c>
      <c r="V175" s="17">
        <f t="shared" si="126"/>
        <v>7.0032729327508449E-4</v>
      </c>
      <c r="W175" s="31" t="str">
        <f t="shared" si="115"/>
        <v>1-0.0017277918812983i</v>
      </c>
      <c r="X175" s="17">
        <f t="shared" si="127"/>
        <v>1.0000014926312786</v>
      </c>
      <c r="Y175" s="17">
        <f t="shared" si="128"/>
        <v>-1.7277901619959597E-3</v>
      </c>
      <c r="Z175" s="31" t="str">
        <f t="shared" si="116"/>
        <v>0.999999874795078+0.00241642037043457i</v>
      </c>
      <c r="AA175" s="17">
        <f t="shared" si="129"/>
        <v>1.000002794334885</v>
      </c>
      <c r="AB175" s="17">
        <f t="shared" si="130"/>
        <v>2.416415969767125E-3</v>
      </c>
      <c r="AC175" s="66" t="str">
        <f t="shared" si="131"/>
        <v>16.7198409489934-3.40264736932815i</v>
      </c>
      <c r="AD175" s="64">
        <f t="shared" si="132"/>
        <v>24.640885871040211</v>
      </c>
      <c r="AE175" s="61">
        <f t="shared" si="133"/>
        <v>-11.503150003636573</v>
      </c>
      <c r="AF175" s="31" t="str">
        <f t="shared" si="117"/>
        <v>-9090.90909090909</v>
      </c>
      <c r="AG175" s="31" t="str">
        <f t="shared" si="118"/>
        <v>2334.42469256296i</v>
      </c>
      <c r="AH175" s="31">
        <f t="shared" si="134"/>
        <v>2334.42469256296</v>
      </c>
      <c r="AI175" s="31">
        <f t="shared" si="135"/>
        <v>1.5707963267948966</v>
      </c>
      <c r="AJ175" s="31" t="str">
        <f t="shared" si="119"/>
        <v>0.980257738368316+0.808287546525846i</v>
      </c>
      <c r="AK175" s="31">
        <f t="shared" si="136"/>
        <v>1.2705250849549321</v>
      </c>
      <c r="AL175" s="31">
        <f t="shared" si="137"/>
        <v>0.68954196148534197</v>
      </c>
      <c r="AM175" s="31" t="str">
        <f t="shared" si="120"/>
        <v>1+3.07630485985947i</v>
      </c>
      <c r="AN175" s="31">
        <f t="shared" si="138"/>
        <v>3.2347568055102682</v>
      </c>
      <c r="AO175" s="31">
        <f t="shared" si="139"/>
        <v>1.2565053561031263</v>
      </c>
      <c r="AP175" s="31" t="str">
        <f t="shared" si="121"/>
        <v>1+0.513573432363851i</v>
      </c>
      <c r="AQ175" s="31">
        <f t="shared" si="140"/>
        <v>1.1241697693987269</v>
      </c>
      <c r="AR175" s="31">
        <f t="shared" si="141"/>
        <v>0.47444729719006695</v>
      </c>
      <c r="AS175" s="58" t="str">
        <f t="shared" si="142"/>
        <v>-9.62027876952576+5.6287484701046i</v>
      </c>
      <c r="AT175" s="49">
        <f t="shared" si="143"/>
        <v>20.942354798563173</v>
      </c>
      <c r="AU175" s="61">
        <f t="shared" si="144"/>
        <v>149.66843738038912</v>
      </c>
      <c r="AV175" s="58" t="str">
        <f t="shared" si="122"/>
        <v>-141.696884737037+126.846195409369i</v>
      </c>
      <c r="AW175" s="64">
        <f t="shared" si="145"/>
        <v>45.58324066960337</v>
      </c>
      <c r="AX175" s="49">
        <f t="shared" si="146"/>
        <v>138.1652873767525</v>
      </c>
      <c r="AY175" s="310"/>
      <c r="BA175" s="31">
        <f t="shared" si="147"/>
        <v>0</v>
      </c>
      <c r="BB175" s="31">
        <f t="shared" si="148"/>
        <v>0</v>
      </c>
    </row>
    <row r="176" spans="14:54" x14ac:dyDescent="0.45">
      <c r="N176" s="10">
        <v>58</v>
      </c>
      <c r="O176" s="50">
        <f t="shared" si="111"/>
        <v>380.18939632056163</v>
      </c>
      <c r="P176" s="48" t="str">
        <f t="shared" si="112"/>
        <v>17.4002386318441</v>
      </c>
      <c r="Q176" s="17" t="str">
        <f t="shared" si="113"/>
        <v>1+0.204582404490761i</v>
      </c>
      <c r="R176" s="17">
        <f t="shared" si="123"/>
        <v>1.0207124767667051</v>
      </c>
      <c r="S176" s="17">
        <f t="shared" si="124"/>
        <v>0.20179781014831932</v>
      </c>
      <c r="T176" s="17" t="str">
        <f t="shared" si="114"/>
        <v>1+0.00071664012867205i</v>
      </c>
      <c r="U176" s="17">
        <f t="shared" si="125"/>
        <v>1.0000002567865041</v>
      </c>
      <c r="V176" s="17">
        <f t="shared" si="126"/>
        <v>7.1664000598972981E-4</v>
      </c>
      <c r="W176" s="31" t="str">
        <f t="shared" si="115"/>
        <v>1-0.00176803732425213i</v>
      </c>
      <c r="X176" s="17">
        <f t="shared" si="127"/>
        <v>1.0000015629767685</v>
      </c>
      <c r="Y176" s="17">
        <f t="shared" si="128"/>
        <v>-1.7680354819866364E-3</v>
      </c>
      <c r="Z176" s="31" t="str">
        <f t="shared" si="116"/>
        <v>0.999999868894352+0.00247270603147016i</v>
      </c>
      <c r="AA176" s="17">
        <f t="shared" si="129"/>
        <v>1.0000029260276388</v>
      </c>
      <c r="AB176" s="17">
        <f t="shared" si="130"/>
        <v>2.4727013160707806E-3</v>
      </c>
      <c r="AC176" s="66" t="str">
        <f t="shared" si="131"/>
        <v>16.6890629769777-3.47560856291063i</v>
      </c>
      <c r="AD176" s="64">
        <f t="shared" si="132"/>
        <v>24.633026009590722</v>
      </c>
      <c r="AE176" s="61">
        <f t="shared" si="133"/>
        <v>-11.764078709262037</v>
      </c>
      <c r="AF176" s="31" t="str">
        <f t="shared" si="117"/>
        <v>-9090.90909090909</v>
      </c>
      <c r="AG176" s="31" t="str">
        <f t="shared" si="118"/>
        <v>2388.80042890683i</v>
      </c>
      <c r="AH176" s="31">
        <f t="shared" si="134"/>
        <v>2388.8004289068299</v>
      </c>
      <c r="AI176" s="31">
        <f t="shared" si="135"/>
        <v>1.5707963267948966</v>
      </c>
      <c r="AJ176" s="31" t="str">
        <f t="shared" si="119"/>
        <v>0.979327314242373+0.827114982107703i</v>
      </c>
      <c r="AK176" s="31">
        <f t="shared" si="136"/>
        <v>1.2818740897795715</v>
      </c>
      <c r="AL176" s="31">
        <f t="shared" si="137"/>
        <v>0.70133589963640552</v>
      </c>
      <c r="AM176" s="31" t="str">
        <f t="shared" si="120"/>
        <v>1+3.14796120521342i</v>
      </c>
      <c r="AN176" s="31">
        <f t="shared" si="138"/>
        <v>3.3029774067542044</v>
      </c>
      <c r="AO176" s="31">
        <f t="shared" si="139"/>
        <v>1.263212083771668</v>
      </c>
      <c r="AP176" s="31" t="str">
        <f t="shared" si="121"/>
        <v>1+0.525536094359502i</v>
      </c>
      <c r="AQ176" s="31">
        <f t="shared" si="140"/>
        <v>1.1296849943566745</v>
      </c>
      <c r="AR176" s="31">
        <f t="shared" si="141"/>
        <v>0.48386716899259941</v>
      </c>
      <c r="AS176" s="58" t="str">
        <f t="shared" si="142"/>
        <v>-9.58540425666391+5.55273679324538i</v>
      </c>
      <c r="AT176" s="49">
        <f t="shared" si="143"/>
        <v>20.888900804159377</v>
      </c>
      <c r="AU176" s="61">
        <f t="shared" si="144"/>
        <v>149.9166805880852</v>
      </c>
      <c r="AV176" s="58" t="str">
        <f t="shared" si="122"/>
        <v>-140.672275753062+125.985087150474i</v>
      </c>
      <c r="AW176" s="64">
        <f t="shared" si="145"/>
        <v>45.521926813750106</v>
      </c>
      <c r="AX176" s="49">
        <f t="shared" si="146"/>
        <v>138.15260187882339</v>
      </c>
      <c r="AY176" s="310"/>
      <c r="BA176" s="31">
        <f t="shared" si="147"/>
        <v>0</v>
      </c>
      <c r="BB176" s="31">
        <f t="shared" si="148"/>
        <v>0</v>
      </c>
    </row>
    <row r="177" spans="14:54" x14ac:dyDescent="0.45">
      <c r="N177" s="10">
        <v>59</v>
      </c>
      <c r="O177" s="50">
        <f t="shared" si="111"/>
        <v>389.04514499428063</v>
      </c>
      <c r="P177" s="48" t="str">
        <f t="shared" si="112"/>
        <v>17.4002386318441</v>
      </c>
      <c r="Q177" s="17" t="str">
        <f t="shared" si="113"/>
        <v>1+0.209347740859343i</v>
      </c>
      <c r="R177" s="17">
        <f t="shared" si="123"/>
        <v>1.0216782647208027</v>
      </c>
      <c r="S177" s="17">
        <f t="shared" si="124"/>
        <v>0.20636740288162064</v>
      </c>
      <c r="T177" s="17" t="str">
        <f t="shared" si="114"/>
        <v>1+0.000733332821657287i</v>
      </c>
      <c r="U177" s="17">
        <f t="shared" si="125"/>
        <v>1.0000002688884775</v>
      </c>
      <c r="V177" s="17">
        <f t="shared" si="126"/>
        <v>7.3333269020081442E-4</v>
      </c>
      <c r="W177" s="31" t="str">
        <f t="shared" si="115"/>
        <v>1-0.00180922020399802i</v>
      </c>
      <c r="X177" s="17">
        <f t="shared" si="127"/>
        <v>1.0000016366375339</v>
      </c>
      <c r="Y177" s="17">
        <f t="shared" si="128"/>
        <v>-1.8092182299751527E-3</v>
      </c>
      <c r="Z177" s="31" t="str">
        <f t="shared" si="116"/>
        <v>0.999999862715533+0.00253030275397377i</v>
      </c>
      <c r="AA177" s="17">
        <f t="shared" si="129"/>
        <v>1.000003063926862</v>
      </c>
      <c r="AB177" s="17">
        <f t="shared" si="130"/>
        <v>2.5302977013331395E-3</v>
      </c>
      <c r="AC177" s="66" t="str">
        <f t="shared" si="131"/>
        <v>16.6569535472584-3.549843834973i</v>
      </c>
      <c r="AD177" s="64">
        <f t="shared" si="132"/>
        <v>24.624810940372651</v>
      </c>
      <c r="AE177" s="61">
        <f t="shared" si="133"/>
        <v>-12.030600294059047</v>
      </c>
      <c r="AF177" s="31" t="str">
        <f t="shared" si="117"/>
        <v>-9090.90909090909</v>
      </c>
      <c r="AG177" s="31" t="str">
        <f t="shared" si="118"/>
        <v>2444.44273885762i</v>
      </c>
      <c r="AH177" s="31">
        <f t="shared" si="134"/>
        <v>2444.44273885762</v>
      </c>
      <c r="AI177" s="31">
        <f t="shared" si="135"/>
        <v>1.5707963267948966</v>
      </c>
      <c r="AJ177" s="31" t="str">
        <f t="shared" si="119"/>
        <v>0.978353040578304+0.846380965001233i</v>
      </c>
      <c r="AK177" s="31">
        <f t="shared" si="136"/>
        <v>1.2936519663051693</v>
      </c>
      <c r="AL177" s="31">
        <f t="shared" si="137"/>
        <v>0.71319986500421684</v>
      </c>
      <c r="AM177" s="31" t="str">
        <f t="shared" si="120"/>
        <v>1+3.22128664126657i</v>
      </c>
      <c r="AN177" s="31">
        <f t="shared" si="138"/>
        <v>3.3729345717345987</v>
      </c>
      <c r="AO177" s="31">
        <f t="shared" si="139"/>
        <v>1.2697938775396611</v>
      </c>
      <c r="AP177" s="31" t="str">
        <f t="shared" si="121"/>
        <v>1+0.537777402548676i</v>
      </c>
      <c r="AQ177" s="31">
        <f t="shared" si="140"/>
        <v>1.1354314310833573</v>
      </c>
      <c r="AR177" s="31">
        <f t="shared" si="141"/>
        <v>0.49341085522103512</v>
      </c>
      <c r="AS177" s="58" t="str">
        <f t="shared" si="142"/>
        <v>-9.55016954195208+5.47810357548164i</v>
      </c>
      <c r="AT177" s="49">
        <f t="shared" si="143"/>
        <v>20.835576451234466</v>
      </c>
      <c r="AU177" s="61">
        <f t="shared" si="144"/>
        <v>150.16084739063839</v>
      </c>
      <c r="AV177" s="58" t="str">
        <f t="shared" si="122"/>
        <v>-139.630318223971+125.150127255313i</v>
      </c>
      <c r="AW177" s="64">
        <f t="shared" si="145"/>
        <v>45.460387391607114</v>
      </c>
      <c r="AX177" s="49">
        <f t="shared" si="146"/>
        <v>138.13024709657947</v>
      </c>
      <c r="AY177" s="310"/>
      <c r="BA177" s="31">
        <f t="shared" si="147"/>
        <v>0</v>
      </c>
      <c r="BB177" s="31">
        <f t="shared" si="148"/>
        <v>0</v>
      </c>
    </row>
    <row r="178" spans="14:54" x14ac:dyDescent="0.45">
      <c r="N178" s="10">
        <v>60</v>
      </c>
      <c r="O178" s="50">
        <f t="shared" si="111"/>
        <v>398.10717055349761</v>
      </c>
      <c r="P178" s="48" t="str">
        <f t="shared" si="112"/>
        <v>17.4002386318441</v>
      </c>
      <c r="Q178" s="17" t="str">
        <f t="shared" si="113"/>
        <v>1+0.214224076171172i</v>
      </c>
      <c r="R178" s="17">
        <f t="shared" si="123"/>
        <v>1.0226885913177051</v>
      </c>
      <c r="S178" s="17">
        <f t="shared" si="124"/>
        <v>0.21103440042761695</v>
      </c>
      <c r="T178" s="17" t="str">
        <f t="shared" si="114"/>
        <v>1+0.000750414337411372i</v>
      </c>
      <c r="U178" s="17">
        <f t="shared" si="125"/>
        <v>1.0000002815607991</v>
      </c>
      <c r="V178" s="17">
        <f t="shared" si="126"/>
        <v>7.5041419655322598E-4</v>
      </c>
      <c r="W178" s="31" t="str">
        <f t="shared" si="115"/>
        <v>1-0.00185136235624393i</v>
      </c>
      <c r="X178" s="17">
        <f t="shared" si="127"/>
        <v>1.0000017137698185</v>
      </c>
      <c r="Y178" s="17">
        <f t="shared" si="128"/>
        <v>-1.8513602410405146E-3</v>
      </c>
      <c r="Z178" s="31" t="str">
        <f t="shared" si="116"/>
        <v>0.999999856245515+0.00258924107649004i</v>
      </c>
      <c r="AA178" s="17">
        <f t="shared" si="129"/>
        <v>1.0000032083250547</v>
      </c>
      <c r="AB178" s="17">
        <f t="shared" si="130"/>
        <v>2.5892356624890004E-3</v>
      </c>
      <c r="AC178" s="66" t="str">
        <f t="shared" si="131"/>
        <v>16.6234606580287-3.62535532091499i</v>
      </c>
      <c r="AD178" s="64">
        <f t="shared" si="132"/>
        <v>24.616225327944157</v>
      </c>
      <c r="AE178" s="61">
        <f t="shared" si="133"/>
        <v>-12.302812314022368</v>
      </c>
      <c r="AF178" s="31" t="str">
        <f t="shared" si="117"/>
        <v>-9090.90909090909</v>
      </c>
      <c r="AG178" s="31" t="str">
        <f t="shared" si="118"/>
        <v>2501.38112470457i</v>
      </c>
      <c r="AH178" s="31">
        <f t="shared" si="134"/>
        <v>2501.3811247045701</v>
      </c>
      <c r="AI178" s="31">
        <f t="shared" si="135"/>
        <v>1.5707963267948966</v>
      </c>
      <c r="AJ178" s="31" t="str">
        <f t="shared" si="119"/>
        <v>0.977332850811042+0.866095710285585i</v>
      </c>
      <c r="AK178" s="31">
        <f t="shared" si="136"/>
        <v>1.3058718469472916</v>
      </c>
      <c r="AL178" s="31">
        <f t="shared" si="137"/>
        <v>0.7251287154363415</v>
      </c>
      <c r="AM178" s="31" t="str">
        <f t="shared" si="120"/>
        <v>1+3.29632004613568i</v>
      </c>
      <c r="AN178" s="31">
        <f t="shared" si="138"/>
        <v>3.4446662895781257</v>
      </c>
      <c r="AO178" s="31">
        <f t="shared" si="139"/>
        <v>1.2762519453583208</v>
      </c>
      <c r="AP178" s="31" t="str">
        <f t="shared" si="121"/>
        <v>1+0.550303847435005i</v>
      </c>
      <c r="AQ178" s="31">
        <f t="shared" si="140"/>
        <v>1.1414176818771335</v>
      </c>
      <c r="AR178" s="31">
        <f t="shared" si="141"/>
        <v>0.50307646117709326</v>
      </c>
      <c r="AS178" s="58" t="str">
        <f t="shared" si="142"/>
        <v>-9.51460644627635+5.40478667879799i</v>
      </c>
      <c r="AT178" s="49">
        <f t="shared" si="143"/>
        <v>20.782372766330592</v>
      </c>
      <c r="AU178" s="61">
        <f t="shared" si="144"/>
        <v>150.4011930639719</v>
      </c>
      <c r="AV178" s="58" t="str">
        <f t="shared" si="122"/>
        <v>-138.57141379191+124.340087826456i</v>
      </c>
      <c r="AW178" s="64">
        <f t="shared" si="145"/>
        <v>45.398598094274732</v>
      </c>
      <c r="AX178" s="49">
        <f t="shared" si="146"/>
        <v>138.09838074994946</v>
      </c>
      <c r="AY178" s="310"/>
      <c r="BA178" s="31">
        <f t="shared" si="147"/>
        <v>0</v>
      </c>
      <c r="BB178" s="31">
        <f t="shared" si="148"/>
        <v>0</v>
      </c>
    </row>
    <row r="179" spans="14:54" x14ac:dyDescent="0.45">
      <c r="N179" s="10">
        <v>61</v>
      </c>
      <c r="O179" s="50">
        <f t="shared" si="111"/>
        <v>407.38027780411272</v>
      </c>
      <c r="P179" s="48" t="str">
        <f t="shared" si="112"/>
        <v>17.4002386318441</v>
      </c>
      <c r="Q179" s="17" t="str">
        <f t="shared" si="113"/>
        <v>1+0.219213995923779i</v>
      </c>
      <c r="R179" s="17">
        <f t="shared" si="123"/>
        <v>1.0237454644631498</v>
      </c>
      <c r="S179" s="17">
        <f t="shared" si="124"/>
        <v>0.21580046370163944</v>
      </c>
      <c r="T179" s="17" t="str">
        <f t="shared" si="114"/>
        <v>1+0.000767893732780063i</v>
      </c>
      <c r="U179" s="17">
        <f t="shared" si="125"/>
        <v>1.000000294830349</v>
      </c>
      <c r="V179" s="17">
        <f t="shared" si="126"/>
        <v>7.6789358184784276E-4</v>
      </c>
      <c r="W179" s="31" t="str">
        <f t="shared" si="115"/>
        <v>1-0.0018944861253168i</v>
      </c>
      <c r="X179" s="17">
        <f t="shared" si="127"/>
        <v>1.0000017945372293</v>
      </c>
      <c r="Y179" s="17">
        <f t="shared" si="128"/>
        <v>-1.8944838588357256E-3</v>
      </c>
      <c r="Z179" s="31" t="str">
        <f t="shared" si="116"/>
        <v>0.999999849470575+0.00264955224889774i</v>
      </c>
      <c r="AA179" s="17">
        <f t="shared" si="129"/>
        <v>1.0000033595285029</v>
      </c>
      <c r="AB179" s="17">
        <f t="shared" si="130"/>
        <v>2.6495464476921594E-3</v>
      </c>
      <c r="AC179" s="66" t="str">
        <f t="shared" si="131"/>
        <v>16.5885307906832-3.70214356163823i</v>
      </c>
      <c r="AD179" s="64">
        <f t="shared" si="132"/>
        <v>24.607253240756762</v>
      </c>
      <c r="AE179" s="61">
        <f t="shared" si="133"/>
        <v>-12.580812484258621</v>
      </c>
      <c r="AF179" s="31" t="str">
        <f t="shared" si="117"/>
        <v>-9090.90909090909</v>
      </c>
      <c r="AG179" s="31" t="str">
        <f t="shared" si="118"/>
        <v>2559.64577593354i</v>
      </c>
      <c r="AH179" s="31">
        <f t="shared" si="134"/>
        <v>2559.6457759335399</v>
      </c>
      <c r="AI179" s="31">
        <f t="shared" si="135"/>
        <v>1.5707963267948966</v>
      </c>
      <c r="AJ179" s="31" t="str">
        <f t="shared" si="119"/>
        <v>0.976264580981314+0.88626967097966i</v>
      </c>
      <c r="AK179" s="31">
        <f t="shared" si="136"/>
        <v>1.3185471026008193</v>
      </c>
      <c r="AL179" s="31">
        <f t="shared" si="137"/>
        <v>0.73711718740288967</v>
      </c>
      <c r="AM179" s="31" t="str">
        <f t="shared" si="120"/>
        <v>1+3.37310120352522i</v>
      </c>
      <c r="AN179" s="31">
        <f t="shared" si="138"/>
        <v>3.518211438959189</v>
      </c>
      <c r="AO179" s="31">
        <f t="shared" si="139"/>
        <v>1.2825875558379574</v>
      </c>
      <c r="AP179" s="31" t="str">
        <f t="shared" si="121"/>
        <v>1+0.563122070705378i</v>
      </c>
      <c r="AQ179" s="31">
        <f t="shared" si="140"/>
        <v>1.1476525896435352</v>
      </c>
      <c r="AR179" s="31">
        <f t="shared" si="141"/>
        <v>0.51286188692679724</v>
      </c>
      <c r="AS179" s="58" t="str">
        <f t="shared" si="142"/>
        <v>-9.47874803298212+5.33272679649412i</v>
      </c>
      <c r="AT179" s="49">
        <f t="shared" si="143"/>
        <v>20.729283500814777</v>
      </c>
      <c r="AU179" s="61">
        <f t="shared" si="144"/>
        <v>150.63797155479662</v>
      </c>
      <c r="AV179" s="58" t="str">
        <f t="shared" si="122"/>
        <v>-137.495983426635+123.55378866464i</v>
      </c>
      <c r="AW179" s="64">
        <f t="shared" si="145"/>
        <v>45.336536741571521</v>
      </c>
      <c r="AX179" s="49">
        <f t="shared" si="146"/>
        <v>138.05715907053792</v>
      </c>
      <c r="AY179" s="310"/>
      <c r="BA179" s="31">
        <f t="shared" si="147"/>
        <v>0</v>
      </c>
      <c r="BB179" s="31">
        <f t="shared" si="148"/>
        <v>0</v>
      </c>
    </row>
    <row r="180" spans="14:54" x14ac:dyDescent="0.45">
      <c r="N180" s="10">
        <v>62</v>
      </c>
      <c r="O180" s="50">
        <f t="shared" si="111"/>
        <v>416.86938347033572</v>
      </c>
      <c r="P180" s="48" t="str">
        <f t="shared" si="112"/>
        <v>17.4002386318441</v>
      </c>
      <c r="Q180" s="17" t="str">
        <f t="shared" si="113"/>
        <v>1+0.224320145838665i</v>
      </c>
      <c r="R180" s="17">
        <f t="shared" si="123"/>
        <v>1.0248509783520139</v>
      </c>
      <c r="S180" s="17">
        <f t="shared" si="124"/>
        <v>0.2206672532316811</v>
      </c>
      <c r="T180" s="17" t="str">
        <f t="shared" si="114"/>
        <v>1+0.00078578027557015i</v>
      </c>
      <c r="U180" s="17">
        <f t="shared" si="125"/>
        <v>1.0000003087252731</v>
      </c>
      <c r="V180" s="17">
        <f t="shared" si="126"/>
        <v>7.8578011384336478E-4</v>
      </c>
      <c r="W180" s="31" t="str">
        <f t="shared" si="115"/>
        <v>1-0.0019386143760098i</v>
      </c>
      <c r="X180" s="17">
        <f t="shared" si="127"/>
        <v>1.0000018791110838</v>
      </c>
      <c r="Y180" s="17">
        <f t="shared" si="128"/>
        <v>-1.9386119474318203E-3</v>
      </c>
      <c r="Z180" s="31" t="str">
        <f t="shared" si="116"/>
        <v>0.999999842376342+0.00271126824897877i</v>
      </c>
      <c r="AA180" s="17">
        <f t="shared" si="129"/>
        <v>1.0000035178579256</v>
      </c>
      <c r="AB180" s="17">
        <f t="shared" si="130"/>
        <v>2.7112620328761765E-3</v>
      </c>
      <c r="AC180" s="66" t="str">
        <f t="shared" si="131"/>
        <v>16.5521089144339-3.78020738425112i</v>
      </c>
      <c r="AD180" s="64">
        <f t="shared" si="132"/>
        <v>24.597878134038197</v>
      </c>
      <c r="AE180" s="61">
        <f t="shared" si="133"/>
        <v>-12.864698557110716</v>
      </c>
      <c r="AF180" s="31" t="str">
        <f t="shared" si="117"/>
        <v>-9090.90909090909</v>
      </c>
      <c r="AG180" s="31" t="str">
        <f t="shared" si="118"/>
        <v>2619.26758523383i</v>
      </c>
      <c r="AH180" s="31">
        <f t="shared" si="134"/>
        <v>2619.2675852338298</v>
      </c>
      <c r="AI180" s="31">
        <f t="shared" si="135"/>
        <v>1.5707963267948966</v>
      </c>
      <c r="AJ180" s="31" t="str">
        <f t="shared" si="119"/>
        <v>0.975145965145583+0.906913543584457i</v>
      </c>
      <c r="AK180" s="31">
        <f t="shared" si="136"/>
        <v>1.33169134144389</v>
      </c>
      <c r="AL180" s="31">
        <f t="shared" si="137"/>
        <v>0.74915990909551744</v>
      </c>
      <c r="AM180" s="31" t="str">
        <f t="shared" si="120"/>
        <v>1+3.45167082382114i</v>
      </c>
      <c r="AN180" s="31">
        <f t="shared" si="138"/>
        <v>3.5936098113203818</v>
      </c>
      <c r="AO180" s="31">
        <f t="shared" si="139"/>
        <v>1.2888020329536847</v>
      </c>
      <c r="AP180" s="31" t="str">
        <f t="shared" si="121"/>
        <v>1+0.576238868751442i</v>
      </c>
      <c r="AQ180" s="31">
        <f t="shared" si="140"/>
        <v>1.1541452394997527</v>
      </c>
      <c r="AR180" s="31">
        <f t="shared" si="141"/>
        <v>0.52276482412332903</v>
      </c>
      <c r="AS180" s="58" t="str">
        <f t="shared" si="142"/>
        <v>-9.44262848740843+5.26186753290064i</v>
      </c>
      <c r="AT180" s="49">
        <f t="shared" si="143"/>
        <v>20.676305107120182</v>
      </c>
      <c r="AU180" s="61">
        <f t="shared" si="144"/>
        <v>150.87143424471446</v>
      </c>
      <c r="AV180" s="58" t="str">
        <f t="shared" si="122"/>
        <v>-136.404464659298+122.790098432736i</v>
      </c>
      <c r="AW180" s="64">
        <f t="shared" si="145"/>
        <v>45.274183241158362</v>
      </c>
      <c r="AX180" s="49">
        <f t="shared" si="146"/>
        <v>138.00673568760374</v>
      </c>
      <c r="AY180" s="310"/>
      <c r="BA180" s="31">
        <f t="shared" si="147"/>
        <v>0</v>
      </c>
      <c r="BB180" s="31">
        <f t="shared" si="148"/>
        <v>0</v>
      </c>
    </row>
    <row r="181" spans="14:54" x14ac:dyDescent="0.45">
      <c r="N181" s="10">
        <v>63</v>
      </c>
      <c r="O181" s="50">
        <f t="shared" si="111"/>
        <v>426.57951880159294</v>
      </c>
      <c r="P181" s="48" t="str">
        <f t="shared" si="112"/>
        <v>17.4002386318441</v>
      </c>
      <c r="Q181" s="17" t="str">
        <f t="shared" si="113"/>
        <v>1+0.229545233264103i</v>
      </c>
      <c r="R181" s="17">
        <f t="shared" si="123"/>
        <v>1.0260073167937309</v>
      </c>
      <c r="S181" s="17">
        <f t="shared" si="124"/>
        <v>0.2256364268492636</v>
      </c>
      <c r="T181" s="17" t="str">
        <f t="shared" si="114"/>
        <v>1+0.000804083449463374i</v>
      </c>
      <c r="U181" s="17">
        <f t="shared" si="125"/>
        <v>1.0000003232750445</v>
      </c>
      <c r="V181" s="17">
        <f t="shared" si="126"/>
        <v>8.0408327617000454E-4</v>
      </c>
      <c r="W181" s="31" t="str">
        <f t="shared" si="115"/>
        <v>1-0.00198377050570556i</v>
      </c>
      <c r="X181" s="17">
        <f t="shared" si="127"/>
        <v>1.0000019676707739</v>
      </c>
      <c r="Y181" s="17">
        <f t="shared" si="128"/>
        <v>-1.9837679034376472E-3</v>
      </c>
      <c r="Z181" s="31" t="str">
        <f t="shared" si="116"/>
        <v>0.999999834947768+0.00277442179937329i</v>
      </c>
      <c r="AA181" s="17">
        <f t="shared" si="129"/>
        <v>1.0000036836491575</v>
      </c>
      <c r="AB181" s="17">
        <f t="shared" si="130"/>
        <v>2.7744151387006817E-3</v>
      </c>
      <c r="AC181" s="66" t="str">
        <f t="shared" si="131"/>
        <v>16.5141384966424-3.85954377776289i</v>
      </c>
      <c r="AD181" s="64">
        <f t="shared" si="132"/>
        <v>24.588082832758623</v>
      </c>
      <c r="AE181" s="61">
        <f t="shared" si="133"/>
        <v>-13.154568191238791</v>
      </c>
      <c r="AF181" s="31" t="str">
        <f t="shared" si="117"/>
        <v>-9090.90909090909</v>
      </c>
      <c r="AG181" s="31" t="str">
        <f t="shared" si="118"/>
        <v>2680.27816487791i</v>
      </c>
      <c r="AH181" s="31">
        <f t="shared" si="134"/>
        <v>2680.2781648779101</v>
      </c>
      <c r="AI181" s="31">
        <f t="shared" si="135"/>
        <v>1.5707963267948966</v>
      </c>
      <c r="AJ181" s="31" t="str">
        <f t="shared" si="119"/>
        <v>0.973974630569688+0.928038273754481i</v>
      </c>
      <c r="AK181" s="31">
        <f t="shared" si="136"/>
        <v>1.3453184078672815</v>
      </c>
      <c r="AL181" s="31">
        <f t="shared" si="137"/>
        <v>0.76125141423737397</v>
      </c>
      <c r="AM181" s="31" t="str">
        <f t="shared" si="120"/>
        <v>1+3.53207056567611i</v>
      </c>
      <c r="AN181" s="31">
        <f t="shared" si="138"/>
        <v>3.670902134478057</v>
      </c>
      <c r="AO181" s="31">
        <f t="shared" si="139"/>
        <v>1.2948967509602771</v>
      </c>
      <c r="AP181" s="31" t="str">
        <f t="shared" si="121"/>
        <v>1+0.58966119627314i</v>
      </c>
      <c r="AQ181" s="31">
        <f t="shared" si="140"/>
        <v>1.1609049601023635</v>
      </c>
      <c r="AR181" s="31">
        <f t="shared" si="141"/>
        <v>0.53278275347956661</v>
      </c>
      <c r="AS181" s="58" t="str">
        <f t="shared" si="142"/>
        <v>-9.40628298669274+5.19215547383425i</v>
      </c>
      <c r="AT181" s="49">
        <f t="shared" si="143"/>
        <v>20.623436701286618</v>
      </c>
      <c r="AU181" s="61">
        <f t="shared" si="144"/>
        <v>151.10182872279816</v>
      </c>
      <c r="AV181" s="58" t="str">
        <f t="shared" si="122"/>
        <v>-135.297308628641+122.047935564166i</v>
      </c>
      <c r="AW181" s="64">
        <f t="shared" si="145"/>
        <v>45.211519534045266</v>
      </c>
      <c r="AX181" s="49">
        <f t="shared" si="146"/>
        <v>137.94726053155938</v>
      </c>
      <c r="AY181" s="310"/>
      <c r="BA181" s="31">
        <f t="shared" si="147"/>
        <v>0</v>
      </c>
      <c r="BB181" s="31">
        <f t="shared" si="148"/>
        <v>0</v>
      </c>
    </row>
    <row r="182" spans="14:54" x14ac:dyDescent="0.45">
      <c r="N182" s="10">
        <v>64</v>
      </c>
      <c r="O182" s="50">
        <f t="shared" si="111"/>
        <v>436.51583224016622</v>
      </c>
      <c r="P182" s="48" t="str">
        <f t="shared" si="112"/>
        <v>17.4002386318441</v>
      </c>
      <c r="Q182" s="17" t="str">
        <f t="shared" si="113"/>
        <v>1+0.234892028610607i</v>
      </c>
      <c r="R182" s="17">
        <f t="shared" si="123"/>
        <v>1.0272167566316304</v>
      </c>
      <c r="S182" s="17">
        <f t="shared" si="124"/>
        <v>0.23070963721539406</v>
      </c>
      <c r="T182" s="17" t="str">
        <f t="shared" si="114"/>
        <v>1+0.000822812959044805i</v>
      </c>
      <c r="U182" s="17">
        <f t="shared" si="125"/>
        <v>1.0000003385105254</v>
      </c>
      <c r="V182" s="17">
        <f t="shared" si="126"/>
        <v>8.2281277335761755E-4</v>
      </c>
      <c r="W182" s="31" t="str">
        <f t="shared" si="115"/>
        <v>1-0.00202997845678174i</v>
      </c>
      <c r="X182" s="17">
        <f t="shared" si="127"/>
        <v>1.0000020604041449</v>
      </c>
      <c r="Y182" s="17">
        <f t="shared" si="128"/>
        <v>-2.0299756684017439E-3</v>
      </c>
      <c r="Z182" s="31" t="str">
        <f t="shared" si="116"/>
        <v>0.999999827169096+0.00283904638492964i</v>
      </c>
      <c r="AA182" s="17">
        <f t="shared" si="129"/>
        <v>1.0000038572538597</v>
      </c>
      <c r="AB182" s="17">
        <f t="shared" si="130"/>
        <v>2.8390392478918401E-3</v>
      </c>
      <c r="AC182" s="66" t="str">
        <f t="shared" si="131"/>
        <v>16.4745615194409-3.94014776382962i</v>
      </c>
      <c r="AD182" s="64">
        <f t="shared" si="132"/>
        <v>24.577849514749055</v>
      </c>
      <c r="AE182" s="61">
        <f t="shared" si="133"/>
        <v>-13.450518811283446</v>
      </c>
      <c r="AF182" s="31" t="str">
        <f t="shared" si="117"/>
        <v>-9090.90909090909</v>
      </c>
      <c r="AG182" s="31" t="str">
        <f t="shared" si="118"/>
        <v>2742.70986348268i</v>
      </c>
      <c r="AH182" s="31">
        <f t="shared" si="134"/>
        <v>2742.7098634826798</v>
      </c>
      <c r="AI182" s="31">
        <f t="shared" si="135"/>
        <v>1.5707963267948966</v>
      </c>
      <c r="AJ182" s="31" t="str">
        <f t="shared" si="119"/>
        <v>0.97274809269595+0.949655062101288i</v>
      </c>
      <c r="AK182" s="31">
        <f t="shared" si="136"/>
        <v>1.3594423815734926</v>
      </c>
      <c r="AL182" s="31">
        <f t="shared" si="137"/>
        <v>0.77338615652907872</v>
      </c>
      <c r="AM182" s="31" t="str">
        <f t="shared" si="120"/>
        <v>1+3.61434305809747i</v>
      </c>
      <c r="AN182" s="31">
        <f t="shared" si="138"/>
        <v>3.7501300966256319</v>
      </c>
      <c r="AO182" s="31">
        <f t="shared" si="139"/>
        <v>1.3008731295189657</v>
      </c>
      <c r="AP182" s="31" t="str">
        <f t="shared" si="121"/>
        <v>1+0.603396169966189i</v>
      </c>
      <c r="AQ182" s="31">
        <f t="shared" si="140"/>
        <v>1.1679413246948094</v>
      </c>
      <c r="AR182" s="31">
        <f t="shared" si="141"/>
        <v>0.54291294294325276</v>
      </c>
      <c r="AS182" s="58" t="str">
        <f t="shared" si="142"/>
        <v>-9.36974756079527+5.12354024673738i</v>
      </c>
      <c r="AT182" s="49">
        <f t="shared" si="143"/>
        <v>20.570680011742517</v>
      </c>
      <c r="AU182" s="61">
        <f t="shared" si="144"/>
        <v>151.32939757412714</v>
      </c>
      <c r="AV182" s="58" t="str">
        <f t="shared" si="122"/>
        <v>-134.17497696588+121.326268891522i</v>
      </c>
      <c r="AW182" s="64">
        <f t="shared" si="145"/>
        <v>45.148529526491579</v>
      </c>
      <c r="AX182" s="49">
        <f t="shared" si="146"/>
        <v>137.87887876284373</v>
      </c>
      <c r="AY182" s="310"/>
      <c r="BA182" s="31">
        <f t="shared" si="147"/>
        <v>0</v>
      </c>
      <c r="BB182" s="31">
        <f t="shared" si="148"/>
        <v>0</v>
      </c>
    </row>
    <row r="183" spans="14:54" x14ac:dyDescent="0.45">
      <c r="N183" s="10">
        <v>65</v>
      </c>
      <c r="O183" s="50">
        <f t="shared" si="111"/>
        <v>446.68359215096331</v>
      </c>
      <c r="P183" s="48" t="str">
        <f t="shared" si="112"/>
        <v>17.4002386318441</v>
      </c>
      <c r="Q183" s="17" t="str">
        <f t="shared" si="113"/>
        <v>1+0.240363366819845i</v>
      </c>
      <c r="R183" s="17">
        <f t="shared" si="123"/>
        <v>1.0284816712557261</v>
      </c>
      <c r="S183" s="17">
        <f t="shared" si="124"/>
        <v>0.23588852917525369</v>
      </c>
      <c r="T183" s="17" t="str">
        <f t="shared" si="114"/>
        <v>1+0.00084197873494834i</v>
      </c>
      <c r="U183" s="17">
        <f t="shared" si="125"/>
        <v>1.0000003544640323</v>
      </c>
      <c r="V183" s="17">
        <f t="shared" si="126"/>
        <v>8.4197853598093775E-4</v>
      </c>
      <c r="W183" s="31" t="str">
        <f t="shared" si="115"/>
        <v>1-0.00207726272930565i</v>
      </c>
      <c r="X183" s="17">
        <f t="shared" si="127"/>
        <v>1.0000021575078959</v>
      </c>
      <c r="Y183" s="17">
        <f t="shared" si="128"/>
        <v>-2.0772597415030024E-3</v>
      </c>
      <c r="Z183" s="31" t="str">
        <f t="shared" si="116"/>
        <v>0.999999819023826+0.00290517627045851i</v>
      </c>
      <c r="AA183" s="17">
        <f t="shared" si="129"/>
        <v>1.0000040390402665</v>
      </c>
      <c r="AB183" s="17">
        <f t="shared" si="130"/>
        <v>2.9051686229863939E-3</v>
      </c>
      <c r="AC183" s="66" t="str">
        <f t="shared" si="131"/>
        <v>16.4333185032383-4.02201226265613i</v>
      </c>
      <c r="AD183" s="64">
        <f t="shared" si="132"/>
        <v>24.567159694045237</v>
      </c>
      <c r="AE183" s="61">
        <f t="shared" si="133"/>
        <v>-13.752647457749825</v>
      </c>
      <c r="AF183" s="31" t="str">
        <f t="shared" si="117"/>
        <v>-9090.90909090909</v>
      </c>
      <c r="AG183" s="31" t="str">
        <f t="shared" si="118"/>
        <v>2806.59578316113i</v>
      </c>
      <c r="AH183" s="31">
        <f t="shared" si="134"/>
        <v>2806.5957831611299</v>
      </c>
      <c r="AI183" s="31">
        <f t="shared" si="135"/>
        <v>1.5707963267948966</v>
      </c>
      <c r="AJ183" s="31" t="str">
        <f t="shared" si="119"/>
        <v>0.971463749873092+0.971775370132192i</v>
      </c>
      <c r="AK183" s="31">
        <f t="shared" si="136"/>
        <v>1.3740775768904199</v>
      </c>
      <c r="AL183" s="31">
        <f t="shared" si="137"/>
        <v>0.78555852464852682</v>
      </c>
      <c r="AM183" s="31" t="str">
        <f t="shared" si="120"/>
        <v>1+3.69853192304974i</v>
      </c>
      <c r="AN183" s="31">
        <f t="shared" si="138"/>
        <v>3.8313363707482031</v>
      </c>
      <c r="AO183" s="31">
        <f t="shared" si="139"/>
        <v>1.3067326290375838</v>
      </c>
      <c r="AP183" s="31" t="str">
        <f t="shared" si="121"/>
        <v>1+0.617451072295448i</v>
      </c>
      <c r="AQ183" s="31">
        <f t="shared" si="140"/>
        <v>1.175264151873441</v>
      </c>
      <c r="AR183" s="31">
        <f t="shared" si="141"/>
        <v>0.55315244662558039</v>
      </c>
      <c r="AS183" s="58" t="str">
        <f t="shared" si="142"/>
        <v>-9.33305894582133+5.05597456955247i</v>
      </c>
      <c r="AT183" s="49">
        <f t="shared" si="143"/>
        <v>20.518039314381731</v>
      </c>
      <c r="AU183" s="61">
        <f t="shared" si="144"/>
        <v>151.55437719198477</v>
      </c>
      <c r="AV183" s="58" t="str">
        <f t="shared" si="122"/>
        <v>-133.037938547762+120.624117973915i</v>
      </c>
      <c r="AW183" s="64">
        <f t="shared" si="145"/>
        <v>45.085199008426983</v>
      </c>
      <c r="AX183" s="49">
        <f t="shared" si="146"/>
        <v>137.80172973423493</v>
      </c>
      <c r="AY183" s="310"/>
      <c r="BA183" s="31">
        <f t="shared" si="147"/>
        <v>0</v>
      </c>
      <c r="BB183" s="31">
        <f t="shared" si="148"/>
        <v>0</v>
      </c>
    </row>
    <row r="184" spans="14:54" x14ac:dyDescent="0.45">
      <c r="N184" s="10">
        <v>66</v>
      </c>
      <c r="O184" s="50">
        <f t="shared" ref="O184:O218" si="149">10^(2+(N184/100))</f>
        <v>457.0881896148756</v>
      </c>
      <c r="P184" s="48" t="str">
        <f t="shared" si="112"/>
        <v>17.4002386318441</v>
      </c>
      <c r="Q184" s="17" t="str">
        <f t="shared" si="113"/>
        <v>1+0.245962148867756i</v>
      </c>
      <c r="R184" s="17">
        <f t="shared" si="123"/>
        <v>1.0298045342081401</v>
      </c>
      <c r="S184" s="17">
        <f t="shared" si="124"/>
        <v>0.24117473693539221</v>
      </c>
      <c r="T184" s="17" t="str">
        <f t="shared" si="114"/>
        <v>1+0.000861590939122051i</v>
      </c>
      <c r="U184" s="17">
        <f t="shared" si="125"/>
        <v>1.0000003711694043</v>
      </c>
      <c r="V184" s="17">
        <f t="shared" si="126"/>
        <v>8.6159072592464263E-4</v>
      </c>
      <c r="W184" s="31" t="str">
        <f t="shared" si="115"/>
        <v>1-0.00212564839402447i</v>
      </c>
      <c r="X184" s="17">
        <f t="shared" si="127"/>
        <v>1.0000022591879956</v>
      </c>
      <c r="Y184" s="17">
        <f t="shared" si="128"/>
        <v>-2.1256451925366435E-3</v>
      </c>
      <c r="Z184" s="31" t="str">
        <f t="shared" si="116"/>
        <v>0.999999810494682+0.00297284651890053i</v>
      </c>
      <c r="AA184" s="17">
        <f t="shared" si="129"/>
        <v>1.0000042293939686</v>
      </c>
      <c r="AB184" s="17">
        <f t="shared" si="130"/>
        <v>2.9728383244883912E-3</v>
      </c>
      <c r="AC184" s="66" t="str">
        <f t="shared" si="131"/>
        <v>16.3903485377407-4.10512795420233i</v>
      </c>
      <c r="AD184" s="64">
        <f t="shared" si="132"/>
        <v>24.555994204539182</v>
      </c>
      <c r="AE184" s="61">
        <f t="shared" si="133"/>
        <v>-14.061050626755321</v>
      </c>
      <c r="AF184" s="31" t="str">
        <f t="shared" si="117"/>
        <v>-9090.90909090909</v>
      </c>
      <c r="AG184" s="31" t="str">
        <f t="shared" si="118"/>
        <v>2871.9697970735i</v>
      </c>
      <c r="AH184" s="31">
        <f t="shared" si="134"/>
        <v>2871.9697970735001</v>
      </c>
      <c r="AI184" s="31">
        <f t="shared" si="135"/>
        <v>1.5707963267948966</v>
      </c>
      <c r="AJ184" s="31" t="str">
        <f t="shared" si="119"/>
        <v>0.970118877837793+0.994410926327309i</v>
      </c>
      <c r="AK184" s="31">
        <f t="shared" si="136"/>
        <v>1.3892385423448328</v>
      </c>
      <c r="AL184" s="31">
        <f t="shared" si="137"/>
        <v>0.79776285771602284</v>
      </c>
      <c r="AM184" s="31" t="str">
        <f t="shared" si="120"/>
        <v>1+3.78468179858346i</v>
      </c>
      <c r="AN184" s="31">
        <f t="shared" si="138"/>
        <v>3.9145646394623417</v>
      </c>
      <c r="AO184" s="31">
        <f t="shared" si="139"/>
        <v>1.3124767462241971</v>
      </c>
      <c r="AP184" s="31" t="str">
        <f t="shared" si="121"/>
        <v>1+0.631833355356169i</v>
      </c>
      <c r="AQ184" s="31">
        <f t="shared" si="140"/>
        <v>1.1828835060734573</v>
      </c>
      <c r="AR184" s="31">
        <f t="shared" si="141"/>
        <v>0.56349810453108773</v>
      </c>
      <c r="AS184" s="58" t="str">
        <f t="shared" si="142"/>
        <v>-9.29625443082963+4.98941428750538i</v>
      </c>
      <c r="AT184" s="49">
        <f t="shared" si="143"/>
        <v>20.465521354102478</v>
      </c>
      <c r="AU184" s="61">
        <f t="shared" si="144"/>
        <v>151.77699662153864</v>
      </c>
      <c r="AV184" s="58" t="str">
        <f t="shared" si="122"/>
        <v>-131.886666150079+119.940553104772i</v>
      </c>
      <c r="AW184" s="64">
        <f t="shared" si="145"/>
        <v>45.021515558641639</v>
      </c>
      <c r="AX184" s="49">
        <f t="shared" si="146"/>
        <v>137.71594599478343</v>
      </c>
      <c r="AY184" s="310"/>
      <c r="BA184" s="31">
        <f t="shared" si="147"/>
        <v>0</v>
      </c>
      <c r="BB184" s="31">
        <f t="shared" si="148"/>
        <v>0</v>
      </c>
    </row>
    <row r="185" spans="14:54" x14ac:dyDescent="0.45">
      <c r="N185" s="10">
        <v>67</v>
      </c>
      <c r="O185" s="50">
        <f t="shared" si="149"/>
        <v>467.7351412871983</v>
      </c>
      <c r="P185" s="48" t="str">
        <f t="shared" si="112"/>
        <v>17.4002386318441</v>
      </c>
      <c r="Q185" s="17" t="str">
        <f t="shared" si="113"/>
        <v>1+0.25169134330269i</v>
      </c>
      <c r="R185" s="17">
        <f t="shared" si="123"/>
        <v>1.0311879228799727</v>
      </c>
      <c r="S185" s="17">
        <f t="shared" si="124"/>
        <v>0.2465698810574645</v>
      </c>
      <c r="T185" s="17" t="str">
        <f t="shared" si="114"/>
        <v>1+0.000881659970216188i</v>
      </c>
      <c r="U185" s="17">
        <f t="shared" si="125"/>
        <v>1.0000003886620761</v>
      </c>
      <c r="V185" s="17">
        <f t="shared" si="126"/>
        <v>8.8165974177105389E-4</v>
      </c>
      <c r="W185" s="31" t="str">
        <f t="shared" si="115"/>
        <v>1-0.00217516110565808i</v>
      </c>
      <c r="X185" s="17">
        <f t="shared" si="127"/>
        <v>1.0000023656601196</v>
      </c>
      <c r="Y185" s="17">
        <f t="shared" si="128"/>
        <v>-2.1751576752025064E-3</v>
      </c>
      <c r="Z185" s="31" t="str">
        <f t="shared" si="116"/>
        <v>0.999999801563571+0.00304209300991715i</v>
      </c>
      <c r="AA185" s="17">
        <f t="shared" si="129"/>
        <v>1.0000044287187244</v>
      </c>
      <c r="AB185" s="17">
        <f t="shared" si="130"/>
        <v>3.042084229448449E-3</v>
      </c>
      <c r="AC185" s="66" t="str">
        <f t="shared" si="131"/>
        <v>16.3455893211394-4.18948313489338i</v>
      </c>
      <c r="AD185" s="64">
        <f t="shared" si="132"/>
        <v>24.544333184026428</v>
      </c>
      <c r="AE185" s="61">
        <f t="shared" si="133"/>
        <v>-14.37582409930069</v>
      </c>
      <c r="AF185" s="31" t="str">
        <f t="shared" si="117"/>
        <v>-9090.90909090909</v>
      </c>
      <c r="AG185" s="31" t="str">
        <f t="shared" si="118"/>
        <v>2938.86656738729i</v>
      </c>
      <c r="AH185" s="31">
        <f t="shared" si="134"/>
        <v>2938.8665673872902</v>
      </c>
      <c r="AI185" s="31">
        <f t="shared" si="135"/>
        <v>1.5707963267948966</v>
      </c>
      <c r="AJ185" s="31" t="str">
        <f t="shared" si="119"/>
        <v>0.968710623936157+1.01757373235815i</v>
      </c>
      <c r="AK185" s="31">
        <f t="shared" si="136"/>
        <v>1.4049400605406888</v>
      </c>
      <c r="AL185" s="31">
        <f t="shared" si="137"/>
        <v>0.80999346113082671</v>
      </c>
      <c r="AM185" s="31" t="str">
        <f t="shared" si="120"/>
        <v>1+3.87283836250297i</v>
      </c>
      <c r="AN185" s="31">
        <f t="shared" si="138"/>
        <v>3.9998596202960277</v>
      </c>
      <c r="AO185" s="31">
        <f t="shared" si="139"/>
        <v>1.3181070098532668</v>
      </c>
      <c r="AP185" s="31" t="str">
        <f t="shared" si="121"/>
        <v>1+0.646550644825203i</v>
      </c>
      <c r="AQ185" s="31">
        <f t="shared" si="140"/>
        <v>1.1908096977787366</v>
      </c>
      <c r="AR185" s="31">
        <f t="shared" si="141"/>
        <v>0.57394654313313842</v>
      </c>
      <c r="AS185" s="58" t="str">
        <f t="shared" si="142"/>
        <v>-9.25937169941376+4.92381839711311i</v>
      </c>
      <c r="AT185" s="49">
        <f t="shared" si="143"/>
        <v>20.41313525310013</v>
      </c>
      <c r="AU185" s="61">
        <f t="shared" si="144"/>
        <v>151.99747644286273</v>
      </c>
      <c r="AV185" s="58" t="str">
        <f t="shared" si="122"/>
        <v>-130.721633036415+119.274694985485i</v>
      </c>
      <c r="AW185" s="64">
        <f t="shared" si="145"/>
        <v>44.957468437126565</v>
      </c>
      <c r="AX185" s="49">
        <f t="shared" si="146"/>
        <v>137.62165234356206</v>
      </c>
      <c r="AY185" s="310"/>
      <c r="BA185" s="31">
        <f t="shared" si="147"/>
        <v>0</v>
      </c>
      <c r="BB185" s="31">
        <f t="shared" si="148"/>
        <v>0</v>
      </c>
    </row>
    <row r="186" spans="14:54" x14ac:dyDescent="0.45">
      <c r="N186" s="10">
        <v>68</v>
      </c>
      <c r="O186" s="50">
        <f t="shared" si="149"/>
        <v>478.63009232263886</v>
      </c>
      <c r="P186" s="48" t="str">
        <f t="shared" si="112"/>
        <v>17.4002386318441</v>
      </c>
      <c r="Q186" s="17" t="str">
        <f t="shared" si="113"/>
        <v>1+0.257553987819372i</v>
      </c>
      <c r="R186" s="17">
        <f t="shared" si="123"/>
        <v>1.0326345222980207</v>
      </c>
      <c r="S186" s="17">
        <f t="shared" si="124"/>
        <v>0.25207556526280761</v>
      </c>
      <c r="T186" s="17" t="str">
        <f t="shared" si="114"/>
        <v>1+0.000902196469096684i</v>
      </c>
      <c r="U186" s="17">
        <f t="shared" si="125"/>
        <v>1.0000004069791517</v>
      </c>
      <c r="V186" s="17">
        <f t="shared" si="126"/>
        <v>9.0219622431331799E-4</v>
      </c>
      <c r="W186" s="31" t="str">
        <f t="shared" si="115"/>
        <v>1-0.00222582711650157i</v>
      </c>
      <c r="X186" s="17">
        <f t="shared" si="127"/>
        <v>1.0000024771501081</v>
      </c>
      <c r="Y186" s="17">
        <f t="shared" si="128"/>
        <v>-2.2258234407026892E-3</v>
      </c>
      <c r="Z186" s="31" t="str">
        <f t="shared" si="116"/>
        <v>0.999999792211551+0.00311295245891448i</v>
      </c>
      <c r="AA186" s="17">
        <f t="shared" si="129"/>
        <v>1.0000046374373253</v>
      </c>
      <c r="AB186" s="17">
        <f t="shared" si="130"/>
        <v>3.112943050475111E-3</v>
      </c>
      <c r="AC186" s="66" t="str">
        <f t="shared" si="131"/>
        <v>16.2989772081448-4.27506357008772i</v>
      </c>
      <c r="AD186" s="64">
        <f t="shared" si="132"/>
        <v>24.532156058745048</v>
      </c>
      <c r="AE186" s="61">
        <f t="shared" si="133"/>
        <v>-14.697062759737955</v>
      </c>
      <c r="AF186" s="31" t="str">
        <f t="shared" si="117"/>
        <v>-9090.90909090909</v>
      </c>
      <c r="AG186" s="31" t="str">
        <f t="shared" si="118"/>
        <v>3007.32156365561i</v>
      </c>
      <c r="AH186" s="31">
        <f t="shared" si="134"/>
        <v>3007.3215636556101</v>
      </c>
      <c r="AI186" s="31">
        <f t="shared" si="135"/>
        <v>1.5707963267948966</v>
      </c>
      <c r="AJ186" s="31" t="str">
        <f t="shared" si="119"/>
        <v>0.96723600107285+1.04127606945107i</v>
      </c>
      <c r="AK186" s="31">
        <f t="shared" si="136"/>
        <v>1.4211971483868338</v>
      </c>
      <c r="AL186" s="31">
        <f t="shared" si="137"/>
        <v>0.82224462268085208</v>
      </c>
      <c r="AM186" s="31" t="str">
        <f t="shared" si="120"/>
        <v>1+3.96304835658536i</v>
      </c>
      <c r="AN186" s="31">
        <f t="shared" si="138"/>
        <v>4.0872670914235494</v>
      </c>
      <c r="AO186" s="31">
        <f t="shared" si="139"/>
        <v>1.3236249767423518</v>
      </c>
      <c r="AP186" s="31" t="str">
        <f t="shared" si="121"/>
        <v>1+0.661610744004234i</v>
      </c>
      <c r="AQ186" s="31">
        <f t="shared" si="140"/>
        <v>1.1990532834623473</v>
      </c>
      <c r="AR186" s="31">
        <f t="shared" si="141"/>
        <v>0.58449417683483196</v>
      </c>
      <c r="AS186" s="58" t="str">
        <f t="shared" si="142"/>
        <v>-9.22244866742048+4.85914905687971i</v>
      </c>
      <c r="AT186" s="49">
        <f t="shared" si="143"/>
        <v>20.36089240632819</v>
      </c>
      <c r="AU186" s="61">
        <f t="shared" si="144"/>
        <v>152.21602770110792</v>
      </c>
      <c r="AV186" s="58" t="str">
        <f t="shared" si="122"/>
        <v>-129.543309518879+118.625714054154i</v>
      </c>
      <c r="AW186" s="64">
        <f t="shared" si="145"/>
        <v>44.893048465073228</v>
      </c>
      <c r="AX186" s="49">
        <f t="shared" si="146"/>
        <v>137.51896494136992</v>
      </c>
      <c r="AY186" s="310"/>
      <c r="BA186" s="31">
        <f t="shared" si="147"/>
        <v>0</v>
      </c>
      <c r="BB186" s="31">
        <f t="shared" si="148"/>
        <v>0</v>
      </c>
    </row>
    <row r="187" spans="14:54" x14ac:dyDescent="0.45">
      <c r="N187" s="10">
        <v>69</v>
      </c>
      <c r="O187" s="50">
        <f t="shared" si="149"/>
        <v>489.77881936844625</v>
      </c>
      <c r="P187" s="48" t="str">
        <f t="shared" si="112"/>
        <v>17.4002386318441</v>
      </c>
      <c r="Q187" s="17" t="str">
        <f t="shared" si="113"/>
        <v>1+0.263553190869526i</v>
      </c>
      <c r="R187" s="17">
        <f t="shared" si="123"/>
        <v>1.0341471289993067</v>
      </c>
      <c r="S187" s="17">
        <f t="shared" si="124"/>
        <v>0.25769337304254042</v>
      </c>
      <c r="T187" s="17" t="str">
        <f t="shared" si="114"/>
        <v>1+0.000923211324487078i</v>
      </c>
      <c r="U187" s="17">
        <f t="shared" si="125"/>
        <v>1.0000004261594841</v>
      </c>
      <c r="V187" s="17">
        <f t="shared" si="126"/>
        <v>9.2321106219698178E-4</v>
      </c>
      <c r="W187" s="31" t="str">
        <f t="shared" si="115"/>
        <v>1-0.00227767329034454i</v>
      </c>
      <c r="X187" s="17">
        <f t="shared" si="127"/>
        <v>1.0000025938944446</v>
      </c>
      <c r="Y187" s="17">
        <f t="shared" si="128"/>
        <v>-2.2776693516556286E-3</v>
      </c>
      <c r="Z187" s="31" t="str">
        <f t="shared" si="116"/>
        <v>0.999999782418783+0.00318546243651034i</v>
      </c>
      <c r="AA187" s="17">
        <f t="shared" si="129"/>
        <v>1.0000048559924835</v>
      </c>
      <c r="AB187" s="17">
        <f t="shared" si="130"/>
        <v>3.1854523551885666E-3</v>
      </c>
      <c r="AC187" s="66" t="str">
        <f t="shared" si="131"/>
        <v>16.2504472675672-4.36185234261902i</v>
      </c>
      <c r="AD187" s="64">
        <f t="shared" si="132"/>
        <v>24.519441528510391</v>
      </c>
      <c r="AE187" s="61">
        <f t="shared" si="133"/>
        <v>-15.024860403132653</v>
      </c>
      <c r="AF187" s="31" t="str">
        <f t="shared" si="117"/>
        <v>-9090.90909090909</v>
      </c>
      <c r="AG187" s="31" t="str">
        <f t="shared" si="118"/>
        <v>3077.37108162359i</v>
      </c>
      <c r="AH187" s="31">
        <f t="shared" si="134"/>
        <v>3077.3710816235898</v>
      </c>
      <c r="AI187" s="31">
        <f t="shared" si="135"/>
        <v>1.5707963267948966</v>
      </c>
      <c r="AJ187" s="31" t="str">
        <f t="shared" si="119"/>
        <v>0.965691881375072+1.06553050489892i</v>
      </c>
      <c r="AK187" s="31">
        <f t="shared" si="136"/>
        <v>1.4380250577176581</v>
      </c>
      <c r="AL187" s="31">
        <f t="shared" si="137"/>
        <v>0.8345106288240296</v>
      </c>
      <c r="AM187" s="31" t="str">
        <f t="shared" si="120"/>
        <v>1+4.05535961136356i</v>
      </c>
      <c r="AN187" s="31">
        <f t="shared" si="138"/>
        <v>4.1768339178711429</v>
      </c>
      <c r="AO187" s="31">
        <f t="shared" si="139"/>
        <v>1.3290322279365168</v>
      </c>
      <c r="AP187" s="31" t="str">
        <f t="shared" si="121"/>
        <v>1+0.677021637957189i</v>
      </c>
      <c r="AQ187" s="31">
        <f t="shared" si="140"/>
        <v>1.2076250652674592</v>
      </c>
      <c r="AR187" s="31">
        <f t="shared" si="141"/>
        <v>0.59513721035005629</v>
      </c>
      <c r="AS187" s="58" t="str">
        <f t="shared" si="142"/>
        <v>-9.18552331822673+4.7953715843093i</v>
      </c>
      <c r="AT187" s="49">
        <f t="shared" si="143"/>
        <v>20.308806364669771</v>
      </c>
      <c r="AU187" s="61">
        <f t="shared" si="144"/>
        <v>152.43285089145363</v>
      </c>
      <c r="AV187" s="58" t="str">
        <f t="shared" si="122"/>
        <v>-128.352159529104+117.992829462997i</v>
      </c>
      <c r="AW187" s="64">
        <f t="shared" si="145"/>
        <v>44.828247893180148</v>
      </c>
      <c r="AX187" s="49">
        <f t="shared" si="146"/>
        <v>137.40799048832105</v>
      </c>
      <c r="AY187" s="310"/>
      <c r="BA187" s="31">
        <f t="shared" si="147"/>
        <v>0</v>
      </c>
      <c r="BB187" s="31">
        <f t="shared" si="148"/>
        <v>0</v>
      </c>
    </row>
    <row r="188" spans="14:54" x14ac:dyDescent="0.45">
      <c r="N188" s="10">
        <v>70</v>
      </c>
      <c r="O188" s="50">
        <f t="shared" si="149"/>
        <v>501.18723362727269</v>
      </c>
      <c r="P188" s="48" t="str">
        <f t="shared" si="112"/>
        <v>17.4002386318441</v>
      </c>
      <c r="Q188" s="17" t="str">
        <f t="shared" si="113"/>
        <v>1+0.269692133310018i</v>
      </c>
      <c r="R188" s="17">
        <f t="shared" si="123"/>
        <v>1.0357286549909241</v>
      </c>
      <c r="S188" s="17">
        <f t="shared" si="124"/>
        <v>0.26342486406832477</v>
      </c>
      <c r="T188" s="17" t="str">
        <f t="shared" si="114"/>
        <v>1+0.000944715678741859i</v>
      </c>
      <c r="U188" s="17">
        <f t="shared" si="125"/>
        <v>1.0000004462437573</v>
      </c>
      <c r="V188" s="17">
        <f t="shared" si="126"/>
        <v>9.4471539769296412E-4</v>
      </c>
      <c r="W188" s="31" t="str">
        <f t="shared" si="115"/>
        <v>1-0.00233072711671461i</v>
      </c>
      <c r="X188" s="17">
        <f t="shared" si="127"/>
        <v>1.0000027161407576</v>
      </c>
      <c r="Y188" s="17">
        <f t="shared" si="128"/>
        <v>-2.3307228963340234E-3</v>
      </c>
      <c r="Z188" s="31" t="str">
        <f t="shared" si="116"/>
        <v>0.999999772164496+0.0032596613884546i</v>
      </c>
      <c r="AA188" s="17">
        <f t="shared" si="129"/>
        <v>1.0000050848477777</v>
      </c>
      <c r="AB188" s="17">
        <f t="shared" si="130"/>
        <v>3.2596505861266631E-3</v>
      </c>
      <c r="AC188" s="66" t="str">
        <f t="shared" si="131"/>
        <v>16.1999333501653-4.44982969779411i</v>
      </c>
      <c r="AD188" s="64">
        <f t="shared" si="132"/>
        <v>24.506167552558207</v>
      </c>
      <c r="AE188" s="61">
        <f t="shared" si="133"/>
        <v>-15.359309531240509</v>
      </c>
      <c r="AF188" s="31" t="str">
        <f t="shared" si="117"/>
        <v>-9090.90909090909</v>
      </c>
      <c r="AG188" s="31" t="str">
        <f t="shared" si="118"/>
        <v>3149.05226247286i</v>
      </c>
      <c r="AH188" s="31">
        <f t="shared" si="134"/>
        <v>3149.0522624728601</v>
      </c>
      <c r="AI188" s="31">
        <f t="shared" si="135"/>
        <v>1.5707963267948966</v>
      </c>
      <c r="AJ188" s="31" t="str">
        <f t="shared" si="119"/>
        <v>0.964074989557921+1.09034989872444i</v>
      </c>
      <c r="AK188" s="31">
        <f t="shared" si="136"/>
        <v>1.4554392763490691</v>
      </c>
      <c r="AL188" s="31">
        <f t="shared" si="137"/>
        <v>0.84678578103789415</v>
      </c>
      <c r="AM188" s="31" t="str">
        <f t="shared" si="120"/>
        <v>1+4.14982107148673i</v>
      </c>
      <c r="AN188" s="31">
        <f t="shared" si="138"/>
        <v>4.2686080782094846</v>
      </c>
      <c r="AO188" s="31">
        <f t="shared" si="139"/>
        <v>1.3343303650968443</v>
      </c>
      <c r="AP188" s="31" t="str">
        <f t="shared" si="121"/>
        <v>1+0.692791497744029i</v>
      </c>
      <c r="AQ188" s="31">
        <f t="shared" si="140"/>
        <v>1.2165360904413871</v>
      </c>
      <c r="AR188" s="31">
        <f t="shared" si="141"/>
        <v>0.60587164203351351</v>
      </c>
      <c r="AS188" s="58" t="str">
        <f t="shared" si="142"/>
        <v>-9.14863353703372+4.73245443903051i</v>
      </c>
      <c r="AT188" s="49">
        <f t="shared" si="143"/>
        <v>20.256892706486514</v>
      </c>
      <c r="AU188" s="61">
        <f t="shared" si="144"/>
        <v>152.64813500622043</v>
      </c>
      <c r="AV188" s="58" t="str">
        <f t="shared" si="122"/>
        <v>-127.148637238778+117.375307702316i</v>
      </c>
      <c r="AW188" s="64">
        <f t="shared" si="145"/>
        <v>44.763060259044721</v>
      </c>
      <c r="AX188" s="49">
        <f t="shared" si="146"/>
        <v>137.28882547497997</v>
      </c>
      <c r="AY188" s="310"/>
      <c r="BA188" s="31">
        <f t="shared" si="147"/>
        <v>0</v>
      </c>
      <c r="BB188" s="31">
        <f t="shared" si="148"/>
        <v>0</v>
      </c>
    </row>
    <row r="189" spans="14:54" x14ac:dyDescent="0.45">
      <c r="N189" s="10">
        <v>71</v>
      </c>
      <c r="O189" s="50">
        <f t="shared" si="149"/>
        <v>512.86138399136519</v>
      </c>
      <c r="P189" s="48" t="str">
        <f t="shared" si="112"/>
        <v>17.4002386318441</v>
      </c>
      <c r="Q189" s="17" t="str">
        <f t="shared" si="113"/>
        <v>1+0.275974070089388i</v>
      </c>
      <c r="R189" s="17">
        <f t="shared" si="123"/>
        <v>1.037382131792187</v>
      </c>
      <c r="S189" s="17">
        <f t="shared" si="124"/>
        <v>0.26927157039946331</v>
      </c>
      <c r="T189" s="17" t="str">
        <f t="shared" si="114"/>
        <v>1+0.0009667209337543i</v>
      </c>
      <c r="U189" s="17">
        <f t="shared" si="125"/>
        <v>1.0000004672745726</v>
      </c>
      <c r="V189" s="17">
        <f t="shared" si="126"/>
        <v>9.6672063260499108E-4</v>
      </c>
      <c r="W189" s="31" t="str">
        <f t="shared" si="115"/>
        <v>1-0.00238501672545278i</v>
      </c>
      <c r="X189" s="17">
        <f t="shared" si="127"/>
        <v>1.0000028441483457</v>
      </c>
      <c r="Y189" s="17">
        <f t="shared" si="128"/>
        <v>-2.3850122032342005E-3</v>
      </c>
      <c r="Z189" s="31" t="str">
        <f t="shared" si="116"/>
        <v>0.999999761426939+0.00333558865601374i</v>
      </c>
      <c r="AA189" s="17">
        <f t="shared" si="129"/>
        <v>1.0000053244886333</v>
      </c>
      <c r="AB189" s="17">
        <f t="shared" si="130"/>
        <v>3.335577081114142E-3</v>
      </c>
      <c r="AC189" s="66" t="str">
        <f t="shared" si="131"/>
        <v>16.1473681674933-4.53897288530131i</v>
      </c>
      <c r="AD189" s="64">
        <f t="shared" si="132"/>
        <v>24.49231133621462</v>
      </c>
      <c r="AE189" s="61">
        <f t="shared" si="133"/>
        <v>-15.70050113685352</v>
      </c>
      <c r="AF189" s="31" t="str">
        <f t="shared" si="117"/>
        <v>-9090.90909090909</v>
      </c>
      <c r="AG189" s="31" t="str">
        <f t="shared" si="118"/>
        <v>3222.40311251433i</v>
      </c>
      <c r="AH189" s="31">
        <f t="shared" si="134"/>
        <v>3222.4031125143301</v>
      </c>
      <c r="AI189" s="31">
        <f t="shared" si="135"/>
        <v>1.5707963267948966</v>
      </c>
      <c r="AJ189" s="31" t="str">
        <f t="shared" si="119"/>
        <v>0.962381895977072+1.11574741049875i</v>
      </c>
      <c r="AK189" s="31">
        <f t="shared" si="136"/>
        <v>1.4734555296102729</v>
      </c>
      <c r="AL189" s="31">
        <f t="shared" si="137"/>
        <v>0.85906441213305162</v>
      </c>
      <c r="AM189" s="31" t="str">
        <f t="shared" si="120"/>
        <v>1+4.24648282167138i</v>
      </c>
      <c r="AN189" s="31">
        <f t="shared" si="138"/>
        <v>4.362638691749539</v>
      </c>
      <c r="AO189" s="31">
        <f t="shared" si="139"/>
        <v>1.3395210070887922</v>
      </c>
      <c r="AP189" s="31" t="str">
        <f t="shared" si="121"/>
        <v>1+0.708928684753152i</v>
      </c>
      <c r="AQ189" s="31">
        <f t="shared" si="140"/>
        <v>1.2257976505385519</v>
      </c>
      <c r="AR189" s="31">
        <f t="shared" si="141"/>
        <v>0.61669326818193615</v>
      </c>
      <c r="AS189" s="58" t="str">
        <f t="shared" si="142"/>
        <v>-9.11181694565106+4.67036919200104i</v>
      </c>
      <c r="AT189" s="49">
        <f t="shared" si="143"/>
        <v>20.205168898335959</v>
      </c>
      <c r="AU189" s="61">
        <f t="shared" si="144"/>
        <v>152.86205665114483</v>
      </c>
      <c r="AV189" s="58" t="str">
        <f t="shared" si="122"/>
        <v>-125.933183769393+116.772460873498i</v>
      </c>
      <c r="AW189" s="64">
        <f t="shared" si="145"/>
        <v>44.697480234550582</v>
      </c>
      <c r="AX189" s="49">
        <f t="shared" si="146"/>
        <v>137.16155551429139</v>
      </c>
      <c r="AY189" s="310"/>
      <c r="BA189" s="31">
        <f t="shared" si="147"/>
        <v>0</v>
      </c>
      <c r="BB189" s="31">
        <f t="shared" si="148"/>
        <v>0</v>
      </c>
    </row>
    <row r="190" spans="14:54" x14ac:dyDescent="0.45">
      <c r="N190" s="10">
        <v>72</v>
      </c>
      <c r="O190" s="50">
        <f t="shared" si="149"/>
        <v>524.80746024977248</v>
      </c>
      <c r="P190" s="48" t="str">
        <f t="shared" si="112"/>
        <v>17.4002386318441</v>
      </c>
      <c r="Q190" s="17" t="str">
        <f t="shared" si="113"/>
        <v>1+0.282402331973669i</v>
      </c>
      <c r="R190" s="17">
        <f t="shared" si="123"/>
        <v>1.0391107145555598</v>
      </c>
      <c r="S190" s="17">
        <f t="shared" si="124"/>
        <v>0.27523499248265626</v>
      </c>
      <c r="T190" s="17" t="str">
        <f t="shared" si="114"/>
        <v>1+0.000989238757001884i</v>
      </c>
      <c r="U190" s="17">
        <f t="shared" si="125"/>
        <v>1.0000004892965395</v>
      </c>
      <c r="V190" s="17">
        <f t="shared" si="126"/>
        <v>9.8923843431459419E-4</v>
      </c>
      <c r="W190" s="31" t="str">
        <f t="shared" si="115"/>
        <v>1-0.00244057090162823i</v>
      </c>
      <c r="X190" s="17">
        <f t="shared" si="127"/>
        <v>1.0000029781887281</v>
      </c>
      <c r="Y190" s="17">
        <f t="shared" si="128"/>
        <v>-2.4405660559844991E-3</v>
      </c>
      <c r="Z190" s="31" t="str">
        <f t="shared" si="116"/>
        <v>0.999999750183338+0.00341328449683005i</v>
      </c>
      <c r="AA190" s="17">
        <f t="shared" si="129"/>
        <v>1.0000055754233546</v>
      </c>
      <c r="AB190" s="17">
        <f t="shared" si="130"/>
        <v>3.4132720941054051E-3</v>
      </c>
      <c r="AC190" s="66" t="str">
        <f t="shared" si="131"/>
        <v>16.092683382493-4.62925599856289i</v>
      </c>
      <c r="AD190" s="64">
        <f t="shared" si="132"/>
        <v>24.477849318522864</v>
      </c>
      <c r="AE190" s="61">
        <f t="shared" si="133"/>
        <v>-16.048524476305587</v>
      </c>
      <c r="AF190" s="31" t="str">
        <f t="shared" si="117"/>
        <v>-9090.90909090909</v>
      </c>
      <c r="AG190" s="31" t="str">
        <f t="shared" si="118"/>
        <v>3297.46252333961i</v>
      </c>
      <c r="AH190" s="31">
        <f t="shared" si="134"/>
        <v>3297.46252333961</v>
      </c>
      <c r="AI190" s="31">
        <f t="shared" si="135"/>
        <v>1.5707963267948966</v>
      </c>
      <c r="AJ190" s="31" t="str">
        <f t="shared" si="119"/>
        <v>0.960609009354044+1.14173650631877i</v>
      </c>
      <c r="AK190" s="31">
        <f t="shared" si="136"/>
        <v>1.4920897823901713</v>
      </c>
      <c r="AL190" s="31">
        <f t="shared" si="137"/>
        <v>0.87134090242683182</v>
      </c>
      <c r="AM190" s="31" t="str">
        <f t="shared" si="120"/>
        <v>1+4.34539611325694i</v>
      </c>
      <c r="AN190" s="31">
        <f t="shared" si="138"/>
        <v>4.4589760462586616</v>
      </c>
      <c r="AO190" s="31">
        <f t="shared" si="139"/>
        <v>1.3446057867655847</v>
      </c>
      <c r="AP190" s="31" t="str">
        <f t="shared" si="121"/>
        <v>1+0.725441755134714i</v>
      </c>
      <c r="AQ190" s="31">
        <f t="shared" si="140"/>
        <v>1.2354212804112346</v>
      </c>
      <c r="AR190" s="31">
        <f t="shared" si="141"/>
        <v>0.62759768832148721</v>
      </c>
      <c r="AS190" s="58" t="str">
        <f t="shared" si="142"/>
        <v>-9.07511073923341+4.60909048093231i</v>
      </c>
      <c r="AT190" s="49">
        <f t="shared" si="143"/>
        <v>20.153654145764179</v>
      </c>
      <c r="AU190" s="61">
        <f t="shared" si="144"/>
        <v>153.07477923734567</v>
      </c>
      <c r="AV190" s="58" t="str">
        <f t="shared" si="122"/>
        <v>-124.70622403077+116.183644618125i</v>
      </c>
      <c r="AW190" s="64">
        <f t="shared" si="145"/>
        <v>44.631503464287043</v>
      </c>
      <c r="AX190" s="49">
        <f t="shared" si="146"/>
        <v>137.02625476103998</v>
      </c>
      <c r="AY190" s="310"/>
      <c r="BA190" s="31">
        <f t="shared" si="147"/>
        <v>0</v>
      </c>
      <c r="BB190" s="31">
        <f t="shared" si="148"/>
        <v>0</v>
      </c>
    </row>
    <row r="191" spans="14:54" x14ac:dyDescent="0.45">
      <c r="N191" s="10">
        <v>73</v>
      </c>
      <c r="O191" s="50">
        <f t="shared" si="149"/>
        <v>537.03179637025301</v>
      </c>
      <c r="P191" s="48" t="str">
        <f t="shared" si="112"/>
        <v>17.4002386318441</v>
      </c>
      <c r="Q191" s="17" t="str">
        <f t="shared" si="113"/>
        <v>1+0.288980327312398i</v>
      </c>
      <c r="R191" s="17">
        <f t="shared" si="123"/>
        <v>1.0409176862622618</v>
      </c>
      <c r="S191" s="17">
        <f t="shared" si="124"/>
        <v>0.28131659494147609</v>
      </c>
      <c r="T191" s="17" t="str">
        <f t="shared" si="114"/>
        <v>1+0.00101228108773255i</v>
      </c>
      <c r="U191" s="17">
        <f t="shared" si="125"/>
        <v>1.0000005123563691</v>
      </c>
      <c r="V191" s="17">
        <f t="shared" si="126"/>
        <v>1.0122807419668991E-3</v>
      </c>
      <c r="W191" s="31" t="str">
        <f t="shared" si="115"/>
        <v>1-0.00249741910080049i</v>
      </c>
      <c r="X191" s="17">
        <f t="shared" si="127"/>
        <v>1.0000031185462199</v>
      </c>
      <c r="Y191" s="17">
        <f t="shared" si="128"/>
        <v>-2.4974139086005607E-3</v>
      </c>
      <c r="Z191" s="31" t="str">
        <f t="shared" si="116"/>
        <v>0.999999738409841+0.00349279010626672i</v>
      </c>
      <c r="AA191" s="17">
        <f t="shared" si="129"/>
        <v>1.0000058381841961</v>
      </c>
      <c r="AB191" s="17">
        <f t="shared" si="130"/>
        <v>3.4927768165120146E-3</v>
      </c>
      <c r="AC191" s="66" t="str">
        <f t="shared" si="131"/>
        <v>16.0358097125782-4.720649812148i</v>
      </c>
      <c r="AD191" s="64">
        <f t="shared" si="132"/>
        <v>24.462757160963207</v>
      </c>
      <c r="AE191" s="61">
        <f t="shared" si="133"/>
        <v>-16.403466829968192</v>
      </c>
      <c r="AF191" s="31" t="str">
        <f t="shared" si="117"/>
        <v>-9090.90909090909</v>
      </c>
      <c r="AG191" s="31" t="str">
        <f t="shared" si="118"/>
        <v>3374.27029244183i</v>
      </c>
      <c r="AH191" s="31">
        <f t="shared" si="134"/>
        <v>3374.27029244183</v>
      </c>
      <c r="AI191" s="31">
        <f t="shared" si="135"/>
        <v>1.5707963267948966</v>
      </c>
      <c r="AJ191" s="31" t="str">
        <f t="shared" si="119"/>
        <v>0.958752569158613+1.16833096594711i</v>
      </c>
      <c r="AK191" s="31">
        <f t="shared" si="136"/>
        <v>1.5113582417346154</v>
      </c>
      <c r="AL191" s="31">
        <f t="shared" si="137"/>
        <v>0.88360969567498548</v>
      </c>
      <c r="AM191" s="31" t="str">
        <f t="shared" si="120"/>
        <v>1+4.44661339137984i</v>
      </c>
      <c r="AN191" s="31">
        <f t="shared" si="138"/>
        <v>4.5576716262142583</v>
      </c>
      <c r="AO191" s="31">
        <f t="shared" si="139"/>
        <v>1.3495863479413639</v>
      </c>
      <c r="AP191" s="31" t="str">
        <f t="shared" si="121"/>
        <v>1+0.742339464337202i</v>
      </c>
      <c r="AQ191" s="31">
        <f t="shared" si="140"/>
        <v>1.2454187570100443</v>
      </c>
      <c r="AR191" s="31">
        <f t="shared" si="141"/>
        <v>0.63858031148847472</v>
      </c>
      <c r="AS191" s="58" t="str">
        <f t="shared" si="142"/>
        <v>-9.03855152640261+4.54859595224453i</v>
      </c>
      <c r="AT191" s="49">
        <f t="shared" si="143"/>
        <v>20.102369235192072</v>
      </c>
      <c r="AU191" s="61">
        <f t="shared" si="144"/>
        <v>153.28645225493776</v>
      </c>
      <c r="AV191" s="58" t="str">
        <f t="shared" si="122"/>
        <v>-123.468163727225+115.608255714799i</v>
      </c>
      <c r="AW191" s="64">
        <f t="shared" si="145"/>
        <v>44.565126396155257</v>
      </c>
      <c r="AX191" s="49">
        <f t="shared" si="146"/>
        <v>136.8829854249696</v>
      </c>
      <c r="AY191" s="310"/>
      <c r="BA191" s="31">
        <f t="shared" si="147"/>
        <v>0</v>
      </c>
      <c r="BB191" s="31">
        <f t="shared" si="148"/>
        <v>0</v>
      </c>
    </row>
    <row r="192" spans="14:54" x14ac:dyDescent="0.45">
      <c r="N192" s="10">
        <v>74</v>
      </c>
      <c r="O192" s="50">
        <f t="shared" si="149"/>
        <v>549.54087385762534</v>
      </c>
      <c r="P192" s="48" t="str">
        <f t="shared" si="112"/>
        <v>17.4002386318441</v>
      </c>
      <c r="Q192" s="17" t="str">
        <f t="shared" si="113"/>
        <v>1+0.295711543845776i</v>
      </c>
      <c r="R192" s="17">
        <f t="shared" si="123"/>
        <v>1.0428064619878668</v>
      </c>
      <c r="S192" s="17">
        <f t="shared" si="124"/>
        <v>0.28751780215350609</v>
      </c>
      <c r="T192" s="17" t="str">
        <f t="shared" si="114"/>
        <v>1+0.00103586014329506i</v>
      </c>
      <c r="U192" s="17">
        <f t="shared" si="125"/>
        <v>1.0000005365029743</v>
      </c>
      <c r="V192" s="17">
        <f t="shared" si="126"/>
        <v>1.0358597728005005E-3</v>
      </c>
      <c r="W192" s="31" t="str">
        <f t="shared" si="115"/>
        <v>1-0.00255559146463724i</v>
      </c>
      <c r="X192" s="17">
        <f t="shared" si="127"/>
        <v>1.0000032655185354</v>
      </c>
      <c r="Y192" s="17">
        <f t="shared" si="128"/>
        <v>-2.55558590109576E-3</v>
      </c>
      <c r="Z192" s="31" t="str">
        <f t="shared" si="116"/>
        <v>0.999999726081477+0.00357414763925029i</v>
      </c>
      <c r="AA192" s="17">
        <f t="shared" si="129"/>
        <v>1.0000061133285019</v>
      </c>
      <c r="AB192" s="17">
        <f t="shared" si="130"/>
        <v>3.5741333990262593E-3</v>
      </c>
      <c r="AC192" s="66" t="str">
        <f t="shared" si="131"/>
        <v>15.9766770459561-4.81312161795375i</v>
      </c>
      <c r="AD192" s="64">
        <f t="shared" si="132"/>
        <v>24.447009737411307</v>
      </c>
      <c r="AE192" s="61">
        <f t="shared" si="133"/>
        <v>-16.765413250621286</v>
      </c>
      <c r="AF192" s="31" t="str">
        <f t="shared" si="117"/>
        <v>-9090.90909090909</v>
      </c>
      <c r="AG192" s="31" t="str">
        <f t="shared" si="118"/>
        <v>3452.86714431686i</v>
      </c>
      <c r="AH192" s="31">
        <f t="shared" si="134"/>
        <v>3452.86714431686</v>
      </c>
      <c r="AI192" s="31">
        <f t="shared" si="135"/>
        <v>1.5707963267948966</v>
      </c>
      <c r="AJ192" s="31" t="str">
        <f t="shared" si="119"/>
        <v>0.956808637632229+1.19554489011828i</v>
      </c>
      <c r="AK192" s="31">
        <f t="shared" si="136"/>
        <v>1.5312773600284084</v>
      </c>
      <c r="AL192" s="31">
        <f t="shared" si="137"/>
        <v>0.8958653146622938</v>
      </c>
      <c r="AM192" s="31" t="str">
        <f t="shared" si="120"/>
        <v>1+4.55018832278076i</v>
      </c>
      <c r="AN192" s="31">
        <f t="shared" si="138"/>
        <v>4.6587781416129257</v>
      </c>
      <c r="AO192" s="31">
        <f t="shared" si="139"/>
        <v>1.3544643425484624</v>
      </c>
      <c r="AP192" s="31" t="str">
        <f t="shared" si="121"/>
        <v>1+0.759630771749708i</v>
      </c>
      <c r="AQ192" s="31">
        <f t="shared" si="140"/>
        <v>1.2558020980190536</v>
      </c>
      <c r="AR192" s="31">
        <f t="shared" si="141"/>
        <v>0.64963636350220655</v>
      </c>
      <c r="AS192" s="58" t="str">
        <f t="shared" si="142"/>
        <v>-9.00217517413463+4.48886619002539i</v>
      </c>
      <c r="AT192" s="49">
        <f t="shared" si="143"/>
        <v>20.051336368013718</v>
      </c>
      <c r="AU192" s="61">
        <f t="shared" si="144"/>
        <v>153.4972106335828</v>
      </c>
      <c r="AV192" s="58" t="str">
        <f t="shared" si="122"/>
        <v>-122.21938656896+115.045729359781i</v>
      </c>
      <c r="AW192" s="64">
        <f t="shared" si="145"/>
        <v>44.498346105425036</v>
      </c>
      <c r="AX192" s="49">
        <f t="shared" si="146"/>
        <v>136.73179738296159</v>
      </c>
      <c r="AY192" s="310"/>
      <c r="BA192" s="31">
        <f t="shared" si="147"/>
        <v>0</v>
      </c>
      <c r="BB192" s="31">
        <f t="shared" si="148"/>
        <v>0</v>
      </c>
    </row>
    <row r="193" spans="14:54" x14ac:dyDescent="0.45">
      <c r="N193" s="10">
        <v>75</v>
      </c>
      <c r="O193" s="50">
        <f t="shared" si="149"/>
        <v>562.34132519034927</v>
      </c>
      <c r="P193" s="48" t="str">
        <f t="shared" si="112"/>
        <v>17.4002386318441</v>
      </c>
      <c r="Q193" s="17" t="str">
        <f t="shared" si="113"/>
        <v>1+0.302599550553906i</v>
      </c>
      <c r="R193" s="17">
        <f t="shared" si="123"/>
        <v>1.044780593232582</v>
      </c>
      <c r="S193" s="17">
        <f t="shared" si="124"/>
        <v>0.29383999361402457</v>
      </c>
      <c r="T193" s="17" t="str">
        <f t="shared" si="114"/>
        <v>1+0.00105998842561677i</v>
      </c>
      <c r="U193" s="17">
        <f t="shared" si="125"/>
        <v>1.0000005617875733</v>
      </c>
      <c r="V193" s="17">
        <f t="shared" si="126"/>
        <v>1.0599880286247089E-3</v>
      </c>
      <c r="W193" s="31" t="str">
        <f t="shared" si="115"/>
        <v>1-0.0026151188368958i</v>
      </c>
      <c r="X193" s="17">
        <f t="shared" si="127"/>
        <v>1.0000034194174194</v>
      </c>
      <c r="Y193" s="17">
        <f t="shared" si="128"/>
        <v>-2.6151128754547995E-3</v>
      </c>
      <c r="Z193" s="31" t="str">
        <f t="shared" si="116"/>
        <v>0.999999713172094+0.00365740023262162i</v>
      </c>
      <c r="AA193" s="17">
        <f t="shared" si="129"/>
        <v>1.0000064014398766</v>
      </c>
      <c r="AB193" s="17">
        <f t="shared" si="130"/>
        <v>3.6573849739519357E-3</v>
      </c>
      <c r="AC193" s="66" t="str">
        <f t="shared" si="131"/>
        <v>15.9152145719205-4.90663506095619i</v>
      </c>
      <c r="AD193" s="64">
        <f t="shared" si="132"/>
        <v>24.430581125488441</v>
      </c>
      <c r="AE193" s="61">
        <f t="shared" si="133"/>
        <v>-17.134446299636004</v>
      </c>
      <c r="AF193" s="31" t="str">
        <f t="shared" si="117"/>
        <v>-9090.90909090909</v>
      </c>
      <c r="AG193" s="31" t="str">
        <f t="shared" si="118"/>
        <v>3533.2947520559i</v>
      </c>
      <c r="AH193" s="31">
        <f t="shared" si="134"/>
        <v>3533.2947520559001</v>
      </c>
      <c r="AI193" s="31">
        <f t="shared" si="135"/>
        <v>1.5707963267948966</v>
      </c>
      <c r="AJ193" s="31" t="str">
        <f t="shared" si="119"/>
        <v>0.954773091435496+1.2233927080151i</v>
      </c>
      <c r="AK193" s="31">
        <f t="shared" si="136"/>
        <v>1.5518638387931507</v>
      </c>
      <c r="AL193" s="31">
        <f t="shared" si="137"/>
        <v>0.90810237635702273</v>
      </c>
      <c r="AM193" s="31" t="str">
        <f t="shared" si="120"/>
        <v>1+4.65617582425926i</v>
      </c>
      <c r="AN193" s="31">
        <f t="shared" si="138"/>
        <v>4.7623495573525885</v>
      </c>
      <c r="AO193" s="31">
        <f t="shared" si="139"/>
        <v>1.3592414279728129</v>
      </c>
      <c r="AP193" s="31" t="str">
        <f t="shared" si="121"/>
        <v>1+0.777324845452297i</v>
      </c>
      <c r="AQ193" s="31">
        <f t="shared" si="140"/>
        <v>1.2665835603533773</v>
      </c>
      <c r="AR193" s="31">
        <f t="shared" si="141"/>
        <v>0.66076089521996983</v>
      </c>
      <c r="AS193" s="58" t="str">
        <f t="shared" si="142"/>
        <v>-8.96601665871583+4.42988463262019i</v>
      </c>
      <c r="AT193" s="49">
        <f t="shared" si="143"/>
        <v>20.000578988113187</v>
      </c>
      <c r="AU193" s="61">
        <f t="shared" si="144"/>
        <v>153.70717419450972</v>
      </c>
      <c r="AV193" s="58" t="str">
        <f t="shared" si="122"/>
        <v>-120.960251724471+114.495536151776i</v>
      </c>
      <c r="AW193" s="64">
        <f t="shared" si="145"/>
        <v>44.431160113601635</v>
      </c>
      <c r="AX193" s="49">
        <f t="shared" si="146"/>
        <v>136.57272789487374</v>
      </c>
      <c r="AY193" s="310"/>
      <c r="BA193" s="31">
        <f t="shared" si="147"/>
        <v>0</v>
      </c>
      <c r="BB193" s="31">
        <f t="shared" si="148"/>
        <v>0</v>
      </c>
    </row>
    <row r="194" spans="14:54" x14ac:dyDescent="0.45">
      <c r="N194" s="10">
        <v>76</v>
      </c>
      <c r="O194" s="50">
        <f t="shared" si="149"/>
        <v>575.43993733715706</v>
      </c>
      <c r="P194" s="48" t="str">
        <f t="shared" si="112"/>
        <v>17.4002386318441</v>
      </c>
      <c r="Q194" s="17" t="str">
        <f t="shared" si="113"/>
        <v>1+0.309647999549118i</v>
      </c>
      <c r="R194" s="17">
        <f t="shared" si="123"/>
        <v>1.0468437723102577</v>
      </c>
      <c r="S194" s="17">
        <f t="shared" si="124"/>
        <v>0.30028449908627952</v>
      </c>
      <c r="T194" s="17" t="str">
        <f t="shared" si="114"/>
        <v>1+0.00108467872783235i</v>
      </c>
      <c r="U194" s="17">
        <f t="shared" si="125"/>
        <v>1.0000005882637983</v>
      </c>
      <c r="V194" s="17">
        <f t="shared" si="126"/>
        <v>1.0846783024477064E-3</v>
      </c>
      <c r="W194" s="31" t="str">
        <f t="shared" si="115"/>
        <v>1-0.00267603277977687i</v>
      </c>
      <c r="X194" s="17">
        <f t="shared" si="127"/>
        <v>1.000003580569309</v>
      </c>
      <c r="Y194" s="17">
        <f t="shared" si="128"/>
        <v>-2.6760263919789863E-3</v>
      </c>
      <c r="Z194" s="31" t="str">
        <f t="shared" si="116"/>
        <v>0.999999699654312+0.00374259202800771i</v>
      </c>
      <c r="AA194" s="17">
        <f t="shared" si="129"/>
        <v>1.0000067031294351</v>
      </c>
      <c r="AB194" s="17">
        <f t="shared" si="130"/>
        <v>3.7425756780544842E-3</v>
      </c>
      <c r="AC194" s="66" t="str">
        <f t="shared" si="131"/>
        <v>15.8513509258346-5.00114997543444i</v>
      </c>
      <c r="AD194" s="64">
        <f t="shared" si="132"/>
        <v>24.413444599466558</v>
      </c>
      <c r="AE194" s="61">
        <f t="shared" si="133"/>
        <v>-17.510645770971003</v>
      </c>
      <c r="AF194" s="31" t="str">
        <f t="shared" si="117"/>
        <v>-9090.90909090909</v>
      </c>
      <c r="AG194" s="31" t="str">
        <f t="shared" si="118"/>
        <v>3615.59575944117i</v>
      </c>
      <c r="AH194" s="31">
        <f t="shared" si="134"/>
        <v>3615.5957594411698</v>
      </c>
      <c r="AI194" s="31">
        <f t="shared" si="135"/>
        <v>1.5707963267948966</v>
      </c>
      <c r="AJ194" s="31" t="str">
        <f t="shared" si="119"/>
        <v>0.95264161290202+1.25188918491923i</v>
      </c>
      <c r="AK194" s="31">
        <f t="shared" si="136"/>
        <v>1.5731346331291216</v>
      </c>
      <c r="AL194" s="31">
        <f t="shared" si="137"/>
        <v>0.92031560653926736</v>
      </c>
      <c r="AM194" s="31" t="str">
        <f t="shared" si="120"/>
        <v>1+4.76463209179157i</v>
      </c>
      <c r="AN194" s="31">
        <f t="shared" si="138"/>
        <v>4.8684411232066997</v>
      </c>
      <c r="AO194" s="31">
        <f t="shared" si="139"/>
        <v>1.3639192645613474</v>
      </c>
      <c r="AP194" s="31" t="str">
        <f t="shared" si="121"/>
        <v>1+0.795431067077057i</v>
      </c>
      <c r="AQ194" s="31">
        <f t="shared" si="140"/>
        <v>1.2777756385497987</v>
      </c>
      <c r="AR194" s="31">
        <f t="shared" si="141"/>
        <v>0.67194879175513489</v>
      </c>
      <c r="AS194" s="58" t="str">
        <f t="shared" si="142"/>
        <v>-8.93010992398304+4.3716374776235i</v>
      </c>
      <c r="AT194" s="49">
        <f t="shared" si="143"/>
        <v>19.950121604083552</v>
      </c>
      <c r="AU194" s="61">
        <f t="shared" si="144"/>
        <v>153.91644719771412</v>
      </c>
      <c r="AV194" s="58" t="str">
        <f t="shared" si="122"/>
        <v>-119.691091547508+113.957178805295i</v>
      </c>
      <c r="AW194" s="64">
        <f t="shared" si="145"/>
        <v>44.3635662035501</v>
      </c>
      <c r="AX194" s="49">
        <f t="shared" si="146"/>
        <v>136.40580142674312</v>
      </c>
      <c r="AY194" s="310"/>
      <c r="BA194" s="31">
        <f t="shared" si="147"/>
        <v>0</v>
      </c>
      <c r="BB194" s="31">
        <f t="shared" si="148"/>
        <v>0</v>
      </c>
    </row>
    <row r="195" spans="14:54" x14ac:dyDescent="0.45">
      <c r="N195" s="10">
        <v>77</v>
      </c>
      <c r="O195" s="50">
        <f t="shared" si="149"/>
        <v>588.84365535558959</v>
      </c>
      <c r="P195" s="48" t="str">
        <f t="shared" si="112"/>
        <v>17.4002386318441</v>
      </c>
      <c r="Q195" s="17" t="str">
        <f t="shared" si="113"/>
        <v>1+0.316860628012366i</v>
      </c>
      <c r="R195" s="17">
        <f t="shared" si="123"/>
        <v>1.0489998367894968</v>
      </c>
      <c r="S195" s="17">
        <f t="shared" si="124"/>
        <v>0.30685259353959349</v>
      </c>
      <c r="T195" s="17" t="str">
        <f t="shared" si="114"/>
        <v>1+0.00110994414106685i</v>
      </c>
      <c r="U195" s="17">
        <f t="shared" si="125"/>
        <v>1.0000006159878085</v>
      </c>
      <c r="V195" s="17">
        <f t="shared" si="126"/>
        <v>1.1099436852590073E-3</v>
      </c>
      <c r="W195" s="31" t="str">
        <f t="shared" si="115"/>
        <v>1-0.00273836559065925i</v>
      </c>
      <c r="X195" s="17">
        <f t="shared" si="127"/>
        <v>1.0000037493160254</v>
      </c>
      <c r="Y195" s="17">
        <f t="shared" si="128"/>
        <v>-2.7383587460118853E-3</v>
      </c>
      <c r="Z195" s="31" t="str">
        <f t="shared" si="116"/>
        <v>0.999999685499455+0.00382976819522611i</v>
      </c>
      <c r="AA195" s="17">
        <f t="shared" si="129"/>
        <v>1.0000070190370853</v>
      </c>
      <c r="AB195" s="17">
        <f t="shared" si="130"/>
        <v>3.82975067594223E-3</v>
      </c>
      <c r="AC195" s="66" t="str">
        <f t="shared" si="131"/>
        <v>15.7850143494875-5.09662222267562i</v>
      </c>
      <c r="AD195" s="64">
        <f t="shared" si="132"/>
        <v>24.395572624896417</v>
      </c>
      <c r="AE195" s="61">
        <f t="shared" si="133"/>
        <v>-17.894088403057594</v>
      </c>
      <c r="AF195" s="31" t="str">
        <f t="shared" si="117"/>
        <v>-9090.90909090909</v>
      </c>
      <c r="AG195" s="31" t="str">
        <f t="shared" si="118"/>
        <v>3699.81380355616i</v>
      </c>
      <c r="AH195" s="31">
        <f t="shared" si="134"/>
        <v>3699.8138035561601</v>
      </c>
      <c r="AI195" s="31">
        <f t="shared" si="135"/>
        <v>1.5707963267948966</v>
      </c>
      <c r="AJ195" s="31" t="str">
        <f t="shared" si="119"/>
        <v>0.95040968088006+1.28104943003991i</v>
      </c>
      <c r="AK195" s="31">
        <f t="shared" si="136"/>
        <v>1.5951069568264431</v>
      </c>
      <c r="AL195" s="31">
        <f t="shared" si="137"/>
        <v>0.93249985381940637</v>
      </c>
      <c r="AM195" s="31" t="str">
        <f t="shared" si="120"/>
        <v>1+4.87561463032631i</v>
      </c>
      <c r="AN195" s="31">
        <f t="shared" si="138"/>
        <v>4.9771094044085427</v>
      </c>
      <c r="AO195" s="31">
        <f t="shared" si="139"/>
        <v>1.3684995132949898</v>
      </c>
      <c r="AP195" s="31" t="str">
        <f t="shared" si="121"/>
        <v>1+0.813959036782354i</v>
      </c>
      <c r="AQ195" s="31">
        <f t="shared" si="140"/>
        <v>1.289391063083523</v>
      </c>
      <c r="AR195" s="31">
        <f t="shared" si="141"/>
        <v>0.68319478263004663</v>
      </c>
      <c r="AS195" s="58" t="str">
        <f t="shared" si="142"/>
        <v>-8.89448774794988+4.31411357616948i</v>
      </c>
      <c r="AT195" s="49">
        <f t="shared" si="143"/>
        <v>19.899989607489768</v>
      </c>
      <c r="AU195" s="61">
        <f t="shared" si="144"/>
        <v>154.12511798715133</v>
      </c>
      <c r="AV195" s="58" t="str">
        <f t="shared" si="122"/>
        <v>-118.412209609278+113.430188620671i</v>
      </c>
      <c r="AW195" s="64">
        <f t="shared" si="145"/>
        <v>44.295562232386189</v>
      </c>
      <c r="AX195" s="49">
        <f t="shared" si="146"/>
        <v>136.23102958409393</v>
      </c>
      <c r="AY195" s="310"/>
      <c r="BA195" s="31">
        <f t="shared" si="147"/>
        <v>0</v>
      </c>
      <c r="BB195" s="31">
        <f t="shared" si="148"/>
        <v>0</v>
      </c>
    </row>
    <row r="196" spans="14:54" x14ac:dyDescent="0.45">
      <c r="N196" s="10">
        <v>78</v>
      </c>
      <c r="O196" s="50">
        <f t="shared" si="149"/>
        <v>602.55958607435832</v>
      </c>
      <c r="P196" s="48" t="str">
        <f t="shared" si="112"/>
        <v>17.4002386318441</v>
      </c>
      <c r="Q196" s="17" t="str">
        <f t="shared" si="113"/>
        <v>1+0.324241260174733i</v>
      </c>
      <c r="R196" s="17">
        <f t="shared" si="123"/>
        <v>1.0512527739795501</v>
      </c>
      <c r="S196" s="17">
        <f t="shared" si="124"/>
        <v>0.31354549187795011</v>
      </c>
      <c r="T196" s="17" t="str">
        <f t="shared" si="114"/>
        <v>1+0.00113579806137679i</v>
      </c>
      <c r="U196" s="17">
        <f t="shared" si="125"/>
        <v>1.00000064501841</v>
      </c>
      <c r="V196" s="17">
        <f t="shared" si="126"/>
        <v>1.1357975729699042E-3</v>
      </c>
      <c r="W196" s="31" t="str">
        <f t="shared" si="115"/>
        <v>1-0.00280215031922436i</v>
      </c>
      <c r="X196" s="17">
        <f t="shared" si="127"/>
        <v>1.0000039260154989</v>
      </c>
      <c r="Y196" s="17">
        <f t="shared" si="128"/>
        <v>-2.8021429850541265E-3</v>
      </c>
      <c r="Z196" s="31" t="str">
        <f t="shared" si="116"/>
        <v>0.999999670677501+0.00391897495623458i</v>
      </c>
      <c r="AA196" s="17">
        <f t="shared" si="129"/>
        <v>1.000007349832899</v>
      </c>
      <c r="AB196" s="17">
        <f t="shared" si="130"/>
        <v>3.918956183991136E-3</v>
      </c>
      <c r="AC196" s="66" t="str">
        <f t="shared" si="131"/>
        <v>15.7161328674752-5.1930035312778i</v>
      </c>
      <c r="AD196" s="64">
        <f t="shared" si="132"/>
        <v>24.376936855137906</v>
      </c>
      <c r="AE196" s="61">
        <f t="shared" si="133"/>
        <v>-18.284847578722744</v>
      </c>
      <c r="AF196" s="31" t="str">
        <f t="shared" si="117"/>
        <v>-9090.90909090909</v>
      </c>
      <c r="AG196" s="31" t="str">
        <f t="shared" si="118"/>
        <v>3785.99353792262i</v>
      </c>
      <c r="AH196" s="31">
        <f t="shared" si="134"/>
        <v>3785.9935379226199</v>
      </c>
      <c r="AI196" s="31">
        <f t="shared" si="135"/>
        <v>1.5707963267948966</v>
      </c>
      <c r="AJ196" s="31" t="str">
        <f t="shared" si="119"/>
        <v>0.948072561142556+1.31088890452509i</v>
      </c>
      <c r="AK196" s="31">
        <f t="shared" si="136"/>
        <v>1.6177982881677173</v>
      </c>
      <c r="AL196" s="31">
        <f t="shared" si="137"/>
        <v>0.94465010296987295</v>
      </c>
      <c r="AM196" s="31" t="str">
        <f t="shared" si="120"/>
        <v>1+4.98918228427443i</v>
      </c>
      <c r="AN196" s="31">
        <f t="shared" si="138"/>
        <v>5.0884123128651657</v>
      </c>
      <c r="AO196" s="31">
        <f t="shared" si="139"/>
        <v>1.3729838336207991</v>
      </c>
      <c r="AP196" s="31" t="str">
        <f t="shared" si="121"/>
        <v>1+0.832918578342976i</v>
      </c>
      <c r="AQ196" s="31">
        <f t="shared" si="140"/>
        <v>1.3014427986465191</v>
      </c>
      <c r="AR196" s="31">
        <f t="shared" si="141"/>
        <v>0.69449345282611319</v>
      </c>
      <c r="AS196" s="58" t="str">
        <f t="shared" si="142"/>
        <v>-8.85918161880013+4.25730431753021i</v>
      </c>
      <c r="AT196" s="49">
        <f t="shared" si="143"/>
        <v>19.850209088562938</v>
      </c>
      <c r="AU196" s="61">
        <f t="shared" si="144"/>
        <v>154.33325873579568</v>
      </c>
      <c r="AV196" s="58" t="str">
        <f t="shared" si="122"/>
        <v>-117.123879063498+112.914121742241i</v>
      </c>
      <c r="AW196" s="64">
        <f t="shared" si="145"/>
        <v>44.227145943700833</v>
      </c>
      <c r="AX196" s="49">
        <f t="shared" si="146"/>
        <v>136.04841115707288</v>
      </c>
      <c r="AY196" s="310"/>
      <c r="BA196" s="31">
        <f t="shared" si="147"/>
        <v>0</v>
      </c>
      <c r="BB196" s="31">
        <f t="shared" si="148"/>
        <v>0</v>
      </c>
    </row>
    <row r="197" spans="14:54" x14ac:dyDescent="0.45">
      <c r="N197" s="10">
        <v>79</v>
      </c>
      <c r="O197" s="50">
        <f t="shared" si="149"/>
        <v>616.59500186148273</v>
      </c>
      <c r="P197" s="48" t="str">
        <f t="shared" si="112"/>
        <v>17.4002386318441</v>
      </c>
      <c r="Q197" s="17" t="str">
        <f t="shared" si="113"/>
        <v>1+0.331793809345085i</v>
      </c>
      <c r="R197" s="17">
        <f t="shared" si="123"/>
        <v>1.0536067254529664</v>
      </c>
      <c r="S197" s="17">
        <f t="shared" si="124"/>
        <v>0.32036434346321929</v>
      </c>
      <c r="T197" s="17" t="str">
        <f t="shared" si="114"/>
        <v>1+0.00116225419685293i</v>
      </c>
      <c r="U197" s="17">
        <f t="shared" si="125"/>
        <v>1.0000006754171809</v>
      </c>
      <c r="V197" s="17">
        <f t="shared" si="126"/>
        <v>1.162253673515542E-3</v>
      </c>
      <c r="W197" s="31" t="str">
        <f t="shared" si="115"/>
        <v>1-0.00286742078497957i</v>
      </c>
      <c r="X197" s="17">
        <f t="shared" si="127"/>
        <v>1.0000041110425288</v>
      </c>
      <c r="Y197" s="17">
        <f t="shared" si="128"/>
        <v>-2.8674129262763219E-3</v>
      </c>
      <c r="Z197" s="31" t="str">
        <f t="shared" si="116"/>
        <v>0.99999965515701+0.00401025960963863i</v>
      </c>
      <c r="AA197" s="17">
        <f t="shared" si="129"/>
        <v>1.0000076962185218</v>
      </c>
      <c r="AB197" s="17">
        <f t="shared" si="130"/>
        <v>4.010239494825733E-3</v>
      </c>
      <c r="AC197" s="66" t="str">
        <f t="shared" si="131"/>
        <v>15.6446344801983-5.29024134128053i</v>
      </c>
      <c r="AD197" s="64">
        <f t="shared" si="132"/>
        <v>24.357508129975361</v>
      </c>
      <c r="AE197" s="61">
        <f t="shared" si="133"/>
        <v>-18.682993013393038</v>
      </c>
      <c r="AF197" s="31" t="str">
        <f t="shared" si="117"/>
        <v>-9090.90909090909</v>
      </c>
      <c r="AG197" s="31" t="str">
        <f t="shared" si="118"/>
        <v>3874.18065617644i</v>
      </c>
      <c r="AH197" s="31">
        <f t="shared" si="134"/>
        <v>3874.1806561764402</v>
      </c>
      <c r="AI197" s="31">
        <f t="shared" si="135"/>
        <v>1.5707963267948966</v>
      </c>
      <c r="AJ197" s="31" t="str">
        <f t="shared" si="119"/>
        <v>0.945625296345203+1.34142342965912i</v>
      </c>
      <c r="AK197" s="31">
        <f t="shared" si="136"/>
        <v>1.6412263764412238</v>
      </c>
      <c r="AL197" s="31">
        <f t="shared" si="137"/>
        <v>0.95676148750113554</v>
      </c>
      <c r="AM197" s="31" t="str">
        <f t="shared" si="120"/>
        <v>1+5.10539526870931i</v>
      </c>
      <c r="AN197" s="31">
        <f t="shared" si="138"/>
        <v>5.2024091390200562</v>
      </c>
      <c r="AO197" s="31">
        <f t="shared" si="139"/>
        <v>1.3773738814367154</v>
      </c>
      <c r="AP197" s="31" t="str">
        <f t="shared" si="121"/>
        <v>1+0.852319744358816i</v>
      </c>
      <c r="AQ197" s="31">
        <f t="shared" si="140"/>
        <v>1.3139440424248963</v>
      </c>
      <c r="AR197" s="31">
        <f t="shared" si="141"/>
        <v>0.70583925468421826</v>
      </c>
      <c r="AS197" s="58" t="str">
        <f t="shared" si="142"/>
        <v>-8.82422162109303+4.2012035051231i</v>
      </c>
      <c r="AT197" s="49">
        <f t="shared" si="143"/>
        <v>19.800806650739091</v>
      </c>
      <c r="AU197" s="61">
        <f t="shared" si="144"/>
        <v>154.54092529146803</v>
      </c>
      <c r="AV197" s="58" t="str">
        <f t="shared" si="122"/>
        <v>-115.826341368328+112.408555239107i</v>
      </c>
      <c r="AW197" s="64">
        <f t="shared" si="145"/>
        <v>44.158314780714448</v>
      </c>
      <c r="AX197" s="49">
        <f t="shared" si="146"/>
        <v>135.8579322780748</v>
      </c>
      <c r="AY197" s="310"/>
      <c r="BA197" s="31">
        <f t="shared" si="147"/>
        <v>0</v>
      </c>
      <c r="BB197" s="31">
        <f t="shared" si="148"/>
        <v>0</v>
      </c>
    </row>
    <row r="198" spans="14:54" x14ac:dyDescent="0.45">
      <c r="N198" s="10">
        <v>80</v>
      </c>
      <c r="O198" s="50">
        <f t="shared" si="149"/>
        <v>630.95734448019323</v>
      </c>
      <c r="P198" s="48" t="str">
        <f t="shared" si="112"/>
        <v>17.4002386318441</v>
      </c>
      <c r="Q198" s="17" t="str">
        <f t="shared" si="113"/>
        <v>1+0.339522279984962i</v>
      </c>
      <c r="R198" s="17">
        <f t="shared" si="123"/>
        <v>1.0560659915962576</v>
      </c>
      <c r="S198" s="17">
        <f t="shared" si="124"/>
        <v>0.32731022643887331</v>
      </c>
      <c r="T198" s="17" t="str">
        <f t="shared" si="114"/>
        <v>1+0.0011893265748885i</v>
      </c>
      <c r="U198" s="17">
        <f t="shared" si="125"/>
        <v>1.0000007072486008</v>
      </c>
      <c r="V198" s="17">
        <f t="shared" si="126"/>
        <v>1.1893260141224069E-3</v>
      </c>
      <c r="W198" s="31" t="str">
        <f t="shared" si="115"/>
        <v>1-0.00293421159518977i</v>
      </c>
      <c r="X198" s="17">
        <f t="shared" si="127"/>
        <v>1.000004304789577</v>
      </c>
      <c r="Y198" s="17">
        <f t="shared" si="128"/>
        <v>-2.9342031744394831E-3</v>
      </c>
      <c r="Z198" s="31" t="str">
        <f t="shared" si="116"/>
        <v>0.999999638905061+0.00410367055576976i</v>
      </c>
      <c r="AA198" s="17">
        <f t="shared" si="129"/>
        <v>1.0000080589286682</v>
      </c>
      <c r="AB198" s="17">
        <f t="shared" si="130"/>
        <v>4.1036490023687944E-3</v>
      </c>
      <c r="AC198" s="66" t="str">
        <f t="shared" si="131"/>
        <v>15.5704473740098-5.3882786534675i</v>
      </c>
      <c r="AD198" s="64">
        <f t="shared" si="132"/>
        <v>24.337256476510284</v>
      </c>
      <c r="AE198" s="61">
        <f t="shared" si="133"/>
        <v>-19.0885904319125</v>
      </c>
      <c r="AF198" s="31" t="str">
        <f t="shared" si="117"/>
        <v>-9090.90909090909</v>
      </c>
      <c r="AG198" s="31" t="str">
        <f t="shared" si="118"/>
        <v>3964.421916295i</v>
      </c>
      <c r="AH198" s="31">
        <f t="shared" si="134"/>
        <v>3964.4219162949998</v>
      </c>
      <c r="AI198" s="31">
        <f t="shared" si="135"/>
        <v>1.5707963267948966</v>
      </c>
      <c r="AJ198" s="31" t="str">
        <f t="shared" si="119"/>
        <v>0.943062695511254+1.37266919525139i</v>
      </c>
      <c r="AK198" s="31">
        <f t="shared" si="136"/>
        <v>1.6654092491808286</v>
      </c>
      <c r="AL198" s="31">
        <f t="shared" si="137"/>
        <v>0.96882930142118329</v>
      </c>
      <c r="AM198" s="31" t="str">
        <f t="shared" si="120"/>
        <v>1+5.22431520129355i</v>
      </c>
      <c r="AN198" s="31">
        <f t="shared" si="138"/>
        <v>5.3191605843842371</v>
      </c>
      <c r="AO198" s="31">
        <f t="shared" si="139"/>
        <v>1.3816713072223519</v>
      </c>
      <c r="AP198" s="31" t="str">
        <f t="shared" si="121"/>
        <v>1+0.872172821584899i</v>
      </c>
      <c r="AQ198" s="31">
        <f t="shared" si="140"/>
        <v>1.3269082224145587</v>
      </c>
      <c r="AR198" s="31">
        <f t="shared" si="141"/>
        <v>0.71722652059963954</v>
      </c>
      <c r="AS198" s="58" t="str">
        <f t="shared" si="142"/>
        <v>-8.78963633288159+4.14580722510264i</v>
      </c>
      <c r="AT198" s="49">
        <f t="shared" si="143"/>
        <v>19.751809225464314</v>
      </c>
      <c r="AU198" s="61">
        <f t="shared" si="144"/>
        <v>154.74815712333452</v>
      </c>
      <c r="AV198" s="58" t="str">
        <f t="shared" si="122"/>
        <v>-114.519805385405+111.913083045459i</v>
      </c>
      <c r="AW198" s="64">
        <f t="shared" si="145"/>
        <v>44.089065701974597</v>
      </c>
      <c r="AX198" s="49">
        <f t="shared" si="146"/>
        <v>135.65956669142179</v>
      </c>
      <c r="AY198" s="310"/>
      <c r="BA198" s="31">
        <f t="shared" si="147"/>
        <v>0</v>
      </c>
      <c r="BB198" s="31">
        <f t="shared" si="148"/>
        <v>0</v>
      </c>
    </row>
    <row r="199" spans="14:54" x14ac:dyDescent="0.45">
      <c r="N199" s="10">
        <v>81</v>
      </c>
      <c r="O199" s="50">
        <f t="shared" si="149"/>
        <v>645.65422903465594</v>
      </c>
      <c r="P199" s="48" t="str">
        <f t="shared" si="112"/>
        <v>17.4002386318441</v>
      </c>
      <c r="Q199" s="17" t="str">
        <f t="shared" si="113"/>
        <v>1+0.347430769831796i</v>
      </c>
      <c r="R199" s="17">
        <f t="shared" si="123"/>
        <v>1.0586350361790953</v>
      </c>
      <c r="S199" s="17">
        <f t="shared" si="124"/>
        <v>0.33438414186184928</v>
      </c>
      <c r="T199" s="17" t="str">
        <f t="shared" si="114"/>
        <v>1+0.00121702954961667i</v>
      </c>
      <c r="U199" s="17">
        <f t="shared" si="125"/>
        <v>1.0000007405801881</v>
      </c>
      <c r="V199" s="17">
        <f t="shared" si="126"/>
        <v>1.2170289487449997E-3</v>
      </c>
      <c r="W199" s="31" t="str">
        <f t="shared" si="115"/>
        <v>1-0.00300255816322662i</v>
      </c>
      <c r="X199" s="17">
        <f t="shared" si="127"/>
        <v>1.0000045076676023</v>
      </c>
      <c r="Y199" s="17">
        <f t="shared" si="128"/>
        <v>-3.0025491402323199E-3</v>
      </c>
      <c r="Z199" s="31" t="str">
        <f t="shared" si="116"/>
        <v>0.999999621887181+0.00419925732234806i</v>
      </c>
      <c r="AA199" s="17">
        <f t="shared" si="129"/>
        <v>1.000008438732676</v>
      </c>
      <c r="AB199" s="17">
        <f t="shared" si="130"/>
        <v>4.1992342274733523E-3</v>
      </c>
      <c r="AC199" s="66" t="str">
        <f t="shared" si="131"/>
        <v>15.4935001489609-5.4870538853011i</v>
      </c>
      <c r="AD199" s="64">
        <f t="shared" si="132"/>
        <v>24.316151112526271</v>
      </c>
      <c r="AE199" s="61">
        <f t="shared" si="133"/>
        <v>-19.501701234416412</v>
      </c>
      <c r="AF199" s="31" t="str">
        <f t="shared" si="117"/>
        <v>-9090.90909090909</v>
      </c>
      <c r="AG199" s="31" t="str">
        <f t="shared" si="118"/>
        <v>4056.76516538891i</v>
      </c>
      <c r="AH199" s="31">
        <f t="shared" si="134"/>
        <v>4056.7651653889102</v>
      </c>
      <c r="AI199" s="31">
        <f t="shared" si="135"/>
        <v>1.5707963267948966</v>
      </c>
      <c r="AJ199" s="31" t="str">
        <f t="shared" si="119"/>
        <v>0.940379323020768+1.40464276822042i</v>
      </c>
      <c r="AK199" s="31">
        <f t="shared" si="136"/>
        <v>1.6903652201459074</v>
      </c>
      <c r="AL199" s="31">
        <f t="shared" si="137"/>
        <v>0.9808490101265861</v>
      </c>
      <c r="AM199" s="31" t="str">
        <f t="shared" si="120"/>
        <v>1+5.3460051349495i</v>
      </c>
      <c r="AN199" s="31">
        <f t="shared" si="138"/>
        <v>5.4387287947558507</v>
      </c>
      <c r="AO199" s="31">
        <f t="shared" si="139"/>
        <v>1.3858777543093102</v>
      </c>
      <c r="AP199" s="31" t="str">
        <f t="shared" si="121"/>
        <v>1+0.892488336385559i</v>
      </c>
      <c r="AQ199" s="31">
        <f t="shared" si="140"/>
        <v>1.3403489958157402</v>
      </c>
      <c r="AR199" s="31">
        <f t="shared" si="141"/>
        <v>0.72864947644700095</v>
      </c>
      <c r="AS199" s="58" t="str">
        <f t="shared" si="142"/>
        <v>-8.75545273429461+4.09111370876464i</v>
      </c>
      <c r="AT199" s="49">
        <f t="shared" si="143"/>
        <v>19.70324388867774</v>
      </c>
      <c r="AU199" s="61">
        <f t="shared" si="144"/>
        <v>154.95497736798424</v>
      </c>
      <c r="AV199" s="58" t="str">
        <f t="shared" si="122"/>
        <v>-113.204446872128+111.427311799442i</v>
      </c>
      <c r="AW199" s="64">
        <f t="shared" si="145"/>
        <v>44.019395001203996</v>
      </c>
      <c r="AX199" s="49">
        <f t="shared" si="146"/>
        <v>135.4532761335679</v>
      </c>
      <c r="AY199" s="310"/>
      <c r="BA199" s="31">
        <f t="shared" si="147"/>
        <v>0</v>
      </c>
      <c r="BB199" s="31">
        <f t="shared" si="148"/>
        <v>0</v>
      </c>
    </row>
    <row r="200" spans="14:54" x14ac:dyDescent="0.45">
      <c r="N200" s="10">
        <v>82</v>
      </c>
      <c r="O200" s="50">
        <f t="shared" si="149"/>
        <v>660.69344800759643</v>
      </c>
      <c r="P200" s="48" t="str">
        <f t="shared" si="112"/>
        <v>17.4002386318441</v>
      </c>
      <c r="Q200" s="17" t="str">
        <f t="shared" si="113"/>
        <v>1+0.355523472071584i</v>
      </c>
      <c r="R200" s="17">
        <f t="shared" si="123"/>
        <v>1.0613184909318383</v>
      </c>
      <c r="S200" s="17">
        <f t="shared" si="124"/>
        <v>0.34158700765219774</v>
      </c>
      <c r="T200" s="17" t="str">
        <f t="shared" si="114"/>
        <v>1+0.00124537780952135i</v>
      </c>
      <c r="U200" s="17">
        <f t="shared" si="125"/>
        <v>1.0000007754826434</v>
      </c>
      <c r="V200" s="17">
        <f t="shared" si="126"/>
        <v>1.2453771656757821E-3</v>
      </c>
      <c r="W200" s="31" t="str">
        <f t="shared" si="115"/>
        <v>1-0.00307249672734518i</v>
      </c>
      <c r="X200" s="17">
        <f t="shared" si="127"/>
        <v>1.00000472010693</v>
      </c>
      <c r="Y200" s="17">
        <f t="shared" si="128"/>
        <v>-3.0724870590350612E-3</v>
      </c>
      <c r="Z200" s="31" t="str">
        <f t="shared" si="116"/>
        <v>0.999999604067272+0.00429707059074241i</v>
      </c>
      <c r="AA200" s="17">
        <f t="shared" si="129"/>
        <v>1.0000088364361399</v>
      </c>
      <c r="AB200" s="17">
        <f t="shared" si="130"/>
        <v>4.2970458441501155E-3</v>
      </c>
      <c r="AC200" s="66" t="str">
        <f t="shared" si="131"/>
        <v>15.4137220645018-5.58650073506488i</v>
      </c>
      <c r="AD200" s="64">
        <f t="shared" si="132"/>
        <v>24.29416045252789</v>
      </c>
      <c r="AE200" s="61">
        <f t="shared" si="133"/>
        <v>-19.922382151813999</v>
      </c>
      <c r="AF200" s="31" t="str">
        <f t="shared" si="117"/>
        <v>-9090.90909090909</v>
      </c>
      <c r="AG200" s="31" t="str">
        <f t="shared" si="118"/>
        <v>4151.25936507115i</v>
      </c>
      <c r="AH200" s="31">
        <f t="shared" si="134"/>
        <v>4151.2593650711497</v>
      </c>
      <c r="AI200" s="31">
        <f t="shared" si="135"/>
        <v>1.5707963267948966</v>
      </c>
      <c r="AJ200" s="31" t="str">
        <f t="shared" si="119"/>
        <v>0.937569487080925+1.43736110137779i</v>
      </c>
      <c r="AK200" s="31">
        <f t="shared" si="136"/>
        <v>1.7161128980516294</v>
      </c>
      <c r="AL200" s="31">
        <f t="shared" si="137"/>
        <v>0.99281626038225734</v>
      </c>
      <c r="AM200" s="31" t="str">
        <f t="shared" si="120"/>
        <v>1+5.47052959129076i</v>
      </c>
      <c r="AN200" s="31">
        <f t="shared" si="138"/>
        <v>5.5611773941484604</v>
      </c>
      <c r="AO200" s="31">
        <f t="shared" si="139"/>
        <v>1.3899948572845278</v>
      </c>
      <c r="AP200" s="31" t="str">
        <f t="shared" si="121"/>
        <v>1+0.913277060315652i</v>
      </c>
      <c r="AQ200" s="31">
        <f t="shared" si="140"/>
        <v>1.3542802475480469</v>
      </c>
      <c r="AR200" s="31">
        <f t="shared" si="141"/>
        <v>0.74010225566269716</v>
      </c>
      <c r="AS200" s="58" t="str">
        <f t="shared" si="142"/>
        <v>-8.72169612798256+4.03712319002469i</v>
      </c>
      <c r="AT200" s="49">
        <f t="shared" si="143"/>
        <v>19.655137680357321</v>
      </c>
      <c r="AU200" s="61">
        <f t="shared" si="144"/>
        <v>155.1613929730126</v>
      </c>
      <c r="AV200" s="58" t="str">
        <f t="shared" si="122"/>
        <v>-111.880408379144+110.950856621183i</v>
      </c>
      <c r="AW200" s="64">
        <f t="shared" si="145"/>
        <v>43.949298132885218</v>
      </c>
      <c r="AX200" s="49">
        <f t="shared" si="146"/>
        <v>135.23901082119841</v>
      </c>
      <c r="AY200" s="310"/>
      <c r="BA200" s="31">
        <f t="shared" si="147"/>
        <v>0</v>
      </c>
      <c r="BB200" s="31">
        <f t="shared" si="148"/>
        <v>0</v>
      </c>
    </row>
    <row r="201" spans="14:54" x14ac:dyDescent="0.45">
      <c r="N201" s="10">
        <v>83</v>
      </c>
      <c r="O201" s="50">
        <f t="shared" si="149"/>
        <v>676.08297539198213</v>
      </c>
      <c r="P201" s="48" t="str">
        <f t="shared" si="112"/>
        <v>17.4002386318441</v>
      </c>
      <c r="Q201" s="17" t="str">
        <f t="shared" si="113"/>
        <v>1+0.363804677562175i</v>
      </c>
      <c r="R201" s="17">
        <f t="shared" si="123"/>
        <v>1.0641211601204621</v>
      </c>
      <c r="S201" s="17">
        <f t="shared" si="124"/>
        <v>0.34891965237228711</v>
      </c>
      <c r="T201" s="17" t="str">
        <f t="shared" si="114"/>
        <v>1+0.00127438638522515i</v>
      </c>
      <c r="U201" s="17">
        <f t="shared" si="125"/>
        <v>1.0000008120299997</v>
      </c>
      <c r="V201" s="17">
        <f t="shared" si="126"/>
        <v>1.2743856953322248E-3</v>
      </c>
      <c r="W201" s="31" t="str">
        <f t="shared" si="115"/>
        <v>1-0.00314406436989787i</v>
      </c>
      <c r="X201" s="17">
        <f t="shared" si="127"/>
        <v>1.0000049425581667</v>
      </c>
      <c r="Y201" s="17">
        <f t="shared" si="128"/>
        <v>-3.144054010119694E-3</v>
      </c>
      <c r="Z201" s="31" t="str">
        <f t="shared" si="116"/>
        <v>0.999999585407538+0.00439716222284243i</v>
      </c>
      <c r="AA201" s="17">
        <f t="shared" si="129"/>
        <v>1.000009252882623</v>
      </c>
      <c r="AB201" s="17">
        <f t="shared" si="130"/>
        <v>4.3971357064042892E-3</v>
      </c>
      <c r="AC201" s="66" t="str">
        <f t="shared" si="131"/>
        <v>15.3310433033828-5.68654805590318i</v>
      </c>
      <c r="AD201" s="64">
        <f t="shared" si="132"/>
        <v>24.271252116658349</v>
      </c>
      <c r="AE201" s="61">
        <f t="shared" si="133"/>
        <v>-20.350684891553747</v>
      </c>
      <c r="AF201" s="31" t="str">
        <f t="shared" si="117"/>
        <v>-9090.90909090909</v>
      </c>
      <c r="AG201" s="31" t="str">
        <f t="shared" si="118"/>
        <v>4247.95461741716i</v>
      </c>
      <c r="AH201" s="31">
        <f t="shared" si="134"/>
        <v>4247.9546174171601</v>
      </c>
      <c r="AI201" s="31">
        <f t="shared" si="135"/>
        <v>1.5707963267948966</v>
      </c>
      <c r="AJ201" s="31" t="str">
        <f t="shared" si="119"/>
        <v>0.934627227652976+1.47084154241684i</v>
      </c>
      <c r="AK201" s="31">
        <f t="shared" si="136"/>
        <v>1.742671196057775</v>
      </c>
      <c r="AL201" s="31">
        <f t="shared" si="137"/>
        <v>1.0047268893564465</v>
      </c>
      <c r="AM201" s="31" t="str">
        <f t="shared" si="120"/>
        <v>1+5.59795459483233i</v>
      </c>
      <c r="AN201" s="31">
        <f t="shared" si="138"/>
        <v>5.6865715194486377</v>
      </c>
      <c r="AO201" s="31">
        <f t="shared" si="139"/>
        <v>1.3940242405202645</v>
      </c>
      <c r="AP201" s="31" t="str">
        <f t="shared" si="121"/>
        <v>1+0.934550015831774i</v>
      </c>
      <c r="AQ201" s="31">
        <f t="shared" si="140"/>
        <v>1.3687160889282952</v>
      </c>
      <c r="AR201" s="31">
        <f t="shared" si="141"/>
        <v>0.75157891390481102</v>
      </c>
      <c r="AS201" s="58" t="str">
        <f t="shared" si="142"/>
        <v>-8.68839007167187+3.98383775924452i</v>
      </c>
      <c r="AT201" s="49">
        <f t="shared" si="143"/>
        <v>19.607517428464355</v>
      </c>
      <c r="AU201" s="61">
        <f t="shared" si="144"/>
        <v>155.36739493508111</v>
      </c>
      <c r="AV201" s="58" t="str">
        <f t="shared" si="122"/>
        <v>-110.547799560617+110.483336871623i</v>
      </c>
      <c r="AW201" s="64">
        <f t="shared" si="145"/>
        <v>43.87876954512268</v>
      </c>
      <c r="AX201" s="49">
        <f t="shared" si="146"/>
        <v>135.01671004352744</v>
      </c>
      <c r="AY201" s="310"/>
      <c r="BA201" s="31">
        <f t="shared" si="147"/>
        <v>0</v>
      </c>
      <c r="BB201" s="31">
        <f t="shared" si="148"/>
        <v>0</v>
      </c>
    </row>
    <row r="202" spans="14:54" x14ac:dyDescent="0.45">
      <c r="N202" s="10">
        <v>84</v>
      </c>
      <c r="O202" s="50">
        <f t="shared" si="149"/>
        <v>691.83097091893671</v>
      </c>
      <c r="P202" s="48" t="str">
        <f t="shared" si="112"/>
        <v>17.4002386318441</v>
      </c>
      <c r="Q202" s="17" t="str">
        <f t="shared" si="113"/>
        <v>1+0.372278777108333i</v>
      </c>
      <c r="R202" s="17">
        <f t="shared" si="123"/>
        <v>1.0670480251072469</v>
      </c>
      <c r="S202" s="17">
        <f t="shared" si="124"/>
        <v>0.35638280884957968</v>
      </c>
      <c r="T202" s="17" t="str">
        <f t="shared" si="114"/>
        <v>1+0.0013040706574589i</v>
      </c>
      <c r="U202" s="17">
        <f t="shared" si="125"/>
        <v>1.0000008502997784</v>
      </c>
      <c r="V202" s="17">
        <f t="shared" si="126"/>
        <v>1.3040699182253462E-3</v>
      </c>
      <c r="W202" s="31" t="str">
        <f t="shared" si="115"/>
        <v>1-0.0032172990369961i</v>
      </c>
      <c r="X202" s="17">
        <f t="shared" si="127"/>
        <v>1.0000051754931538</v>
      </c>
      <c r="Y202" s="17">
        <f t="shared" si="128"/>
        <v>-3.2172879362968895E-3</v>
      </c>
      <c r="Z202" s="31" t="str">
        <f t="shared" si="116"/>
        <v>0.999999565868397+0.00449958528855632i</v>
      </c>
      <c r="AA202" s="17">
        <f t="shared" si="129"/>
        <v>1.0000096889554377</v>
      </c>
      <c r="AB202" s="17">
        <f t="shared" si="130"/>
        <v>4.4995568756958076E-3</v>
      </c>
      <c r="AC202" s="66" t="str">
        <f t="shared" si="131"/>
        <v>15.2453952538682-5.78711974155674i</v>
      </c>
      <c r="AD202" s="64">
        <f t="shared" si="132"/>
        <v>24.247392942700934</v>
      </c>
      <c r="AE202" s="61">
        <f t="shared" si="133"/>
        <v>-20.786655774478835</v>
      </c>
      <c r="AF202" s="31" t="str">
        <f t="shared" si="117"/>
        <v>-9090.90909090909</v>
      </c>
      <c r="AG202" s="31" t="str">
        <f t="shared" si="118"/>
        <v>4346.90219152965i</v>
      </c>
      <c r="AH202" s="31">
        <f t="shared" si="134"/>
        <v>4346.9021915296498</v>
      </c>
      <c r="AI202" s="31">
        <f t="shared" si="135"/>
        <v>1.5707963267948966</v>
      </c>
      <c r="AJ202" s="31" t="str">
        <f t="shared" si="119"/>
        <v>0.931546303810199+1.50510184311057i</v>
      </c>
      <c r="AK202" s="31">
        <f t="shared" si="136"/>
        <v>1.7700593420214135</v>
      </c>
      <c r="AL202" s="31">
        <f t="shared" si="137"/>
        <v>1.0165769326866059</v>
      </c>
      <c r="AM202" s="31" t="str">
        <f t="shared" si="120"/>
        <v>1+5.72834770799777i</v>
      </c>
      <c r="AN202" s="31">
        <f t="shared" si="138"/>
        <v>5.8149778558239849</v>
      </c>
      <c r="AO202" s="31">
        <f t="shared" si="139"/>
        <v>1.3979675168244454</v>
      </c>
      <c r="AP202" s="31" t="str">
        <f t="shared" si="121"/>
        <v>1+0.956318482136522i</v>
      </c>
      <c r="AQ202" s="31">
        <f t="shared" si="140"/>
        <v>1.3836708565536464</v>
      </c>
      <c r="AR202" s="31">
        <f t="shared" si="141"/>
        <v>0.76307344420390499</v>
      </c>
      <c r="AS202" s="58" t="str">
        <f t="shared" si="142"/>
        <v>-8.65555632292729+3.93126121467477i</v>
      </c>
      <c r="AT202" s="49">
        <f t="shared" si="143"/>
        <v>19.560409578564133</v>
      </c>
      <c r="AU202" s="61">
        <f t="shared" si="144"/>
        <v>155.57295862852257</v>
      </c>
      <c r="AV202" s="58" t="str">
        <f t="shared" si="122"/>
        <v>-109.206697900484+110.024371934488i</v>
      </c>
      <c r="AW202" s="64">
        <f t="shared" si="145"/>
        <v>43.807802521265089</v>
      </c>
      <c r="AX202" s="49">
        <f t="shared" si="146"/>
        <v>134.7863028540437</v>
      </c>
      <c r="AY202" s="310"/>
      <c r="BA202" s="31">
        <f t="shared" si="147"/>
        <v>0</v>
      </c>
      <c r="BB202" s="31">
        <f t="shared" si="148"/>
        <v>0</v>
      </c>
    </row>
    <row r="203" spans="14:54" x14ac:dyDescent="0.45">
      <c r="N203" s="10">
        <v>85</v>
      </c>
      <c r="O203" s="50">
        <f t="shared" si="149"/>
        <v>707.94578438413873</v>
      </c>
      <c r="P203" s="48" t="str">
        <f t="shared" si="112"/>
        <v>17.4002386318441</v>
      </c>
      <c r="Q203" s="17" t="str">
        <f t="shared" si="113"/>
        <v>1+0.380950263789806i</v>
      </c>
      <c r="R203" s="17">
        <f t="shared" si="123"/>
        <v>1.0701042488849031</v>
      </c>
      <c r="S203" s="17">
        <f t="shared" si="124"/>
        <v>0.3639771076594398</v>
      </c>
      <c r="T203" s="17" t="str">
        <f t="shared" si="114"/>
        <v>1+0.00133444636521665i</v>
      </c>
      <c r="U203" s="17">
        <f t="shared" si="125"/>
        <v>1.0000008903731543</v>
      </c>
      <c r="V203" s="17">
        <f t="shared" si="126"/>
        <v>1.334445573113664E-3</v>
      </c>
      <c r="W203" s="31" t="str">
        <f t="shared" si="115"/>
        <v>1-0.00329223955862973i</v>
      </c>
      <c r="X203" s="17">
        <f t="shared" si="127"/>
        <v>1.0000054194059707</v>
      </c>
      <c r="Y203" s="17">
        <f t="shared" si="128"/>
        <v>-3.2922276640197055E-3</v>
      </c>
      <c r="Z203" s="31" t="str">
        <f t="shared" si="116"/>
        <v>0.999999545408405+0.00460439409394927i</v>
      </c>
      <c r="AA203" s="17">
        <f t="shared" si="129"/>
        <v>1.0000101455795281</v>
      </c>
      <c r="AB203" s="17">
        <f t="shared" si="130"/>
        <v>4.6043636490373865E-3</v>
      </c>
      <c r="AC203" s="66" t="str">
        <f t="shared" si="131"/>
        <v>15.1567108102336-5.88813462569728i</v>
      </c>
      <c r="AD203" s="64">
        <f t="shared" si="132"/>
        <v>24.222549001372368</v>
      </c>
      <c r="AE203" s="61">
        <f t="shared" si="133"/>
        <v>-21.230335363713223</v>
      </c>
      <c r="AF203" s="31" t="str">
        <f t="shared" si="117"/>
        <v>-9090.90909090909</v>
      </c>
      <c r="AG203" s="31" t="str">
        <f t="shared" si="118"/>
        <v>4448.15455072215i</v>
      </c>
      <c r="AH203" s="31">
        <f t="shared" si="134"/>
        <v>4448.1545507221499</v>
      </c>
      <c r="AI203" s="31">
        <f t="shared" si="135"/>
        <v>1.5707963267948966</v>
      </c>
      <c r="AJ203" s="31" t="str">
        <f t="shared" si="119"/>
        <v>0.928320180500056+1.54016016872389i</v>
      </c>
      <c r="AK203" s="31">
        <f t="shared" si="136"/>
        <v>1.798296889517206</v>
      </c>
      <c r="AL203" s="31">
        <f t="shared" si="137"/>
        <v>1.0283626315611418</v>
      </c>
      <c r="AM203" s="31" t="str">
        <f t="shared" si="120"/>
        <v>1+5.86177806694165i</v>
      </c>
      <c r="AN203" s="31">
        <f t="shared" si="138"/>
        <v>5.9464646729025636</v>
      </c>
      <c r="AO203" s="31">
        <f t="shared" si="139"/>
        <v>1.4018262862051964</v>
      </c>
      <c r="AP203" s="31" t="str">
        <f t="shared" si="121"/>
        <v>1+0.978594001158872i</v>
      </c>
      <c r="AQ203" s="31">
        <f t="shared" si="140"/>
        <v>1.3991591114323383</v>
      </c>
      <c r="AR203" s="31">
        <f t="shared" si="141"/>
        <v>0.77457979251233877</v>
      </c>
      <c r="AS203" s="58" t="str">
        <f t="shared" si="142"/>
        <v>-8.62321479607367+3.87939891275637i</v>
      </c>
      <c r="AT203" s="49">
        <f t="shared" si="143"/>
        <v>19.513840030316892</v>
      </c>
      <c r="AU203" s="61">
        <f t="shared" si="144"/>
        <v>155.77804421971166</v>
      </c>
      <c r="AV203" s="58" t="str">
        <f t="shared" si="122"/>
        <v>-107.857149853523+109.573577063769i</v>
      </c>
      <c r="AW203" s="64">
        <f t="shared" si="145"/>
        <v>43.736389031689242</v>
      </c>
      <c r="AX203" s="49">
        <f t="shared" si="146"/>
        <v>134.54770885599856</v>
      </c>
      <c r="AY203" s="310"/>
      <c r="BA203" s="31">
        <f t="shared" si="147"/>
        <v>0</v>
      </c>
      <c r="BB203" s="31">
        <f t="shared" si="148"/>
        <v>0</v>
      </c>
    </row>
    <row r="204" spans="14:54" x14ac:dyDescent="0.45">
      <c r="N204" s="10">
        <v>86</v>
      </c>
      <c r="O204" s="50">
        <f t="shared" si="149"/>
        <v>724.43596007499025</v>
      </c>
      <c r="P204" s="48" t="str">
        <f t="shared" si="112"/>
        <v>17.4002386318441</v>
      </c>
      <c r="Q204" s="17" t="str">
        <f t="shared" si="113"/>
        <v>1+0.389823735343613i</v>
      </c>
      <c r="R204" s="17">
        <f t="shared" si="123"/>
        <v>1.0732951805711453</v>
      </c>
      <c r="S204" s="17">
        <f t="shared" si="124"/>
        <v>0.37170307048693324</v>
      </c>
      <c r="T204" s="17" t="str">
        <f t="shared" si="114"/>
        <v>1+0.00136552961410072i</v>
      </c>
      <c r="U204" s="17">
        <f t="shared" si="125"/>
        <v>1.0000009323351289</v>
      </c>
      <c r="V204" s="17">
        <f t="shared" si="126"/>
        <v>1.3655287653471214E-3</v>
      </c>
      <c r="W204" s="31" t="str">
        <f t="shared" si="115"/>
        <v>1-0.00336892566925528i</v>
      </c>
      <c r="X204" s="17">
        <f t="shared" si="127"/>
        <v>1.0000056748139807</v>
      </c>
      <c r="Y204" s="17">
        <f t="shared" si="128"/>
        <v>-3.3689129239549173E-3</v>
      </c>
      <c r="Z204" s="31" t="str">
        <f t="shared" si="116"/>
        <v>0.999999523984163+0.00471164421003717i</v>
      </c>
      <c r="AA204" s="17">
        <f t="shared" si="129"/>
        <v>1.0000106237234256</v>
      </c>
      <c r="AB204" s="17">
        <f t="shared" si="130"/>
        <v>4.7116115877450489E-3</v>
      </c>
      <c r="AC204" s="66" t="str">
        <f t="shared" si="131"/>
        <v>15.0649246913479-5.98950639685988i</v>
      </c>
      <c r="AD204" s="64">
        <f t="shared" si="132"/>
        <v>24.196685615112873</v>
      </c>
      <c r="AE204" s="61">
        <f t="shared" si="133"/>
        <v>-21.681758086669305</v>
      </c>
      <c r="AF204" s="31" t="str">
        <f t="shared" si="117"/>
        <v>-9090.90909090909</v>
      </c>
      <c r="AG204" s="31" t="str">
        <f t="shared" si="118"/>
        <v>4551.76538033572i</v>
      </c>
      <c r="AH204" s="31">
        <f t="shared" si="134"/>
        <v>4551.7653803357198</v>
      </c>
      <c r="AI204" s="31">
        <f t="shared" si="135"/>
        <v>1.5707963267948966</v>
      </c>
      <c r="AJ204" s="31" t="str">
        <f t="shared" si="119"/>
        <v>0.924942014682473+1.5760351076451i</v>
      </c>
      <c r="AK204" s="31">
        <f t="shared" si="136"/>
        <v>1.8274037296270285</v>
      </c>
      <c r="AL204" s="31">
        <f t="shared" si="137"/>
        <v>1.040080438810884</v>
      </c>
      <c r="AM204" s="31" t="str">
        <f t="shared" si="120"/>
        <v>1+5.99831641820641i</v>
      </c>
      <c r="AN204" s="31">
        <f t="shared" si="138"/>
        <v>6.0811018617454993</v>
      </c>
      <c r="AO204" s="31">
        <f t="shared" si="139"/>
        <v>1.4056021347435641</v>
      </c>
      <c r="AP204" s="31" t="str">
        <f t="shared" si="121"/>
        <v>1+1.00138838367386i</v>
      </c>
      <c r="AQ204" s="31">
        <f t="shared" si="140"/>
        <v>1.4151956384037316</v>
      </c>
      <c r="AR204" s="31">
        <f t="shared" si="141"/>
        <v>0.78609187355509347</v>
      </c>
      <c r="AS204" s="58" t="str">
        <f t="shared" si="142"/>
        <v>-8.59138353109539+3.82825761848287i</v>
      </c>
      <c r="AT204" s="49">
        <f t="shared" si="143"/>
        <v>19.467833981943169</v>
      </c>
      <c r="AU204" s="61">
        <f t="shared" si="144"/>
        <v>155.98259716164515</v>
      </c>
      <c r="AV204" s="58" t="str">
        <f t="shared" si="122"/>
        <v>-106.499172395708+109.130559338896i</v>
      </c>
      <c r="AW204" s="64">
        <f t="shared" si="145"/>
        <v>43.664519597056056</v>
      </c>
      <c r="AX204" s="49">
        <f t="shared" si="146"/>
        <v>134.30083907497578</v>
      </c>
      <c r="AY204" s="310"/>
      <c r="BA204" s="31">
        <f t="shared" si="147"/>
        <v>0</v>
      </c>
      <c r="BB204" s="31">
        <f t="shared" si="148"/>
        <v>0</v>
      </c>
    </row>
    <row r="205" spans="14:54" x14ac:dyDescent="0.45">
      <c r="N205" s="10">
        <v>87</v>
      </c>
      <c r="O205" s="50">
        <f t="shared" si="149"/>
        <v>741.31024130091828</v>
      </c>
      <c r="P205" s="48" t="str">
        <f t="shared" si="112"/>
        <v>17.4002386318441</v>
      </c>
      <c r="Q205" s="17" t="str">
        <f t="shared" si="113"/>
        <v>1+0.398903896601826i</v>
      </c>
      <c r="R205" s="17">
        <f t="shared" si="123"/>
        <v>1.07662635985012</v>
      </c>
      <c r="S205" s="17">
        <f t="shared" si="124"/>
        <v>0.37956110338926285</v>
      </c>
      <c r="T205" s="17" t="str">
        <f t="shared" si="114"/>
        <v>1+0.00139733688486111i</v>
      </c>
      <c r="U205" s="17">
        <f t="shared" si="125"/>
        <v>1.0000009762747084</v>
      </c>
      <c r="V205" s="17">
        <f t="shared" si="126"/>
        <v>1.3973359754052917E-3</v>
      </c>
      <c r="W205" s="31" t="str">
        <f t="shared" si="115"/>
        <v>1-0.00344739802886368i</v>
      </c>
      <c r="X205" s="17">
        <f t="shared" si="127"/>
        <v>1.0000059422589294</v>
      </c>
      <c r="Y205" s="17">
        <f t="shared" si="128"/>
        <v>-3.4473843720326733E-3</v>
      </c>
      <c r="Z205" s="31" t="str">
        <f t="shared" si="116"/>
        <v>0.999999501550228+0.00482139250225123i</v>
      </c>
      <c r="AA205" s="17">
        <f t="shared" si="129"/>
        <v>1.0000111244013064</v>
      </c>
      <c r="AB205" s="17">
        <f t="shared" si="130"/>
        <v>4.8213575468564317E-3</v>
      </c>
      <c r="AC205" s="66" t="str">
        <f t="shared" si="131"/>
        <v>14.9699737769582-6.0911435310562i</v>
      </c>
      <c r="AD205" s="64">
        <f t="shared" si="132"/>
        <v>24.16976738057549</v>
      </c>
      <c r="AE205" s="61">
        <f t="shared" si="133"/>
        <v>-22.140951851416236</v>
      </c>
      <c r="AF205" s="31" t="str">
        <f t="shared" si="117"/>
        <v>-9090.90909090909</v>
      </c>
      <c r="AG205" s="31" t="str">
        <f t="shared" si="118"/>
        <v>4657.78961620368i</v>
      </c>
      <c r="AH205" s="31">
        <f t="shared" si="134"/>
        <v>4657.7896162036805</v>
      </c>
      <c r="AI205" s="31">
        <f t="shared" si="135"/>
        <v>1.5707963267948966</v>
      </c>
      <c r="AJ205" s="31" t="str">
        <f t="shared" si="119"/>
        <v>0.921404640814832+1.61274568124168i</v>
      </c>
      <c r="AK205" s="31">
        <f t="shared" si="136"/>
        <v>1.8574001034991896</v>
      </c>
      <c r="AL205" s="31">
        <f t="shared" si="137"/>
        <v>1.0517270240127206</v>
      </c>
      <c r="AM205" s="31" t="str">
        <f t="shared" si="120"/>
        <v>1+6.13803515623321i</v>
      </c>
      <c r="AN205" s="31">
        <f t="shared" si="138"/>
        <v>6.2189609726348056</v>
      </c>
      <c r="AO205" s="31">
        <f t="shared" si="139"/>
        <v>1.4092966335685815</v>
      </c>
      <c r="AP205" s="31" t="str">
        <f t="shared" si="121"/>
        <v>1+1.02471371556481i</v>
      </c>
      <c r="AQ205" s="31">
        <f t="shared" si="140"/>
        <v>1.4317954458883568</v>
      </c>
      <c r="AR205" s="31">
        <f t="shared" si="141"/>
        <v>0.79760358688149413</v>
      </c>
      <c r="AS205" s="58" t="str">
        <f t="shared" si="142"/>
        <v>-8.56007867420426+3.7778453569674i</v>
      </c>
      <c r="AT205" s="49">
        <f t="shared" si="143"/>
        <v>19.422415783660419</v>
      </c>
      <c r="AU205" s="61">
        <f t="shared" si="144"/>
        <v>156.18654876249727</v>
      </c>
      <c r="AV205" s="58" t="str">
        <f t="shared" si="122"/>
        <v>-105.132754974114+108.694913768917i</v>
      </c>
      <c r="AW205" s="64">
        <f t="shared" si="145"/>
        <v>43.592183164235905</v>
      </c>
      <c r="AX205" s="49">
        <f t="shared" si="146"/>
        <v>134.04559691108091</v>
      </c>
      <c r="AY205" s="310"/>
      <c r="BA205" s="31">
        <f t="shared" si="147"/>
        <v>0</v>
      </c>
      <c r="BB205" s="31">
        <f t="shared" si="148"/>
        <v>0</v>
      </c>
    </row>
    <row r="206" spans="14:54" x14ac:dyDescent="0.45">
      <c r="N206" s="10">
        <v>88</v>
      </c>
      <c r="O206" s="50">
        <f t="shared" si="149"/>
        <v>758.57757502918378</v>
      </c>
      <c r="P206" s="48" t="str">
        <f t="shared" si="112"/>
        <v>17.4002386318441</v>
      </c>
      <c r="Q206" s="17" t="str">
        <f t="shared" si="113"/>
        <v>1+0.408195561986135i</v>
      </c>
      <c r="R206" s="17">
        <f t="shared" si="123"/>
        <v>1.0801035213465313</v>
      </c>
      <c r="S206" s="17">
        <f t="shared" si="124"/>
        <v>0.38755148998322947</v>
      </c>
      <c r="T206" s="17" t="str">
        <f t="shared" si="114"/>
        <v>1+0.00142988504213379i</v>
      </c>
      <c r="U206" s="17">
        <f t="shared" si="125"/>
        <v>1.0000010222850944</v>
      </c>
      <c r="V206" s="17">
        <f t="shared" si="126"/>
        <v>1.4298840676343772E-3</v>
      </c>
      <c r="W206" s="31" t="str">
        <f t="shared" si="115"/>
        <v>1-0.00352769824453869i</v>
      </c>
      <c r="X206" s="17">
        <f t="shared" si="127"/>
        <v>1.0000062223080937</v>
      </c>
      <c r="Y206" s="17">
        <f t="shared" si="128"/>
        <v>-3.5276836109855354E-3</v>
      </c>
      <c r="Z206" s="31" t="str">
        <f t="shared" si="116"/>
        <v>0.999999478059014+0.00493369716058865i</v>
      </c>
      <c r="AA206" s="17">
        <f t="shared" si="129"/>
        <v>1.0000116486751407</v>
      </c>
      <c r="AB206" s="17">
        <f t="shared" si="130"/>
        <v>4.9336597052318529E-3</v>
      </c>
      <c r="AC206" s="66" t="str">
        <f t="shared" si="131"/>
        <v>14.8717974610937-6.19294924422393i</v>
      </c>
      <c r="AD206" s="64">
        <f t="shared" si="132"/>
        <v>24.14175819501224</v>
      </c>
      <c r="AE206" s="61">
        <f t="shared" si="133"/>
        <v>-22.607937658807632</v>
      </c>
      <c r="AF206" s="31" t="str">
        <f t="shared" si="117"/>
        <v>-9090.90909090909</v>
      </c>
      <c r="AG206" s="31" t="str">
        <f t="shared" si="118"/>
        <v>4766.28347377929i</v>
      </c>
      <c r="AH206" s="31">
        <f t="shared" si="134"/>
        <v>4766.28347377929</v>
      </c>
      <c r="AI206" s="31">
        <f t="shared" si="135"/>
        <v>1.5707963267948966</v>
      </c>
      <c r="AJ206" s="31" t="str">
        <f t="shared" si="119"/>
        <v>0.917700555652896+1.65031135394566i</v>
      </c>
      <c r="AK206" s="31">
        <f t="shared" si="136"/>
        <v>1.8883066156764881</v>
      </c>
      <c r="AL206" s="31">
        <f t="shared" si="137"/>
        <v>1.0632992776159846</v>
      </c>
      <c r="AM206" s="31" t="str">
        <f t="shared" si="120"/>
        <v>1+6.28100836174635i</v>
      </c>
      <c r="AN206" s="31">
        <f t="shared" si="138"/>
        <v>6.3601152536984404</v>
      </c>
      <c r="AO206" s="31">
        <f t="shared" si="139"/>
        <v>1.4129113379289988</v>
      </c>
      <c r="AP206" s="31" t="str">
        <f t="shared" si="121"/>
        <v>1+1.04858236423144i</v>
      </c>
      <c r="AQ206" s="31">
        <f t="shared" si="140"/>
        <v>1.4489737660072375</v>
      </c>
      <c r="AR206" s="31">
        <f t="shared" si="141"/>
        <v>0.80910883301482928</v>
      </c>
      <c r="AS206" s="58" t="str">
        <f t="shared" si="142"/>
        <v>-8.52931446965229+3.72817126728948i</v>
      </c>
      <c r="AT206" s="49">
        <f t="shared" si="143"/>
        <v>19.377608800971981</v>
      </c>
      <c r="AU206" s="61">
        <f t="shared" si="144"/>
        <v>156.3898168213139</v>
      </c>
      <c r="AV206" s="58" t="str">
        <f t="shared" si="122"/>
        <v>-103.757861842547+108.26621958598i</v>
      </c>
      <c r="AW206" s="64">
        <f t="shared" si="145"/>
        <v>43.519366995984242</v>
      </c>
      <c r="AX206" s="49">
        <f t="shared" si="146"/>
        <v>133.78187916250619</v>
      </c>
      <c r="AY206" s="310"/>
      <c r="BA206" s="31">
        <f t="shared" si="147"/>
        <v>0</v>
      </c>
      <c r="BB206" s="31">
        <f t="shared" si="148"/>
        <v>0</v>
      </c>
    </row>
    <row r="207" spans="14:54" x14ac:dyDescent="0.45">
      <c r="N207" s="10">
        <v>89</v>
      </c>
      <c r="O207" s="50">
        <f t="shared" si="149"/>
        <v>776.24711662869231</v>
      </c>
      <c r="P207" s="48" t="str">
        <f t="shared" si="112"/>
        <v>17.4002386318441</v>
      </c>
      <c r="Q207" s="17" t="str">
        <f t="shared" si="113"/>
        <v>1+0.417703658060517i</v>
      </c>
      <c r="R207" s="17">
        <f t="shared" si="123"/>
        <v>1.0837325989178037</v>
      </c>
      <c r="S207" s="17">
        <f t="shared" si="124"/>
        <v>0.39567438458494858</v>
      </c>
      <c r="T207" s="17" t="str">
        <f t="shared" si="114"/>
        <v>1+0.00146319134338258i</v>
      </c>
      <c r="U207" s="17">
        <f t="shared" si="125"/>
        <v>1.0000010704638806</v>
      </c>
      <c r="V207" s="17">
        <f t="shared" si="126"/>
        <v>1.4631902991877066E-3</v>
      </c>
      <c r="W207" s="31" t="str">
        <f t="shared" si="115"/>
        <v>1-0.00360986889251756i</v>
      </c>
      <c r="X207" s="17">
        <f t="shared" si="127"/>
        <v>1.0000065155554845</v>
      </c>
      <c r="Y207" s="17">
        <f t="shared" si="128"/>
        <v>-3.6098532123883683E-3</v>
      </c>
      <c r="Z207" s="31" t="str">
        <f t="shared" si="116"/>
        <v>0.999999453460693+0.00504861773046582i</v>
      </c>
      <c r="AA207" s="17">
        <f t="shared" si="129"/>
        <v>1.0000121976569452</v>
      </c>
      <c r="AB207" s="17">
        <f t="shared" si="130"/>
        <v>5.0485775963543542E-3</v>
      </c>
      <c r="AC207" s="66" t="str">
        <f t="shared" si="131"/>
        <v>14.7703380217775-6.29482146672143i</v>
      </c>
      <c r="AD207" s="64">
        <f t="shared" si="132"/>
        <v>24.112621286744403</v>
      </c>
      <c r="AE207" s="61">
        <f t="shared" si="133"/>
        <v>-23.082729211932794</v>
      </c>
      <c r="AF207" s="31" t="str">
        <f t="shared" si="117"/>
        <v>-9090.90909090909</v>
      </c>
      <c r="AG207" s="31" t="str">
        <f t="shared" si="118"/>
        <v>4877.30447794192i</v>
      </c>
      <c r="AH207" s="31">
        <f t="shared" si="134"/>
        <v>4877.3044779419197</v>
      </c>
      <c r="AI207" s="31">
        <f t="shared" si="135"/>
        <v>1.5707963267948966</v>
      </c>
      <c r="AJ207" s="31" t="str">
        <f t="shared" si="119"/>
        <v>0.913821902335421+1.68875204357396i</v>
      </c>
      <c r="AK207" s="31">
        <f t="shared" si="136"/>
        <v>1.920144248191566</v>
      </c>
      <c r="AL207" s="31">
        <f t="shared" si="137"/>
        <v>1.0747943141097518</v>
      </c>
      <c r="AM207" s="31" t="str">
        <f t="shared" si="120"/>
        <v>1+6.42731184103186i</v>
      </c>
      <c r="AN207" s="31">
        <f t="shared" si="138"/>
        <v>6.5046396903954919</v>
      </c>
      <c r="AO207" s="31">
        <f t="shared" si="139"/>
        <v>1.4164477863561988</v>
      </c>
      <c r="AP207" s="31" t="str">
        <f t="shared" si="121"/>
        <v>1+1.07300698514722i</v>
      </c>
      <c r="AQ207" s="31">
        <f t="shared" si="140"/>
        <v>1.4667460551079476</v>
      </c>
      <c r="AR207" s="31">
        <f t="shared" si="141"/>
        <v>0.82060152959567745</v>
      </c>
      <c r="AS207" s="58" t="str">
        <f t="shared" si="142"/>
        <v>-8.49910326226266+3.67924545961436i</v>
      </c>
      <c r="AT207" s="49">
        <f t="shared" si="143"/>
        <v>19.333435288563162</v>
      </c>
      <c r="AU207" s="61">
        <f t="shared" si="144"/>
        <v>156.59230632352342</v>
      </c>
      <c r="AV207" s="58" t="str">
        <f t="shared" si="122"/>
        <v>-102.374434765094+107.844036766767i</v>
      </c>
      <c r="AW207" s="64">
        <f t="shared" si="145"/>
        <v>43.446056575307573</v>
      </c>
      <c r="AX207" s="49">
        <f t="shared" si="146"/>
        <v>133.50957711159086</v>
      </c>
      <c r="AY207" s="310"/>
      <c r="BA207" s="31">
        <f t="shared" si="147"/>
        <v>0</v>
      </c>
      <c r="BB207" s="31">
        <f t="shared" si="148"/>
        <v>0</v>
      </c>
    </row>
    <row r="208" spans="14:54" x14ac:dyDescent="0.45">
      <c r="N208" s="10">
        <v>90</v>
      </c>
      <c r="O208" s="50">
        <f t="shared" si="149"/>
        <v>794.32823472428208</v>
      </c>
      <c r="P208" s="48" t="str">
        <f t="shared" si="112"/>
        <v>17.4002386318441</v>
      </c>
      <c r="Q208" s="17" t="str">
        <f t="shared" si="113"/>
        <v>1+0.427433226143363i</v>
      </c>
      <c r="R208" s="17">
        <f t="shared" si="123"/>
        <v>1.0875197298492212</v>
      </c>
      <c r="S208" s="17">
        <f t="shared" si="124"/>
        <v>0.40392980533195433</v>
      </c>
      <c r="T208" s="17" t="str">
        <f t="shared" si="114"/>
        <v>1+0.00149727344804925i</v>
      </c>
      <c r="U208" s="17">
        <f t="shared" si="125"/>
        <v>1.0000011209132609</v>
      </c>
      <c r="V208" s="17">
        <f t="shared" si="126"/>
        <v>1.4972723291743525E-3</v>
      </c>
      <c r="W208" s="31" t="str">
        <f t="shared" si="115"/>
        <v>1-0.00369395354076551i</v>
      </c>
      <c r="X208" s="17">
        <f t="shared" si="127"/>
        <v>1.0000068226231065</v>
      </c>
      <c r="Y208" s="17">
        <f t="shared" si="128"/>
        <v>-3.6939367392105635E-3</v>
      </c>
      <c r="Z208" s="31" t="str">
        <f t="shared" si="116"/>
        <v>0.999999427703089+0.00516621514429004i</v>
      </c>
      <c r="AA208" s="17">
        <f t="shared" si="129"/>
        <v>1.0000127725111427</v>
      </c>
      <c r="AB208" s="17">
        <f t="shared" si="130"/>
        <v>5.1661721398444556E-3</v>
      </c>
      <c r="AC208" s="66" t="str">
        <f t="shared" si="131"/>
        <v>14.6655410060035-6.39665284211289i</v>
      </c>
      <c r="AD208" s="64">
        <f t="shared" si="132"/>
        <v>24.082319249897779</v>
      </c>
      <c r="AE208" s="61">
        <f t="shared" si="133"/>
        <v>-23.565332524614799</v>
      </c>
      <c r="AF208" s="31" t="str">
        <f t="shared" si="117"/>
        <v>-9090.90909090909</v>
      </c>
      <c r="AG208" s="31" t="str">
        <f t="shared" si="118"/>
        <v>4990.91149349751i</v>
      </c>
      <c r="AH208" s="31">
        <f t="shared" si="134"/>
        <v>4990.9114934975096</v>
      </c>
      <c r="AI208" s="31">
        <f t="shared" si="135"/>
        <v>1.5707963267948966</v>
      </c>
      <c r="AJ208" s="31" t="str">
        <f t="shared" si="119"/>
        <v>0.909760453718701+1.72808813188903i</v>
      </c>
      <c r="AK208" s="31">
        <f t="shared" si="136"/>
        <v>1.9529343754274424</v>
      </c>
      <c r="AL208" s="31">
        <f t="shared" si="137"/>
        <v>1.0862094742561061</v>
      </c>
      <c r="AM208" s="31" t="str">
        <f t="shared" si="120"/>
        <v>1+6.57702316613102i</v>
      </c>
      <c r="AN208" s="31">
        <f t="shared" si="138"/>
        <v>6.6526110458844725</v>
      </c>
      <c r="AO208" s="31">
        <f t="shared" si="139"/>
        <v>1.4199074999129999</v>
      </c>
      <c r="AP208" s="31" t="str">
        <f t="shared" si="121"/>
        <v>1+1.09800052856945i</v>
      </c>
      <c r="AQ208" s="31">
        <f t="shared" si="140"/>
        <v>1.4851279947327072</v>
      </c>
      <c r="AR208" s="31">
        <f t="shared" si="141"/>
        <v>0.83207562741483232</v>
      </c>
      <c r="AS208" s="58" t="str">
        <f t="shared" si="142"/>
        <v>-8.4694555100653+3.63107887648846i</v>
      </c>
      <c r="AT208" s="49">
        <f t="shared" si="143"/>
        <v>19.289916275429402</v>
      </c>
      <c r="AU208" s="61">
        <f t="shared" si="144"/>
        <v>156.79391018855813</v>
      </c>
      <c r="AV208" s="58" t="str">
        <f t="shared" si="122"/>
        <v>-100.982396066159+107.427902818783i</v>
      </c>
      <c r="AW208" s="64">
        <f t="shared" si="145"/>
        <v>43.372235525327199</v>
      </c>
      <c r="AX208" s="49">
        <f t="shared" si="146"/>
        <v>133.22857766394321</v>
      </c>
      <c r="AY208" s="310"/>
      <c r="BA208" s="31">
        <f t="shared" si="147"/>
        <v>0</v>
      </c>
      <c r="BB208" s="31">
        <f t="shared" si="148"/>
        <v>0</v>
      </c>
    </row>
    <row r="209" spans="14:54" x14ac:dyDescent="0.45">
      <c r="N209" s="10">
        <v>91</v>
      </c>
      <c r="O209" s="50">
        <f t="shared" si="149"/>
        <v>812.83051616409978</v>
      </c>
      <c r="P209" s="48" t="str">
        <f t="shared" si="112"/>
        <v>17.4002386318441</v>
      </c>
      <c r="Q209" s="17" t="str">
        <f t="shared" si="113"/>
        <v>1+0.437389424980458i</v>
      </c>
      <c r="R209" s="17">
        <f t="shared" si="123"/>
        <v>1.0914712589366409</v>
      </c>
      <c r="S209" s="17">
        <f t="shared" si="124"/>
        <v>0.41231762732076177</v>
      </c>
      <c r="T209" s="17" t="str">
        <f t="shared" si="114"/>
        <v>1+0.00153214942691684i</v>
      </c>
      <c r="U209" s="17">
        <f t="shared" si="125"/>
        <v>1.0000011737402443</v>
      </c>
      <c r="V209" s="17">
        <f t="shared" si="126"/>
        <v>1.5321482280208631E-3</v>
      </c>
      <c r="W209" s="31" t="str">
        <f t="shared" si="115"/>
        <v>1-0.00377999677207602i</v>
      </c>
      <c r="X209" s="17">
        <f t="shared" si="127"/>
        <v>1.0000071441622789</v>
      </c>
      <c r="Y209" s="17">
        <f t="shared" si="128"/>
        <v>-3.7799787688924833E-3</v>
      </c>
      <c r="Z209" s="31" t="str">
        <f t="shared" si="116"/>
        <v>0.999999400731566+0.0052865517537667i</v>
      </c>
      <c r="AA209" s="17">
        <f t="shared" si="129"/>
        <v>1.0000133744570301</v>
      </c>
      <c r="AB209" s="17">
        <f t="shared" si="130"/>
        <v>5.2865056737063151E-3</v>
      </c>
      <c r="AC209" s="66" t="str">
        <f t="shared" si="131"/>
        <v>14.5573556286699-6.49833075250059i</v>
      </c>
      <c r="AD209" s="64">
        <f t="shared" si="132"/>
        <v>24.050814083566031</v>
      </c>
      <c r="AE209" s="61">
        <f t="shared" si="133"/>
        <v>-24.055745530855518</v>
      </c>
      <c r="AF209" s="31" t="str">
        <f t="shared" si="117"/>
        <v>-9090.90909090909</v>
      </c>
      <c r="AG209" s="31" t="str">
        <f t="shared" si="118"/>
        <v>5107.16475638947i</v>
      </c>
      <c r="AH209" s="31">
        <f t="shared" si="134"/>
        <v>5107.1647563894703</v>
      </c>
      <c r="AI209" s="31">
        <f t="shared" si="135"/>
        <v>1.5707963267948966</v>
      </c>
      <c r="AJ209" s="31" t="str">
        <f t="shared" si="119"/>
        <v>0.905507594925692+1.76834047540559i</v>
      </c>
      <c r="AK209" s="31">
        <f t="shared" si="136"/>
        <v>1.9866987797413524</v>
      </c>
      <c r="AL209" s="31">
        <f t="shared" si="137"/>
        <v>1.0975423264207973</v>
      </c>
      <c r="AM209" s="31" t="str">
        <f t="shared" si="120"/>
        <v>1+6.73022171597004i</v>
      </c>
      <c r="AN209" s="31">
        <f t="shared" si="138"/>
        <v>6.8041079022980453</v>
      </c>
      <c r="AO209" s="31">
        <f t="shared" si="139"/>
        <v>1.423291981523247</v>
      </c>
      <c r="AP209" s="31" t="str">
        <f t="shared" si="121"/>
        <v>1+1.12357624640568i</v>
      </c>
      <c r="AQ209" s="31">
        <f t="shared" si="140"/>
        <v>1.5041354930614057</v>
      </c>
      <c r="AR209" s="31">
        <f t="shared" si="141"/>
        <v>0.84352512623307496</v>
      </c>
      <c r="AS209" s="58" t="str">
        <f t="shared" si="142"/>
        <v>-8.44037980634743+3.58368315911642i</v>
      </c>
      <c r="AT209" s="49">
        <f t="shared" si="143"/>
        <v>19.24707146172409</v>
      </c>
      <c r="AU209" s="61">
        <f t="shared" si="144"/>
        <v>156.99451006160777</v>
      </c>
      <c r="AV209" s="58" t="str">
        <f t="shared" si="122"/>
        <v>-99.5816520019388+107.017329866105i</v>
      </c>
      <c r="AW209" s="64">
        <f t="shared" si="145"/>
        <v>43.2978855452901</v>
      </c>
      <c r="AX209" s="49">
        <f t="shared" si="146"/>
        <v>132.93876453075237</v>
      </c>
      <c r="AY209" s="310"/>
      <c r="BA209" s="31">
        <f t="shared" si="147"/>
        <v>0</v>
      </c>
      <c r="BB209" s="31">
        <f t="shared" si="148"/>
        <v>0</v>
      </c>
    </row>
    <row r="210" spans="14:54" x14ac:dyDescent="0.45">
      <c r="N210" s="10">
        <v>92</v>
      </c>
      <c r="O210" s="50">
        <f t="shared" si="149"/>
        <v>831.7637711026714</v>
      </c>
      <c r="P210" s="48" t="str">
        <f t="shared" si="112"/>
        <v>17.4002386318441</v>
      </c>
      <c r="Q210" s="17" t="str">
        <f t="shared" si="113"/>
        <v>1+0.447577533480212i</v>
      </c>
      <c r="R210" s="17">
        <f t="shared" si="123"/>
        <v>1.0955937424411617</v>
      </c>
      <c r="S210" s="17">
        <f t="shared" si="124"/>
        <v>0.42083757579586156</v>
      </c>
      <c r="T210" s="17" t="str">
        <f t="shared" si="114"/>
        <v>1+0.00156783777169098i</v>
      </c>
      <c r="U210" s="17">
        <f t="shared" si="125"/>
        <v>1.0000012290568838</v>
      </c>
      <c r="V210" s="17">
        <f t="shared" si="126"/>
        <v>1.5678364870508811E-3</v>
      </c>
      <c r="W210" s="31" t="str">
        <f t="shared" si="115"/>
        <v>1-0.00386804420770926i</v>
      </c>
      <c r="X210" s="17">
        <f t="shared" si="127"/>
        <v>1.0000074808550148</v>
      </c>
      <c r="Y210" s="17">
        <f t="shared" si="128"/>
        <v>-3.868024916958339E-3</v>
      </c>
      <c r="Z210" s="31" t="str">
        <f t="shared" si="116"/>
        <v>0.999999372488915+0.005409691362959i</v>
      </c>
      <c r="AA210" s="17">
        <f t="shared" si="129"/>
        <v>1.0000140047713664</v>
      </c>
      <c r="AB210" s="17">
        <f t="shared" si="130"/>
        <v>5.4096419873220381E-3</v>
      </c>
      <c r="AC210" s="66" t="str">
        <f t="shared" si="131"/>
        <v>14.4457351838966-6.59973737264792i</v>
      </c>
      <c r="AD210" s="64">
        <f t="shared" si="132"/>
        <v>24.018067235552728</v>
      </c>
      <c r="AE210" s="61">
        <f t="shared" si="133"/>
        <v>-24.553957697288606</v>
      </c>
      <c r="AF210" s="31" t="str">
        <f t="shared" si="117"/>
        <v>-9090.90909090909</v>
      </c>
      <c r="AG210" s="31" t="str">
        <f t="shared" si="118"/>
        <v>5226.12590563659i</v>
      </c>
      <c r="AH210" s="31">
        <f t="shared" si="134"/>
        <v>5226.1259056365898</v>
      </c>
      <c r="AI210" s="31">
        <f t="shared" si="135"/>
        <v>1.5707963267948966</v>
      </c>
      <c r="AJ210" s="31" t="str">
        <f t="shared" si="119"/>
        <v>0.901054305072702+1.80953041644895i</v>
      </c>
      <c r="AK210" s="31">
        <f t="shared" si="136"/>
        <v>2.0214596678499328</v>
      </c>
      <c r="AL210" s="31">
        <f t="shared" si="137"/>
        <v>1.1087906670381431</v>
      </c>
      <c r="AM210" s="31" t="str">
        <f t="shared" si="120"/>
        <v>1+6.88698871844789i</v>
      </c>
      <c r="AN210" s="31">
        <f t="shared" si="138"/>
        <v>6.9592107029481802</v>
      </c>
      <c r="AO210" s="31">
        <f t="shared" si="139"/>
        <v>1.4266027153772889</v>
      </c>
      <c r="AP210" s="31" t="str">
        <f t="shared" si="121"/>
        <v>1+1.14974769924005i</v>
      </c>
      <c r="AQ210" s="31">
        <f t="shared" si="140"/>
        <v>1.523784686859593</v>
      </c>
      <c r="AR210" s="31">
        <f t="shared" si="141"/>
        <v>0.85494409028752816</v>
      </c>
      <c r="AS210" s="58" t="str">
        <f t="shared" si="142"/>
        <v>-8.41188291037165+3.53707051932426i</v>
      </c>
      <c r="AT210" s="49">
        <f t="shared" si="143"/>
        <v>19.204919127678238</v>
      </c>
      <c r="AU210" s="61">
        <f t="shared" si="144"/>
        <v>157.1939771413677</v>
      </c>
      <c r="AV210" s="58" t="str">
        <f t="shared" si="122"/>
        <v>-98.1720964250988+106.611802066844i</v>
      </c>
      <c r="AW210" s="64">
        <f t="shared" si="145"/>
        <v>43.222986363230966</v>
      </c>
      <c r="AX210" s="49">
        <f t="shared" si="146"/>
        <v>132.64001944407912</v>
      </c>
      <c r="AY210" s="310"/>
      <c r="BA210" s="31">
        <f t="shared" si="147"/>
        <v>0</v>
      </c>
      <c r="BB210" s="31">
        <f t="shared" si="148"/>
        <v>0</v>
      </c>
    </row>
    <row r="211" spans="14:54" x14ac:dyDescent="0.45">
      <c r="N211" s="10">
        <v>93</v>
      </c>
      <c r="O211" s="50">
        <f t="shared" si="149"/>
        <v>851.13803820237763</v>
      </c>
      <c r="P211" s="48" t="str">
        <f t="shared" ref="P211:P274" si="150">COMPLEX(Adc,0)</f>
        <v>17.4002386318441</v>
      </c>
      <c r="Q211" s="17" t="str">
        <f t="shared" ref="Q211:Q274" si="151">IMSUM(COMPLEX(1,0),IMDIV(COMPLEX(0,2*PI()*O211),COMPLEX(wp_lf,0)))</f>
        <v>1+0.458002953512606i</v>
      </c>
      <c r="R211" s="17">
        <f t="shared" si="123"/>
        <v>1.0998939519000321</v>
      </c>
      <c r="S211" s="17">
        <f t="shared" si="124"/>
        <v>0.42948921942904439</v>
      </c>
      <c r="T211" s="17" t="str">
        <f t="shared" ref="T211:T274" si="152">IMSUM(COMPLEX(1,0),IMDIV(COMPLEX(0,2*PI()*O211),COMPLEX(wz_esr,0)))</f>
        <v>1+0.00160435740480445i</v>
      </c>
      <c r="U211" s="17">
        <f t="shared" si="125"/>
        <v>1.000001286980513</v>
      </c>
      <c r="V211" s="17">
        <f t="shared" si="126"/>
        <v>1.6043560282878796E-3</v>
      </c>
      <c r="W211" s="31" t="str">
        <f t="shared" ref="W211:W274" si="153">IMSUB(COMPLEX(1,0),IMDIV(COMPLEX(0,2*PI()*O211),COMPLEX(wz_rhp,0)))</f>
        <v>1-0.00395814253158105i</v>
      </c>
      <c r="X211" s="17">
        <f t="shared" si="127"/>
        <v>1.0000078334154689</v>
      </c>
      <c r="Y211" s="17">
        <f t="shared" si="128"/>
        <v>-3.9581218611777699E-3</v>
      </c>
      <c r="Z211" s="31" t="str">
        <f t="shared" ref="Z211:Z274" si="154">IMSUM(COMPLEX(1,0),IMDIV(COMPLEX(0,2*PI()*O211),COMPLEX(Q*(wsl/2),0)),IMDIV(IMPOWER(COMPLEX(0,2*PI()*O211),2),IMPOWER(COMPLEX(wsl/2,0),2)))</f>
        <v>0.999999342915229+0.00553569926211767i</v>
      </c>
      <c r="AA211" s="17">
        <f t="shared" si="129"/>
        <v>1.0000146647910773</v>
      </c>
      <c r="AB211" s="17">
        <f t="shared" si="130"/>
        <v>5.5356463552113377E-3</v>
      </c>
      <c r="AC211" s="66" t="str">
        <f t="shared" si="131"/>
        <v>14.3306374668652-6.70074975509243i</v>
      </c>
      <c r="AD211" s="64">
        <f t="shared" si="132"/>
        <v>23.984039650821025</v>
      </c>
      <c r="AE211" s="61">
        <f t="shared" si="133"/>
        <v>-25.059949640869633</v>
      </c>
      <c r="AF211" s="31" t="str">
        <f t="shared" ref="AF211:AF274" si="155">IF(FB_type=1,COMPLEX(Adc_ea_iso,0),COMPLEX(Adc_ea,0))</f>
        <v>-9090.90909090909</v>
      </c>
      <c r="AG211" s="31" t="str">
        <f t="shared" ref="AG211:AG274" si="156">IF(FB_type=1,COMPLEX(0,2*PI()*O211),COMPLEX(0,2*PI()*O211*wp0_ea))</f>
        <v>5347.85801601484i</v>
      </c>
      <c r="AH211" s="31">
        <f t="shared" si="134"/>
        <v>5347.8580160148404</v>
      </c>
      <c r="AI211" s="31">
        <f t="shared" si="135"/>
        <v>1.5707963267948966</v>
      </c>
      <c r="AJ211" s="31" t="str">
        <f t="shared" ref="AJ211:AJ274" si="157">IF(FB_type=1,IMSUM(IMPRODUCT(COMPLEX(wpA_ea_iso,0),IMPOWER(COMPLEX(0,2*PI()*O211),2)),COMPLEX(0,wpB_ea_iso*2*PI()*O211),COMPLEX(1,0)),IMSUM(COMPLEX(1,0),IMDIV(COMPLEX(0,2*PI()*O211),COMPLEX(wp1_ea,0))))</f>
        <v>0.896391138134891+1.85167979447109i</v>
      </c>
      <c r="AK211" s="31">
        <f t="shared" si="136"/>
        <v>2.0572396879749486</v>
      </c>
      <c r="AL211" s="31">
        <f t="shared" si="137"/>
        <v>1.1199525202519669</v>
      </c>
      <c r="AM211" s="31" t="str">
        <f t="shared" ref="AM211:AM274" si="158">IMSUM(COMPLEX(1,0),IMDIV(COMPLEX(0,2*PI()*O211),COMPLEX(wz1_ea_iso,0)))</f>
        <v>1+7.04740729350435i</v>
      </c>
      <c r="AN211" s="31">
        <f t="shared" si="138"/>
        <v>7.1180017954857471</v>
      </c>
      <c r="AO211" s="31">
        <f t="shared" si="139"/>
        <v>1.429841166408643</v>
      </c>
      <c r="AP211" s="31" t="str">
        <f t="shared" ref="AP211:AP274" si="159">IF(FB_type=1,IMSUM(COMPLEX(1,0),IMDIV(COMPLEX(0,2*PI()*O211),COMPLEX(wz2_ea_iso,0))),1)</f>
        <v>1+1.17652876352326i</v>
      </c>
      <c r="AQ211" s="31">
        <f t="shared" si="140"/>
        <v>1.5440919439585101</v>
      </c>
      <c r="AR211" s="31">
        <f t="shared" si="141"/>
        <v>0.86632666338806363</v>
      </c>
      <c r="AS211" s="58" t="str">
        <f t="shared" si="142"/>
        <v>-8.38396978596528+3.49125361780847i</v>
      </c>
      <c r="AT211" s="49">
        <f t="shared" si="143"/>
        <v>19.163476054804317</v>
      </c>
      <c r="AU211" s="61">
        <f t="shared" si="144"/>
        <v>157.39217303558726</v>
      </c>
      <c r="AV211" s="58" t="str">
        <f t="shared" ref="AV211:AV274" si="160">IMPRODUCT(AC211,AS211)</f>
        <v>-96.7536147113242+106.210773391704i</v>
      </c>
      <c r="AW211" s="64">
        <f t="shared" si="145"/>
        <v>43.147515705625345</v>
      </c>
      <c r="AX211" s="49">
        <f t="shared" si="146"/>
        <v>132.33222339471763</v>
      </c>
      <c r="AY211" s="310"/>
      <c r="BA211" s="31">
        <f t="shared" si="147"/>
        <v>0</v>
      </c>
      <c r="BB211" s="31">
        <f t="shared" si="148"/>
        <v>0</v>
      </c>
    </row>
    <row r="212" spans="14:54" x14ac:dyDescent="0.45">
      <c r="N212" s="10">
        <v>94</v>
      </c>
      <c r="O212" s="50">
        <f t="shared" si="149"/>
        <v>870.96358995608091</v>
      </c>
      <c r="P212" s="48" t="str">
        <f t="shared" si="150"/>
        <v>17.4002386318441</v>
      </c>
      <c r="Q212" s="17" t="str">
        <f t="shared" si="151"/>
        <v>1+0.468671212773336i</v>
      </c>
      <c r="R212" s="17">
        <f t="shared" ref="R212:R275" si="161">IMABS(Q212)</f>
        <v>1.1043788777781063</v>
      </c>
      <c r="S212" s="17">
        <f t="shared" ref="S212:S275" si="162">IMARGUMENT(Q212)</f>
        <v>0.43827196373075239</v>
      </c>
      <c r="T212" s="17" t="str">
        <f t="shared" si="152"/>
        <v>1+0.00164172768945013i</v>
      </c>
      <c r="U212" s="17">
        <f t="shared" ref="U212:U275" si="163">IMABS(T212)</f>
        <v>1.0000013476339951</v>
      </c>
      <c r="V212" s="17">
        <f t="shared" ref="V212:V275" si="164">IMARGUMENT(T212)</f>
        <v>1.641726214486158E-3</v>
      </c>
      <c r="W212" s="31" t="str">
        <f t="shared" si="153"/>
        <v>1-0.00405033951501529i</v>
      </c>
      <c r="X212" s="17">
        <f t="shared" ref="X212:X275" si="165">IMABS(W212)</f>
        <v>1.0000082025914523</v>
      </c>
      <c r="Y212" s="17">
        <f t="shared" ref="Y212:Y275" si="166">IMARGUMENT(W212)</f>
        <v>-4.0503173662889413E-3</v>
      </c>
      <c r="Z212" s="31" t="str">
        <f t="shared" si="154"/>
        <v>0.999999311947778+0.00566464226229874i</v>
      </c>
      <c r="AA212" s="17">
        <f t="shared" ref="AA212:AA275" si="167">IMABS(Z212)</f>
        <v>1.0000153559160925</v>
      </c>
      <c r="AB212" s="17">
        <f t="shared" ref="AB212:AB275" si="168">IMARGUMENT(Z212)</f>
        <v>5.6645855715742139E-3</v>
      </c>
      <c r="AC212" s="66" t="str">
        <f t="shared" ref="AC212:AC275" si="169">(IMDIV(IMPRODUCT(P212,T212,W212),IMPRODUCT(Q212,Z212)))</f>
        <v>14.2120252040269-6.80123994837308i</v>
      </c>
      <c r="AD212" s="64">
        <f t="shared" ref="AD212:AD275" si="170">20*LOG(IMABS(AC212))</f>
        <v>23.948691824758068</v>
      </c>
      <c r="AE212" s="61">
        <f t="shared" ref="AE212:AE275" si="171">(180/PI())*IMARGUMENT(AC212)</f>
        <v>-25.573692754195491</v>
      </c>
      <c r="AF212" s="31" t="str">
        <f t="shared" si="155"/>
        <v>-9090.90909090909</v>
      </c>
      <c r="AG212" s="31" t="str">
        <f t="shared" si="156"/>
        <v>5472.42563150043i</v>
      </c>
      <c r="AH212" s="31">
        <f t="shared" ref="AH212:AH275" si="172">IMABS(AG212)</f>
        <v>5472.4256315004304</v>
      </c>
      <c r="AI212" s="31">
        <f t="shared" ref="AI212:AI275" si="173">IMARGUMENT(AG212)</f>
        <v>1.5707963267948966</v>
      </c>
      <c r="AJ212" s="31" t="str">
        <f t="shared" si="157"/>
        <v>0.891508202909983+1.89481095763013i</v>
      </c>
      <c r="AK212" s="31">
        <f t="shared" ref="AK212:AK275" si="174">IMABS(AJ212)</f>
        <v>2.0940619477491582</v>
      </c>
      <c r="AL212" s="31">
        <f t="shared" ref="AL212:AL275" si="175">IMARGUMENT(AJ212)</f>
        <v>1.1310261367782533</v>
      </c>
      <c r="AM212" s="31" t="str">
        <f t="shared" si="158"/>
        <v>1+7.21156249719126i</v>
      </c>
      <c r="AN212" s="31">
        <f t="shared" ref="AN212:AN275" si="176">IMABS(AM212)</f>
        <v>7.280565476039305</v>
      </c>
      <c r="AO212" s="31">
        <f t="shared" ref="AO212:AO275" si="177">IMARGUMENT(AM212)</f>
        <v>1.4330087798373476</v>
      </c>
      <c r="AP212" s="31" t="str">
        <f t="shared" si="159"/>
        <v>1+1.20393363893009i</v>
      </c>
      <c r="AQ212" s="31">
        <f t="shared" ref="AQ212:AQ275" si="178">IMABS(AP212)</f>
        <v>1.5650738662911245</v>
      </c>
      <c r="AR212" s="31">
        <f t="shared" ref="AR212:AR275" si="179">IMARGUMENT(AP212)</f>
        <v>0.8776670835121132</v>
      </c>
      <c r="AS212" s="58" t="str">
        <f t="shared" ref="AS212:AS275" si="180">IMDIV(IMPRODUCT(AF212,AM212,AP212),IMPRODUCT(AG212,AJ212))</f>
        <v>-8.35664364715809+3.44624544916612i</v>
      </c>
      <c r="AT212" s="49">
        <f t="shared" ref="AT212:AT275" si="181">20*LOG(IMABS(AS212))</f>
        <v>19.122757459466698</v>
      </c>
      <c r="AU212" s="61">
        <f t="shared" ref="AU212:AU275" si="182">(180/PI())*IMARGUMENT(AS212)</f>
        <v>157.5889506362918</v>
      </c>
      <c r="AV212" s="58" t="str">
        <f t="shared" si="160"/>
        <v>-95.3260879137145+105.813665790182i</v>
      </c>
      <c r="AW212" s="64">
        <f t="shared" ref="AW212:AW275" si="183">20*LOG(IMABS(AV212))</f>
        <v>43.071449284224776</v>
      </c>
      <c r="AX212" s="49">
        <f t="shared" ref="AX212:AX275" si="184">(180/PI())*IMARGUMENT(AV212)</f>
        <v>132.01525788209622</v>
      </c>
      <c r="AY212" s="310"/>
      <c r="BA212" s="31">
        <f t="shared" ref="BA212:BA275" si="185">SUM((AW213&lt;0)*(AW212&gt;0))*O212</f>
        <v>0</v>
      </c>
      <c r="BB212" s="31">
        <f t="shared" ref="BB212:BB275" si="186">IF(BA212&gt;0,AX212,0)</f>
        <v>0</v>
      </c>
    </row>
    <row r="213" spans="14:54" x14ac:dyDescent="0.45">
      <c r="N213" s="10">
        <v>95</v>
      </c>
      <c r="O213" s="50">
        <f t="shared" si="149"/>
        <v>891.25093813374656</v>
      </c>
      <c r="P213" s="48" t="str">
        <f t="shared" si="150"/>
        <v>17.4002386318441</v>
      </c>
      <c r="Q213" s="17" t="str">
        <f t="shared" si="151"/>
        <v>1+0.479587967714678i</v>
      </c>
      <c r="R213" s="17">
        <f t="shared" si="161"/>
        <v>1.1090557329443345</v>
      </c>
      <c r="S213" s="17">
        <f t="shared" si="162"/>
        <v>0.44718504463785513</v>
      </c>
      <c r="T213" s="17" t="str">
        <f t="shared" si="152"/>
        <v>1+0.0016799684398476i</v>
      </c>
      <c r="U213" s="17">
        <f t="shared" si="163"/>
        <v>1.0000014111459838</v>
      </c>
      <c r="V213" s="17">
        <f t="shared" si="164"/>
        <v>1.67996685939535E-3</v>
      </c>
      <c r="W213" s="31" t="str">
        <f t="shared" si="153"/>
        <v>1-0.00414468404207298i</v>
      </c>
      <c r="X213" s="17">
        <f t="shared" si="165"/>
        <v>1.0000085891660173</v>
      </c>
      <c r="Y213" s="17">
        <f t="shared" si="166"/>
        <v>-4.1446603092961196E-3</v>
      </c>
      <c r="Z213" s="31" t="str">
        <f t="shared" si="154"/>
        <v>0.999999279520876+0.00579658873078771i</v>
      </c>
      <c r="AA213" s="17">
        <f t="shared" si="167"/>
        <v>1.0000160796123154</v>
      </c>
      <c r="AB213" s="17">
        <f t="shared" si="168"/>
        <v>5.7965279856346773E-3</v>
      </c>
      <c r="AC213" s="66" t="str">
        <f t="shared" si="169"/>
        <v>14.089866489222-6.90107515038325i</v>
      </c>
      <c r="AD213" s="64">
        <f t="shared" si="170"/>
        <v>23.91198386133474</v>
      </c>
      <c r="AE213" s="61">
        <f t="shared" si="171"/>
        <v>-26.095148840997673</v>
      </c>
      <c r="AF213" s="31" t="str">
        <f t="shared" si="155"/>
        <v>-9090.90909090909</v>
      </c>
      <c r="AG213" s="31" t="str">
        <f t="shared" si="156"/>
        <v>5599.89479949198i</v>
      </c>
      <c r="AH213" s="31">
        <f t="shared" si="172"/>
        <v>5599.8947994919799</v>
      </c>
      <c r="AI213" s="31">
        <f t="shared" si="173"/>
        <v>1.5707963267948966</v>
      </c>
      <c r="AJ213" s="31" t="str">
        <f t="shared" si="157"/>
        <v>0.886395142037697+1.9389467746397i</v>
      </c>
      <c r="AK213" s="31">
        <f t="shared" si="174"/>
        <v>2.1319500328839145</v>
      </c>
      <c r="AL213" s="31">
        <f t="shared" si="175"/>
        <v>1.1420099920386488</v>
      </c>
      <c r="AM213" s="31" t="str">
        <f t="shared" si="158"/>
        <v>1+7.37954136677053i</v>
      </c>
      <c r="AN213" s="31">
        <f t="shared" si="176"/>
        <v>7.4469880343584185</v>
      </c>
      <c r="AO213" s="31">
        <f t="shared" si="177"/>
        <v>1.4361069807757043</v>
      </c>
      <c r="AP213" s="31" t="str">
        <f t="shared" si="159"/>
        <v>1+1.23197685588823i</v>
      </c>
      <c r="AQ213" s="31">
        <f t="shared" si="178"/>
        <v>1.5867472935046236</v>
      </c>
      <c r="AR213" s="31">
        <f t="shared" si="179"/>
        <v>0.88895969681195097</v>
      </c>
      <c r="AS213" s="58" t="str">
        <f t="shared" si="180"/>
        <v>-8.32990601002156+3.40205923409735i</v>
      </c>
      <c r="AT213" s="49">
        <f t="shared" si="181"/>
        <v>19.082776938766635</v>
      </c>
      <c r="AU213" s="61">
        <f t="shared" si="182"/>
        <v>157.78415500669385</v>
      </c>
      <c r="AV213" s="58" t="str">
        <f t="shared" si="160"/>
        <v>-93.8893971084106+105.419867767644i</v>
      </c>
      <c r="AW213" s="64">
        <f t="shared" si="183"/>
        <v>42.994760800101361</v>
      </c>
      <c r="AX213" s="49">
        <f t="shared" si="184"/>
        <v>131.68900616569624</v>
      </c>
      <c r="AY213" s="310"/>
      <c r="BA213" s="31">
        <f t="shared" si="185"/>
        <v>0</v>
      </c>
      <c r="BB213" s="31">
        <f t="shared" si="186"/>
        <v>0</v>
      </c>
    </row>
    <row r="214" spans="14:54" x14ac:dyDescent="0.45">
      <c r="N214" s="10">
        <v>96</v>
      </c>
      <c r="O214" s="50">
        <f t="shared" si="149"/>
        <v>912.01083935590987</v>
      </c>
      <c r="P214" s="48" t="str">
        <f t="shared" si="150"/>
        <v>17.4002386318441</v>
      </c>
      <c r="Q214" s="17" t="str">
        <f t="shared" si="151"/>
        <v>1+0.490759006544598i</v>
      </c>
      <c r="R214" s="17">
        <f t="shared" si="161"/>
        <v>1.1139319559581011</v>
      </c>
      <c r="S214" s="17">
        <f t="shared" si="162"/>
        <v>0.45622752232474267</v>
      </c>
      <c r="T214" s="17" t="str">
        <f t="shared" si="152"/>
        <v>1+0.00171909993174887i</v>
      </c>
      <c r="U214" s="17">
        <f t="shared" si="163"/>
        <v>1.0000014776511958</v>
      </c>
      <c r="V214" s="17">
        <f t="shared" si="164"/>
        <v>1.7190982382639085E-3</v>
      </c>
      <c r="W214" s="31" t="str">
        <f t="shared" si="153"/>
        <v>1-0.00424122613547114i</v>
      </c>
      <c r="X214" s="17">
        <f t="shared" si="165"/>
        <v>1.0000089939591204</v>
      </c>
      <c r="Y214" s="17">
        <f t="shared" si="166"/>
        <v>-4.24120070535492E-3</v>
      </c>
      <c r="Z214" s="31" t="str">
        <f t="shared" si="154"/>
        <v>0.99999924556574+0.00593160862734864i</v>
      </c>
      <c r="AA214" s="17">
        <f t="shared" si="167"/>
        <v>1.0000168374147294</v>
      </c>
      <c r="AB214" s="17">
        <f t="shared" si="168"/>
        <v>5.9315435378036307E-3</v>
      </c>
      <c r="AC214" s="66" t="str">
        <f t="shared" si="169"/>
        <v>13.9641352229537-7.00011789871152i</v>
      </c>
      <c r="AD214" s="64">
        <f t="shared" si="170"/>
        <v>23.873875536213415</v>
      </c>
      <c r="AE214" s="61">
        <f t="shared" si="171"/>
        <v>-26.624269764496336</v>
      </c>
      <c r="AF214" s="31" t="str">
        <f t="shared" si="155"/>
        <v>-9090.90909090909</v>
      </c>
      <c r="AG214" s="31" t="str">
        <f t="shared" si="156"/>
        <v>5730.33310582957i</v>
      </c>
      <c r="AH214" s="31">
        <f t="shared" si="172"/>
        <v>5730.3331058295698</v>
      </c>
      <c r="AI214" s="31">
        <f t="shared" si="173"/>
        <v>1.5707963267948966</v>
      </c>
      <c r="AJ214" s="31" t="str">
        <f t="shared" si="157"/>
        <v>0.881041110030405+1.98411064689417i</v>
      </c>
      <c r="AK214" s="31">
        <f t="shared" si="174"/>
        <v>2.1709280266011608</v>
      </c>
      <c r="AL214" s="31">
        <f t="shared" si="175"/>
        <v>1.1529027836163284</v>
      </c>
      <c r="AM214" s="31" t="str">
        <f t="shared" si="158"/>
        <v>1+7.5514329668622i</v>
      </c>
      <c r="AN214" s="31">
        <f t="shared" si="176"/>
        <v>7.6173577999863733</v>
      </c>
      <c r="AO214" s="31">
        <f t="shared" si="177"/>
        <v>1.4391371738923002</v>
      </c>
      <c r="AP214" s="31" t="str">
        <f t="shared" si="159"/>
        <v>1+1.2606732832825i</v>
      </c>
      <c r="AQ214" s="31">
        <f t="shared" si="178"/>
        <v>1.6091293071665429</v>
      </c>
      <c r="AR214" s="31">
        <f t="shared" si="179"/>
        <v>0.90019897095535606</v>
      </c>
      <c r="AS214" s="58" t="str">
        <f t="shared" si="180"/>
        <v>-8.30375674986183+3.35870831907022i</v>
      </c>
      <c r="AT214" s="49">
        <f t="shared" si="181"/>
        <v>19.043546428570448</v>
      </c>
      <c r="AU214" s="61">
        <f t="shared" si="182"/>
        <v>157.97762427207527</v>
      </c>
      <c r="AV214" s="58" t="str">
        <f t="shared" si="160"/>
        <v>-92.4434278927104+105.02873339321i</v>
      </c>
      <c r="AW214" s="64">
        <f t="shared" si="183"/>
        <v>42.917421964783841</v>
      </c>
      <c r="AX214" s="49">
        <f t="shared" si="184"/>
        <v>131.35335450757907</v>
      </c>
      <c r="AY214" s="310"/>
      <c r="BA214" s="31">
        <f t="shared" si="185"/>
        <v>0</v>
      </c>
      <c r="BB214" s="31">
        <f t="shared" si="186"/>
        <v>0</v>
      </c>
    </row>
    <row r="215" spans="14:54" x14ac:dyDescent="0.45">
      <c r="N215" s="10">
        <v>97</v>
      </c>
      <c r="O215" s="50">
        <f t="shared" si="149"/>
        <v>933.25430079699106</v>
      </c>
      <c r="P215" s="48" t="str">
        <f t="shared" si="150"/>
        <v>17.4002386318441</v>
      </c>
      <c r="Q215" s="17" t="str">
        <f t="shared" si="151"/>
        <v>1+0.502190252295752i</v>
      </c>
      <c r="R215" s="17">
        <f t="shared" si="161"/>
        <v>1.1190152141507599</v>
      </c>
      <c r="S215" s="17">
        <f t="shared" si="162"/>
        <v>0.46539827528699801</v>
      </c>
      <c r="T215" s="17" t="str">
        <f t="shared" si="152"/>
        <v>1+0.00175914291318894i</v>
      </c>
      <c r="U215" s="17">
        <f t="shared" si="163"/>
        <v>1.0000015472906973</v>
      </c>
      <c r="V215" s="17">
        <f t="shared" si="164"/>
        <v>1.7591410985872621E-3</v>
      </c>
      <c r="W215" s="31" t="str">
        <f t="shared" si="153"/>
        <v>1-0.0043400169831056i</v>
      </c>
      <c r="X215" s="17">
        <f t="shared" si="165"/>
        <v>1.000009417829359</v>
      </c>
      <c r="Y215" s="17">
        <f t="shared" si="166"/>
        <v>-4.3399897342589954E-3</v>
      </c>
      <c r="Z215" s="31" t="str">
        <f t="shared" si="154"/>
        <v>0.999999210010349+0.00606977354131793i</v>
      </c>
      <c r="AA215" s="17">
        <f t="shared" si="167"/>
        <v>1.0000176309306577</v>
      </c>
      <c r="AB215" s="17">
        <f t="shared" si="168"/>
        <v>6.0697037966802592E-3</v>
      </c>
      <c r="AC215" s="66" t="str">
        <f t="shared" si="169"/>
        <v>13.8348115517503-7.09822629964054i</v>
      </c>
      <c r="AD215" s="64">
        <f t="shared" si="170"/>
        <v>23.834326364820324</v>
      </c>
      <c r="AE215" s="61">
        <f t="shared" si="171"/>
        <v>-27.160997111443113</v>
      </c>
      <c r="AF215" s="31" t="str">
        <f t="shared" si="155"/>
        <v>-9090.90909090909</v>
      </c>
      <c r="AG215" s="31" t="str">
        <f t="shared" si="156"/>
        <v>5863.80971062981i</v>
      </c>
      <c r="AH215" s="31">
        <f t="shared" si="172"/>
        <v>5863.8097106298101</v>
      </c>
      <c r="AI215" s="31">
        <f t="shared" si="173"/>
        <v>1.5707963267948966</v>
      </c>
      <c r="AJ215" s="31" t="str">
        <f t="shared" si="157"/>
        <v>0.875434750268392+2.03032652087644i</v>
      </c>
      <c r="AK215" s="31">
        <f t="shared" si="174"/>
        <v>2.2110205298349697</v>
      </c>
      <c r="AL215" s="31">
        <f t="shared" si="175"/>
        <v>1.1637034280877114</v>
      </c>
      <c r="AM215" s="31" t="str">
        <f t="shared" si="158"/>
        <v>1+7.72732843666796i</v>
      </c>
      <c r="AN215" s="31">
        <f t="shared" si="176"/>
        <v>7.791765189489305</v>
      </c>
      <c r="AO215" s="31">
        <f t="shared" si="177"/>
        <v>1.4421007431304171</v>
      </c>
      <c r="AP215" s="31" t="str">
        <f t="shared" si="159"/>
        <v>1+1.29003813633856i</v>
      </c>
      <c r="AQ215" s="31">
        <f t="shared" si="178"/>
        <v>1.6322372355781696</v>
      </c>
      <c r="AR215" s="31">
        <f t="shared" si="179"/>
        <v>0.91137950772804532</v>
      </c>
      <c r="AS215" s="58" t="str">
        <f t="shared" si="180"/>
        <v>-8.27819416292151+3.3162060836417i</v>
      </c>
      <c r="AT215" s="49">
        <f t="shared" si="181"/>
        <v>19.005076173392617</v>
      </c>
      <c r="AU215" s="61">
        <f t="shared" si="182"/>
        <v>158.1691905072486</v>
      </c>
      <c r="AV215" s="58" t="str">
        <f t="shared" si="160"/>
        <v>-90.9880749948849+104.639581754731i</v>
      </c>
      <c r="AW215" s="64">
        <f t="shared" si="183"/>
        <v>42.839402538212937</v>
      </c>
      <c r="AX215" s="49">
        <f t="shared" si="184"/>
        <v>131.00819339580551</v>
      </c>
      <c r="AY215" s="310"/>
      <c r="BA215" s="31">
        <f t="shared" si="185"/>
        <v>0</v>
      </c>
      <c r="BB215" s="31">
        <f t="shared" si="186"/>
        <v>0</v>
      </c>
    </row>
    <row r="216" spans="14:54" x14ac:dyDescent="0.45">
      <c r="N216" s="10">
        <v>98</v>
      </c>
      <c r="O216" s="50">
        <f t="shared" si="149"/>
        <v>954.99258602143675</v>
      </c>
      <c r="P216" s="48" t="str">
        <f t="shared" si="150"/>
        <v>17.4002386318441</v>
      </c>
      <c r="Q216" s="17" t="str">
        <f t="shared" si="151"/>
        <v>1+0.513887765965947i</v>
      </c>
      <c r="R216" s="17">
        <f t="shared" si="161"/>
        <v>1.1243134064883651</v>
      </c>
      <c r="S216" s="17">
        <f t="shared" si="162"/>
        <v>0.47469599474884755</v>
      </c>
      <c r="T216" s="17" t="str">
        <f t="shared" si="152"/>
        <v>1+0.0018001186154866i</v>
      </c>
      <c r="U216" s="17">
        <f t="shared" si="163"/>
        <v>1.0000016202122024</v>
      </c>
      <c r="V216" s="17">
        <f t="shared" si="164"/>
        <v>1.8001166711060408E-3</v>
      </c>
      <c r="W216" s="31" t="str">
        <f t="shared" si="153"/>
        <v>1-0.00444110896519143i</v>
      </c>
      <c r="X216" s="17">
        <f t="shared" si="165"/>
        <v>1.000009861675794</v>
      </c>
      <c r="Y216" s="17">
        <f t="shared" si="166"/>
        <v>-4.4410797675417998E-3</v>
      </c>
      <c r="Z216" s="31" t="str">
        <f t="shared" si="154"/>
        <v>0.999999172779284+0.00621115672956178i</v>
      </c>
      <c r="AA216" s="17">
        <f t="shared" si="167"/>
        <v>1.000018461843166</v>
      </c>
      <c r="AB216" s="17">
        <f t="shared" si="168"/>
        <v>6.2110819969105535E-3</v>
      </c>
      <c r="AC216" s="66" t="str">
        <f t="shared" si="169"/>
        <v>13.7018823042635-7.19525429723978i</v>
      </c>
      <c r="AD216" s="64">
        <f t="shared" si="170"/>
        <v>23.793295675366743</v>
      </c>
      <c r="AE216" s="61">
        <f t="shared" si="171"/>
        <v>-27.705261874781478</v>
      </c>
      <c r="AF216" s="31" t="str">
        <f t="shared" si="155"/>
        <v>-9090.90909090909</v>
      </c>
      <c r="AG216" s="31" t="str">
        <f t="shared" si="156"/>
        <v>6000.39538495533i</v>
      </c>
      <c r="AH216" s="31">
        <f t="shared" si="172"/>
        <v>6000.39538495533</v>
      </c>
      <c r="AI216" s="31">
        <f t="shared" si="173"/>
        <v>1.5707963267948966</v>
      </c>
      <c r="AJ216" s="31" t="str">
        <f t="shared" si="157"/>
        <v>0.869564170910943+2.07761890085463i</v>
      </c>
      <c r="AK216" s="31">
        <f t="shared" si="174"/>
        <v>2.252252682209622</v>
      </c>
      <c r="AL216" s="31">
        <f t="shared" si="175"/>
        <v>1.1744110572845445</v>
      </c>
      <c r="AM216" s="31" t="str">
        <f t="shared" si="158"/>
        <v>1+7.90732103829413i</v>
      </c>
      <c r="AN216" s="31">
        <f t="shared" si="176"/>
        <v>7.9703027547671592</v>
      </c>
      <c r="AO216" s="31">
        <f t="shared" si="177"/>
        <v>1.4449990514770912</v>
      </c>
      <c r="AP216" s="31" t="str">
        <f t="shared" si="159"/>
        <v>1+1.32008698469017i</v>
      </c>
      <c r="AQ216" s="31">
        <f t="shared" si="178"/>
        <v>1.656088659205293</v>
      </c>
      <c r="AR216" s="31">
        <f t="shared" si="179"/>
        <v>0.92249605483438146</v>
      </c>
      <c r="AS216" s="58" t="str">
        <f t="shared" si="180"/>
        <v>-8.25321503176201+3.27456585553663i</v>
      </c>
      <c r="AT216" s="49">
        <f t="shared" si="181"/>
        <v>18.967374707739921</v>
      </c>
      <c r="AU216" s="61">
        <f t="shared" si="182"/>
        <v>158.35868061362234</v>
      </c>
      <c r="AV216" s="58" t="str">
        <f t="shared" si="160"/>
        <v>-89.5232469533368+104.251696873452i</v>
      </c>
      <c r="AW216" s="64">
        <f t="shared" si="183"/>
        <v>42.760670383106643</v>
      </c>
      <c r="AX216" s="49">
        <f t="shared" si="184"/>
        <v>130.65341873884097</v>
      </c>
      <c r="AY216" s="310"/>
      <c r="BA216" s="31">
        <f t="shared" si="185"/>
        <v>0</v>
      </c>
      <c r="BB216" s="31">
        <f t="shared" si="186"/>
        <v>0</v>
      </c>
    </row>
    <row r="217" spans="14:54" x14ac:dyDescent="0.45">
      <c r="N217" s="10">
        <v>99</v>
      </c>
      <c r="O217" s="50">
        <f t="shared" si="149"/>
        <v>977.23722095581138</v>
      </c>
      <c r="P217" s="48" t="str">
        <f t="shared" si="150"/>
        <v>17.4002386318441</v>
      </c>
      <c r="Q217" s="17" t="str">
        <f t="shared" si="151"/>
        <v>1+0.525857749731766i</v>
      </c>
      <c r="R217" s="17">
        <f t="shared" si="161"/>
        <v>1.1298346662025185</v>
      </c>
      <c r="S217" s="17">
        <f t="shared" si="162"/>
        <v>0.48411917944735511</v>
      </c>
      <c r="T217" s="17" t="str">
        <f t="shared" si="152"/>
        <v>1+0.00184204876450157i</v>
      </c>
      <c r="U217" s="17">
        <f t="shared" si="163"/>
        <v>1.0000016965703862</v>
      </c>
      <c r="V217" s="17">
        <f t="shared" si="164"/>
        <v>1.842046681060455E-3</v>
      </c>
      <c r="W217" s="31" t="str">
        <f t="shared" si="153"/>
        <v>1-0.00454455568203562i</v>
      </c>
      <c r="X217" s="17">
        <f t="shared" si="165"/>
        <v>1.0000103264398559</v>
      </c>
      <c r="Y217" s="17">
        <f t="shared" si="166"/>
        <v>-4.5445243962078221E-3</v>
      </c>
      <c r="Z217" s="31" t="str">
        <f t="shared" si="154"/>
        <v>0.999999133793573+0.00635583315531802i</v>
      </c>
      <c r="AA217" s="17">
        <f t="shared" si="167"/>
        <v>1.0000193319146358</v>
      </c>
      <c r="AB217" s="17">
        <f t="shared" si="168"/>
        <v>6.3557530779230617E-3</v>
      </c>
      <c r="AC217" s="66" t="str">
        <f t="shared" si="169"/>
        <v>13.565341420461-7.29105198371154i</v>
      </c>
      <c r="AD217" s="64">
        <f t="shared" si="170"/>
        <v>23.750742686760638</v>
      </c>
      <c r="AE217" s="61">
        <f t="shared" si="171"/>
        <v>-28.256984157968464</v>
      </c>
      <c r="AF217" s="31" t="str">
        <f t="shared" si="155"/>
        <v>-9090.90909090909</v>
      </c>
      <c r="AG217" s="31" t="str">
        <f t="shared" si="156"/>
        <v>6140.16254833857i</v>
      </c>
      <c r="AH217" s="31">
        <f t="shared" si="172"/>
        <v>6140.1625483385696</v>
      </c>
      <c r="AI217" s="31">
        <f t="shared" si="173"/>
        <v>1.5707963267948966</v>
      </c>
      <c r="AJ217" s="31" t="str">
        <f t="shared" si="157"/>
        <v>0.86341691967216+2.12601286187458i</v>
      </c>
      <c r="AK217" s="31">
        <f t="shared" si="174"/>
        <v>2.2946501838041247</v>
      </c>
      <c r="AL217" s="31">
        <f t="shared" si="175"/>
        <v>1.1850250140414542</v>
      </c>
      <c r="AM217" s="31" t="str">
        <f t="shared" si="158"/>
        <v>1+8.09150620620056i</v>
      </c>
      <c r="AN217" s="31">
        <f t="shared" si="176"/>
        <v>8.1530652324743595</v>
      </c>
      <c r="AO217" s="31">
        <f t="shared" si="177"/>
        <v>1.4478334407793063</v>
      </c>
      <c r="AP217" s="31" t="str">
        <f t="shared" si="159"/>
        <v>1+1.35083576063448i</v>
      </c>
      <c r="AQ217" s="31">
        <f t="shared" si="178"/>
        <v>1.6807014167331846</v>
      </c>
      <c r="AR217" s="31">
        <f t="shared" si="179"/>
        <v>0.93354351684166137</v>
      </c>
      <c r="AS217" s="58" t="str">
        <f t="shared" si="180"/>
        <v>-8.22881469352466+3.23380083350102i</v>
      </c>
      <c r="AT217" s="49">
        <f t="shared" si="181"/>
        <v>18.930448848429101</v>
      </c>
      <c r="AU217" s="61">
        <f t="shared" si="182"/>
        <v>158.54591717937927</v>
      </c>
      <c r="AV217" s="58" t="str">
        <f t="shared" si="160"/>
        <v>-88.0488708213425+103.86432808703i</v>
      </c>
      <c r="AW217" s="64">
        <f t="shared" si="183"/>
        <v>42.681191535189726</v>
      </c>
      <c r="AX217" s="49">
        <f t="shared" si="184"/>
        <v>130.28893302141091</v>
      </c>
      <c r="AY217" s="310"/>
      <c r="BA217" s="31">
        <f t="shared" si="185"/>
        <v>0</v>
      </c>
      <c r="BB217" s="31">
        <f t="shared" si="186"/>
        <v>0</v>
      </c>
    </row>
    <row r="218" spans="14:54" x14ac:dyDescent="0.45">
      <c r="N218" s="10">
        <v>100</v>
      </c>
      <c r="O218" s="50">
        <f t="shared" si="149"/>
        <v>1000</v>
      </c>
      <c r="P218" s="48" t="str">
        <f t="shared" si="150"/>
        <v>17.4002386318441</v>
      </c>
      <c r="Q218" s="17" t="str">
        <f t="shared" si="151"/>
        <v>1+0.538106550237043i</v>
      </c>
      <c r="R218" s="17">
        <f t="shared" si="161"/>
        <v>1.1355873631773168</v>
      </c>
      <c r="S218" s="17">
        <f t="shared" si="162"/>
        <v>0.49366613084758226</v>
      </c>
      <c r="T218" s="17" t="str">
        <f t="shared" si="152"/>
        <v>1+0.00188495559215388i</v>
      </c>
      <c r="U218" s="17">
        <f t="shared" si="163"/>
        <v>1.0000017765272142</v>
      </c>
      <c r="V218" s="17">
        <f t="shared" si="164"/>
        <v>1.8849533597067182E-3</v>
      </c>
      <c r="W218" s="31" t="str">
        <f t="shared" si="153"/>
        <v>1-0.00465041198245673i</v>
      </c>
      <c r="X218" s="17">
        <f t="shared" si="165"/>
        <v>1.0000108131073417</v>
      </c>
      <c r="Y218" s="17">
        <f t="shared" si="166"/>
        <v>-4.6503784591078413E-3</v>
      </c>
      <c r="Z218" s="31" t="str">
        <f t="shared" si="154"/>
        <v>0.999999092970522+0.0065038795279426i</v>
      </c>
      <c r="AA218" s="17">
        <f t="shared" si="167"/>
        <v>1.000020242990501</v>
      </c>
      <c r="AB218" s="17">
        <f t="shared" si="168"/>
        <v>6.5037937235617469E-3</v>
      </c>
      <c r="AC218" s="66" t="str">
        <f t="shared" si="169"/>
        <v>13.4251903700135-7.38546595182381i</v>
      </c>
      <c r="AD218" s="64">
        <f t="shared" si="170"/>
        <v>23.706626591309515</v>
      </c>
      <c r="AE218" s="61">
        <f t="shared" si="171"/>
        <v>-28.816072904058576</v>
      </c>
      <c r="AF218" s="31" t="str">
        <f t="shared" si="155"/>
        <v>-9090.90909090909</v>
      </c>
      <c r="AG218" s="31" t="str">
        <f t="shared" si="156"/>
        <v>6283.18530717959i</v>
      </c>
      <c r="AH218" s="31">
        <f t="shared" si="172"/>
        <v>6283.1853071795904</v>
      </c>
      <c r="AI218" s="31">
        <f t="shared" si="173"/>
        <v>1.5707963267948966</v>
      </c>
      <c r="AJ218" s="31" t="str">
        <f t="shared" si="157"/>
        <v>0.85697995740799+2.17553406305501i</v>
      </c>
      <c r="AK218" s="31">
        <f t="shared" si="174"/>
        <v>2.3382393177157126</v>
      </c>
      <c r="AL218" s="31">
        <f t="shared" si="175"/>
        <v>1.1955448474839618</v>
      </c>
      <c r="AM218" s="31" t="str">
        <f t="shared" si="158"/>
        <v>1+8.27998159780126i</v>
      </c>
      <c r="AN218" s="31">
        <f t="shared" si="176"/>
        <v>8.3401495945772766</v>
      </c>
      <c r="AO218" s="31">
        <f t="shared" si="177"/>
        <v>1.4506052316039686</v>
      </c>
      <c r="AP218" s="31" t="str">
        <f t="shared" si="159"/>
        <v>1+1.38230076757951i</v>
      </c>
      <c r="AQ218" s="31">
        <f t="shared" si="178"/>
        <v>1.7060936117490455</v>
      </c>
      <c r="AR218" s="31">
        <f t="shared" si="179"/>
        <v>0.944516965222156</v>
      </c>
      <c r="AS218" s="58" t="str">
        <f t="shared" si="180"/>
        <v>-8.20498711029896+3.19392401786869i</v>
      </c>
      <c r="AT218" s="49">
        <f t="shared" si="181"/>
        <v>18.894303697304576</v>
      </c>
      <c r="AU218" s="61">
        <f t="shared" si="182"/>
        <v>158.73071931679618</v>
      </c>
      <c r="AV218" s="58" t="str">
        <f t="shared" si="160"/>
        <v>-86.564896852589+103.476690905512i</v>
      </c>
      <c r="AW218" s="64">
        <f t="shared" si="183"/>
        <v>42.600930288614109</v>
      </c>
      <c r="AX218" s="49">
        <f t="shared" si="184"/>
        <v>129.91464641273757</v>
      </c>
      <c r="AY218" s="310"/>
      <c r="BA218" s="31">
        <f t="shared" si="185"/>
        <v>0</v>
      </c>
      <c r="BB218" s="31">
        <f t="shared" si="186"/>
        <v>0</v>
      </c>
    </row>
    <row r="219" spans="14:54" x14ac:dyDescent="0.45">
      <c r="N219" s="10">
        <v>1</v>
      </c>
      <c r="O219" s="50">
        <f>10^(3+(N219/100))</f>
        <v>1023.2929922807547</v>
      </c>
      <c r="P219" s="48" t="str">
        <f t="shared" si="150"/>
        <v>17.4002386318441</v>
      </c>
      <c r="Q219" s="17" t="str">
        <f t="shared" si="151"/>
        <v>1+0.550640661957937i</v>
      </c>
      <c r="R219" s="17">
        <f t="shared" si="161"/>
        <v>1.1415801060816868</v>
      </c>
      <c r="S219" s="17">
        <f t="shared" si="162"/>
        <v>0.50333494884380825</v>
      </c>
      <c r="T219" s="17" t="str">
        <f t="shared" si="152"/>
        <v>1+0.00192886184821148i</v>
      </c>
      <c r="U219" s="17">
        <f t="shared" si="163"/>
        <v>1.0000018602522844</v>
      </c>
      <c r="V219" s="17">
        <f t="shared" si="164"/>
        <v>1.9288594561014886E-3</v>
      </c>
      <c r="W219" s="31" t="str">
        <f t="shared" si="153"/>
        <v>1-0.00475873399286642i</v>
      </c>
      <c r="X219" s="17">
        <f t="shared" si="165"/>
        <v>1.0000113227105056</v>
      </c>
      <c r="Y219" s="17">
        <f t="shared" si="166"/>
        <v>-4.758698071972876E-3</v>
      </c>
      <c r="Z219" s="31" t="str">
        <f t="shared" si="154"/>
        <v>0.999999050223539+0.00665537434358192i</v>
      </c>
      <c r="AA219" s="17">
        <f t="shared" si="167"/>
        <v>1.0000211970031601</v>
      </c>
      <c r="AB219" s="17">
        <f t="shared" si="168"/>
        <v>6.6552824026365675E-3</v>
      </c>
      <c r="AC219" s="66" t="str">
        <f t="shared" si="169"/>
        <v>13.2814385557353-7.47833968989884i</v>
      </c>
      <c r="AD219" s="64">
        <f t="shared" si="170"/>
        <v>23.6609066420686</v>
      </c>
      <c r="AE219" s="61">
        <f t="shared" si="171"/>
        <v>-29.382425652714744</v>
      </c>
      <c r="AF219" s="31" t="str">
        <f t="shared" si="155"/>
        <v>-9090.90909090909</v>
      </c>
      <c r="AG219" s="31" t="str">
        <f t="shared" si="156"/>
        <v>6429.53949403827i</v>
      </c>
      <c r="AH219" s="31">
        <f t="shared" si="172"/>
        <v>6429.5394940382703</v>
      </c>
      <c r="AI219" s="31">
        <f t="shared" si="173"/>
        <v>1.5707963267948966</v>
      </c>
      <c r="AJ219" s="31" t="str">
        <f t="shared" si="157"/>
        <v>0.850239630458451+2.22620876119227i</v>
      </c>
      <c r="AK219" s="31">
        <f t="shared" si="174"/>
        <v>2.3830469734378594</v>
      </c>
      <c r="AL219" s="31">
        <f t="shared" si="175"/>
        <v>1.2059703079113004</v>
      </c>
      <c r="AM219" s="31" t="str">
        <f t="shared" si="158"/>
        <v>1+8.47284714524363i</v>
      </c>
      <c r="AN219" s="31">
        <f t="shared" si="176"/>
        <v>8.5316551000766037</v>
      </c>
      <c r="AO219" s="31">
        <f t="shared" si="177"/>
        <v>1.4533157231384826</v>
      </c>
      <c r="AP219" s="31" t="str">
        <f t="shared" si="159"/>
        <v>1+1.41449868868842i</v>
      </c>
      <c r="AQ219" s="31">
        <f t="shared" si="178"/>
        <v>1.7322836200522305</v>
      </c>
      <c r="AR219" s="31">
        <f t="shared" si="179"/>
        <v>0.95541164745645479</v>
      </c>
      <c r="AS219" s="58" t="str">
        <f t="shared" si="180"/>
        <v>-8.18172494086951+3.1549481487086i</v>
      </c>
      <c r="AT219" s="49">
        <f t="shared" si="181"/>
        <v>18.85894265371406</v>
      </c>
      <c r="AU219" s="61">
        <f t="shared" si="182"/>
        <v>158.91290347132423</v>
      </c>
      <c r="AV219" s="58" t="str">
        <f t="shared" si="160"/>
        <v>-85.071303122025+103.087968340744i</v>
      </c>
      <c r="AW219" s="64">
        <f t="shared" si="183"/>
        <v>42.51984929578267</v>
      </c>
      <c r="AX219" s="49">
        <f t="shared" si="184"/>
        <v>129.53047781860943</v>
      </c>
      <c r="AY219" s="310"/>
      <c r="BA219" s="31">
        <f t="shared" si="185"/>
        <v>0</v>
      </c>
      <c r="BB219" s="31">
        <f t="shared" si="186"/>
        <v>0</v>
      </c>
    </row>
    <row r="220" spans="14:54" x14ac:dyDescent="0.45">
      <c r="N220" s="10">
        <v>2</v>
      </c>
      <c r="O220" s="50">
        <f t="shared" ref="O220:O283" si="187">10^(3+(N220/100))</f>
        <v>1047.1285480509</v>
      </c>
      <c r="P220" s="48" t="str">
        <f t="shared" si="150"/>
        <v>17.4002386318441</v>
      </c>
      <c r="Q220" s="17" t="str">
        <f t="shared" si="151"/>
        <v>1+0.563466730646393i</v>
      </c>
      <c r="R220" s="17">
        <f t="shared" si="161"/>
        <v>1.1478217442379</v>
      </c>
      <c r="S220" s="17">
        <f t="shared" si="162"/>
        <v>0.51312352800224625</v>
      </c>
      <c r="T220" s="17" t="str">
        <f t="shared" si="152"/>
        <v>1+0.00197379081235251i</v>
      </c>
      <c r="U220" s="17">
        <f t="shared" si="163"/>
        <v>1.0000019479231883</v>
      </c>
      <c r="V220" s="17">
        <f t="shared" si="164"/>
        <v>1.9737882491607434E-3</v>
      </c>
      <c r="W220" s="31" t="str">
        <f t="shared" si="153"/>
        <v>1-0.00486957914702842i</v>
      </c>
      <c r="X220" s="17">
        <f t="shared" si="165"/>
        <v>1.0000118563302482</v>
      </c>
      <c r="Y220" s="17">
        <f t="shared" si="166"/>
        <v>-4.8695406571221721E-3</v>
      </c>
      <c r="Z220" s="31" t="str">
        <f t="shared" si="154"/>
        <v>0.999999005461954+0.00681039792679251i</v>
      </c>
      <c r="AA220" s="17">
        <f t="shared" si="167"/>
        <v>1.0000221959760784</v>
      </c>
      <c r="AB220" s="17">
        <f t="shared" si="168"/>
        <v>6.8102994104126549E-3</v>
      </c>
      <c r="AC220" s="66" t="str">
        <f t="shared" si="169"/>
        <v>13.1341036977364-7.56951401941397i</v>
      </c>
      <c r="AD220" s="64">
        <f t="shared" si="170"/>
        <v>23.613542244641899</v>
      </c>
      <c r="AE220" s="61">
        <f t="shared" si="171"/>
        <v>-29.955928328319768</v>
      </c>
      <c r="AF220" s="31" t="str">
        <f t="shared" si="155"/>
        <v>-9090.90909090909</v>
      </c>
      <c r="AG220" s="31" t="str">
        <f t="shared" si="156"/>
        <v>6579.30270784171i</v>
      </c>
      <c r="AH220" s="31">
        <f t="shared" si="172"/>
        <v>6579.3027078417099</v>
      </c>
      <c r="AI220" s="31">
        <f t="shared" si="173"/>
        <v>1.5707963267948966</v>
      </c>
      <c r="AJ220" s="31" t="str">
        <f t="shared" si="157"/>
        <v>0.843181641686391+2.27806382468207i</v>
      </c>
      <c r="AK220" s="31">
        <f t="shared" si="174"/>
        <v>2.4291006710719216</v>
      </c>
      <c r="AL220" s="31">
        <f t="shared" si="175"/>
        <v>1.2163013413273294</v>
      </c>
      <c r="AM220" s="31" t="str">
        <f t="shared" si="158"/>
        <v>1+8.6702051083938i</v>
      </c>
      <c r="AN220" s="31">
        <f t="shared" si="176"/>
        <v>8.7276833479233158</v>
      </c>
      <c r="AO220" s="31">
        <f t="shared" si="177"/>
        <v>1.4559661931289316</v>
      </c>
      <c r="AP220" s="31" t="str">
        <f t="shared" si="159"/>
        <v>1+1.44744659572517i</v>
      </c>
      <c r="AQ220" s="31">
        <f t="shared" si="178"/>
        <v>1.759290097589475</v>
      </c>
      <c r="AR220" s="31">
        <f t="shared" si="179"/>
        <v>0.96622299517093524</v>
      </c>
      <c r="AS220" s="58" t="str">
        <f t="shared" si="180"/>
        <v>-8.15901961315453+3.11688565135783i</v>
      </c>
      <c r="AT220" s="49">
        <f t="shared" si="181"/>
        <v>18.824367436037768</v>
      </c>
      <c r="AU220" s="61">
        <f t="shared" si="182"/>
        <v>159.09228419764401</v>
      </c>
      <c r="AV220" s="58" t="str">
        <f t="shared" si="160"/>
        <v>-83.5681000361734+102.697312705367i</v>
      </c>
      <c r="AW220" s="64">
        <f t="shared" si="183"/>
        <v>42.43790968067966</v>
      </c>
      <c r="AX220" s="49">
        <f t="shared" si="184"/>
        <v>129.13635586932429</v>
      </c>
      <c r="AY220" s="310"/>
      <c r="BA220" s="31">
        <f t="shared" si="185"/>
        <v>0</v>
      </c>
      <c r="BB220" s="31">
        <f t="shared" si="186"/>
        <v>0</v>
      </c>
    </row>
    <row r="221" spans="14:54" x14ac:dyDescent="0.45">
      <c r="N221" s="10">
        <v>3</v>
      </c>
      <c r="O221" s="50">
        <f t="shared" si="187"/>
        <v>1071.5193052376069</v>
      </c>
      <c r="P221" s="48" t="str">
        <f t="shared" si="150"/>
        <v>17.4002386318441</v>
      </c>
      <c r="Q221" s="17" t="str">
        <f t="shared" si="151"/>
        <v>1+0.576591556853801i</v>
      </c>
      <c r="R221" s="17">
        <f t="shared" si="161"/>
        <v>1.1543213692187675</v>
      </c>
      <c r="S221" s="17">
        <f t="shared" si="162"/>
        <v>0.52302955440046517</v>
      </c>
      <c r="T221" s="17" t="str">
        <f t="shared" si="152"/>
        <v>1+0.00201976630650846i</v>
      </c>
      <c r="U221" s="17">
        <f t="shared" si="163"/>
        <v>1.0000020397258862</v>
      </c>
      <c r="V221" s="17">
        <f t="shared" si="164"/>
        <v>2.0197635599993021E-3</v>
      </c>
      <c r="W221" s="31" t="str">
        <f t="shared" si="153"/>
        <v>1-0.00498300621651068i</v>
      </c>
      <c r="X221" s="17">
        <f t="shared" si="165"/>
        <v>1.0000124150984095</v>
      </c>
      <c r="Y221" s="17">
        <f t="shared" si="166"/>
        <v>-4.9829649738607328E-3</v>
      </c>
      <c r="Z221" s="31" t="str">
        <f t="shared" si="154"/>
        <v>0.99999895859082+0.00696903247313015i</v>
      </c>
      <c r="AA221" s="17">
        <f t="shared" si="167"/>
        <v>1.0000232420280719</v>
      </c>
      <c r="AB221" s="17">
        <f t="shared" si="168"/>
        <v>6.9689269110596898E-3</v>
      </c>
      <c r="AC221" s="66" t="str">
        <f t="shared" si="169"/>
        <v>12.9832121937763-7.65882757481976i</v>
      </c>
      <c r="AD221" s="64">
        <f t="shared" si="170"/>
        <v>23.564493053192198</v>
      </c>
      <c r="AE221" s="61">
        <f t="shared" si="171"/>
        <v>-30.536455062355103</v>
      </c>
      <c r="AF221" s="31" t="str">
        <f t="shared" si="155"/>
        <v>-9090.90909090909</v>
      </c>
      <c r="AG221" s="31" t="str">
        <f t="shared" si="156"/>
        <v>6732.55435502821i</v>
      </c>
      <c r="AH221" s="31">
        <f t="shared" si="172"/>
        <v>6732.55435502821</v>
      </c>
      <c r="AI221" s="31">
        <f t="shared" si="173"/>
        <v>1.5707963267948966</v>
      </c>
      <c r="AJ221" s="31" t="str">
        <f t="shared" si="157"/>
        <v>0.835791020151345+2.33112674776545i</v>
      </c>
      <c r="AK221" s="31">
        <f t="shared" si="174"/>
        <v>2.4764285863947602</v>
      </c>
      <c r="AL221" s="31">
        <f t="shared" si="175"/>
        <v>1.2265380836712614</v>
      </c>
      <c r="AM221" s="31" t="str">
        <f t="shared" si="158"/>
        <v>1+8.87216012905617i</v>
      </c>
      <c r="AN221" s="31">
        <f t="shared" si="176"/>
        <v>8.9283383311573719</v>
      </c>
      <c r="AO221" s="31">
        <f t="shared" si="177"/>
        <v>1.4585578978530225</v>
      </c>
      <c r="AP221" s="31" t="str">
        <f t="shared" si="159"/>
        <v>1+1.4811619581062i</v>
      </c>
      <c r="AQ221" s="31">
        <f t="shared" si="178"/>
        <v>1.7871319890094837</v>
      </c>
      <c r="AR221" s="31">
        <f t="shared" si="179"/>
        <v>0.97694663129139736</v>
      </c>
      <c r="AS221" s="58" t="str">
        <f t="shared" si="180"/>
        <v>-8.13686139670119+3.07974858909018i</v>
      </c>
      <c r="AT221" s="49">
        <f t="shared" si="181"/>
        <v>18.790578111523065</v>
      </c>
      <c r="AU221" s="61">
        <f t="shared" si="182"/>
        <v>159.26867489854499</v>
      </c>
      <c r="AV221" s="58" t="str">
        <f t="shared" si="160"/>
        <v>-82.0553346870824+102.303847873182i</v>
      </c>
      <c r="AW221" s="64">
        <f t="shared" si="183"/>
        <v>42.355071164715234</v>
      </c>
      <c r="AX221" s="49">
        <f t="shared" si="184"/>
        <v>128.73221983618998</v>
      </c>
      <c r="AY221" s="310"/>
      <c r="BA221" s="31">
        <f t="shared" si="185"/>
        <v>0</v>
      </c>
      <c r="BB221" s="31">
        <f t="shared" si="186"/>
        <v>0</v>
      </c>
    </row>
    <row r="222" spans="14:54" x14ac:dyDescent="0.45">
      <c r="N222" s="10">
        <v>4</v>
      </c>
      <c r="O222" s="50">
        <f t="shared" si="187"/>
        <v>1096.4781961431863</v>
      </c>
      <c r="P222" s="48" t="str">
        <f t="shared" si="150"/>
        <v>17.4002386318441</v>
      </c>
      <c r="Q222" s="17" t="str">
        <f t="shared" si="151"/>
        <v>1+0.590022099536745i</v>
      </c>
      <c r="R222" s="17">
        <f t="shared" si="161"/>
        <v>1.1610883161679599</v>
      </c>
      <c r="S222" s="17">
        <f t="shared" si="162"/>
        <v>0.53305050311792468</v>
      </c>
      <c r="T222" s="17" t="str">
        <f t="shared" si="152"/>
        <v>1+0.00206681270749489i</v>
      </c>
      <c r="U222" s="17">
        <f t="shared" si="163"/>
        <v>1.000002135855103</v>
      </c>
      <c r="V222" s="17">
        <f t="shared" si="164"/>
        <v>2.0668097645576444E-3</v>
      </c>
      <c r="W222" s="31" t="str">
        <f t="shared" si="153"/>
        <v>1-0.00509907534184681i</v>
      </c>
      <c r="X222" s="17">
        <f t="shared" si="165"/>
        <v>1.0000130002001684</v>
      </c>
      <c r="Y222" s="17">
        <f t="shared" si="166"/>
        <v>-5.0990311495822211E-3</v>
      </c>
      <c r="Z222" s="31" t="str">
        <f t="shared" si="154"/>
        <v>0.999998909510717+0.00713136209273109i</v>
      </c>
      <c r="AA222" s="17">
        <f t="shared" si="167"/>
        <v>1.0000243373778064</v>
      </c>
      <c r="AB222" s="17">
        <f t="shared" si="168"/>
        <v>7.1312489810832916E-3</v>
      </c>
      <c r="AC222" s="66" t="str">
        <f t="shared" si="169"/>
        <v>12.828799451193-7.74611732469191i</v>
      </c>
      <c r="AD222" s="64">
        <f t="shared" si="170"/>
        <v>23.513719070365187</v>
      </c>
      <c r="AE222" s="61">
        <f t="shared" si="171"/>
        <v>-31.123868053166515</v>
      </c>
      <c r="AF222" s="31" t="str">
        <f t="shared" si="155"/>
        <v>-9090.90909090909</v>
      </c>
      <c r="AG222" s="31" t="str">
        <f t="shared" si="156"/>
        <v>6889.37569164964i</v>
      </c>
      <c r="AH222" s="31">
        <f t="shared" si="172"/>
        <v>6889.3756916496404</v>
      </c>
      <c r="AI222" s="31">
        <f t="shared" si="173"/>
        <v>1.5707963267948966</v>
      </c>
      <c r="AJ222" s="31" t="str">
        <f t="shared" si="157"/>
        <v>0.828052089354159+2.38542566510661i</v>
      </c>
      <c r="AK222" s="31">
        <f t="shared" si="174"/>
        <v>2.5250595768086543</v>
      </c>
      <c r="AL222" s="31">
        <f t="shared" si="175"/>
        <v>1.2366808547980539</v>
      </c>
      <c r="AM222" s="31" t="str">
        <f t="shared" si="158"/>
        <v>1+9.07881928645589i</v>
      </c>
      <c r="AN222" s="31">
        <f t="shared" si="176"/>
        <v>9.1337264922989352</v>
      </c>
      <c r="AO222" s="31">
        <f t="shared" si="177"/>
        <v>1.4610920721251139</v>
      </c>
      <c r="AP222" s="31" t="str">
        <f t="shared" si="159"/>
        <v>1+1.51566265216292i</v>
      </c>
      <c r="AQ222" s="31">
        <f t="shared" si="178"/>
        <v>1.8158285368287217</v>
      </c>
      <c r="AR222" s="31">
        <f t="shared" si="179"/>
        <v>0.98757837620396616</v>
      </c>
      <c r="AS222" s="58" t="str">
        <f t="shared" si="180"/>
        <v>-8.11523947465071+3.04354862262355i</v>
      </c>
      <c r="AT222" s="49">
        <f t="shared" si="181"/>
        <v>18.757573133637997</v>
      </c>
      <c r="AU222" s="61">
        <f t="shared" si="182"/>
        <v>159.4418885231039</v>
      </c>
      <c r="AV222" s="58" t="str">
        <f t="shared" si="160"/>
        <v>-80.5330950044523+101.906671988208i</v>
      </c>
      <c r="AW222" s="64">
        <f t="shared" si="183"/>
        <v>42.271292204003188</v>
      </c>
      <c r="AX222" s="49">
        <f t="shared" si="184"/>
        <v>128.3180204699373</v>
      </c>
      <c r="AY222" s="310"/>
      <c r="BA222" s="31">
        <f t="shared" si="185"/>
        <v>0</v>
      </c>
      <c r="BB222" s="31">
        <f t="shared" si="186"/>
        <v>0</v>
      </c>
    </row>
    <row r="223" spans="14:54" x14ac:dyDescent="0.45">
      <c r="N223" s="10">
        <v>5</v>
      </c>
      <c r="O223" s="50">
        <f t="shared" si="187"/>
        <v>1122.0184543019636</v>
      </c>
      <c r="P223" s="48" t="str">
        <f t="shared" si="150"/>
        <v>17.4002386318441</v>
      </c>
      <c r="Q223" s="17" t="str">
        <f t="shared" si="151"/>
        <v>1+0.603765479746728i</v>
      </c>
      <c r="R223" s="17">
        <f t="shared" si="161"/>
        <v>1.1681321648400049</v>
      </c>
      <c r="S223" s="17">
        <f t="shared" si="162"/>
        <v>0.54318363643051193</v>
      </c>
      <c r="T223" s="17" t="str">
        <f t="shared" si="152"/>
        <v>1+0.00211495495993634i</v>
      </c>
      <c r="U223" s="17">
        <f t="shared" si="163"/>
        <v>1.0000022365147403</v>
      </c>
      <c r="V223" s="17">
        <f t="shared" si="164"/>
        <v>2.1149518065226485E-3</v>
      </c>
      <c r="W223" s="31" t="str">
        <f t="shared" si="153"/>
        <v>1-0.00521784806442343i</v>
      </c>
      <c r="X223" s="17">
        <f t="shared" si="165"/>
        <v>1.0000136128765564</v>
      </c>
      <c r="Y223" s="17">
        <f t="shared" si="166"/>
        <v>-5.2178007115935947E-3</v>
      </c>
      <c r="Z223" s="31" t="str">
        <f t="shared" si="154"/>
        <v>0.99999885811754+0.00729747285490834i</v>
      </c>
      <c r="AA223" s="17">
        <f t="shared" si="167"/>
        <v>1.0000254843484999</v>
      </c>
      <c r="AB223" s="17">
        <f t="shared" si="168"/>
        <v>7.297351653760809E-3</v>
      </c>
      <c r="AC223" s="66" t="str">
        <f t="shared" si="169"/>
        <v>12.6709101857179-7.83121913281092i</v>
      </c>
      <c r="AD223" s="64">
        <f t="shared" si="170"/>
        <v>23.461180750780656</v>
      </c>
      <c r="AE223" s="61">
        <f t="shared" si="171"/>
        <v>-31.718017466147476</v>
      </c>
      <c r="AF223" s="31" t="str">
        <f t="shared" si="155"/>
        <v>-9090.90909090909</v>
      </c>
      <c r="AG223" s="31" t="str">
        <f t="shared" si="156"/>
        <v>7049.84986645445i</v>
      </c>
      <c r="AH223" s="31">
        <f t="shared" si="172"/>
        <v>7049.8498664544504</v>
      </c>
      <c r="AI223" s="31">
        <f t="shared" si="173"/>
        <v>1.5707963267948966</v>
      </c>
      <c r="AJ223" s="31" t="str">
        <f t="shared" si="157"/>
        <v>0.819948433985035+2.44098936671025i</v>
      </c>
      <c r="AK223" s="31">
        <f t="shared" si="174"/>
        <v>2.5750232082035724</v>
      </c>
      <c r="AL223" s="31">
        <f t="shared" si="175"/>
        <v>1.2467301522560861</v>
      </c>
      <c r="AM223" s="31" t="str">
        <f t="shared" si="158"/>
        <v>1+9.29029215401367i</v>
      </c>
      <c r="AN223" s="31">
        <f t="shared" si="176"/>
        <v>9.3439567800224737</v>
      </c>
      <c r="AO223" s="31">
        <f t="shared" si="177"/>
        <v>1.4635699293308022</v>
      </c>
      <c r="AP223" s="31" t="str">
        <f t="shared" si="159"/>
        <v>1+1.55096697061998i</v>
      </c>
      <c r="AQ223" s="31">
        <f t="shared" si="178"/>
        <v>1.8453992911980102</v>
      </c>
      <c r="AR223" s="31">
        <f t="shared" si="179"/>
        <v>0.99811425292310751</v>
      </c>
      <c r="AS223" s="58" t="str">
        <f t="shared" si="180"/>
        <v>-8.09414201464518+3.0082969761297i</v>
      </c>
      <c r="AT223" s="49">
        <f t="shared" si="181"/>
        <v>18.725349386139406</v>
      </c>
      <c r="AU223" s="61">
        <f t="shared" si="182"/>
        <v>159.61173822128609</v>
      </c>
      <c r="AV223" s="58" t="str">
        <f t="shared" si="160"/>
        <v>-79.0015136613707+101.504860605284i</v>
      </c>
      <c r="AW223" s="64">
        <f t="shared" si="183"/>
        <v>42.186530136920048</v>
      </c>
      <c r="AX223" s="49">
        <f t="shared" si="184"/>
        <v>127.89372075513867</v>
      </c>
      <c r="AY223" s="310"/>
      <c r="BA223" s="31">
        <f t="shared" si="185"/>
        <v>0</v>
      </c>
      <c r="BB223" s="31">
        <f t="shared" si="186"/>
        <v>0</v>
      </c>
    </row>
    <row r="224" spans="14:54" x14ac:dyDescent="0.45">
      <c r="N224" s="10">
        <v>6</v>
      </c>
      <c r="O224" s="50">
        <f t="shared" si="187"/>
        <v>1148.1536214968839</v>
      </c>
      <c r="P224" s="48" t="str">
        <f t="shared" si="150"/>
        <v>17.4002386318441</v>
      </c>
      <c r="Q224" s="17" t="str">
        <f t="shared" si="151"/>
        <v>1+0.617828984405855i</v>
      </c>
      <c r="R224" s="17">
        <f t="shared" si="161"/>
        <v>1.175462740358864</v>
      </c>
      <c r="S224" s="17">
        <f t="shared" si="162"/>
        <v>0.55342600275981912</v>
      </c>
      <c r="T224" s="17" t="str">
        <f t="shared" si="152"/>
        <v>1+0.00216421858949228i</v>
      </c>
      <c r="U224" s="17">
        <f t="shared" si="163"/>
        <v>1.0000023419183093</v>
      </c>
      <c r="V224" s="17">
        <f t="shared" si="164"/>
        <v>2.1642152105490592E-3</v>
      </c>
      <c r="W224" s="31" t="str">
        <f t="shared" si="153"/>
        <v>1-0.0053393873591102i</v>
      </c>
      <c r="X224" s="17">
        <f t="shared" si="165"/>
        <v>1.0000142544270909</v>
      </c>
      <c r="Y224" s="17">
        <f t="shared" si="166"/>
        <v>-5.3393366196779358E-3</v>
      </c>
      <c r="Z224" s="31" t="str">
        <f t="shared" si="154"/>
        <v>0.999998804302278+0.00746745283378674i</v>
      </c>
      <c r="AA224" s="17">
        <f t="shared" si="167"/>
        <v>1.0000266853728508</v>
      </c>
      <c r="AB224" s="17">
        <f t="shared" si="168"/>
        <v>7.4673229646044122E-3</v>
      </c>
      <c r="AC224" s="66" t="str">
        <f t="shared" si="169"/>
        <v>12.509598682481-7.9139683572139i</v>
      </c>
      <c r="AD224" s="64">
        <f t="shared" si="170"/>
        <v>23.406839107688945</v>
      </c>
      <c r="AE224" s="61">
        <f t="shared" si="171"/>
        <v>-32.318741377250774</v>
      </c>
      <c r="AF224" s="31" t="str">
        <f t="shared" si="155"/>
        <v>-9090.90909090909</v>
      </c>
      <c r="AG224" s="31" t="str">
        <f t="shared" si="156"/>
        <v>7214.06196497425i</v>
      </c>
      <c r="AH224" s="31">
        <f t="shared" si="172"/>
        <v>7214.0619649742503</v>
      </c>
      <c r="AI224" s="31">
        <f t="shared" si="173"/>
        <v>1.5707963267948966</v>
      </c>
      <c r="AJ224" s="31" t="str">
        <f t="shared" si="157"/>
        <v>0.811462865104459+2.49784731318644i</v>
      </c>
      <c r="AK224" s="31">
        <f t="shared" si="174"/>
        <v>2.6263497827662357</v>
      </c>
      <c r="AL224" s="31">
        <f t="shared" si="175"/>
        <v>1.2566866449073151</v>
      </c>
      <c r="AM224" s="31" t="str">
        <f t="shared" si="158"/>
        <v>1+9.50669085744306i</v>
      </c>
      <c r="AN224" s="31">
        <f t="shared" si="176"/>
        <v>9.5591407071447296</v>
      </c>
      <c r="AO224" s="31">
        <f t="shared" si="177"/>
        <v>1.465992661488682</v>
      </c>
      <c r="AP224" s="31" t="str">
        <f t="shared" si="159"/>
        <v>1+1.58709363229433i</v>
      </c>
      <c r="AQ224" s="31">
        <f t="shared" si="178"/>
        <v>1.8758641202574375</v>
      </c>
      <c r="AR224" s="31">
        <f t="shared" si="179"/>
        <v>1.0085504912748695</v>
      </c>
      <c r="AS224" s="58" t="str">
        <f t="shared" si="180"/>
        <v>-8.07355623819675+2.97400440937857i</v>
      </c>
      <c r="AT224" s="49">
        <f t="shared" si="181"/>
        <v>18.693902233034226</v>
      </c>
      <c r="AU224" s="61">
        <f t="shared" si="182"/>
        <v>159.77803795270327</v>
      </c>
      <c r="AV224" s="58" t="str">
        <f t="shared" si="160"/>
        <v>-77.4607716902457+101.097470240531i</v>
      </c>
      <c r="AW224" s="64">
        <f t="shared" si="183"/>
        <v>42.100741340723182</v>
      </c>
      <c r="AX224" s="49">
        <f t="shared" si="184"/>
        <v>127.45929657545244</v>
      </c>
      <c r="AY224" s="310"/>
      <c r="BA224" s="31">
        <f t="shared" si="185"/>
        <v>0</v>
      </c>
      <c r="BB224" s="31">
        <f t="shared" si="186"/>
        <v>0</v>
      </c>
    </row>
    <row r="225" spans="14:54" x14ac:dyDescent="0.45">
      <c r="N225" s="10">
        <v>7</v>
      </c>
      <c r="O225" s="50">
        <f t="shared" si="187"/>
        <v>1174.8975549395295</v>
      </c>
      <c r="P225" s="48" t="str">
        <f t="shared" si="150"/>
        <v>17.4002386318441</v>
      </c>
      <c r="Q225" s="17" t="str">
        <f t="shared" si="151"/>
        <v>1+0.632220070170446i</v>
      </c>
      <c r="R225" s="17">
        <f t="shared" si="161"/>
        <v>1.1830901136964689</v>
      </c>
      <c r="S225" s="17">
        <f t="shared" si="162"/>
        <v>0.56377443642495273</v>
      </c>
      <c r="T225" s="17" t="str">
        <f t="shared" si="152"/>
        <v>1+0.00221462971639118i</v>
      </c>
      <c r="U225" s="17">
        <f t="shared" si="163"/>
        <v>1.0000024522893836</v>
      </c>
      <c r="V225" s="17">
        <f t="shared" si="164"/>
        <v>2.214626095788767E-3</v>
      </c>
      <c r="W225" s="31" t="str">
        <f t="shared" si="153"/>
        <v>1-0.0054637576676499i</v>
      </c>
      <c r="X225" s="17">
        <f t="shared" si="165"/>
        <v>1.0000149262125295</v>
      </c>
      <c r="Y225" s="17">
        <f t="shared" si="166"/>
        <v>-5.4637032994125203E-3</v>
      </c>
      <c r="Z225" s="31" t="str">
        <f t="shared" si="154"/>
        <v>0.99999874795078+0.00764139215500102i</v>
      </c>
      <c r="AA225" s="17">
        <f t="shared" si="167"/>
        <v>1.0000279429981915</v>
      </c>
      <c r="AB225" s="17">
        <f t="shared" si="168"/>
        <v>7.6412529978749019E-3</v>
      </c>
      <c r="AC225" s="66" t="str">
        <f t="shared" si="169"/>
        <v>12.3449290145786-7.99420048469487i</v>
      </c>
      <c r="AD225" s="64">
        <f t="shared" si="170"/>
        <v>23.350655822340652</v>
      </c>
      <c r="AE225" s="61">
        <f t="shared" si="171"/>
        <v>-32.925865762565969</v>
      </c>
      <c r="AF225" s="31" t="str">
        <f t="shared" si="155"/>
        <v>-9090.90909090909</v>
      </c>
      <c r="AG225" s="31" t="str">
        <f t="shared" si="156"/>
        <v>7382.09905463727i</v>
      </c>
      <c r="AH225" s="31">
        <f t="shared" si="172"/>
        <v>7382.0990546372695</v>
      </c>
      <c r="AI225" s="31">
        <f t="shared" si="173"/>
        <v>1.5707963267948966</v>
      </c>
      <c r="AJ225" s="31" t="str">
        <f t="shared" si="157"/>
        <v>0.802577383683155+2.55602965137099i</v>
      </c>
      <c r="AK225" s="31">
        <f t="shared" si="174"/>
        <v>2.6790703677745022</v>
      </c>
      <c r="AL225" s="31">
        <f t="shared" si="175"/>
        <v>1.2665511664324167</v>
      </c>
      <c r="AM225" s="31" t="str">
        <f t="shared" si="158"/>
        <v>1+9.72813013420099i</v>
      </c>
      <c r="AN225" s="31">
        <f t="shared" si="176"/>
        <v>9.7793924099582679</v>
      </c>
      <c r="AO225" s="31">
        <f t="shared" si="177"/>
        <v>1.4683614393370434</v>
      </c>
      <c r="AP225" s="31" t="str">
        <f t="shared" si="159"/>
        <v>1+1.6240617920202i</v>
      </c>
      <c r="AQ225" s="31">
        <f t="shared" si="178"/>
        <v>1.9072432210653842</v>
      </c>
      <c r="AR225" s="31">
        <f t="shared" si="179"/>
        <v>1.018883531111233</v>
      </c>
      <c r="AS225" s="58" t="str">
        <f t="shared" si="180"/>
        <v>-8.05346848809985+2.9406811956248i</v>
      </c>
      <c r="AT225" s="49">
        <f t="shared" si="181"/>
        <v>18.66322557361719</v>
      </c>
      <c r="AU225" s="61">
        <f t="shared" si="182"/>
        <v>159.94060304787843</v>
      </c>
      <c r="AV225" s="58" t="str">
        <f t="shared" si="160"/>
        <v>-75.9111017673414+100.683542305537i</v>
      </c>
      <c r="AW225" s="64">
        <f t="shared" si="183"/>
        <v>42.013881395957846</v>
      </c>
      <c r="AX225" s="49">
        <f t="shared" si="184"/>
        <v>127.01473728531244</v>
      </c>
      <c r="AY225" s="310"/>
      <c r="BA225" s="31">
        <f t="shared" si="185"/>
        <v>0</v>
      </c>
      <c r="BB225" s="31">
        <f t="shared" si="186"/>
        <v>0</v>
      </c>
    </row>
    <row r="226" spans="14:54" x14ac:dyDescent="0.45">
      <c r="N226" s="10">
        <v>8</v>
      </c>
      <c r="O226" s="50">
        <f t="shared" si="187"/>
        <v>1202.2644346174138</v>
      </c>
      <c r="P226" s="48" t="str">
        <f t="shared" si="150"/>
        <v>17.4002386318441</v>
      </c>
      <c r="Q226" s="17" t="str">
        <f t="shared" si="151"/>
        <v>1+0.646946367384665i</v>
      </c>
      <c r="R226" s="17">
        <f t="shared" si="161"/>
        <v>1.1910246018752988</v>
      </c>
      <c r="S226" s="17">
        <f t="shared" si="162"/>
        <v>0.5742255582410507</v>
      </c>
      <c r="T226" s="17" t="str">
        <f t="shared" si="152"/>
        <v>1+0.00226621506927982i</v>
      </c>
      <c r="U226" s="17">
        <f t="shared" si="163"/>
        <v>1.0000025678620732</v>
      </c>
      <c r="V226" s="17">
        <f t="shared" si="164"/>
        <v>2.2662111897349762E-3</v>
      </c>
      <c r="W226" s="31" t="str">
        <f t="shared" si="153"/>
        <v>1-0.00559102493282639i</v>
      </c>
      <c r="X226" s="17">
        <f t="shared" si="165"/>
        <v>1.0000156296577567</v>
      </c>
      <c r="Y226" s="17">
        <f t="shared" si="166"/>
        <v>-5.5909666762596214E-3</v>
      </c>
      <c r="Z226" s="31" t="str">
        <f t="shared" si="154"/>
        <v>0.999998688943519+0.00781938304348168i</v>
      </c>
      <c r="AA226" s="17">
        <f t="shared" si="167"/>
        <v>1.0000292598918981</v>
      </c>
      <c r="AB226" s="17">
        <f t="shared" si="168"/>
        <v>7.8192339341700851E-3</v>
      </c>
      <c r="AC226" s="66" t="str">
        <f t="shared" si="169"/>
        <v>12.1769752147053-8.07175179764858i</v>
      </c>
      <c r="AD226" s="64">
        <f t="shared" si="170"/>
        <v>23.292593355563032</v>
      </c>
      <c r="AE226" s="61">
        <f t="shared" si="171"/>
        <v>-33.539204536500002</v>
      </c>
      <c r="AF226" s="31" t="str">
        <f t="shared" si="155"/>
        <v>-9090.90909090909</v>
      </c>
      <c r="AG226" s="31" t="str">
        <f t="shared" si="156"/>
        <v>7554.05023093271i</v>
      </c>
      <c r="AH226" s="31">
        <f t="shared" si="172"/>
        <v>7554.0502309327103</v>
      </c>
      <c r="AI226" s="31">
        <f t="shared" si="173"/>
        <v>1.5707963267948966</v>
      </c>
      <c r="AJ226" s="31" t="str">
        <f t="shared" si="157"/>
        <v>0.793273142423732+2.61556723030976i</v>
      </c>
      <c r="AK226" s="31">
        <f t="shared" si="174"/>
        <v>2.7332168254203859</v>
      </c>
      <c r="AL226" s="31">
        <f t="shared" si="175"/>
        <v>1.2763247087606409</v>
      </c>
      <c r="AM226" s="31" t="str">
        <f t="shared" si="158"/>
        <v>1+9.95472739432312i</v>
      </c>
      <c r="AN226" s="31">
        <f t="shared" si="176"/>
        <v>10.004828708942856</v>
      </c>
      <c r="AO226" s="31">
        <f t="shared" si="177"/>
        <v>1.4706774124433983</v>
      </c>
      <c r="AP226" s="31" t="str">
        <f t="shared" si="159"/>
        <v>1+1.66189105080519i</v>
      </c>
      <c r="AQ226" s="31">
        <f t="shared" si="178"/>
        <v>1.9395571310859545</v>
      </c>
      <c r="AR226" s="31">
        <f t="shared" si="179"/>
        <v>1.0291100245786147</v>
      </c>
      <c r="AS226" s="58" t="str">
        <f t="shared" si="180"/>
        <v>-8.0338642935159+2.90833710482597i</v>
      </c>
      <c r="AT226" s="49">
        <f t="shared" si="181"/>
        <v>18.6333119017721</v>
      </c>
      <c r="AU226" s="61">
        <f t="shared" si="182"/>
        <v>160.09925072093782</v>
      </c>
      <c r="AV226" s="58" t="str">
        <f t="shared" si="160"/>
        <v>-74.3527911264019+100.262107394725i</v>
      </c>
      <c r="AW226" s="64">
        <f t="shared" si="183"/>
        <v>41.92590525733511</v>
      </c>
      <c r="AX226" s="49">
        <f t="shared" si="184"/>
        <v>126.56004618443789</v>
      </c>
      <c r="AY226" s="310"/>
      <c r="BA226" s="31">
        <f t="shared" si="185"/>
        <v>0</v>
      </c>
      <c r="BB226" s="31">
        <f t="shared" si="186"/>
        <v>0</v>
      </c>
    </row>
    <row r="227" spans="14:54" x14ac:dyDescent="0.45">
      <c r="N227" s="10">
        <v>9</v>
      </c>
      <c r="O227" s="50">
        <f t="shared" si="187"/>
        <v>1230.2687708123824</v>
      </c>
      <c r="P227" s="48" t="str">
        <f t="shared" si="150"/>
        <v>17.4002386318441</v>
      </c>
      <c r="Q227" s="17" t="str">
        <f t="shared" si="151"/>
        <v>1+0.662015684126218i</v>
      </c>
      <c r="R227" s="17">
        <f t="shared" si="161"/>
        <v>1.1992767679018486</v>
      </c>
      <c r="S227" s="17">
        <f t="shared" si="162"/>
        <v>0.58477577700421235</v>
      </c>
      <c r="T227" s="17" t="str">
        <f t="shared" si="152"/>
        <v>1+0.00231900199939508i</v>
      </c>
      <c r="U227" s="17">
        <f t="shared" si="163"/>
        <v>1.0000026888815214</v>
      </c>
      <c r="V227" s="17">
        <f t="shared" si="164"/>
        <v>2.3189978423884881E-3</v>
      </c>
      <c r="W227" s="31" t="str">
        <f t="shared" si="153"/>
        <v>1-0.00572125663342822i</v>
      </c>
      <c r="X227" s="17">
        <f t="shared" si="165"/>
        <v>1.0000163662548056</v>
      </c>
      <c r="Y227" s="17">
        <f t="shared" si="166"/>
        <v>-5.7211942104474466E-3</v>
      </c>
      <c r="Z227" s="31" t="str">
        <f t="shared" si="154"/>
        <v>0.99999862715533+0.00800151987235376i</v>
      </c>
      <c r="AA227" s="17">
        <f t="shared" si="167"/>
        <v>1.0000306388470368</v>
      </c>
      <c r="AB227" s="17">
        <f t="shared" si="168"/>
        <v>8.0013600991120457E-3</v>
      </c>
      <c r="AC227" s="66" t="str">
        <f t="shared" si="169"/>
        <v>12.0058213955695-8.14646006957034i</v>
      </c>
      <c r="AD227" s="64">
        <f t="shared" si="170"/>
        <v>23.232615060989822</v>
      </c>
      <c r="AE227" s="61">
        <f t="shared" si="171"/>
        <v>-34.15855964083265</v>
      </c>
      <c r="AF227" s="31" t="str">
        <f t="shared" si="155"/>
        <v>-9090.90909090909</v>
      </c>
      <c r="AG227" s="31" t="str">
        <f t="shared" si="156"/>
        <v>7730.00666465025i</v>
      </c>
      <c r="AH227" s="31">
        <f t="shared" si="172"/>
        <v>7730.0066646502501</v>
      </c>
      <c r="AI227" s="31">
        <f t="shared" si="173"/>
        <v>1.5707963267948966</v>
      </c>
      <c r="AJ227" s="31" t="str">
        <f t="shared" si="157"/>
        <v>0.783530405783038+2.67649161761516i</v>
      </c>
      <c r="AK227" s="31">
        <f t="shared" si="174"/>
        <v>2.788821843709409</v>
      </c>
      <c r="AL227" s="31">
        <f t="shared" si="175"/>
        <v>1.2860084154611522</v>
      </c>
      <c r="AM227" s="31" t="str">
        <f t="shared" si="158"/>
        <v>1+10.1866027826761i</v>
      </c>
      <c r="AN227" s="31">
        <f t="shared" si="176"/>
        <v>10.23556917088759</v>
      </c>
      <c r="AO227" s="31">
        <f t="shared" si="177"/>
        <v>1.4729417093348558</v>
      </c>
      <c r="AP227" s="31" t="str">
        <f t="shared" si="159"/>
        <v>1+1.70060146622305i</v>
      </c>
      <c r="AQ227" s="31">
        <f t="shared" si="178"/>
        <v>1.9728267402182049</v>
      </c>
      <c r="AR227" s="31">
        <f t="shared" si="179"/>
        <v>1.0392268374701448</v>
      </c>
      <c r="AS227" s="58" t="str">
        <f t="shared" si="180"/>
        <v>-8.01472843241718+2.87698139177002i</v>
      </c>
      <c r="AT227" s="49">
        <f t="shared" si="181"/>
        <v>18.604152368746256</v>
      </c>
      <c r="AU227" s="61">
        <f t="shared" si="182"/>
        <v>160.25380053320941</v>
      </c>
      <c r="AV227" s="58" t="str">
        <f t="shared" si="160"/>
        <v>-72.786184064642+99.8321898911045i</v>
      </c>
      <c r="AW227" s="64">
        <f t="shared" si="183"/>
        <v>41.836767429736085</v>
      </c>
      <c r="AX227" s="49">
        <f t="shared" si="184"/>
        <v>126.09524089237675</v>
      </c>
      <c r="AY227" s="310"/>
      <c r="BA227" s="31">
        <f t="shared" si="185"/>
        <v>0</v>
      </c>
      <c r="BB227" s="31">
        <f t="shared" si="186"/>
        <v>0</v>
      </c>
    </row>
    <row r="228" spans="14:54" x14ac:dyDescent="0.45">
      <c r="N228" s="10">
        <v>10</v>
      </c>
      <c r="O228" s="50">
        <f t="shared" si="187"/>
        <v>1258.925411794168</v>
      </c>
      <c r="P228" s="48" t="str">
        <f t="shared" si="150"/>
        <v>17.4002386318441</v>
      </c>
      <c r="Q228" s="17" t="str">
        <f t="shared" si="151"/>
        <v>1+0.677436010346308i</v>
      </c>
      <c r="R228" s="17">
        <f t="shared" si="161"/>
        <v>1.2078574204408081</v>
      </c>
      <c r="S228" s="17">
        <f t="shared" si="162"/>
        <v>0.59542129189743165</v>
      </c>
      <c r="T228" s="17" t="str">
        <f t="shared" si="152"/>
        <v>1+0.00237301849506604i</v>
      </c>
      <c r="U228" s="17">
        <f t="shared" si="163"/>
        <v>1.0000028156044252</v>
      </c>
      <c r="V228" s="17">
        <f t="shared" si="164"/>
        <v>2.3730140407539021E-3</v>
      </c>
      <c r="W228" s="31" t="str">
        <f t="shared" si="153"/>
        <v>1-0.00585452182002688i</v>
      </c>
      <c r="X228" s="17">
        <f t="shared" si="165"/>
        <v>1.0000171375660225</v>
      </c>
      <c r="Y228" s="17">
        <f t="shared" si="166"/>
        <v>-5.8544549326597995E-3</v>
      </c>
      <c r="Z228" s="31" t="str">
        <f t="shared" si="154"/>
        <v>0.999998562455154+0.0081878992129748i</v>
      </c>
      <c r="AA228" s="17">
        <f t="shared" si="167"/>
        <v>1.0000320827882956</v>
      </c>
      <c r="AB228" s="17">
        <f t="shared" si="168"/>
        <v>8.1877280131583269E-3</v>
      </c>
      <c r="AC228" s="66" t="str">
        <f t="shared" si="169"/>
        <v>11.8315618150962-8.21816528495016i</v>
      </c>
      <c r="AD228" s="64">
        <f t="shared" si="170"/>
        <v>23.170685299341844</v>
      </c>
      <c r="AE228" s="61">
        <f t="shared" si="171"/>
        <v>-34.78372118663529</v>
      </c>
      <c r="AF228" s="31" t="str">
        <f t="shared" si="155"/>
        <v>-9090.90909090909</v>
      </c>
      <c r="AG228" s="31" t="str">
        <f t="shared" si="156"/>
        <v>7910.06165022013i</v>
      </c>
      <c r="AH228" s="31">
        <f t="shared" si="172"/>
        <v>7910.0616502201301</v>
      </c>
      <c r="AI228" s="31">
        <f t="shared" si="173"/>
        <v>1.5707963267948966</v>
      </c>
      <c r="AJ228" s="31" t="str">
        <f t="shared" si="157"/>
        <v>0.773328508110425+2.73883511620377i</v>
      </c>
      <c r="AK228" s="31">
        <f t="shared" si="174"/>
        <v>2.8459189684893023</v>
      </c>
      <c r="AL228" s="31">
        <f t="shared" si="175"/>
        <v>1.2956035751297146</v>
      </c>
      <c r="AM228" s="31" t="str">
        <f t="shared" si="158"/>
        <v>1+10.4238792426601i</v>
      </c>
      <c r="AN228" s="31">
        <f t="shared" si="176"/>
        <v>10.471736172457749</v>
      </c>
      <c r="AO228" s="31">
        <f t="shared" si="177"/>
        <v>1.4751554376474931</v>
      </c>
      <c r="AP228" s="31" t="str">
        <f t="shared" si="159"/>
        <v>1+1.74021356304843i</v>
      </c>
      <c r="AQ228" s="31">
        <f t="shared" si="178"/>
        <v>2.00707330334936</v>
      </c>
      <c r="AR228" s="31">
        <f t="shared" si="179"/>
        <v>1.0492310496970239</v>
      </c>
      <c r="AS228" s="58" t="str">
        <f t="shared" si="180"/>
        <v>-7.9960449911217+2.84662278868344i</v>
      </c>
      <c r="AT228" s="49">
        <f t="shared" si="181"/>
        <v>18.575736848628328</v>
      </c>
      <c r="AU228" s="61">
        <f t="shared" si="182"/>
        <v>160.40407480770247</v>
      </c>
      <c r="AV228" s="58" t="str">
        <f t="shared" si="160"/>
        <v>-71.2116840074405+99.3928128515056i</v>
      </c>
      <c r="AW228" s="64">
        <f t="shared" si="183"/>
        <v>41.746422147970172</v>
      </c>
      <c r="AX228" s="49">
        <f t="shared" si="184"/>
        <v>125.62035362106718</v>
      </c>
      <c r="AY228" s="310"/>
      <c r="BA228" s="31">
        <f t="shared" si="185"/>
        <v>0</v>
      </c>
      <c r="BB228" s="31">
        <f t="shared" si="186"/>
        <v>0</v>
      </c>
    </row>
    <row r="229" spans="14:54" x14ac:dyDescent="0.45">
      <c r="N229" s="10">
        <v>11</v>
      </c>
      <c r="O229" s="50">
        <f t="shared" si="187"/>
        <v>1288.2495516931347</v>
      </c>
      <c r="P229" s="48" t="str">
        <f t="shared" si="150"/>
        <v>17.4002386318441</v>
      </c>
      <c r="Q229" s="17" t="str">
        <f t="shared" si="151"/>
        <v>1+0.693215522106009i</v>
      </c>
      <c r="R229" s="17">
        <f t="shared" si="161"/>
        <v>1.2167776132427433</v>
      </c>
      <c r="S229" s="17">
        <f t="shared" si="162"/>
        <v>0.60615809584616698</v>
      </c>
      <c r="T229" s="17" t="str">
        <f t="shared" si="152"/>
        <v>1+0.0024282931965537i</v>
      </c>
      <c r="U229" s="17">
        <f t="shared" si="163"/>
        <v>1.000002948299578</v>
      </c>
      <c r="V229" s="17">
        <f t="shared" si="164"/>
        <v>2.4282884236730127E-3</v>
      </c>
      <c r="W229" s="31" t="str">
        <f t="shared" si="153"/>
        <v>1-0.00599089115158826i</v>
      </c>
      <c r="X229" s="17">
        <f t="shared" si="165"/>
        <v>1.0000179452273794</v>
      </c>
      <c r="Y229" s="17">
        <f t="shared" si="166"/>
        <v>-5.9908194805526191E-3</v>
      </c>
      <c r="Z229" s="31" t="str">
        <f t="shared" si="154"/>
        <v>0.999998494705753+0.00837861988613821i</v>
      </c>
      <c r="AA229" s="17">
        <f t="shared" si="167"/>
        <v>1.0000335947781795</v>
      </c>
      <c r="AB229" s="17">
        <f t="shared" si="168"/>
        <v>8.3784364425624619E-3</v>
      </c>
      <c r="AC229" s="66" t="str">
        <f t="shared" si="169"/>
        <v>11.6543008827951-8.28671037874409i</v>
      </c>
      <c r="AD229" s="64">
        <f t="shared" si="170"/>
        <v>23.106769553114269</v>
      </c>
      <c r="AE229" s="61">
        <f t="shared" si="171"/>
        <v>-35.414467650692714</v>
      </c>
      <c r="AF229" s="31" t="str">
        <f t="shared" si="155"/>
        <v>-9090.90909090909</v>
      </c>
      <c r="AG229" s="31" t="str">
        <f t="shared" si="156"/>
        <v>8094.31065517899i</v>
      </c>
      <c r="AH229" s="31">
        <f t="shared" si="172"/>
        <v>8094.3106551789897</v>
      </c>
      <c r="AI229" s="31">
        <f t="shared" si="173"/>
        <v>1.5707963267948966</v>
      </c>
      <c r="AJ229" s="31" t="str">
        <f t="shared" si="157"/>
        <v>0.762645809813138+2.80263078142376i</v>
      </c>
      <c r="AK229" s="31">
        <f t="shared" si="174"/>
        <v>2.9045426366657958</v>
      </c>
      <c r="AL229" s="31">
        <f t="shared" si="175"/>
        <v>1.3051116148015189</v>
      </c>
      <c r="AM229" s="31" t="str">
        <f t="shared" si="158"/>
        <v>1+10.6666825813949i</v>
      </c>
      <c r="AN229" s="31">
        <f t="shared" si="176"/>
        <v>10.713454965240363</v>
      </c>
      <c r="AO229" s="31">
        <f t="shared" si="177"/>
        <v>1.4773196842929792</v>
      </c>
      <c r="AP229" s="31" t="str">
        <f t="shared" si="159"/>
        <v>1+1.78074834413938i</v>
      </c>
      <c r="AQ229" s="31">
        <f t="shared" si="178"/>
        <v>2.0423184534139485</v>
      </c>
      <c r="AR229" s="31">
        <f t="shared" si="179"/>
        <v>1.0591199549194321</v>
      </c>
      <c r="AS229" s="58" t="str">
        <f t="shared" si="180"/>
        <v>-7.97779742070354+2.8172695018897i</v>
      </c>
      <c r="AT229" s="49">
        <f t="shared" si="181"/>
        <v>18.548054005796356</v>
      </c>
      <c r="AU229" s="61">
        <f t="shared" si="182"/>
        <v>160.54989899492563</v>
      </c>
      <c r="AV229" s="58" t="str">
        <f t="shared" si="160"/>
        <v>-69.6297551018372+98.9430031286067i</v>
      </c>
      <c r="AW229" s="64">
        <f t="shared" si="183"/>
        <v>41.654823558910621</v>
      </c>
      <c r="AX229" s="49">
        <f t="shared" si="184"/>
        <v>125.13543134423294</v>
      </c>
      <c r="AY229" s="310"/>
      <c r="BA229" s="31">
        <f t="shared" si="185"/>
        <v>0</v>
      </c>
      <c r="BB229" s="31">
        <f t="shared" si="186"/>
        <v>0</v>
      </c>
    </row>
    <row r="230" spans="14:54" x14ac:dyDescent="0.45">
      <c r="N230" s="10">
        <v>12</v>
      </c>
      <c r="O230" s="50">
        <f t="shared" si="187"/>
        <v>1318.2567385564089</v>
      </c>
      <c r="P230" s="48" t="str">
        <f t="shared" si="150"/>
        <v>17.4002386318441</v>
      </c>
      <c r="Q230" s="17" t="str">
        <f t="shared" si="151"/>
        <v>1+0.709362585911324i</v>
      </c>
      <c r="R230" s="17">
        <f t="shared" si="161"/>
        <v>1.2260486443411618</v>
      </c>
      <c r="S230" s="17">
        <f t="shared" si="162"/>
        <v>0.61698197984560643</v>
      </c>
      <c r="T230" s="17" t="str">
        <f t="shared" si="152"/>
        <v>1+0.00248485541123644i</v>
      </c>
      <c r="U230" s="17">
        <f t="shared" si="163"/>
        <v>1.0000030872484418</v>
      </c>
      <c r="V230" s="17">
        <f t="shared" si="164"/>
        <v>2.4848502970034945E-3</v>
      </c>
      <c r="W230" s="31" t="str">
        <f t="shared" si="153"/>
        <v>1-0.00613043693293705i</v>
      </c>
      <c r="X230" s="17">
        <f t="shared" si="165"/>
        <v>1.0000187909519445</v>
      </c>
      <c r="Y230" s="17">
        <f t="shared" si="166"/>
        <v>-6.1303601361166722E-3</v>
      </c>
      <c r="Z230" s="31" t="str">
        <f t="shared" si="154"/>
        <v>0.999998423763421+0.00857378301446941i</v>
      </c>
      <c r="AA230" s="17">
        <f t="shared" si="167"/>
        <v>1.0000351780235062</v>
      </c>
      <c r="AB230" s="17">
        <f t="shared" si="168"/>
        <v>8.5735864515098202E-3</v>
      </c>
      <c r="AC230" s="66" t="str">
        <f t="shared" si="169"/>
        <v>11.4741531041211-8.35194199008295i</v>
      </c>
      <c r="AD230" s="64">
        <f t="shared" si="170"/>
        <v>23.040834540987451</v>
      </c>
      <c r="AE230" s="61">
        <f t="shared" si="171"/>
        <v>-36.050566127695653</v>
      </c>
      <c r="AF230" s="31" t="str">
        <f t="shared" si="155"/>
        <v>-9090.90909090909</v>
      </c>
      <c r="AG230" s="31" t="str">
        <f t="shared" si="156"/>
        <v>8282.85137078811i</v>
      </c>
      <c r="AH230" s="31">
        <f t="shared" si="172"/>
        <v>8282.8513707881102</v>
      </c>
      <c r="AI230" s="31">
        <f t="shared" si="173"/>
        <v>1.5707963267948966</v>
      </c>
      <c r="AJ230" s="31" t="str">
        <f t="shared" si="157"/>
        <v>0.751459651455834+2.86791243858127i</v>
      </c>
      <c r="AK230" s="31">
        <f t="shared" si="174"/>
        <v>2.9647282106687776</v>
      </c>
      <c r="AL230" s="31">
        <f t="shared" si="175"/>
        <v>1.3145340934180159</v>
      </c>
      <c r="AM230" s="31" t="str">
        <f t="shared" si="158"/>
        <v>1+10.9151415364246i</v>
      </c>
      <c r="AN230" s="31">
        <f t="shared" si="176"/>
        <v>10.96085374230409</v>
      </c>
      <c r="AO230" s="31">
        <f t="shared" si="177"/>
        <v>1.4794355156408239</v>
      </c>
      <c r="AP230" s="31" t="str">
        <f t="shared" si="159"/>
        <v>1+1.82222730157338i</v>
      </c>
      <c r="AQ230" s="31">
        <f t="shared" si="178"/>
        <v>2.0785842149404008</v>
      </c>
      <c r="AR230" s="31">
        <f t="shared" si="179"/>
        <v>1.068891059381726</v>
      </c>
      <c r="AS230" s="58" t="str">
        <f t="shared" si="180"/>
        <v>-7.95996859010533+2.78892921209158i</v>
      </c>
      <c r="AT230" s="49">
        <f t="shared" si="181"/>
        <v>18.521091363638206</v>
      </c>
      <c r="AU230" s="61">
        <f t="shared" si="182"/>
        <v>160.69110199091213</v>
      </c>
      <c r="AV230" s="58" t="str">
        <f t="shared" si="160"/>
        <v>-68.0409233130269+98.4817966835367i</v>
      </c>
      <c r="AW230" s="64">
        <f t="shared" si="183"/>
        <v>41.56192590462566</v>
      </c>
      <c r="AX230" s="49">
        <f t="shared" si="184"/>
        <v>124.64053586321647</v>
      </c>
      <c r="AY230" s="310"/>
      <c r="BA230" s="31">
        <f t="shared" si="185"/>
        <v>0</v>
      </c>
      <c r="BB230" s="31">
        <f t="shared" si="186"/>
        <v>0</v>
      </c>
    </row>
    <row r="231" spans="14:54" x14ac:dyDescent="0.45">
      <c r="N231" s="10">
        <v>13</v>
      </c>
      <c r="O231" s="50">
        <f t="shared" si="187"/>
        <v>1348.9628825916541</v>
      </c>
      <c r="P231" s="48" t="str">
        <f t="shared" si="150"/>
        <v>17.4002386318441</v>
      </c>
      <c r="Q231" s="17" t="str">
        <f t="shared" si="151"/>
        <v>1+0.725885763149211i</v>
      </c>
      <c r="R231" s="17">
        <f t="shared" si="161"/>
        <v>1.2356820550379102</v>
      </c>
      <c r="S231" s="17">
        <f t="shared" si="162"/>
        <v>0.62788853827440039</v>
      </c>
      <c r="T231" s="17" t="str">
        <f t="shared" si="152"/>
        <v>1+0.00254273512914915i</v>
      </c>
      <c r="U231" s="17">
        <f t="shared" si="163"/>
        <v>1.0000032327457431</v>
      </c>
      <c r="V231" s="17">
        <f t="shared" si="164"/>
        <v>2.5427296491507744E-3</v>
      </c>
      <c r="W231" s="31" t="str">
        <f t="shared" si="153"/>
        <v>1-0.0062732331530936i</v>
      </c>
      <c r="X231" s="17">
        <f t="shared" si="165"/>
        <v>1.0000196765335136</v>
      </c>
      <c r="Y231" s="17">
        <f t="shared" si="166"/>
        <v>-6.2731508639054315E-3</v>
      </c>
      <c r="Z231" s="31" t="str">
        <f t="shared" si="154"/>
        <v>0.999998349477679+0.00877349207604229i</v>
      </c>
      <c r="AA231" s="17">
        <f t="shared" si="167"/>
        <v>1.0000368358822043</v>
      </c>
      <c r="AB231" s="17">
        <f t="shared" si="168"/>
        <v>8.7732814554551918E-3</v>
      </c>
      <c r="AC231" s="66" t="str">
        <f t="shared" si="169"/>
        <v>11.2912429601826-8.41371122439729i</v>
      </c>
      <c r="AD231" s="64">
        <f t="shared" si="170"/>
        <v>22.972848331244855</v>
      </c>
      <c r="AE231" s="61">
        <f t="shared" si="171"/>
        <v>-36.691772639051045</v>
      </c>
      <c r="AF231" s="31" t="str">
        <f t="shared" si="155"/>
        <v>-9090.90909090909</v>
      </c>
      <c r="AG231" s="31" t="str">
        <f t="shared" si="156"/>
        <v>8475.7837638305i</v>
      </c>
      <c r="AH231" s="31">
        <f t="shared" si="172"/>
        <v>8475.7837638305009</v>
      </c>
      <c r="AI231" s="31">
        <f t="shared" si="173"/>
        <v>1.5707963267948966</v>
      </c>
      <c r="AJ231" s="31" t="str">
        <f t="shared" si="157"/>
        <v>0.739746305696883+2.93471470087502i</v>
      </c>
      <c r="AK231" s="31">
        <f t="shared" si="174"/>
        <v>3.0265120142375359</v>
      </c>
      <c r="AL231" s="31">
        <f t="shared" si="175"/>
        <v>1.323872695372635</v>
      </c>
      <c r="AM231" s="31" t="str">
        <f t="shared" si="158"/>
        <v>1+11.1693878439758i</v>
      </c>
      <c r="AN231" s="31">
        <f t="shared" si="176"/>
        <v>11.214063706308893</v>
      </c>
      <c r="AO231" s="31">
        <f t="shared" si="177"/>
        <v>1.4815039777147241</v>
      </c>
      <c r="AP231" s="31" t="str">
        <f t="shared" si="159"/>
        <v>1+1.86467242804271i</v>
      </c>
      <c r="AQ231" s="31">
        <f t="shared" si="178"/>
        <v>2.1158930180665316</v>
      </c>
      <c r="AR231" s="31">
        <f t="shared" si="179"/>
        <v>1.078542080000185</v>
      </c>
      <c r="AS231" s="58" t="str">
        <f t="shared" si="180"/>
        <v>-7.94254083582186+2.76160907785606i</v>
      </c>
      <c r="AT231" s="49">
        <f t="shared" si="181"/>
        <v>18.494835373888737</v>
      </c>
      <c r="AU231" s="61">
        <f t="shared" si="182"/>
        <v>160.82751640870865</v>
      </c>
      <c r="AV231" s="58" t="str">
        <f t="shared" si="160"/>
        <v>-66.4457770026814+98.0082440397068i</v>
      </c>
      <c r="AW231" s="64">
        <f t="shared" si="183"/>
        <v>41.467683705133581</v>
      </c>
      <c r="AX231" s="49">
        <f t="shared" si="184"/>
        <v>124.13574376965759</v>
      </c>
      <c r="AY231" s="310"/>
      <c r="BA231" s="31">
        <f t="shared" si="185"/>
        <v>0</v>
      </c>
      <c r="BB231" s="31">
        <f t="shared" si="186"/>
        <v>0</v>
      </c>
    </row>
    <row r="232" spans="14:54" x14ac:dyDescent="0.45">
      <c r="N232" s="10">
        <v>14</v>
      </c>
      <c r="O232" s="50">
        <f t="shared" si="187"/>
        <v>1380.3842646028863</v>
      </c>
      <c r="P232" s="48" t="str">
        <f t="shared" si="150"/>
        <v>17.4002386318441</v>
      </c>
      <c r="Q232" s="17" t="str">
        <f t="shared" si="151"/>
        <v>1+0.742793814626956i</v>
      </c>
      <c r="R232" s="17">
        <f t="shared" si="161"/>
        <v>1.2456896286989247</v>
      </c>
      <c r="S232" s="17">
        <f t="shared" si="162"/>
        <v>0.63887317520180864</v>
      </c>
      <c r="T232" s="17" t="str">
        <f t="shared" si="152"/>
        <v>1+0.00260196303888443i</v>
      </c>
      <c r="U232" s="17">
        <f t="shared" si="163"/>
        <v>1.0000033851000985</v>
      </c>
      <c r="V232" s="17">
        <f t="shared" si="164"/>
        <v>2.6019571669614514E-3</v>
      </c>
      <c r="W232" s="31" t="str">
        <f t="shared" si="153"/>
        <v>1-0.00641935552450398i</v>
      </c>
      <c r="X232" s="17">
        <f t="shared" si="165"/>
        <v>1.0000206038504156</v>
      </c>
      <c r="Y232" s="17">
        <f t="shared" si="166"/>
        <v>-6.4192673501483628E-3</v>
      </c>
      <c r="Z232" s="31" t="str">
        <f t="shared" si="154"/>
        <v>0.999998271690959+0.00897785295924481i</v>
      </c>
      <c r="AA232" s="17">
        <f t="shared" si="167"/>
        <v>1.0000385718704368</v>
      </c>
      <c r="AB232" s="17">
        <f t="shared" si="168"/>
        <v>8.9776272756895373E-3</v>
      </c>
      <c r="AC232" s="66" t="str">
        <f t="shared" si="169"/>
        <v>11.105704720756-8.47187441771532i</v>
      </c>
      <c r="AD232" s="64">
        <f t="shared" si="170"/>
        <v>22.902780453455986</v>
      </c>
      <c r="AE232" s="61">
        <f t="shared" si="171"/>
        <v>-37.337832498713084</v>
      </c>
      <c r="AF232" s="31" t="str">
        <f t="shared" si="155"/>
        <v>-9090.90909090909</v>
      </c>
      <c r="AG232" s="31" t="str">
        <f t="shared" si="156"/>
        <v>8673.21012961475i</v>
      </c>
      <c r="AH232" s="31">
        <f t="shared" si="172"/>
        <v>8673.2101296147503</v>
      </c>
      <c r="AI232" s="31">
        <f t="shared" si="173"/>
        <v>1.5707963267948966</v>
      </c>
      <c r="AJ232" s="31" t="str">
        <f t="shared" si="157"/>
        <v>0.727480926959494+3.00307298774872i</v>
      </c>
      <c r="AK232" s="31">
        <f t="shared" si="174"/>
        <v>3.0899313695996335</v>
      </c>
      <c r="AL232" s="31">
        <f t="shared" si="175"/>
        <v>1.3331292241574257</v>
      </c>
      <c r="AM232" s="31" t="str">
        <f t="shared" si="158"/>
        <v>1+11.4295563088063i</v>
      </c>
      <c r="AN232" s="31">
        <f t="shared" si="176"/>
        <v>11.473219139202994</v>
      </c>
      <c r="AO232" s="31">
        <f t="shared" si="177"/>
        <v>1.4835260964015884</v>
      </c>
      <c r="AP232" s="31" t="str">
        <f t="shared" si="159"/>
        <v>1+1.90810622851524i</v>
      </c>
      <c r="AQ232" s="31">
        <f t="shared" si="178"/>
        <v>2.1542677130056638</v>
      </c>
      <c r="AR232" s="31">
        <f t="shared" si="179"/>
        <v>1.0880709417544085</v>
      </c>
      <c r="AS232" s="58" t="str">
        <f t="shared" si="180"/>
        <v>-7.92549600806444+2.73531574189193i</v>
      </c>
      <c r="AT232" s="49">
        <f t="shared" si="181"/>
        <v>18.469271485976236</v>
      </c>
      <c r="AU232" s="61">
        <f t="shared" si="182"/>
        <v>160.95897880491117</v>
      </c>
      <c r="AV232" s="58" t="str">
        <f t="shared" si="160"/>
        <v>-64.8449669729858+97.5214158259134i</v>
      </c>
      <c r="AW232" s="64">
        <f t="shared" si="183"/>
        <v>41.372051939432225</v>
      </c>
      <c r="AX232" s="49">
        <f t="shared" si="184"/>
        <v>123.62114630619806</v>
      </c>
      <c r="AY232" s="310"/>
      <c r="BA232" s="31">
        <f t="shared" si="185"/>
        <v>0</v>
      </c>
      <c r="BB232" s="31">
        <f t="shared" si="186"/>
        <v>0</v>
      </c>
    </row>
    <row r="233" spans="14:54" x14ac:dyDescent="0.45">
      <c r="N233" s="10">
        <v>15</v>
      </c>
      <c r="O233" s="50">
        <f t="shared" si="187"/>
        <v>1412.5375446227545</v>
      </c>
      <c r="P233" s="48" t="str">
        <f t="shared" si="150"/>
        <v>17.4002386318441</v>
      </c>
      <c r="Q233" s="17" t="str">
        <f t="shared" si="151"/>
        <v>1+0.760095705217253i</v>
      </c>
      <c r="R233" s="17">
        <f t="shared" si="161"/>
        <v>1.2560833893853198</v>
      </c>
      <c r="S233" s="17">
        <f t="shared" si="162"/>
        <v>0.64993111168679962</v>
      </c>
      <c r="T233" s="17" t="str">
        <f t="shared" si="152"/>
        <v>1+0.00266257054386397i</v>
      </c>
      <c r="U233" s="17">
        <f t="shared" si="163"/>
        <v>1.0000035446346682</v>
      </c>
      <c r="V233" s="17">
        <f t="shared" si="164"/>
        <v>2.6625642519863438E-3</v>
      </c>
      <c r="W233" s="31" t="str">
        <f t="shared" si="153"/>
        <v>1-0.00656888152318367i</v>
      </c>
      <c r="X233" s="17">
        <f t="shared" si="165"/>
        <v>1.0000215748694952</v>
      </c>
      <c r="Y233" s="17">
        <f t="shared" si="166"/>
        <v>-6.5687870427694889E-3</v>
      </c>
      <c r="Z233" s="31" t="str">
        <f t="shared" si="154"/>
        <v>0.999998190238263+0.00918697401892224i</v>
      </c>
      <c r="AA233" s="17">
        <f t="shared" si="167"/>
        <v>1.00004038967005</v>
      </c>
      <c r="AB233" s="17">
        <f t="shared" si="168"/>
        <v>9.1867321951631144E-3</v>
      </c>
      <c r="AC233" s="66" t="str">
        <f t="shared" si="169"/>
        <v>10.9176821892354-8.52629389653129i</v>
      </c>
      <c r="AD233" s="64">
        <f t="shared" si="170"/>
        <v>22.830602007662371</v>
      </c>
      <c r="AE233" s="61">
        <f t="shared" si="171"/>
        <v>-37.988480735948926</v>
      </c>
      <c r="AF233" s="31" t="str">
        <f t="shared" si="155"/>
        <v>-9090.90909090909</v>
      </c>
      <c r="AG233" s="31" t="str">
        <f t="shared" si="156"/>
        <v>8875.23514621322i</v>
      </c>
      <c r="AH233" s="31">
        <f t="shared" si="172"/>
        <v>8875.2351462132192</v>
      </c>
      <c r="AI233" s="31">
        <f t="shared" si="173"/>
        <v>1.5707963267948966</v>
      </c>
      <c r="AJ233" s="31" t="str">
        <f t="shared" si="157"/>
        <v>0.714637498730919+3.07302354367089i</v>
      </c>
      <c r="AK233" s="31">
        <f t="shared" si="174"/>
        <v>3.1550246361237781</v>
      </c>
      <c r="AL233" s="31">
        <f t="shared" si="175"/>
        <v>1.3423055961298207</v>
      </c>
      <c r="AM233" s="31" t="str">
        <f t="shared" si="158"/>
        <v>1+11.6957848756798i</v>
      </c>
      <c r="AN233" s="31">
        <f t="shared" si="176"/>
        <v>11.73845747354312</v>
      </c>
      <c r="AO233" s="31">
        <f t="shared" si="177"/>
        <v>1.4855028776718979</v>
      </c>
      <c r="AP233" s="31" t="str">
        <f t="shared" si="159"/>
        <v>1+1.95255173216691i</v>
      </c>
      <c r="AQ233" s="31">
        <f t="shared" si="178"/>
        <v>2.1937315849456152</v>
      </c>
      <c r="AR233" s="31">
        <f t="shared" si="179"/>
        <v>1.0974757744355488</v>
      </c>
      <c r="AS233" s="58" t="str">
        <f t="shared" si="180"/>
        <v>-7.90881551334918+2.71005533972172i</v>
      </c>
      <c r="AT233" s="49">
        <f t="shared" si="181"/>
        <v>18.444384215816815</v>
      </c>
      <c r="AU233" s="61">
        <f t="shared" si="182"/>
        <v>161.08532986311613</v>
      </c>
      <c r="AV233" s="58" t="str">
        <f t="shared" si="160"/>
        <v>-63.2392059657096+97.0204083545832i</v>
      </c>
      <c r="AW233" s="64">
        <f t="shared" si="183"/>
        <v>41.274986223479182</v>
      </c>
      <c r="AX233" s="49">
        <f t="shared" si="184"/>
        <v>123.09684912716722</v>
      </c>
      <c r="AY233" s="310"/>
      <c r="BA233" s="31">
        <f t="shared" si="185"/>
        <v>0</v>
      </c>
      <c r="BB233" s="31">
        <f t="shared" si="186"/>
        <v>0</v>
      </c>
    </row>
    <row r="234" spans="14:54" x14ac:dyDescent="0.45">
      <c r="N234" s="10">
        <v>16</v>
      </c>
      <c r="O234" s="50">
        <f t="shared" si="187"/>
        <v>1445.4397707459289</v>
      </c>
      <c r="P234" s="48" t="str">
        <f t="shared" si="150"/>
        <v>17.4002386318441</v>
      </c>
      <c r="Q234" s="17" t="str">
        <f t="shared" si="151"/>
        <v>1+0.777800608611513i</v>
      </c>
      <c r="R234" s="17">
        <f t="shared" si="161"/>
        <v>1.2668756003477375</v>
      </c>
      <c r="S234" s="17">
        <f t="shared" si="162"/>
        <v>0.66105739405893083</v>
      </c>
      <c r="T234" s="17" t="str">
        <f t="shared" si="152"/>
        <v>1+0.00272458977898916i</v>
      </c>
      <c r="U234" s="17">
        <f t="shared" si="163"/>
        <v>1.0000037116878435</v>
      </c>
      <c r="V234" s="17">
        <f t="shared" si="164"/>
        <v>2.7245830371221691E-3</v>
      </c>
      <c r="W234" s="31" t="str">
        <f t="shared" si="153"/>
        <v>1-0.00672189042979638i</v>
      </c>
      <c r="X234" s="17">
        <f t="shared" si="165"/>
        <v>1.0000225916502836</v>
      </c>
      <c r="Y234" s="17">
        <f t="shared" si="166"/>
        <v>-6.7217891923321404E-3</v>
      </c>
      <c r="Z234" s="31" t="str">
        <f t="shared" si="154"/>
        <v>0.99999810494682+0.00940096613382849i</v>
      </c>
      <c r="AA234" s="17">
        <f t="shared" si="167"/>
        <v>1.0000422931363855</v>
      </c>
      <c r="AB234" s="17">
        <f t="shared" si="168"/>
        <v>9.4007070155936717E-3</v>
      </c>
      <c r="AC234" s="66" t="str">
        <f t="shared" si="169"/>
        <v>10.7273283788741-8.5768387263662i</v>
      </c>
      <c r="AD234" s="64">
        <f t="shared" si="170"/>
        <v>22.756285770292649</v>
      </c>
      <c r="AE234" s="61">
        <f t="shared" si="171"/>
        <v>-38.643442574463073</v>
      </c>
      <c r="AF234" s="31" t="str">
        <f t="shared" si="155"/>
        <v>-9090.90909090909</v>
      </c>
      <c r="AG234" s="31" t="str">
        <f t="shared" si="156"/>
        <v>9081.96592996385i</v>
      </c>
      <c r="AH234" s="31">
        <f t="shared" si="172"/>
        <v>9081.9659299638497</v>
      </c>
      <c r="AI234" s="31">
        <f t="shared" si="173"/>
        <v>1.5707963267948966</v>
      </c>
      <c r="AJ234" s="31" t="str">
        <f t="shared" si="157"/>
        <v>0.701188778377933+3.14460345735219i</v>
      </c>
      <c r="AK234" s="31">
        <f t="shared" si="174"/>
        <v>3.2218312505335351</v>
      </c>
      <c r="AL234" s="31">
        <f t="shared" si="175"/>
        <v>1.3514038344160886</v>
      </c>
      <c r="AM234" s="31" t="str">
        <f t="shared" si="158"/>
        <v>1+11.9682147025064i</v>
      </c>
      <c r="AN234" s="31">
        <f t="shared" si="176"/>
        <v>12.009919365478284</v>
      </c>
      <c r="AO234" s="31">
        <f t="shared" si="177"/>
        <v>1.487435307810175</v>
      </c>
      <c r="AP234" s="31" t="str">
        <f t="shared" si="159"/>
        <v>1+1.99803250459205i</v>
      </c>
      <c r="AQ234" s="31">
        <f t="shared" si="178"/>
        <v>2.2343083693631867</v>
      </c>
      <c r="AR234" s="31">
        <f t="shared" si="179"/>
        <v>1.1067549088058921</v>
      </c>
      <c r="AS234" s="58" t="str">
        <f t="shared" si="180"/>
        <v>-7.89248035348589+2.68583351036541i</v>
      </c>
      <c r="AT234" s="49">
        <f t="shared" si="181"/>
        <v>18.420157213547299</v>
      </c>
      <c r="AU234" s="61">
        <f t="shared" si="182"/>
        <v>161.20641453639121</v>
      </c>
      <c r="AV234" s="58" t="str">
        <f t="shared" si="160"/>
        <v>-61.6292676113814+96.5043491795361i</v>
      </c>
      <c r="AW234" s="64">
        <f t="shared" si="183"/>
        <v>41.176442983839948</v>
      </c>
      <c r="AX234" s="49">
        <f t="shared" si="184"/>
        <v>122.56297196192813</v>
      </c>
      <c r="AY234" s="310"/>
      <c r="BA234" s="31">
        <f t="shared" si="185"/>
        <v>0</v>
      </c>
      <c r="BB234" s="31">
        <f t="shared" si="186"/>
        <v>0</v>
      </c>
    </row>
    <row r="235" spans="14:54" x14ac:dyDescent="0.45">
      <c r="N235" s="10">
        <v>17</v>
      </c>
      <c r="O235" s="50">
        <f t="shared" si="187"/>
        <v>1479.1083881682086</v>
      </c>
      <c r="P235" s="48" t="str">
        <f t="shared" si="150"/>
        <v>17.4002386318441</v>
      </c>
      <c r="Q235" s="17" t="str">
        <f t="shared" si="151"/>
        <v>1+0.795917912183867i</v>
      </c>
      <c r="R235" s="17">
        <f t="shared" si="161"/>
        <v>1.2780787624145571</v>
      </c>
      <c r="S235" s="17">
        <f t="shared" si="162"/>
        <v>0.67224690316168645</v>
      </c>
      <c r="T235" s="17" t="str">
        <f t="shared" si="152"/>
        <v>1+0.00278805362767937i</v>
      </c>
      <c r="U235" s="17">
        <f t="shared" si="163"/>
        <v>1.0000038866139624</v>
      </c>
      <c r="V235" s="17">
        <f t="shared" si="164"/>
        <v>2.7880464036402521E-3</v>
      </c>
      <c r="W235" s="31" t="str">
        <f t="shared" si="153"/>
        <v>1-0.0068784633716897i</v>
      </c>
      <c r="X235" s="17">
        <f t="shared" si="165"/>
        <v>1.0000236563493663</v>
      </c>
      <c r="Y235" s="17">
        <f t="shared" si="166"/>
        <v>-6.8783548939309472E-3</v>
      </c>
      <c r="Z235" s="31" t="str">
        <f t="shared" si="154"/>
        <v>0.999998015635715+0.00961994276541539i</v>
      </c>
      <c r="AA235" s="17">
        <f t="shared" si="167"/>
        <v>1.0000442863064503</v>
      </c>
      <c r="AB235" s="17">
        <f t="shared" si="168"/>
        <v>9.6196651158881666E-3</v>
      </c>
      <c r="AC235" s="66" t="str">
        <f t="shared" si="169"/>
        <v>10.5348051204564-8.62338544195297i</v>
      </c>
      <c r="AD235" s="64">
        <f t="shared" si="170"/>
        <v>22.679806296031046</v>
      </c>
      <c r="AE235" s="61">
        <f t="shared" si="171"/>
        <v>-39.302433966774117</v>
      </c>
      <c r="AF235" s="31" t="str">
        <f t="shared" si="155"/>
        <v>-9090.90909090909</v>
      </c>
      <c r="AG235" s="31" t="str">
        <f t="shared" si="156"/>
        <v>9293.51209226457i</v>
      </c>
      <c r="AH235" s="31">
        <f t="shared" si="172"/>
        <v>9293.5120922645692</v>
      </c>
      <c r="AI235" s="31">
        <f t="shared" si="173"/>
        <v>1.5707963267948966</v>
      </c>
      <c r="AJ235" s="31" t="str">
        <f t="shared" si="157"/>
        <v>0.68710623936157+3.21785068141033i</v>
      </c>
      <c r="AK235" s="31">
        <f t="shared" si="174"/>
        <v>3.2903917687750384</v>
      </c>
      <c r="AL235" s="31">
        <f t="shared" si="175"/>
        <v>1.3604260629654146</v>
      </c>
      <c r="AM235" s="31" t="str">
        <f t="shared" si="158"/>
        <v>1+12.2469902351862i</v>
      </c>
      <c r="AN235" s="31">
        <f t="shared" si="176"/>
        <v>12.287748769434788</v>
      </c>
      <c r="AO235" s="31">
        <f t="shared" si="177"/>
        <v>1.4893243536543914</v>
      </c>
      <c r="AP235" s="31" t="str">
        <f t="shared" si="159"/>
        <v>1+2.0445726602982i</v>
      </c>
      <c r="AQ235" s="31">
        <f t="shared" si="178"/>
        <v>2.2760222677379187</v>
      </c>
      <c r="AR235" s="31">
        <f t="shared" si="179"/>
        <v>1.1159068722251209</v>
      </c>
      <c r="AS235" s="58" t="str">
        <f t="shared" si="180"/>
        <v>-7.87647116097364+2.66265540866808i</v>
      </c>
      <c r="AT235" s="49">
        <f t="shared" si="181"/>
        <v>18.39657332973783</v>
      </c>
      <c r="AU235" s="61">
        <f t="shared" si="182"/>
        <v>161.32208215107258</v>
      </c>
      <c r="AV235" s="58" t="str">
        <f t="shared" si="160"/>
        <v>-60.0159848297066+95.9724025767499i</v>
      </c>
      <c r="AW235" s="64">
        <f t="shared" si="183"/>
        <v>41.076379625768872</v>
      </c>
      <c r="AX235" s="49">
        <f t="shared" si="184"/>
        <v>122.01964818429846</v>
      </c>
      <c r="AY235" s="310"/>
      <c r="BA235" s="31">
        <f t="shared" si="185"/>
        <v>0</v>
      </c>
      <c r="BB235" s="31">
        <f t="shared" si="186"/>
        <v>0</v>
      </c>
    </row>
    <row r="236" spans="14:54" x14ac:dyDescent="0.45">
      <c r="N236" s="10">
        <v>18</v>
      </c>
      <c r="O236" s="50">
        <f t="shared" si="187"/>
        <v>1513.5612484362093</v>
      </c>
      <c r="P236" s="48" t="str">
        <f t="shared" si="150"/>
        <v>17.4002386318441</v>
      </c>
      <c r="Q236" s="17" t="str">
        <f t="shared" si="151"/>
        <v>1+0.81445722196848i</v>
      </c>
      <c r="R236" s="17">
        <f t="shared" si="161"/>
        <v>1.2897056123071706</v>
      </c>
      <c r="S236" s="17">
        <f t="shared" si="162"/>
        <v>0.68349436452974621</v>
      </c>
      <c r="T236" s="17" t="str">
        <f t="shared" si="152"/>
        <v>1+0.00285299573930724i</v>
      </c>
      <c r="U236" s="17">
        <f t="shared" si="163"/>
        <v>1.0000040697840626</v>
      </c>
      <c r="V236" s="17">
        <f t="shared" si="164"/>
        <v>2.8529879986115649E-3</v>
      </c>
      <c r="W236" s="31" t="str">
        <f t="shared" si="153"/>
        <v>1-0.00703868336590991i</v>
      </c>
      <c r="X236" s="17">
        <f t="shared" si="165"/>
        <v>1.0000247712249559</v>
      </c>
      <c r="Y236" s="17">
        <f t="shared" si="166"/>
        <v>-7.0385671300527202E-3</v>
      </c>
      <c r="Z236" s="31" t="str">
        <f t="shared" si="154"/>
        <v>0.999997922115508+0.0098440200179915i</v>
      </c>
      <c r="AA236" s="17">
        <f t="shared" si="167"/>
        <v>1.0000463734074776</v>
      </c>
      <c r="AB236" s="17">
        <f t="shared" si="168"/>
        <v>9.8437225119076925E-3</v>
      </c>
      <c r="AC236" s="66" t="str">
        <f t="shared" si="169"/>
        <v>10.3402826023544-8.66581875188776i</v>
      </c>
      <c r="AD236" s="64">
        <f t="shared" si="170"/>
        <v>22.601140014869173</v>
      </c>
      <c r="AE236" s="61">
        <f t="shared" si="171"/>
        <v>-39.965162182210477</v>
      </c>
      <c r="AF236" s="31" t="str">
        <f t="shared" si="155"/>
        <v>-9090.90909090909</v>
      </c>
      <c r="AG236" s="31" t="str">
        <f t="shared" si="156"/>
        <v>9509.98579769078i</v>
      </c>
      <c r="AH236" s="31">
        <f t="shared" si="172"/>
        <v>9509.9857976907806</v>
      </c>
      <c r="AI236" s="31">
        <f t="shared" si="173"/>
        <v>1.5707963267948966</v>
      </c>
      <c r="AJ236" s="31" t="str">
        <f t="shared" si="157"/>
        <v>0.672360010728495+3.29280405249304i</v>
      </c>
      <c r="AK236" s="31">
        <f t="shared" si="174"/>
        <v>3.3607479096387771</v>
      </c>
      <c r="AL236" s="31">
        <f t="shared" si="175"/>
        <v>1.3693745007661704</v>
      </c>
      <c r="AM236" s="31" t="str">
        <f t="shared" si="158"/>
        <v>1+12.5322592841969i</v>
      </c>
      <c r="AN236" s="31">
        <f t="shared" si="176"/>
        <v>12.572093014543736</v>
      </c>
      <c r="AO236" s="31">
        <f t="shared" si="177"/>
        <v>1.4911709628432479</v>
      </c>
      <c r="AP236" s="31" t="str">
        <f t="shared" si="159"/>
        <v>1+2.09219687549197i</v>
      </c>
      <c r="AQ236" s="31">
        <f t="shared" si="178"/>
        <v>2.3188979636496216</v>
      </c>
      <c r="AR236" s="31">
        <f t="shared" si="179"/>
        <v>1.1249303837986511</v>
      </c>
      <c r="AS236" s="58" t="str">
        <f t="shared" si="180"/>
        <v>-7.86076823083416+2.64052571892311i</v>
      </c>
      <c r="AT236" s="49">
        <f t="shared" si="181"/>
        <v>18.37361467967645</v>
      </c>
      <c r="AU236" s="61">
        <f t="shared" si="182"/>
        <v>161.43218647433633</v>
      </c>
      <c r="AV236" s="58" t="str">
        <f t="shared" si="160"/>
        <v>-58.4002476885488+95.4237748914562i</v>
      </c>
      <c r="AW236" s="64">
        <f t="shared" si="183"/>
        <v>40.974754694545616</v>
      </c>
      <c r="AX236" s="49">
        <f t="shared" si="184"/>
        <v>121.46702429212581</v>
      </c>
      <c r="AY236" s="310"/>
      <c r="BA236" s="31">
        <f t="shared" si="185"/>
        <v>0</v>
      </c>
      <c r="BB236" s="31">
        <f t="shared" si="186"/>
        <v>0</v>
      </c>
    </row>
    <row r="237" spans="14:54" x14ac:dyDescent="0.45">
      <c r="N237" s="10">
        <v>19</v>
      </c>
      <c r="O237" s="50">
        <f t="shared" si="187"/>
        <v>1548.8166189124822</v>
      </c>
      <c r="P237" s="48" t="str">
        <f t="shared" si="150"/>
        <v>17.4002386318441</v>
      </c>
      <c r="Q237" s="17" t="str">
        <f t="shared" si="151"/>
        <v>1+0.833428367752795i</v>
      </c>
      <c r="R237" s="17">
        <f t="shared" si="161"/>
        <v>1.3017691209177948</v>
      </c>
      <c r="S237" s="17">
        <f t="shared" si="162"/>
        <v>0.69479435946230672</v>
      </c>
      <c r="T237" s="17" t="str">
        <f t="shared" si="152"/>
        <v>1+0.00291945054703994i</v>
      </c>
      <c r="U237" s="17">
        <f t="shared" si="163"/>
        <v>1.0000042615866678</v>
      </c>
      <c r="V237" s="17">
        <f t="shared" si="164"/>
        <v>2.9194422527369971E-3</v>
      </c>
      <c r="W237" s="31" t="str">
        <f t="shared" si="153"/>
        <v>1-0.00720263536321872i</v>
      </c>
      <c r="X237" s="17">
        <f t="shared" si="165"/>
        <v>1.0000259386416812</v>
      </c>
      <c r="Y237" s="17">
        <f t="shared" si="166"/>
        <v>-7.202510814428258E-3</v>
      </c>
      <c r="Z237" s="31" t="str">
        <f t="shared" si="154"/>
        <v>0.999997824187829+0.0100733167002822i</v>
      </c>
      <c r="AA237" s="17">
        <f t="shared" si="167"/>
        <v>1.0000485588658865</v>
      </c>
      <c r="AB237" s="17">
        <f t="shared" si="168"/>
        <v>1.0072997917605544E-2</v>
      </c>
      <c r="AC237" s="66" t="str">
        <f t="shared" si="169"/>
        <v>10.143938844765-8.70403221060292i</v>
      </c>
      <c r="AD237" s="64">
        <f t="shared" si="170"/>
        <v>22.520265323586223</v>
      </c>
      <c r="AE237" s="61">
        <f t="shared" si="171"/>
        <v>-40.631326446358479</v>
      </c>
      <c r="AF237" s="31" t="str">
        <f t="shared" si="155"/>
        <v>-9090.90909090909</v>
      </c>
      <c r="AG237" s="31" t="str">
        <f t="shared" si="156"/>
        <v>9731.50182346647i</v>
      </c>
      <c r="AH237" s="31">
        <f t="shared" si="172"/>
        <v>9731.5018234664694</v>
      </c>
      <c r="AI237" s="31">
        <f t="shared" si="173"/>
        <v>1.5707963267948966</v>
      </c>
      <c r="AJ237" s="31" t="str">
        <f t="shared" si="157"/>
        <v>0.656918813750717+3.3695033118698i</v>
      </c>
      <c r="AK237" s="31">
        <f t="shared" si="174"/>
        <v>3.432942600242713</v>
      </c>
      <c r="AL237" s="31">
        <f t="shared" si="175"/>
        <v>1.3782514562335821</v>
      </c>
      <c r="AM237" s="31" t="str">
        <f t="shared" si="158"/>
        <v>1+12.8241731029641i</v>
      </c>
      <c r="AN237" s="31">
        <f t="shared" si="176"/>
        <v>12.863102882850152</v>
      </c>
      <c r="AO237" s="31">
        <f t="shared" si="177"/>
        <v>1.4929760640703085</v>
      </c>
      <c r="AP237" s="31" t="str">
        <f t="shared" si="159"/>
        <v>1+2.14093040116262i</v>
      </c>
      <c r="AQ237" s="31">
        <f t="shared" si="178"/>
        <v>2.3629606392452533</v>
      </c>
      <c r="AR237" s="31">
        <f t="shared" si="179"/>
        <v>1.1338243491030229</v>
      </c>
      <c r="AS237" s="58" t="str">
        <f t="shared" si="180"/>
        <v>-7.8453515489359+2.61944866945918i</v>
      </c>
      <c r="AT237" s="49">
        <f t="shared" si="181"/>
        <v>18.351262705366437</v>
      </c>
      <c r="AU237" s="61">
        <f t="shared" si="182"/>
        <v>161.53658574810876</v>
      </c>
      <c r="AV237" s="58" t="str">
        <f t="shared" si="160"/>
        <v>-56.7830007350945+94.8577196954365i</v>
      </c>
      <c r="AW237" s="64">
        <f t="shared" si="183"/>
        <v>40.871528028952667</v>
      </c>
      <c r="AX237" s="49">
        <f t="shared" si="184"/>
        <v>120.90525930175028</v>
      </c>
      <c r="AY237" s="310"/>
      <c r="BA237" s="31">
        <f t="shared" si="185"/>
        <v>0</v>
      </c>
      <c r="BB237" s="31">
        <f t="shared" si="186"/>
        <v>0</v>
      </c>
    </row>
    <row r="238" spans="14:54" x14ac:dyDescent="0.45">
      <c r="N238" s="10">
        <v>20</v>
      </c>
      <c r="O238" s="50">
        <f t="shared" si="187"/>
        <v>1584.8931924611156</v>
      </c>
      <c r="P238" s="48" t="str">
        <f t="shared" si="150"/>
        <v>17.4002386318441</v>
      </c>
      <c r="Q238" s="17" t="str">
        <f t="shared" si="151"/>
        <v>1+0.852841408289424i</v>
      </c>
      <c r="R238" s="17">
        <f t="shared" si="161"/>
        <v>1.3142824915873634</v>
      </c>
      <c r="S238" s="17">
        <f t="shared" si="162"/>
        <v>0.70614133694537951</v>
      </c>
      <c r="T238" s="17" t="str">
        <f t="shared" si="152"/>
        <v>1+0.00298745328609619i</v>
      </c>
      <c r="U238" s="17">
        <f t="shared" si="163"/>
        <v>1.0000044624286117</v>
      </c>
      <c r="V238" s="17">
        <f t="shared" si="164"/>
        <v>2.9874443985926052E-3</v>
      </c>
      <c r="W238" s="31" t="str">
        <f t="shared" si="153"/>
        <v>1-0.00737040629313527i</v>
      </c>
      <c r="X238" s="17">
        <f t="shared" si="165"/>
        <v>1.0000271610756009</v>
      </c>
      <c r="Y238" s="17">
        <f t="shared" si="166"/>
        <v>-7.3702728368976126E-3</v>
      </c>
      <c r="Z238" s="31" t="str">
        <f t="shared" si="154"/>
        <v>0.99999772164496+0.0103079543884234i</v>
      </c>
      <c r="AA238" s="17">
        <f t="shared" si="167"/>
        <v>1.0000508473166676</v>
      </c>
      <c r="AB238" s="17">
        <f t="shared" si="168"/>
        <v>1.0307612807568709E-2</v>
      </c>
      <c r="AC238" s="66" t="str">
        <f t="shared" si="169"/>
        <v>9.94595911077317-8.73792885064191i</v>
      </c>
      <c r="AD238" s="64">
        <f t="shared" si="170"/>
        <v>22.437162670928075</v>
      </c>
      <c r="AE238" s="61">
        <f t="shared" si="171"/>
        <v>-41.300618629269124</v>
      </c>
      <c r="AF238" s="31" t="str">
        <f t="shared" si="155"/>
        <v>-9090.90909090909</v>
      </c>
      <c r="AG238" s="31" t="str">
        <f t="shared" si="156"/>
        <v>9958.17762032063i</v>
      </c>
      <c r="AH238" s="31">
        <f t="shared" si="172"/>
        <v>9958.17762032063</v>
      </c>
      <c r="AI238" s="31">
        <f t="shared" si="173"/>
        <v>1.5707963267948966</v>
      </c>
      <c r="AJ238" s="31" t="str">
        <f t="shared" si="157"/>
        <v>0.640749895579207+3.44798912650316i</v>
      </c>
      <c r="AK238" s="31">
        <f t="shared" si="174"/>
        <v>3.5070200234912816</v>
      </c>
      <c r="AL238" s="31">
        <f t="shared" si="175"/>
        <v>1.3870593217758809</v>
      </c>
      <c r="AM238" s="31" t="str">
        <f t="shared" si="158"/>
        <v>1+13.1228864680585i</v>
      </c>
      <c r="AN238" s="31">
        <f t="shared" si="176"/>
        <v>13.160932689348156</v>
      </c>
      <c r="AO238" s="31">
        <f t="shared" si="177"/>
        <v>1.4947405673440752</v>
      </c>
      <c r="AP238" s="31" t="str">
        <f t="shared" si="159"/>
        <v>1+2.19079907647054i</v>
      </c>
      <c r="AQ238" s="31">
        <f t="shared" si="178"/>
        <v>2.4082359920622753</v>
      </c>
      <c r="AR238" s="31">
        <f t="shared" si="179"/>
        <v>1.1425878545424639</v>
      </c>
      <c r="AS238" s="58" t="str">
        <f t="shared" si="180"/>
        <v>-7.83020081688628+2.5994280478795i</v>
      </c>
      <c r="AT238" s="49">
        <f t="shared" si="181"/>
        <v>18.329498234931695</v>
      </c>
      <c r="AU238" s="61">
        <f t="shared" si="182"/>
        <v>161.63514269196017</v>
      </c>
      <c r="AV238" s="58" t="str">
        <f t="shared" si="160"/>
        <v>-55.1652398191596+94.2735426997969i</v>
      </c>
      <c r="AW238" s="64">
        <f t="shared" si="183"/>
        <v>40.766660905859773</v>
      </c>
      <c r="AX238" s="49">
        <f t="shared" si="184"/>
        <v>120.3345240626911</v>
      </c>
      <c r="AY238" s="310"/>
      <c r="BA238" s="31">
        <f t="shared" si="185"/>
        <v>0</v>
      </c>
      <c r="BB238" s="31">
        <f t="shared" si="186"/>
        <v>0</v>
      </c>
    </row>
    <row r="239" spans="14:54" x14ac:dyDescent="0.45">
      <c r="N239" s="10">
        <v>21</v>
      </c>
      <c r="O239" s="50">
        <f t="shared" si="187"/>
        <v>1621.8100973589308</v>
      </c>
      <c r="P239" s="48" t="str">
        <f t="shared" si="150"/>
        <v>17.4002386318441</v>
      </c>
      <c r="Q239" s="17" t="str">
        <f t="shared" si="151"/>
        <v>1+0.872706636629414i</v>
      </c>
      <c r="R239" s="17">
        <f t="shared" si="161"/>
        <v>1.327259158422734</v>
      </c>
      <c r="S239" s="17">
        <f t="shared" si="162"/>
        <v>0.71752962636696538</v>
      </c>
      <c r="T239" s="17" t="str">
        <f t="shared" si="152"/>
        <v>1+0.00305704001242833i</v>
      </c>
      <c r="U239" s="17">
        <f t="shared" si="163"/>
        <v>1.0000046727359015</v>
      </c>
      <c r="V239" s="17">
        <f t="shared" si="164"/>
        <v>3.0570304892990671E-3</v>
      </c>
      <c r="W239" s="31" t="str">
        <f t="shared" si="153"/>
        <v>1-0.00754208511002727i</v>
      </c>
      <c r="X239" s="17">
        <f t="shared" si="165"/>
        <v>1.0000284411194549</v>
      </c>
      <c r="Y239" s="17">
        <f t="shared" si="166"/>
        <v>-7.5419421093118688E-3</v>
      </c>
      <c r="Z239" s="31" t="str">
        <f t="shared" si="154"/>
        <v>0.999997614269395+0.0105480574904233i</v>
      </c>
      <c r="AA239" s="17">
        <f t="shared" si="167"/>
        <v>1.0000532436132106</v>
      </c>
      <c r="AB239" s="17">
        <f t="shared" si="168"/>
        <v>1.0547691480995105E-2</v>
      </c>
      <c r="AC239" s="66" t="str">
        <f t="shared" si="169"/>
        <v>9.74653525773271-8.76742176845296i</v>
      </c>
      <c r="AD239" s="64">
        <f t="shared" si="170"/>
        <v>22.351814635790916</v>
      </c>
      <c r="AE239" s="61">
        <f t="shared" si="171"/>
        <v>-41.972723979209043</v>
      </c>
      <c r="AF239" s="31" t="str">
        <f t="shared" si="155"/>
        <v>-9090.90909090909</v>
      </c>
      <c r="AG239" s="31" t="str">
        <f t="shared" si="156"/>
        <v>10190.1333747611i</v>
      </c>
      <c r="AH239" s="31">
        <f t="shared" si="172"/>
        <v>10190.133374761101</v>
      </c>
      <c r="AI239" s="31">
        <f t="shared" si="173"/>
        <v>1.5707963267948966</v>
      </c>
      <c r="AJ239" s="31" t="str">
        <f t="shared" si="157"/>
        <v>0.623818959770724+3.52830311061092i</v>
      </c>
      <c r="AK239" s="31">
        <f t="shared" si="174"/>
        <v>3.5830256676328913</v>
      </c>
      <c r="AL239" s="31">
        <f t="shared" si="175"/>
        <v>1.3958005685439845</v>
      </c>
      <c r="AM239" s="31" t="str">
        <f t="shared" si="158"/>
        <v>1+13.4285577612602i</v>
      </c>
      <c r="AN239" s="31">
        <f t="shared" si="176"/>
        <v>13.465740363882766</v>
      </c>
      <c r="AO239" s="31">
        <f t="shared" si="177"/>
        <v>1.4964653642531258</v>
      </c>
      <c r="AP239" s="31" t="str">
        <f t="shared" si="159"/>
        <v>1+2.24182934244744i</v>
      </c>
      <c r="AQ239" s="31">
        <f t="shared" si="178"/>
        <v>2.4547502521964062</v>
      </c>
      <c r="AR239" s="31">
        <f t="shared" si="179"/>
        <v>1.1512201613892781</v>
      </c>
      <c r="AS239" s="58" t="str">
        <f t="shared" si="180"/>
        <v>-7.81529547358003+2.58046721665985i</v>
      </c>
      <c r="AT239" s="49">
        <f t="shared" si="181"/>
        <v>18.308301539165605</v>
      </c>
      <c r="AU239" s="61">
        <f t="shared" si="182"/>
        <v>161.72772447765561</v>
      </c>
      <c r="AV239" s="58" t="str">
        <f t="shared" si="160"/>
        <v>-53.5480084347238+93.6706063705561i</v>
      </c>
      <c r="AW239" s="64">
        <f t="shared" si="183"/>
        <v>40.660116174956528</v>
      </c>
      <c r="AX239" s="49">
        <f t="shared" si="184"/>
        <v>119.75500049844656</v>
      </c>
      <c r="AY239" s="310"/>
      <c r="BA239" s="31">
        <f t="shared" si="185"/>
        <v>0</v>
      </c>
      <c r="BB239" s="31">
        <f t="shared" si="186"/>
        <v>0</v>
      </c>
    </row>
    <row r="240" spans="14:54" x14ac:dyDescent="0.45">
      <c r="N240" s="10">
        <v>22</v>
      </c>
      <c r="O240" s="50">
        <f t="shared" si="187"/>
        <v>1659.5869074375626</v>
      </c>
      <c r="P240" s="48" t="str">
        <f t="shared" si="150"/>
        <v>17.4002386318441</v>
      </c>
      <c r="Q240" s="17" t="str">
        <f t="shared" si="151"/>
        <v>1+0.893034585579788i</v>
      </c>
      <c r="R240" s="17">
        <f t="shared" si="161"/>
        <v>1.3407127846938971</v>
      </c>
      <c r="S240" s="17">
        <f t="shared" si="162"/>
        <v>0.72895345096046626</v>
      </c>
      <c r="T240" s="17" t="str">
        <f t="shared" si="152"/>
        <v>1+0.00312824762183979i</v>
      </c>
      <c r="U240" s="17">
        <f t="shared" si="163"/>
        <v>1.0000048929546212</v>
      </c>
      <c r="V240" s="17">
        <f t="shared" si="164"/>
        <v>3.1282374176256349E-3</v>
      </c>
      <c r="W240" s="31" t="str">
        <f t="shared" si="153"/>
        <v>1-0.00771776284027595i</v>
      </c>
      <c r="X240" s="17">
        <f t="shared" si="165"/>
        <v>1.0000297814881609</v>
      </c>
      <c r="Y240" s="17">
        <f t="shared" si="166"/>
        <v>-7.7176096124951885E-3</v>
      </c>
      <c r="Z240" s="31" t="str">
        <f t="shared" si="154"/>
        <v>0.999997501833376+0.0107937533121247i</v>
      </c>
      <c r="AA240" s="17">
        <f t="shared" si="167"/>
        <v>1.0000557528375884</v>
      </c>
      <c r="AB240" s="17">
        <f t="shared" si="168"/>
        <v>1.0793361127136735E-2</v>
      </c>
      <c r="AC240" s="66" t="str">
        <f t="shared" si="169"/>
        <v>9.54586503327344-8.79243465726844i</v>
      </c>
      <c r="AD240" s="64">
        <f t="shared" si="170"/>
        <v>22.264205997757823</v>
      </c>
      <c r="AE240" s="61">
        <f t="shared" si="171"/>
        <v>-42.64732189825758</v>
      </c>
      <c r="AF240" s="31" t="str">
        <f t="shared" si="155"/>
        <v>-9090.90909090909</v>
      </c>
      <c r="AG240" s="31" t="str">
        <f t="shared" si="156"/>
        <v>10427.4920727993i</v>
      </c>
      <c r="AH240" s="31">
        <f t="shared" si="172"/>
        <v>10427.492072799299</v>
      </c>
      <c r="AI240" s="31">
        <f t="shared" si="173"/>
        <v>1.5707963267948966</v>
      </c>
      <c r="AJ240" s="31" t="str">
        <f t="shared" si="157"/>
        <v>0.606090093540439+3.61048784773054i</v>
      </c>
      <c r="AK240" s="31">
        <f t="shared" si="174"/>
        <v>3.6610063780465834</v>
      </c>
      <c r="AL240" s="31">
        <f t="shared" si="175"/>
        <v>1.4044777413679128</v>
      </c>
      <c r="AM240" s="31" t="str">
        <f t="shared" si="158"/>
        <v>1+13.7413490535349i</v>
      </c>
      <c r="AN240" s="31">
        <f t="shared" si="176"/>
        <v>13.77768753496335</v>
      </c>
      <c r="AO240" s="31">
        <f t="shared" si="177"/>
        <v>1.4981513282355172</v>
      </c>
      <c r="AP240" s="31" t="str">
        <f t="shared" si="159"/>
        <v>1+2.29404825601584i</v>
      </c>
      <c r="AQ240" s="31">
        <f t="shared" si="178"/>
        <v>2.5025301998036542</v>
      </c>
      <c r="AR240" s="31">
        <f t="shared" si="179"/>
        <v>1.1597206995590854</v>
      </c>
      <c r="AS240" s="58" t="str">
        <f t="shared" si="180"/>
        <v>-7.80061471351268+2.56256912883111i</v>
      </c>
      <c r="AT240" s="49">
        <f t="shared" si="181"/>
        <v>18.287652385010684</v>
      </c>
      <c r="AU240" s="61">
        <f t="shared" si="182"/>
        <v>161.81420267806078</v>
      </c>
      <c r="AV240" s="58" t="str">
        <f t="shared" si="160"/>
        <v>-51.9323936117782+93.0483341973419i</v>
      </c>
      <c r="AW240" s="64">
        <f t="shared" si="183"/>
        <v>40.551858382768515</v>
      </c>
      <c r="AX240" s="49">
        <f t="shared" si="184"/>
        <v>119.16688077980322</v>
      </c>
      <c r="AY240" s="310"/>
      <c r="BA240" s="31">
        <f t="shared" si="185"/>
        <v>0</v>
      </c>
      <c r="BB240" s="31">
        <f t="shared" si="186"/>
        <v>0</v>
      </c>
    </row>
    <row r="241" spans="14:54" x14ac:dyDescent="0.45">
      <c r="N241" s="10">
        <v>23</v>
      </c>
      <c r="O241" s="50">
        <f t="shared" si="187"/>
        <v>1698.2436524617447</v>
      </c>
      <c r="P241" s="48" t="str">
        <f t="shared" si="150"/>
        <v>17.4002386318441</v>
      </c>
      <c r="Q241" s="17" t="str">
        <f t="shared" si="151"/>
        <v>1+0.913836033288142i</v>
      </c>
      <c r="R241" s="17">
        <f t="shared" si="161"/>
        <v>1.354657261352777</v>
      </c>
      <c r="S241" s="17">
        <f t="shared" si="162"/>
        <v>0.7404069419035022</v>
      </c>
      <c r="T241" s="17" t="str">
        <f t="shared" si="152"/>
        <v>1+0.00320111386954758i</v>
      </c>
      <c r="U241" s="17">
        <f t="shared" si="163"/>
        <v>1.0000051235518774</v>
      </c>
      <c r="V241" s="17">
        <f t="shared" si="164"/>
        <v>3.2011029355381439E-3</v>
      </c>
      <c r="W241" s="31" t="str">
        <f t="shared" si="153"/>
        <v>1-0.00789753263053916i</v>
      </c>
      <c r="X241" s="17">
        <f t="shared" si="165"/>
        <v>1.0000311850245724</v>
      </c>
      <c r="Y241" s="17">
        <f t="shared" si="166"/>
        <v>-7.8973684442905003E-3</v>
      </c>
      <c r="Z241" s="31" t="str">
        <f t="shared" si="154"/>
        <v>0.99999738409841+0.0110451721247044i</v>
      </c>
      <c r="AA241" s="17">
        <f t="shared" si="167"/>
        <v>1.0000583803113332</v>
      </c>
      <c r="AB241" s="17">
        <f t="shared" si="168"/>
        <v>1.1044751892242827E-2</v>
      </c>
      <c r="AC241" s="66" t="str">
        <f t="shared" si="169"/>
        <v>9.34415132102867-8.81290228109754i</v>
      </c>
      <c r="AD241" s="64">
        <f t="shared" si="170"/>
        <v>22.174323799391669</v>
      </c>
      <c r="AE241" s="61">
        <f t="shared" si="171"/>
        <v>-43.324086755577653</v>
      </c>
      <c r="AF241" s="31" t="str">
        <f t="shared" si="155"/>
        <v>-9090.90909090909</v>
      </c>
      <c r="AG241" s="31" t="str">
        <f t="shared" si="156"/>
        <v>10670.3795651586i</v>
      </c>
      <c r="AH241" s="31">
        <f t="shared" si="172"/>
        <v>10670.379565158601</v>
      </c>
      <c r="AI241" s="31">
        <f t="shared" si="173"/>
        <v>1.5707963267948966</v>
      </c>
      <c r="AJ241" s="31" t="str">
        <f t="shared" si="157"/>
        <v>0.587525691586138+3.69458691329748i</v>
      </c>
      <c r="AK241" s="31">
        <f t="shared" si="174"/>
        <v>3.7410104113972693</v>
      </c>
      <c r="AL241" s="31">
        <f t="shared" si="175"/>
        <v>1.41309345388137</v>
      </c>
      <c r="AM241" s="31" t="str">
        <f t="shared" si="158"/>
        <v>1+14.061426190966i</v>
      </c>
      <c r="AN241" s="31">
        <f t="shared" si="176"/>
        <v>14.09693961553303</v>
      </c>
      <c r="AO241" s="31">
        <f t="shared" si="177"/>
        <v>1.499799314851711</v>
      </c>
      <c r="AP241" s="31" t="str">
        <f t="shared" si="159"/>
        <v>1+2.34748350433489i</v>
      </c>
      <c r="AQ241" s="31">
        <f t="shared" si="178"/>
        <v>2.5516031829272383</v>
      </c>
      <c r="AR241" s="31">
        <f t="shared" si="179"/>
        <v>1.1680890611697403</v>
      </c>
      <c r="AS241" s="58" t="str">
        <f t="shared" si="180"/>
        <v>-7.78613750197622+2.54573634349073i</v>
      </c>
      <c r="AT241" s="49">
        <f t="shared" si="181"/>
        <v>18.267530085794665</v>
      </c>
      <c r="AU241" s="61">
        <f t="shared" si="182"/>
        <v>161.89445319307347</v>
      </c>
      <c r="AV241" s="58" t="str">
        <f t="shared" si="160"/>
        <v>-50.3195213961796+92.4062145691249i</v>
      </c>
      <c r="AW241" s="64">
        <f t="shared" si="183"/>
        <v>40.441853885186333</v>
      </c>
      <c r="AX241" s="49">
        <f t="shared" si="184"/>
        <v>118.57036643749584</v>
      </c>
      <c r="AY241" s="310"/>
      <c r="BA241" s="31">
        <f t="shared" si="185"/>
        <v>0</v>
      </c>
      <c r="BB241" s="31">
        <f t="shared" si="186"/>
        <v>0</v>
      </c>
    </row>
    <row r="242" spans="14:54" x14ac:dyDescent="0.45">
      <c r="N242" s="10">
        <v>24</v>
      </c>
      <c r="O242" s="50">
        <f t="shared" si="187"/>
        <v>1737.8008287493772</v>
      </c>
      <c r="P242" s="48" t="str">
        <f t="shared" si="150"/>
        <v>17.4002386318441</v>
      </c>
      <c r="Q242" s="17" t="str">
        <f t="shared" si="151"/>
        <v>1+0.935122008957401i</v>
      </c>
      <c r="R242" s="17">
        <f t="shared" si="161"/>
        <v>1.3691067057160029</v>
      </c>
      <c r="S242" s="17">
        <f t="shared" si="162"/>
        <v>0.75188415299204414</v>
      </c>
      <c r="T242" s="17" t="str">
        <f t="shared" si="152"/>
        <v>1+0.00327567739020078i</v>
      </c>
      <c r="U242" s="17">
        <f t="shared" si="163"/>
        <v>1.0000053650167906</v>
      </c>
      <c r="V242" s="17">
        <f t="shared" si="164"/>
        <v>3.2756656742019799E-3</v>
      </c>
      <c r="W242" s="31" t="str">
        <f t="shared" si="153"/>
        <v>1-0.00808148979713934i</v>
      </c>
      <c r="X242" s="17">
        <f t="shared" si="165"/>
        <v>1.0000326547055058</v>
      </c>
      <c r="Y242" s="17">
        <f t="shared" si="166"/>
        <v>-8.0813138687145097E-3</v>
      </c>
      <c r="Z242" s="31" t="str">
        <f t="shared" si="154"/>
        <v>0.999997260814766+0.0113024472337448i</v>
      </c>
      <c r="AA242" s="17">
        <f t="shared" si="167"/>
        <v>1.0000611316067167</v>
      </c>
      <c r="AB242" s="17">
        <f t="shared" si="168"/>
        <v>1.130199694803536E-2</v>
      </c>
      <c r="AC242" s="66" t="str">
        <f t="shared" si="169"/>
        <v>9.14160134189725-8.82877088442573i</v>
      </c>
      <c r="AD242" s="64">
        <f t="shared" si="170"/>
        <v>22.082157399747526</v>
      </c>
      <c r="AE242" s="61">
        <f t="shared" si="171"/>
        <v>-44.002688733775187</v>
      </c>
      <c r="AF242" s="31" t="str">
        <f t="shared" si="155"/>
        <v>-9090.90909090909</v>
      </c>
      <c r="AG242" s="31" t="str">
        <f t="shared" si="156"/>
        <v>10918.9246340026i</v>
      </c>
      <c r="AH242" s="31">
        <f t="shared" si="172"/>
        <v>10918.9246340026</v>
      </c>
      <c r="AI242" s="31">
        <f t="shared" si="173"/>
        <v>1.5707963267948966</v>
      </c>
      <c r="AJ242" s="31" t="str">
        <f t="shared" si="157"/>
        <v>0.568086376322288+3.7806448977495i</v>
      </c>
      <c r="AK242" s="31">
        <f t="shared" si="174"/>
        <v>3.823087492308058</v>
      </c>
      <c r="AL242" s="31">
        <f t="shared" si="175"/>
        <v>1.4216503838344141</v>
      </c>
      <c r="AM242" s="31" t="str">
        <f t="shared" si="158"/>
        <v>1+14.3889588826886i</v>
      </c>
      <c r="AN242" s="31">
        <f t="shared" si="176"/>
        <v>14.423665890740232</v>
      </c>
      <c r="AO242" s="31">
        <f t="shared" si="177"/>
        <v>1.501410162060336</v>
      </c>
      <c r="AP242" s="31" t="str">
        <f t="shared" si="159"/>
        <v>1+2.40216341948057i</v>
      </c>
      <c r="AQ242" s="31">
        <f t="shared" si="178"/>
        <v>2.6019971356422715</v>
      </c>
      <c r="AR242" s="31">
        <f t="shared" si="179"/>
        <v>1.1763249939305578</v>
      </c>
      <c r="AS242" s="58" t="str">
        <f t="shared" si="180"/>
        <v>-7.77184258726683+2.52997104090522i</v>
      </c>
      <c r="AT242" s="49">
        <f t="shared" si="181"/>
        <v>18.247913548091063</v>
      </c>
      <c r="AU242" s="61">
        <f t="shared" si="182"/>
        <v>161.96835615521792</v>
      </c>
      <c r="AV242" s="58" t="str">
        <f t="shared" si="160"/>
        <v>-48.7105519603884+91.7438042153017i</v>
      </c>
      <c r="AW242" s="64">
        <f t="shared" si="183"/>
        <v>40.330070947838593</v>
      </c>
      <c r="AX242" s="49">
        <f t="shared" si="184"/>
        <v>117.96566742144272</v>
      </c>
      <c r="AY242" s="310"/>
      <c r="BA242" s="31">
        <f t="shared" si="185"/>
        <v>0</v>
      </c>
      <c r="BB242" s="31">
        <f t="shared" si="186"/>
        <v>0</v>
      </c>
    </row>
    <row r="243" spans="14:54" x14ac:dyDescent="0.45">
      <c r="N243" s="10">
        <v>25</v>
      </c>
      <c r="O243" s="50">
        <f t="shared" si="187"/>
        <v>1778.2794100389244</v>
      </c>
      <c r="P243" s="48" t="str">
        <f t="shared" si="150"/>
        <v>17.4002386318441</v>
      </c>
      <c r="Q243" s="17" t="str">
        <f t="shared" si="151"/>
        <v>1+0.956903798693613i</v>
      </c>
      <c r="R243" s="17">
        <f t="shared" si="161"/>
        <v>1.3840754603540468</v>
      </c>
      <c r="S243" s="17">
        <f t="shared" si="162"/>
        <v>0.76337907580298858</v>
      </c>
      <c r="T243" s="17" t="str">
        <f t="shared" si="152"/>
        <v>1+0.00335197771836498i</v>
      </c>
      <c r="U243" s="17">
        <f t="shared" si="163"/>
        <v>1.000005617861532</v>
      </c>
      <c r="V243" s="17">
        <f t="shared" si="164"/>
        <v>3.3519651644498948E-3</v>
      </c>
      <c r="W243" s="31" t="str">
        <f t="shared" si="153"/>
        <v>1-0.00826973187660113i</v>
      </c>
      <c r="X243" s="17">
        <f t="shared" si="165"/>
        <v>1.0000341936480526</v>
      </c>
      <c r="Y243" s="17">
        <f t="shared" si="166"/>
        <v>-8.2695433662457046E-3</v>
      </c>
      <c r="Z243" s="31" t="str">
        <f t="shared" si="154"/>
        <v>0.999997131720943+0.0115657150499141i</v>
      </c>
      <c r="AA243" s="17">
        <f t="shared" si="167"/>
        <v>1.0000640125585605</v>
      </c>
      <c r="AB243" s="17">
        <f t="shared" si="168"/>
        <v>1.1565232561750672E-2</v>
      </c>
      <c r="AC243" s="66" t="str">
        <f t="shared" si="169"/>
        <v>8.93842581731094-8.83999853287819i</v>
      </c>
      <c r="AD243" s="64">
        <f t="shared" si="170"/>
        <v>21.987698518639025</v>
      </c>
      <c r="AE243" s="61">
        <f t="shared" si="171"/>
        <v>-44.682794703372629</v>
      </c>
      <c r="AF243" s="31" t="str">
        <f t="shared" si="155"/>
        <v>-9090.90909090909</v>
      </c>
      <c r="AG243" s="31" t="str">
        <f t="shared" si="156"/>
        <v>11173.2590612166i</v>
      </c>
      <c r="AH243" s="31">
        <f t="shared" si="172"/>
        <v>11173.2590612166</v>
      </c>
      <c r="AI243" s="31">
        <f t="shared" si="173"/>
        <v>1.5707963267948966</v>
      </c>
      <c r="AJ243" s="31" t="str">
        <f t="shared" si="157"/>
        <v>0.547730914354952+3.86870743016905i</v>
      </c>
      <c r="AK243" s="31">
        <f t="shared" si="174"/>
        <v>3.9072888727076887</v>
      </c>
      <c r="AL243" s="31">
        <f t="shared" si="175"/>
        <v>1.4301512685925828</v>
      </c>
      <c r="AM243" s="31" t="str">
        <f t="shared" si="158"/>
        <v>1+14.7241207908712i</v>
      </c>
      <c r="AN243" s="31">
        <f t="shared" si="176"/>
        <v>14.758039607758395</v>
      </c>
      <c r="AO243" s="31">
        <f t="shared" si="177"/>
        <v>1.5029846904961461</v>
      </c>
      <c r="AP243" s="31" t="str">
        <f t="shared" si="159"/>
        <v>1+2.45811699346765i</v>
      </c>
      <c r="AQ243" s="31">
        <f t="shared" si="178"/>
        <v>2.6537405965117311</v>
      </c>
      <c r="AR243" s="31">
        <f t="shared" si="179"/>
        <v>1.1844283944057907</v>
      </c>
      <c r="AS243" s="58" t="str">
        <f t="shared" si="180"/>
        <v>-7.75770851004225+2.51527503698313i</v>
      </c>
      <c r="AT243" s="49">
        <f t="shared" si="181"/>
        <v>18.22878131510868</v>
      </c>
      <c r="AU243" s="61">
        <f t="shared" si="182"/>
        <v>162.03579581747812</v>
      </c>
      <c r="AV243" s="58" t="str">
        <f t="shared" si="160"/>
        <v>-47.1066743926184+91.0607311754779i</v>
      </c>
      <c r="AW243" s="64">
        <f t="shared" si="183"/>
        <v>40.216479833747705</v>
      </c>
      <c r="AX243" s="49">
        <f t="shared" si="184"/>
        <v>117.35300111410544</v>
      </c>
      <c r="AY243" s="310"/>
      <c r="BA243" s="31">
        <f t="shared" si="185"/>
        <v>0</v>
      </c>
      <c r="BB243" s="31">
        <f t="shared" si="186"/>
        <v>0</v>
      </c>
    </row>
    <row r="244" spans="14:54" x14ac:dyDescent="0.45">
      <c r="N244" s="10">
        <v>26</v>
      </c>
      <c r="O244" s="50">
        <f t="shared" si="187"/>
        <v>1819.7008586099832</v>
      </c>
      <c r="P244" s="48" t="str">
        <f t="shared" si="150"/>
        <v>17.4002386318441</v>
      </c>
      <c r="Q244" s="17" t="str">
        <f t="shared" si="151"/>
        <v>1+0.97919295149i</v>
      </c>
      <c r="R244" s="17">
        <f t="shared" si="161"/>
        <v>1.3995780922291179</v>
      </c>
      <c r="S244" s="17">
        <f t="shared" si="162"/>
        <v>0.7748856552527682</v>
      </c>
      <c r="T244" s="17" t="str">
        <f t="shared" si="152"/>
        <v>1+0.00343005530948409i</v>
      </c>
      <c r="U244" s="17">
        <f t="shared" si="163"/>
        <v>1.0000058826224103</v>
      </c>
      <c r="V244" s="17">
        <f t="shared" si="164"/>
        <v>3.4300418577259935E-3</v>
      </c>
      <c r="W244" s="31" t="str">
        <f t="shared" si="153"/>
        <v>1-0.00846235867736665i</v>
      </c>
      <c r="X244" s="17">
        <f t="shared" si="165"/>
        <v>1.0000358051161891</v>
      </c>
      <c r="Y244" s="17">
        <f t="shared" si="166"/>
        <v>-8.4621566852721725E-3</v>
      </c>
      <c r="Z244" s="31" t="str">
        <f t="shared" si="154"/>
        <v>0.999996996543116+0.011835115161293i</v>
      </c>
      <c r="AA244" s="17">
        <f t="shared" si="167"/>
        <v>1.000067029276605</v>
      </c>
      <c r="AB244" s="17">
        <f t="shared" si="168"/>
        <v>1.1834598167781844E-2</v>
      </c>
      <c r="AC244" s="66" t="str">
        <f t="shared" si="169"/>
        <v>8.73483810154089-8.84655538085455i</v>
      </c>
      <c r="AD244" s="64">
        <f t="shared" si="170"/>
        <v>21.890941271267547</v>
      </c>
      <c r="AE244" s="61">
        <f t="shared" si="171"/>
        <v>-45.364069120103714</v>
      </c>
      <c r="AF244" s="31" t="str">
        <f t="shared" si="155"/>
        <v>-9090.90909090909</v>
      </c>
      <c r="AG244" s="31" t="str">
        <f t="shared" si="156"/>
        <v>11433.5176982803i</v>
      </c>
      <c r="AH244" s="31">
        <f t="shared" si="172"/>
        <v>11433.5176982803</v>
      </c>
      <c r="AI244" s="31">
        <f t="shared" si="173"/>
        <v>1.5707963267948966</v>
      </c>
      <c r="AJ244" s="31" t="str">
        <f t="shared" si="157"/>
        <v>0.5264161290202+3.95882120247647i</v>
      </c>
      <c r="AK244" s="31">
        <f t="shared" si="174"/>
        <v>3.993667394021422</v>
      </c>
      <c r="AL244" s="31">
        <f t="shared" si="175"/>
        <v>1.438598900819642</v>
      </c>
      <c r="AM244" s="31" t="str">
        <f t="shared" si="158"/>
        <v>1+15.0670896227938i</v>
      </c>
      <c r="AN244" s="31">
        <f t="shared" si="176"/>
        <v>15.100238067702794</v>
      </c>
      <c r="AO244" s="31">
        <f t="shared" si="177"/>
        <v>1.5045237037495973</v>
      </c>
      <c r="AP244" s="31" t="str">
        <f t="shared" si="159"/>
        <v>1+2.51537389362166i</v>
      </c>
      <c r="AQ244" s="31">
        <f t="shared" si="178"/>
        <v>2.7068627273493924</v>
      </c>
      <c r="AR244" s="31">
        <f t="shared" si="179"/>
        <v>1.1923993011936969</v>
      </c>
      <c r="AS244" s="58" t="str">
        <f t="shared" si="180"/>
        <v>-7.74371360997294+2.50164979691474i</v>
      </c>
      <c r="AT244" s="49">
        <f t="shared" si="181"/>
        <v>18.210111606548253</v>
      </c>
      <c r="AU244" s="61">
        <f t="shared" si="182"/>
        <v>162.09666042586559</v>
      </c>
      <c r="AV244" s="58" t="str">
        <f t="shared" si="160"/>
        <v>-45.5091012159026+90.3566972669056i</v>
      </c>
      <c r="AW244" s="64">
        <f t="shared" si="183"/>
        <v>40.101052877815803</v>
      </c>
      <c r="AX244" s="49">
        <f t="shared" si="184"/>
        <v>116.7325913057619</v>
      </c>
      <c r="AY244" s="310"/>
      <c r="BA244" s="31">
        <f t="shared" si="185"/>
        <v>0</v>
      </c>
      <c r="BB244" s="31">
        <f t="shared" si="186"/>
        <v>0</v>
      </c>
    </row>
    <row r="245" spans="14:54" x14ac:dyDescent="0.45">
      <c r="N245" s="10">
        <v>27</v>
      </c>
      <c r="O245" s="50">
        <f t="shared" si="187"/>
        <v>1862.0871366628687</v>
      </c>
      <c r="P245" s="48" t="str">
        <f t="shared" si="150"/>
        <v>17.4002386318441</v>
      </c>
      <c r="Q245" s="17" t="str">
        <f t="shared" si="151"/>
        <v>1+1.00200128535042i</v>
      </c>
      <c r="R245" s="17">
        <f t="shared" si="161"/>
        <v>1.4156293921234802</v>
      </c>
      <c r="S245" s="17">
        <f t="shared" si="162"/>
        <v>0.78639780545484694</v>
      </c>
      <c r="T245" s="17" t="str">
        <f t="shared" si="152"/>
        <v>1+0.00350995156133046i</v>
      </c>
      <c r="U245" s="17">
        <f t="shared" si="163"/>
        <v>1.0000061598610095</v>
      </c>
      <c r="V245" s="17">
        <f t="shared" si="164"/>
        <v>3.5099371475167656E-3</v>
      </c>
      <c r="W245" s="31" t="str">
        <f t="shared" si="153"/>
        <v>1-0.00865947233271552i</v>
      </c>
      <c r="X245" s="17">
        <f t="shared" si="165"/>
        <v>1.0000374925276958</v>
      </c>
      <c r="Y245" s="17">
        <f t="shared" si="166"/>
        <v>-8.6592558947250348E-3</v>
      </c>
      <c r="Z245" s="31" t="str">
        <f t="shared" si="154"/>
        <v>0.999996854994554+0.0121107904073868i</v>
      </c>
      <c r="AA245" s="17">
        <f t="shared" si="167"/>
        <v>1.0000701881584566</v>
      </c>
      <c r="AB245" s="17">
        <f t="shared" si="168"/>
        <v>1.211023644095764E-2</v>
      </c>
      <c r="AC245" s="66" t="str">
        <f t="shared" si="169"/>
        <v>8.53105329054634-8.84842386296922i</v>
      </c>
      <c r="AD245" s="64">
        <f t="shared" si="170"/>
        <v>21.791882192907227</v>
      </c>
      <c r="AE245" s="61">
        <f t="shared" si="171"/>
        <v>-46.046174939467782</v>
      </c>
      <c r="AF245" s="31" t="str">
        <f t="shared" si="155"/>
        <v>-9090.90909090909</v>
      </c>
      <c r="AG245" s="31" t="str">
        <f t="shared" si="156"/>
        <v>11699.8385377682i</v>
      </c>
      <c r="AH245" s="31">
        <f t="shared" si="172"/>
        <v>11699.838537768201</v>
      </c>
      <c r="AI245" s="31">
        <f t="shared" si="173"/>
        <v>1.5707963267948966</v>
      </c>
      <c r="AJ245" s="31" t="str">
        <f t="shared" si="157"/>
        <v>0.504096808800598+4.05103399418664i</v>
      </c>
      <c r="AK245" s="31">
        <f t="shared" si="174"/>
        <v>4.08227755238405</v>
      </c>
      <c r="AL245" s="31">
        <f t="shared" si="175"/>
        <v>1.4469961243398362</v>
      </c>
      <c r="AM245" s="31" t="str">
        <f t="shared" si="158"/>
        <v>1+15.4180472250709i</v>
      </c>
      <c r="AN245" s="31">
        <f t="shared" si="176"/>
        <v>15.450442719693067</v>
      </c>
      <c r="AO245" s="31">
        <f t="shared" si="177"/>
        <v>1.5060279886474961</v>
      </c>
      <c r="AP245" s="31" t="str">
        <f t="shared" si="159"/>
        <v>1+2.573964478309i</v>
      </c>
      <c r="AQ245" s="31">
        <f t="shared" si="178"/>
        <v>2.7613933322865329</v>
      </c>
      <c r="AR245" s="31">
        <f t="shared" si="179"/>
        <v>1.2002378880596476</v>
      </c>
      <c r="AS245" s="58" t="str">
        <f t="shared" si="180"/>
        <v>-7.72983602983787+2.48909644779008i</v>
      </c>
      <c r="AT245" s="49">
        <f t="shared" si="181"/>
        <v>18.191882354896759</v>
      </c>
      <c r="AU245" s="61">
        <f t="shared" si="182"/>
        <v>162.150842079131</v>
      </c>
      <c r="AV245" s="58" t="str">
        <f t="shared" si="160"/>
        <v>-43.9190626918744+89.6314800246634i</v>
      </c>
      <c r="AW245" s="64">
        <f t="shared" si="183"/>
        <v>39.983764547803993</v>
      </c>
      <c r="AX245" s="49">
        <f t="shared" si="184"/>
        <v>116.10466713966323</v>
      </c>
      <c r="AY245" s="310"/>
      <c r="BA245" s="31">
        <f t="shared" si="185"/>
        <v>0</v>
      </c>
      <c r="BB245" s="31">
        <f t="shared" si="186"/>
        <v>0</v>
      </c>
    </row>
    <row r="246" spans="14:54" x14ac:dyDescent="0.45">
      <c r="N246" s="10">
        <v>28</v>
      </c>
      <c r="O246" s="50">
        <f t="shared" si="187"/>
        <v>1905.4607179632501</v>
      </c>
      <c r="P246" s="48" t="str">
        <f t="shared" si="150"/>
        <v>17.4002386318441</v>
      </c>
      <c r="Q246" s="17" t="str">
        <f t="shared" si="151"/>
        <v>1+1.02534089355541i</v>
      </c>
      <c r="R246" s="17">
        <f t="shared" si="161"/>
        <v>1.4322443743987989</v>
      </c>
      <c r="S246" s="17">
        <f t="shared" si="162"/>
        <v>0.79790942577537283</v>
      </c>
      <c r="T246" s="17" t="str">
        <f t="shared" si="152"/>
        <v>1+0.00359170883595438i</v>
      </c>
      <c r="U246" s="17">
        <f t="shared" si="163"/>
        <v>1.0000064501653789</v>
      </c>
      <c r="V246" s="17">
        <f t="shared" si="164"/>
        <v>3.5916933912801246E-3</v>
      </c>
      <c r="W246" s="31" t="str">
        <f t="shared" si="153"/>
        <v>1-0.00886117735491693i</v>
      </c>
      <c r="X246" s="17">
        <f t="shared" si="165"/>
        <v>1.0000392594614049</v>
      </c>
      <c r="Y246" s="17">
        <f t="shared" si="166"/>
        <v>-8.8609454379234651E-3</v>
      </c>
      <c r="Z246" s="31" t="str">
        <f t="shared" si="154"/>
        <v>0.999996706775013+0.01239288695486i</v>
      </c>
      <c r="AA246" s="17">
        <f t="shared" si="167"/>
        <v>1.0000734959031496</v>
      </c>
      <c r="AB246" s="17">
        <f t="shared" si="168"/>
        <v>1.2392293371491505E-2</v>
      </c>
      <c r="AC246" s="66" t="str">
        <f t="shared" si="169"/>
        <v>8.3272873152256-8.84559880701508i</v>
      </c>
      <c r="AD246" s="64">
        <f t="shared" si="170"/>
        <v>21.690520253424467</v>
      </c>
      <c r="AE246" s="61">
        <f t="shared" si="171"/>
        <v>-46.728774542773628</v>
      </c>
      <c r="AF246" s="31" t="str">
        <f t="shared" si="155"/>
        <v>-9090.90909090909</v>
      </c>
      <c r="AG246" s="31" t="str">
        <f t="shared" si="156"/>
        <v>11972.3627865146i</v>
      </c>
      <c r="AH246" s="31">
        <f t="shared" si="172"/>
        <v>11972.362786514601</v>
      </c>
      <c r="AI246" s="31">
        <f t="shared" si="173"/>
        <v>1.5707963267948966</v>
      </c>
      <c r="AJ246" s="31" t="str">
        <f t="shared" si="157"/>
        <v>0.480725611425554+4.14539469774231i</v>
      </c>
      <c r="AK246" s="31">
        <f t="shared" si="174"/>
        <v>4.173175567065269</v>
      </c>
      <c r="AL246" s="31">
        <f t="shared" si="175"/>
        <v>1.4553458301744688</v>
      </c>
      <c r="AM246" s="31" t="str">
        <f t="shared" si="158"/>
        <v>1+15.7771796800689i</v>
      </c>
      <c r="AN246" s="31">
        <f t="shared" si="176"/>
        <v>15.80883925711116</v>
      </c>
      <c r="AO246" s="31">
        <f t="shared" si="177"/>
        <v>1.5074983155342252</v>
      </c>
      <c r="AP246" s="31" t="str">
        <f t="shared" si="159"/>
        <v>1+2.63391981303321i</v>
      </c>
      <c r="AQ246" s="31">
        <f t="shared" si="178"/>
        <v>2.817362877140412</v>
      </c>
      <c r="AR246" s="31">
        <f t="shared" si="179"/>
        <v>1.2079444570588032</v>
      </c>
      <c r="AS246" s="58" t="str">
        <f t="shared" si="180"/>
        <v>-7.71605371721863+2.47761579002147i</v>
      </c>
      <c r="AT246" s="49">
        <f t="shared" si="181"/>
        <v>18.174071238156287</v>
      </c>
      <c r="AU246" s="61">
        <f t="shared" si="182"/>
        <v>162.19823657792296</v>
      </c>
      <c r="AV246" s="58" t="str">
        <f t="shared" si="160"/>
        <v>-42.3378009665384+88.8849340961418i</v>
      </c>
      <c r="AW246" s="64">
        <f t="shared" si="183"/>
        <v>39.864591491580754</v>
      </c>
      <c r="AX246" s="49">
        <f t="shared" si="184"/>
        <v>115.46946203514936</v>
      </c>
      <c r="AY246" s="310"/>
      <c r="BA246" s="31">
        <f t="shared" si="185"/>
        <v>0</v>
      </c>
      <c r="BB246" s="31">
        <f t="shared" si="186"/>
        <v>0</v>
      </c>
    </row>
    <row r="247" spans="14:54" x14ac:dyDescent="0.45">
      <c r="N247" s="10">
        <v>29</v>
      </c>
      <c r="O247" s="50">
        <f t="shared" si="187"/>
        <v>1949.8445997580463</v>
      </c>
      <c r="P247" s="48" t="str">
        <f t="shared" si="150"/>
        <v>17.4002386318441</v>
      </c>
      <c r="Q247" s="17" t="str">
        <f t="shared" si="151"/>
        <v>1+1.04922415107413i</v>
      </c>
      <c r="R247" s="17">
        <f t="shared" si="161"/>
        <v>1.4494382771257384</v>
      </c>
      <c r="S247" s="17">
        <f t="shared" si="162"/>
        <v>0.8094144169839409</v>
      </c>
      <c r="T247" s="17" t="str">
        <f t="shared" si="152"/>
        <v>1+0.00367537048214496i</v>
      </c>
      <c r="U247" s="17">
        <f t="shared" si="163"/>
        <v>1.0000067541512812</v>
      </c>
      <c r="V247" s="17">
        <f t="shared" si="164"/>
        <v>3.6753539328843693E-3</v>
      </c>
      <c r="W247" s="31" t="str">
        <f t="shared" si="153"/>
        <v>1-0.00906758069064335i</v>
      </c>
      <c r="X247" s="17">
        <f t="shared" si="165"/>
        <v>1.0000411096647883</v>
      </c>
      <c r="Y247" s="17">
        <f t="shared" si="166"/>
        <v>-9.0673321876593629E-3</v>
      </c>
      <c r="Z247" s="31" t="str">
        <f t="shared" si="154"/>
        <v>0.999996551570101+0.0126815543750358i</v>
      </c>
      <c r="AA247" s="17">
        <f t="shared" si="167"/>
        <v>1.000076959525346</v>
      </c>
      <c r="AB247" s="17">
        <f t="shared" si="168"/>
        <v>1.2680918341639279E-2</v>
      </c>
      <c r="AC247" s="66" t="str">
        <f t="shared" si="169"/>
        <v>8.12375602716811-8.83808746709845i</v>
      </c>
      <c r="AD247" s="64">
        <f t="shared" si="170"/>
        <v>21.586856861501523</v>
      </c>
      <c r="AE247" s="61">
        <f t="shared" si="171"/>
        <v>-47.41153066877277</v>
      </c>
      <c r="AF247" s="31" t="str">
        <f t="shared" si="155"/>
        <v>-9090.90909090909</v>
      </c>
      <c r="AG247" s="31" t="str">
        <f t="shared" si="156"/>
        <v>12251.2349404832i</v>
      </c>
      <c r="AH247" s="31">
        <f t="shared" si="172"/>
        <v>12251.2349404832</v>
      </c>
      <c r="AI247" s="31">
        <f t="shared" si="173"/>
        <v>1.5707963267948966</v>
      </c>
      <c r="AJ247" s="31" t="str">
        <f t="shared" si="157"/>
        <v>0.456252963452031+4.24195334443749i</v>
      </c>
      <c r="AK247" s="31">
        <f t="shared" si="174"/>
        <v>4.2664194523092975</v>
      </c>
      <c r="AL247" s="31">
        <f t="shared" si="175"/>
        <v>1.4636509527467096</v>
      </c>
      <c r="AM247" s="31" t="str">
        <f t="shared" si="158"/>
        <v>1+16.1446774045688i</v>
      </c>
      <c r="AN247" s="31">
        <f t="shared" si="176"/>
        <v>16.175617716105755</v>
      </c>
      <c r="AO247" s="31">
        <f t="shared" si="177"/>
        <v>1.5089354385530862</v>
      </c>
      <c r="AP247" s="31" t="str">
        <f t="shared" si="159"/>
        <v>1+2.6952716869063i</v>
      </c>
      <c r="AQ247" s="31">
        <f t="shared" si="178"/>
        <v>2.8748025090845339</v>
      </c>
      <c r="AR247" s="31">
        <f t="shared" si="179"/>
        <v>1.2155194316810318</v>
      </c>
      <c r="AS247" s="58" t="str">
        <f t="shared" si="180"/>
        <v>-7.70234442394948+2.46720830741071i</v>
      </c>
      <c r="AT247" s="49">
        <f t="shared" si="181"/>
        <v>18.156655709030165</v>
      </c>
      <c r="AU247" s="61">
        <f t="shared" si="182"/>
        <v>162.23874326558905</v>
      </c>
      <c r="AV247" s="58" t="str">
        <f t="shared" si="160"/>
        <v>-40.7665641169365+88.1169920781905i</v>
      </c>
      <c r="AW247" s="64">
        <f t="shared" si="183"/>
        <v>39.743512570531692</v>
      </c>
      <c r="AX247" s="49">
        <f t="shared" si="184"/>
        <v>114.82721259681628</v>
      </c>
      <c r="AY247" s="310"/>
      <c r="BA247" s="31">
        <f t="shared" si="185"/>
        <v>0</v>
      </c>
      <c r="BB247" s="31">
        <f t="shared" si="186"/>
        <v>0</v>
      </c>
    </row>
    <row r="248" spans="14:54" x14ac:dyDescent="0.45">
      <c r="N248" s="10">
        <v>30</v>
      </c>
      <c r="O248" s="50">
        <f t="shared" si="187"/>
        <v>1995.2623149688804</v>
      </c>
      <c r="P248" s="48" t="str">
        <f t="shared" si="150"/>
        <v>17.4002386318441</v>
      </c>
      <c r="Q248" s="17" t="str">
        <f t="shared" si="151"/>
        <v>1+1.07366372112588i</v>
      </c>
      <c r="R248" s="17">
        <f t="shared" si="161"/>
        <v>1.4672265626214211</v>
      </c>
      <c r="S248" s="17">
        <f t="shared" si="162"/>
        <v>0.82090669739540034</v>
      </c>
      <c r="T248" s="17" t="str">
        <f t="shared" si="152"/>
        <v>1+0.00376098085841448i</v>
      </c>
      <c r="U248" s="17">
        <f t="shared" si="163"/>
        <v>1.0000070724634988</v>
      </c>
      <c r="V248" s="17">
        <f t="shared" si="164"/>
        <v>3.760963125569043E-3</v>
      </c>
      <c r="W248" s="31" t="str">
        <f t="shared" si="153"/>
        <v>1-0.00927879177767564i</v>
      </c>
      <c r="X248" s="17">
        <f t="shared" si="165"/>
        <v>1.0000430470619019</v>
      </c>
      <c r="Y248" s="17">
        <f t="shared" si="166"/>
        <v>-9.2785255025499298E-3</v>
      </c>
      <c r="Z248" s="31" t="str">
        <f t="shared" si="154"/>
        <v>0.999996389050607+0.0129769457232015i</v>
      </c>
      <c r="AA248" s="17">
        <f t="shared" si="167"/>
        <v>1.0000805863701963</v>
      </c>
      <c r="AB248" s="17">
        <f t="shared" si="168"/>
        <v>1.2976264204102797E-2</v>
      </c>
      <c r="AC248" s="66" t="str">
        <f t="shared" si="169"/>
        <v>7.92067428511958-8.82590947654733i</v>
      </c>
      <c r="AD248" s="64">
        <f t="shared" si="170"/>
        <v>21.480895858524448</v>
      </c>
      <c r="AE248" s="61">
        <f t="shared" si="171"/>
        <v>-48.094107344922406</v>
      </c>
      <c r="AF248" s="31" t="str">
        <f t="shared" si="155"/>
        <v>-9090.90909090909</v>
      </c>
      <c r="AG248" s="31" t="str">
        <f t="shared" si="156"/>
        <v>12536.6028613816i</v>
      </c>
      <c r="AH248" s="31">
        <f t="shared" si="172"/>
        <v>12536.6028613816</v>
      </c>
      <c r="AI248" s="31">
        <f t="shared" si="173"/>
        <v>1.5707963267948966</v>
      </c>
      <c r="AJ248" s="31" t="str">
        <f t="shared" si="157"/>
        <v>0.430626955112543+4.34076113094479i</v>
      </c>
      <c r="AK248" s="31">
        <f t="shared" si="174"/>
        <v>4.3620690928033907</v>
      </c>
      <c r="AL248" s="31">
        <f t="shared" si="175"/>
        <v>1.4719144662476527</v>
      </c>
      <c r="AM248" s="31" t="str">
        <f t="shared" si="158"/>
        <v>1+16.5207352507287i</v>
      </c>
      <c r="AN248" s="31">
        <f t="shared" si="176"/>
        <v>16.550972576397736</v>
      </c>
      <c r="AO248" s="31">
        <f t="shared" si="177"/>
        <v>1.5103400959273499</v>
      </c>
      <c r="AP248" s="31" t="str">
        <f t="shared" si="159"/>
        <v>1+2.75805262950395i</v>
      </c>
      <c r="AQ248" s="31">
        <f t="shared" si="178"/>
        <v>2.9337440766218266</v>
      </c>
      <c r="AR248" s="31">
        <f t="shared" si="179"/>
        <v>1.2229633500477815</v>
      </c>
      <c r="AS248" s="58" t="str">
        <f t="shared" si="180"/>
        <v>-7.68868570348466+2.45787417571372i</v>
      </c>
      <c r="AT248" s="49">
        <f t="shared" si="181"/>
        <v>18.139613020612273</v>
      </c>
      <c r="AU248" s="61">
        <f t="shared" si="182"/>
        <v>162.27226486269745</v>
      </c>
      <c r="AV248" s="58" t="str">
        <f t="shared" si="160"/>
        <v>-39.2066001583648+87.3276647922144i</v>
      </c>
      <c r="AW248" s="64">
        <f t="shared" si="183"/>
        <v>39.620508879136722</v>
      </c>
      <c r="AX248" s="49">
        <f t="shared" si="184"/>
        <v>114.17815751777502</v>
      </c>
      <c r="AY248" s="310"/>
      <c r="BA248" s="31">
        <f t="shared" si="185"/>
        <v>0</v>
      </c>
      <c r="BB248" s="31">
        <f t="shared" si="186"/>
        <v>0</v>
      </c>
    </row>
    <row r="249" spans="14:54" x14ac:dyDescent="0.45">
      <c r="N249" s="10">
        <v>31</v>
      </c>
      <c r="O249" s="50">
        <f t="shared" si="187"/>
        <v>2041.7379446695318</v>
      </c>
      <c r="P249" s="48" t="str">
        <f t="shared" si="150"/>
        <v>17.4002386318441</v>
      </c>
      <c r="Q249" s="17" t="str">
        <f t="shared" si="151"/>
        <v>1+1.09867256189419i</v>
      </c>
      <c r="R249" s="17">
        <f t="shared" si="161"/>
        <v>1.4856249184296628</v>
      </c>
      <c r="S249" s="17">
        <f t="shared" si="162"/>
        <v>0.83238021889838909</v>
      </c>
      <c r="T249" s="17" t="str">
        <f t="shared" si="152"/>
        <v>1+0.00384858535651758i</v>
      </c>
      <c r="U249" s="17">
        <f t="shared" si="163"/>
        <v>1.0000074057772004</v>
      </c>
      <c r="V249" s="17">
        <f t="shared" si="164"/>
        <v>3.8485663554389577E-3</v>
      </c>
      <c r="W249" s="31" t="str">
        <f t="shared" si="153"/>
        <v>1-0.00949492260292773i</v>
      </c>
      <c r="X249" s="17">
        <f t="shared" si="165"/>
        <v>1.0000450757617056</v>
      </c>
      <c r="Y249" s="17">
        <f t="shared" si="166"/>
        <v>-9.4946372846845956E-3</v>
      </c>
      <c r="Z249" s="31" t="str">
        <f t="shared" si="154"/>
        <v>0.999996218871805+0.0132792176197597i</v>
      </c>
      <c r="AA249" s="17">
        <f t="shared" si="167"/>
        <v>1.0000843841289093</v>
      </c>
      <c r="AB249" s="17">
        <f t="shared" si="168"/>
        <v>1.3278487362214679E-2</v>
      </c>
      <c r="AC249" s="66" t="str">
        <f t="shared" si="169"/>
        <v>7.71825505036786-8.80909672115777i</v>
      </c>
      <c r="AD249" s="64">
        <f t="shared" si="170"/>
        <v>21.372643502191981</v>
      </c>
      <c r="AE249" s="61">
        <f t="shared" si="171"/>
        <v>-48.776170812303327</v>
      </c>
      <c r="AF249" s="31" t="str">
        <f t="shared" si="155"/>
        <v>-9090.90909090909</v>
      </c>
      <c r="AG249" s="31" t="str">
        <f t="shared" si="156"/>
        <v>12828.6178550586i</v>
      </c>
      <c r="AH249" s="31">
        <f t="shared" si="172"/>
        <v>12828.617855058599</v>
      </c>
      <c r="AI249" s="31">
        <f t="shared" si="173"/>
        <v>1.5707963267948966</v>
      </c>
      <c r="AJ249" s="31" t="str">
        <f t="shared" si="157"/>
        <v>0.403793230207682+4.44187044646049i</v>
      </c>
      <c r="AK249" s="31">
        <f t="shared" si="174"/>
        <v>4.4601863230027359</v>
      </c>
      <c r="AL249" s="31">
        <f t="shared" si="175"/>
        <v>1.4801393811558006</v>
      </c>
      <c r="AM249" s="31" t="str">
        <f t="shared" si="158"/>
        <v>1+16.9055526093962i</v>
      </c>
      <c r="AN249" s="31">
        <f t="shared" si="176"/>
        <v>16.935102864437013</v>
      </c>
      <c r="AO249" s="31">
        <f t="shared" si="177"/>
        <v>1.5117130102406167</v>
      </c>
      <c r="AP249" s="31" t="str">
        <f t="shared" si="159"/>
        <v>1+2.82229592811289i</v>
      </c>
      <c r="AQ249" s="31">
        <f t="shared" si="178"/>
        <v>2.9942201498624978</v>
      </c>
      <c r="AR249" s="31">
        <f t="shared" si="179"/>
        <v>1.2302768581876391</v>
      </c>
      <c r="AS249" s="58" t="str">
        <f t="shared" si="180"/>
        <v>-7.67505490634388+2.44961326956677i</v>
      </c>
      <c r="AT249" s="49">
        <f t="shared" si="181"/>
        <v>18.122920248642306</v>
      </c>
      <c r="AU249" s="61">
        <f t="shared" si="182"/>
        <v>162.29870729723814</v>
      </c>
      <c r="AV249" s="58" t="str">
        <f t="shared" si="160"/>
        <v>-37.6591510716941+86.5170409994616i</v>
      </c>
      <c r="AW249" s="64">
        <f t="shared" si="183"/>
        <v>39.495563750834293</v>
      </c>
      <c r="AX249" s="49">
        <f t="shared" si="184"/>
        <v>113.52253648493483</v>
      </c>
      <c r="AY249" s="310"/>
      <c r="BA249" s="31">
        <f t="shared" si="185"/>
        <v>0</v>
      </c>
      <c r="BB249" s="31">
        <f t="shared" si="186"/>
        <v>0</v>
      </c>
    </row>
    <row r="250" spans="14:54" x14ac:dyDescent="0.45">
      <c r="N250" s="10">
        <v>32</v>
      </c>
      <c r="O250" s="50">
        <f t="shared" si="187"/>
        <v>2089.2961308540398</v>
      </c>
      <c r="P250" s="48" t="str">
        <f t="shared" si="150"/>
        <v>17.4002386318441</v>
      </c>
      <c r="Q250" s="17" t="str">
        <f t="shared" si="151"/>
        <v>1+1.12426393339747i</v>
      </c>
      <c r="R250" s="17">
        <f t="shared" si="161"/>
        <v>1.5046492587770581</v>
      </c>
      <c r="S250" s="17">
        <f t="shared" si="162"/>
        <v>0.84382898276807405</v>
      </c>
      <c r="T250" s="17" t="str">
        <f t="shared" si="152"/>
        <v>1+0.00393823042551879i</v>
      </c>
      <c r="U250" s="17">
        <f t="shared" si="163"/>
        <v>1.0000077547993738</v>
      </c>
      <c r="V250" s="17">
        <f t="shared" si="164"/>
        <v>3.9382100655047537E-3</v>
      </c>
      <c r="W250" s="31" t="str">
        <f t="shared" si="153"/>
        <v>1-0.00971608776182414i</v>
      </c>
      <c r="X250" s="17">
        <f t="shared" si="165"/>
        <v>1.0000472000667746</v>
      </c>
      <c r="Y250" s="17">
        <f t="shared" si="166"/>
        <v>-9.715782038597803E-3</v>
      </c>
      <c r="Z250" s="31" t="str">
        <f t="shared" si="154"/>
        <v>0.999996040672723+0.0135885303332713i</v>
      </c>
      <c r="AA250" s="17">
        <f t="shared" si="167"/>
        <v>1.0000883608550499</v>
      </c>
      <c r="AB250" s="17">
        <f t="shared" si="168"/>
        <v>1.3587747851945954E-2</v>
      </c>
      <c r="AC250" s="66" t="str">
        <f t="shared" si="169"/>
        <v>7.51670849911106-8.78769313429414i</v>
      </c>
      <c r="AD250" s="64">
        <f t="shared" si="170"/>
        <v>21.262108439989436</v>
      </c>
      <c r="AE250" s="61">
        <f t="shared" si="171"/>
        <v>-49.457390438323777</v>
      </c>
      <c r="AF250" s="31" t="str">
        <f t="shared" si="155"/>
        <v>-9090.90909090909</v>
      </c>
      <c r="AG250" s="31" t="str">
        <f t="shared" si="156"/>
        <v>13127.4347517293i</v>
      </c>
      <c r="AH250" s="31">
        <f t="shared" si="172"/>
        <v>13127.434751729301</v>
      </c>
      <c r="AI250" s="31">
        <f t="shared" si="173"/>
        <v>1.5707963267948966</v>
      </c>
      <c r="AJ250" s="31" t="str">
        <f t="shared" si="157"/>
        <v>0.375694870809245+4.545334900482i</v>
      </c>
      <c r="AK250" s="31">
        <f t="shared" si="174"/>
        <v>4.560835010553669</v>
      </c>
      <c r="AL250" s="31">
        <f t="shared" si="175"/>
        <v>1.4883287409016368</v>
      </c>
      <c r="AM250" s="31" t="str">
        <f t="shared" si="158"/>
        <v>1+17.2993335158289i</v>
      </c>
      <c r="AN250" s="31">
        <f t="shared" si="176"/>
        <v>17.328212258968929</v>
      </c>
      <c r="AO250" s="31">
        <f t="shared" si="177"/>
        <v>1.5130548887161515</v>
      </c>
      <c r="AP250" s="31" t="str">
        <f t="shared" si="159"/>
        <v>1+2.88803564538044i</v>
      </c>
      <c r="AQ250" s="31">
        <f t="shared" si="178"/>
        <v>3.0562640411109796</v>
      </c>
      <c r="AR250" s="31">
        <f t="shared" si="179"/>
        <v>1.2374607034146594</v>
      </c>
      <c r="AS250" s="58" t="str">
        <f t="shared" si="180"/>
        <v>-7.66142917380037+2.44242516764995i</v>
      </c>
      <c r="AT250" s="49">
        <f t="shared" si="181"/>
        <v>18.10655431040869</v>
      </c>
      <c r="AU250" s="61">
        <f t="shared" si="182"/>
        <v>162.31797953233837</v>
      </c>
      <c r="AV250" s="58" t="str">
        <f t="shared" si="160"/>
        <v>-36.125446909258+85.6852865656035i</v>
      </c>
      <c r="AW250" s="64">
        <f t="shared" si="183"/>
        <v>39.368662750398123</v>
      </c>
      <c r="AX250" s="49">
        <f t="shared" si="184"/>
        <v>112.86058909401459</v>
      </c>
      <c r="AY250" s="310"/>
      <c r="BA250" s="31">
        <f t="shared" si="185"/>
        <v>0</v>
      </c>
      <c r="BB250" s="31">
        <f t="shared" si="186"/>
        <v>0</v>
      </c>
    </row>
    <row r="251" spans="14:54" x14ac:dyDescent="0.45">
      <c r="N251" s="10">
        <v>33</v>
      </c>
      <c r="O251" s="50">
        <f t="shared" si="187"/>
        <v>2137.9620895022344</v>
      </c>
      <c r="P251" s="48" t="str">
        <f t="shared" si="150"/>
        <v>17.4002386318441</v>
      </c>
      <c r="Q251" s="17" t="str">
        <f t="shared" si="151"/>
        <v>1+1.15045140451963i</v>
      </c>
      <c r="R251" s="17">
        <f t="shared" si="161"/>
        <v>1.5243157265347587</v>
      </c>
      <c r="S251" s="17">
        <f t="shared" si="162"/>
        <v>0.85524705516283128</v>
      </c>
      <c r="T251" s="17" t="str">
        <f t="shared" si="152"/>
        <v>1+0.00402996359642022i</v>
      </c>
      <c r="U251" s="17">
        <f t="shared" si="163"/>
        <v>1.0000081202703248</v>
      </c>
      <c r="V251" s="17">
        <f t="shared" si="164"/>
        <v>4.0299417802816921E-3</v>
      </c>
      <c r="W251" s="31" t="str">
        <f t="shared" si="153"/>
        <v>1-0.00994240451905941i</v>
      </c>
      <c r="X251" s="17">
        <f t="shared" si="165"/>
        <v>1.0000494244824205</v>
      </c>
      <c r="Y251" s="17">
        <f t="shared" si="166"/>
        <v>-9.942076931594733E-3</v>
      </c>
      <c r="Z251" s="31" t="str">
        <f t="shared" si="154"/>
        <v>0.999995854075378+0.013905047865431i</v>
      </c>
      <c r="AA251" s="17">
        <f t="shared" si="167"/>
        <v>1.0000925249816064</v>
      </c>
      <c r="AB251" s="17">
        <f t="shared" si="168"/>
        <v>1.3904209425772144E-2</v>
      </c>
      <c r="AC251" s="66" t="str">
        <f t="shared" si="169"/>
        <v>7.31624115961698-8.76175441628284i</v>
      </c>
      <c r="AD251" s="64">
        <f t="shared" si="170"/>
        <v>21.149301672765652</v>
      </c>
      <c r="AE251" s="61">
        <f t="shared" si="171"/>
        <v>-50.137439611466547</v>
      </c>
      <c r="AF251" s="31" t="str">
        <f t="shared" si="155"/>
        <v>-9090.90909090909</v>
      </c>
      <c r="AG251" s="31" t="str">
        <f t="shared" si="156"/>
        <v>13433.2119880674i</v>
      </c>
      <c r="AH251" s="31">
        <f t="shared" si="172"/>
        <v>13433.2119880674</v>
      </c>
      <c r="AI251" s="31">
        <f t="shared" si="173"/>
        <v>1.5707963267948966</v>
      </c>
      <c r="AJ251" s="31" t="str">
        <f t="shared" si="157"/>
        <v>0.346272276529757+4.65120935123238i</v>
      </c>
      <c r="AK251" s="31">
        <f t="shared" si="174"/>
        <v>4.6640811440716421</v>
      </c>
      <c r="AL251" s="31">
        <f t="shared" si="175"/>
        <v>1.4964856186681776</v>
      </c>
      <c r="AM251" s="31" t="str">
        <f t="shared" si="158"/>
        <v>1+17.7022867578752i</v>
      </c>
      <c r="AN251" s="31">
        <f t="shared" si="176"/>
        <v>17.730509199062606</v>
      </c>
      <c r="AO251" s="31">
        <f t="shared" si="177"/>
        <v>1.5143664234948533</v>
      </c>
      <c r="AP251" s="31" t="str">
        <f t="shared" si="159"/>
        <v>1+2.95530663737483i</v>
      </c>
      <c r="AQ251" s="31">
        <f t="shared" si="178"/>
        <v>3.1199098257660784</v>
      </c>
      <c r="AR251" s="31">
        <f t="shared" si="179"/>
        <v>1.2445157278306107</v>
      </c>
      <c r="AS251" s="58" t="str">
        <f t="shared" si="180"/>
        <v>-7.64778542997586+2.43630915597224i</v>
      </c>
      <c r="AT251" s="49">
        <f t="shared" si="181"/>
        <v>18.090491980393452</v>
      </c>
      <c r="AU251" s="61">
        <f t="shared" si="182"/>
        <v>162.32999339321148</v>
      </c>
      <c r="AV251" s="58" t="str">
        <f t="shared" si="160"/>
        <v>-34.6067000359383+84.8326430903503i</v>
      </c>
      <c r="AW251" s="64">
        <f t="shared" si="183"/>
        <v>39.239793653159097</v>
      </c>
      <c r="AX251" s="49">
        <f t="shared" si="184"/>
        <v>112.19255378174492</v>
      </c>
      <c r="AY251" s="310"/>
      <c r="BA251" s="31">
        <f t="shared" si="185"/>
        <v>0</v>
      </c>
      <c r="BB251" s="31">
        <f t="shared" si="186"/>
        <v>0</v>
      </c>
    </row>
    <row r="252" spans="14:54" x14ac:dyDescent="0.45">
      <c r="N252" s="10">
        <v>34</v>
      </c>
      <c r="O252" s="50">
        <f t="shared" si="187"/>
        <v>2187.7616239495528</v>
      </c>
      <c r="P252" s="48" t="str">
        <f t="shared" si="150"/>
        <v>17.4002386318441</v>
      </c>
      <c r="Q252" s="17" t="str">
        <f t="shared" si="151"/>
        <v>1+1.17724886020449i</v>
      </c>
      <c r="R252" s="17">
        <f t="shared" si="161"/>
        <v>1.5446406957130099</v>
      </c>
      <c r="S252" s="17">
        <f t="shared" si="162"/>
        <v>0.86662858220850492</v>
      </c>
      <c r="T252" s="17" t="str">
        <f t="shared" si="152"/>
        <v>1+0.00412383350736336i</v>
      </c>
      <c r="U252" s="17">
        <f t="shared" si="163"/>
        <v>1.0000085029652479</v>
      </c>
      <c r="V252" s="17">
        <f t="shared" si="164"/>
        <v>4.1238101309604971E-3</v>
      </c>
      <c r="W252" s="31" t="str">
        <f t="shared" si="153"/>
        <v>1-0.010173992870774i</v>
      </c>
      <c r="X252" s="17">
        <f t="shared" si="165"/>
        <v>1.0000517537262432</v>
      </c>
      <c r="Y252" s="17">
        <f t="shared" si="166"/>
        <v>-1.0173641855462533E-2</v>
      </c>
      <c r="Z252" s="31" t="str">
        <f t="shared" si="154"/>
        <v>0.99999565868397+0.014228938038024i</v>
      </c>
      <c r="AA252" s="17">
        <f t="shared" si="167"/>
        <v>1.0000968853388539</v>
      </c>
      <c r="AB252" s="17">
        <f t="shared" si="168"/>
        <v>1.4228039638441383E-2</v>
      </c>
      <c r="AC252" s="66" t="str">
        <f t="shared" si="169"/>
        <v>7.11705508160135-8.73134768141307i</v>
      </c>
      <c r="AD252" s="64">
        <f t="shared" si="170"/>
        <v>21.034236508734068</v>
      </c>
      <c r="AE252" s="61">
        <f t="shared" si="171"/>
        <v>-50.815996612559559</v>
      </c>
      <c r="AF252" s="31" t="str">
        <f t="shared" si="155"/>
        <v>-9090.90909090909</v>
      </c>
      <c r="AG252" s="31" t="str">
        <f t="shared" si="156"/>
        <v>13746.1116912112i</v>
      </c>
      <c r="AH252" s="31">
        <f t="shared" si="172"/>
        <v>13746.111691211199</v>
      </c>
      <c r="AI252" s="31">
        <f t="shared" si="173"/>
        <v>1.5707963267948966</v>
      </c>
      <c r="AJ252" s="31" t="str">
        <f t="shared" si="157"/>
        <v>0.315463038101986+4.7595499347468i</v>
      </c>
      <c r="AK252" s="31">
        <f t="shared" si="174"/>
        <v>4.7699929255457807</v>
      </c>
      <c r="AL252" s="31">
        <f t="shared" si="175"/>
        <v>1.5046131143180257</v>
      </c>
      <c r="AM252" s="31" t="str">
        <f t="shared" si="158"/>
        <v>1+18.1146259866781i</v>
      </c>
      <c r="AN252" s="31">
        <f t="shared" si="176"/>
        <v>18.142206994663947</v>
      </c>
      <c r="AO252" s="31">
        <f t="shared" si="177"/>
        <v>1.5156482919115959</v>
      </c>
      <c r="AP252" s="31" t="str">
        <f t="shared" si="159"/>
        <v>1+3.02414457206646i</v>
      </c>
      <c r="AQ252" s="31">
        <f t="shared" si="178"/>
        <v>3.1851923635408639</v>
      </c>
      <c r="AR252" s="31">
        <f t="shared" si="179"/>
        <v>1.2514428619698044</v>
      </c>
      <c r="AS252" s="58" t="str">
        <f t="shared" si="180"/>
        <v>-7.63410037250939+2.43126422917301i</v>
      </c>
      <c r="AT252" s="49">
        <f t="shared" si="181"/>
        <v>18.074709902767307</v>
      </c>
      <c r="AU252" s="61">
        <f t="shared" si="182"/>
        <v>162.33466339493157</v>
      </c>
      <c r="AV252" s="58" t="str">
        <f t="shared" si="160"/>
        <v>-33.1040995593304+83.9594260241359i</v>
      </c>
      <c r="AW252" s="64">
        <f t="shared" si="183"/>
        <v>39.108946411501378</v>
      </c>
      <c r="AX252" s="49">
        <f t="shared" si="184"/>
        <v>111.51866678237199</v>
      </c>
      <c r="AY252" s="310"/>
      <c r="BA252" s="31">
        <f t="shared" si="185"/>
        <v>0</v>
      </c>
      <c r="BB252" s="31">
        <f t="shared" si="186"/>
        <v>0</v>
      </c>
    </row>
    <row r="253" spans="14:54" x14ac:dyDescent="0.45">
      <c r="N253" s="10">
        <v>35</v>
      </c>
      <c r="O253" s="50">
        <f t="shared" si="187"/>
        <v>2238.7211385683418</v>
      </c>
      <c r="P253" s="48" t="str">
        <f t="shared" si="150"/>
        <v>17.4002386318441</v>
      </c>
      <c r="Q253" s="17" t="str">
        <f t="shared" si="151"/>
        <v>1+1.20467050881776i</v>
      </c>
      <c r="R253" s="17">
        <f t="shared" si="161"/>
        <v>1.5656407745122254</v>
      </c>
      <c r="S253" s="17">
        <f t="shared" si="162"/>
        <v>0.87796780457866908</v>
      </c>
      <c r="T253" s="17" t="str">
        <f t="shared" si="152"/>
        <v>1+0.0042198899294175i</v>
      </c>
      <c r="U253" s="17">
        <f t="shared" si="163"/>
        <v>1.0000089036958704</v>
      </c>
      <c r="V253" s="17">
        <f t="shared" si="164"/>
        <v>4.2198648811625902E-3</v>
      </c>
      <c r="W253" s="31" t="str">
        <f t="shared" si="153"/>
        <v>1-0.0104109756081774i</v>
      </c>
      <c r="X253" s="17">
        <f t="shared" si="165"/>
        <v>1.0000541927381306</v>
      </c>
      <c r="Y253" s="17">
        <f t="shared" si="166"/>
        <v>-1.0410599489595522E-2</v>
      </c>
      <c r="Z253" s="31" t="str">
        <f t="shared" si="154"/>
        <v>0.999995454084049+0.014560372581907i</v>
      </c>
      <c r="AA253" s="17">
        <f t="shared" si="167"/>
        <v>1.0001014511730733</v>
      </c>
      <c r="AB253" s="17">
        <f t="shared" si="168"/>
        <v>1.4559409934681713E-2</v>
      </c>
      <c r="AC253" s="66" t="str">
        <f t="shared" si="169"/>
        <v>6.91934704476838-8.69655103667353i</v>
      </c>
      <c r="AD253" s="64">
        <f t="shared" si="170"/>
        <v>20.916928508301748</v>
      </c>
      <c r="AE253" s="61">
        <f t="shared" si="171"/>
        <v>-51.492745457331345</v>
      </c>
      <c r="AF253" s="31" t="str">
        <f t="shared" si="155"/>
        <v>-9090.90909090909</v>
      </c>
      <c r="AG253" s="31" t="str">
        <f t="shared" si="156"/>
        <v>14066.299764725i</v>
      </c>
      <c r="AH253" s="31">
        <f t="shared" si="172"/>
        <v>14066.299764724999</v>
      </c>
      <c r="AI253" s="31">
        <f t="shared" si="173"/>
        <v>1.5707963267948966</v>
      </c>
      <c r="AJ253" s="31" t="str">
        <f t="shared" si="157"/>
        <v>0.283201805000552+4.87041409463672i</v>
      </c>
      <c r="AK253" s="31">
        <f t="shared" si="174"/>
        <v>4.8786408676589001</v>
      </c>
      <c r="AL253" s="31">
        <f t="shared" si="175"/>
        <v>1.512714351436875</v>
      </c>
      <c r="AM253" s="31" t="str">
        <f t="shared" si="158"/>
        <v>1+18.5365698299546i</v>
      </c>
      <c r="AN253" s="31">
        <f t="shared" si="176"/>
        <v>18.563523939726078</v>
      </c>
      <c r="AO253" s="31">
        <f t="shared" si="177"/>
        <v>1.5169011567696469</v>
      </c>
      <c r="AP253" s="31" t="str">
        <f t="shared" si="159"/>
        <v>1+3.0945859482395i</v>
      </c>
      <c r="AQ253" s="31">
        <f t="shared" si="178"/>
        <v>3.2521473200089459</v>
      </c>
      <c r="AR253" s="31">
        <f t="shared" si="179"/>
        <v>1.2582431186025378</v>
      </c>
      <c r="AS253" s="58" t="str">
        <f t="shared" si="180"/>
        <v>-7.62035046196562+2.42728908974141i</v>
      </c>
      <c r="AT253" s="49">
        <f t="shared" si="181"/>
        <v>18.059184600850106</v>
      </c>
      <c r="AU253" s="61">
        <f t="shared" si="182"/>
        <v>162.33190657251487</v>
      </c>
      <c r="AV253" s="58" t="str">
        <f t="shared" si="160"/>
        <v>-31.6188059994042+83.0660222997235i</v>
      </c>
      <c r="AW253" s="64">
        <f t="shared" si="183"/>
        <v>38.976113109151861</v>
      </c>
      <c r="AX253" s="49">
        <f t="shared" si="184"/>
        <v>110.83916111518354</v>
      </c>
      <c r="AY253" s="310"/>
      <c r="BA253" s="31">
        <f t="shared" si="185"/>
        <v>0</v>
      </c>
      <c r="BB253" s="31">
        <f t="shared" si="186"/>
        <v>0</v>
      </c>
    </row>
    <row r="254" spans="14:54" x14ac:dyDescent="0.45">
      <c r="N254" s="10">
        <v>36</v>
      </c>
      <c r="O254" s="50">
        <f t="shared" si="187"/>
        <v>2290.8676527677749</v>
      </c>
      <c r="P254" s="48" t="str">
        <f t="shared" si="150"/>
        <v>17.4002386318441</v>
      </c>
      <c r="Q254" s="17" t="str">
        <f t="shared" si="151"/>
        <v>1+1.2327308896805i</v>
      </c>
      <c r="R254" s="17">
        <f t="shared" si="161"/>
        <v>1.5873328089510645</v>
      </c>
      <c r="S254" s="17">
        <f t="shared" si="162"/>
        <v>0.88925907148519823</v>
      </c>
      <c r="T254" s="17" t="str">
        <f t="shared" si="152"/>
        <v>1+0.00431818379296905i</v>
      </c>
      <c r="U254" s="17">
        <f t="shared" si="163"/>
        <v>1.000009323312173</v>
      </c>
      <c r="V254" s="17">
        <f t="shared" si="164"/>
        <v>4.3181569532938667E-3</v>
      </c>
      <c r="W254" s="31" t="str">
        <f t="shared" si="153"/>
        <v>1-0.0106534783826538i</v>
      </c>
      <c r="X254" s="17">
        <f t="shared" si="165"/>
        <v>1.0000567466907313</v>
      </c>
      <c r="Y254" s="17">
        <f t="shared" si="166"/>
        <v>-1.0653075365567359E-2</v>
      </c>
      <c r="Z254" s="31" t="str">
        <f t="shared" si="154"/>
        <v>0.99999523984163+0.0148995272280623i</v>
      </c>
      <c r="AA254" s="17">
        <f t="shared" si="167"/>
        <v>1.0001062321661329</v>
      </c>
      <c r="AB254" s="17">
        <f t="shared" si="168"/>
        <v>1.4898495738890707E-2</v>
      </c>
      <c r="AC254" s="66" t="str">
        <f t="shared" si="169"/>
        <v>6.72330781287662-8.65745309709021i</v>
      </c>
      <c r="AD254" s="64">
        <f t="shared" si="170"/>
        <v>20.7973954202062</v>
      </c>
      <c r="AE254" s="61">
        <f t="shared" si="171"/>
        <v>-52.167376705339279</v>
      </c>
      <c r="AF254" s="31" t="str">
        <f t="shared" si="155"/>
        <v>-9090.90909090909</v>
      </c>
      <c r="AG254" s="31" t="str">
        <f t="shared" si="156"/>
        <v>14393.9459765635i</v>
      </c>
      <c r="AH254" s="31">
        <f t="shared" si="172"/>
        <v>14393.9459765635</v>
      </c>
      <c r="AI254" s="31">
        <f t="shared" si="173"/>
        <v>1.5707963267948966</v>
      </c>
      <c r="AJ254" s="31" t="str">
        <f t="shared" si="157"/>
        <v>0.249420146824724+4.98386061254717i</v>
      </c>
      <c r="AK254" s="31">
        <f t="shared" si="174"/>
        <v>4.9900978963283995</v>
      </c>
      <c r="AL254" s="31">
        <f t="shared" si="175"/>
        <v>1.5207924744831021</v>
      </c>
      <c r="AM254" s="31" t="str">
        <f t="shared" si="158"/>
        <v>1+18.9683420079154i</v>
      </c>
      <c r="AN254" s="31">
        <f t="shared" si="176"/>
        <v>18.99468342798184</v>
      </c>
      <c r="AO254" s="31">
        <f t="shared" si="177"/>
        <v>1.5181256666129435</v>
      </c>
      <c r="AP254" s="31" t="str">
        <f t="shared" si="159"/>
        <v>1+3.16666811484397i</v>
      </c>
      <c r="AQ254" s="31">
        <f t="shared" si="178"/>
        <v>3.3208111884853473</v>
      </c>
      <c r="AR254" s="31">
        <f t="shared" si="179"/>
        <v>1.2649175867108537</v>
      </c>
      <c r="AS254" s="58" t="str">
        <f t="shared" si="180"/>
        <v>-7.60651191015179+2.42438214506377i</v>
      </c>
      <c r="AT254" s="49">
        <f t="shared" si="181"/>
        <v>18.043892483662614</v>
      </c>
      <c r="AU254" s="61">
        <f t="shared" si="182"/>
        <v>162.32164231467289</v>
      </c>
      <c r="AV254" s="58" t="str">
        <f t="shared" si="160"/>
        <v>-30.1519462439501+82.152887511903i</v>
      </c>
      <c r="AW254" s="64">
        <f t="shared" si="183"/>
        <v>38.841287903868817</v>
      </c>
      <c r="AX254" s="49">
        <f t="shared" si="184"/>
        <v>110.15426560933365</v>
      </c>
      <c r="AY254" s="310"/>
      <c r="BA254" s="31">
        <f t="shared" si="185"/>
        <v>0</v>
      </c>
      <c r="BB254" s="31">
        <f t="shared" si="186"/>
        <v>0</v>
      </c>
    </row>
    <row r="255" spans="14:54" x14ac:dyDescent="0.45">
      <c r="N255" s="10">
        <v>37</v>
      </c>
      <c r="O255" s="50">
        <f t="shared" si="187"/>
        <v>2344.2288153199238</v>
      </c>
      <c r="P255" s="48" t="str">
        <f t="shared" si="150"/>
        <v>17.4002386318441</v>
      </c>
      <c r="Q255" s="17" t="str">
        <f t="shared" si="151"/>
        <v>1+1.26144488077808i</v>
      </c>
      <c r="R255" s="17">
        <f t="shared" si="161"/>
        <v>1.6097338870885538</v>
      </c>
      <c r="S255" s="17">
        <f t="shared" si="162"/>
        <v>0.90049685400021284</v>
      </c>
      <c r="T255" s="17" t="str">
        <f t="shared" si="152"/>
        <v>1+0.00441876721472556i</v>
      </c>
      <c r="U255" s="17">
        <f t="shared" si="163"/>
        <v>1.0000097627041937</v>
      </c>
      <c r="V255" s="17">
        <f t="shared" si="164"/>
        <v>4.4187384555106181E-3</v>
      </c>
      <c r="W255" s="31" t="str">
        <f t="shared" si="153"/>
        <v>1-0.0109016297723842i</v>
      </c>
      <c r="X255" s="17">
        <f t="shared" si="165"/>
        <v>1.0000594210004194</v>
      </c>
      <c r="Y255" s="17">
        <f t="shared" si="166"/>
        <v>-1.0901197933181533E-2</v>
      </c>
      <c r="Z255" s="31" t="str">
        <f t="shared" si="154"/>
        <v>0.999995015502278+0.0152465818007724i</v>
      </c>
      <c r="AA255" s="17">
        <f t="shared" si="167"/>
        <v>1.0001112384560074</v>
      </c>
      <c r="AB255" s="17">
        <f t="shared" si="168"/>
        <v>1.5245476546847889E-2</v>
      </c>
      <c r="AC255" s="66" t="str">
        <f t="shared" si="169"/>
        <v>6.52912143902301-8.61415244317576i</v>
      </c>
      <c r="AD255" s="64">
        <f t="shared" si="170"/>
        <v>20.67565710950494</v>
      </c>
      <c r="AE255" s="61">
        <f t="shared" si="171"/>
        <v>-52.839588230755709</v>
      </c>
      <c r="AF255" s="31" t="str">
        <f t="shared" si="155"/>
        <v>-9090.90909090909</v>
      </c>
      <c r="AG255" s="31" t="str">
        <f t="shared" si="156"/>
        <v>14729.2240490852i</v>
      </c>
      <c r="AH255" s="31">
        <f t="shared" si="172"/>
        <v>14729.2240490852</v>
      </c>
      <c r="AI255" s="31">
        <f t="shared" si="173"/>
        <v>1.5707963267948966</v>
      </c>
      <c r="AJ255" s="31" t="str">
        <f t="shared" si="157"/>
        <v>0.214046408148316+5.09994963932359i</v>
      </c>
      <c r="AK255" s="31">
        <f t="shared" si="174"/>
        <v>5.1044394587925135</v>
      </c>
      <c r="AL255" s="31">
        <f t="shared" si="175"/>
        <v>1.5288506460327362</v>
      </c>
      <c r="AM255" s="31" t="str">
        <f t="shared" si="158"/>
        <v>1+19.4101714518845i</v>
      </c>
      <c r="AN255" s="31">
        <f t="shared" si="176"/>
        <v>19.435914071418203</v>
      </c>
      <c r="AO255" s="31">
        <f t="shared" si="177"/>
        <v>1.5193224559960059</v>
      </c>
      <c r="AP255" s="31" t="str">
        <f t="shared" si="159"/>
        <v>1+3.24042929079874i</v>
      </c>
      <c r="AQ255" s="31">
        <f t="shared" si="178"/>
        <v>3.3912213122511519</v>
      </c>
      <c r="AR255" s="31">
        <f t="shared" si="179"/>
        <v>1.2714674256480749</v>
      </c>
      <c r="AS255" s="58" t="str">
        <f t="shared" si="180"/>
        <v>-7.59256066751318+2.42254150221555i</v>
      </c>
      <c r="AT255" s="49">
        <f t="shared" si="181"/>
        <v>18.028809849700842</v>
      </c>
      <c r="AU255" s="61">
        <f t="shared" si="182"/>
        <v>162.30379220249529</v>
      </c>
      <c r="AV255" s="58" t="str">
        <f t="shared" si="160"/>
        <v>-28.7046088313384+81.2205426830574i</v>
      </c>
      <c r="AW255" s="64">
        <f t="shared" si="183"/>
        <v>38.704466959205789</v>
      </c>
      <c r="AX255" s="49">
        <f t="shared" si="184"/>
        <v>109.46420397173958</v>
      </c>
      <c r="AY255" s="310"/>
      <c r="BA255" s="31">
        <f t="shared" si="185"/>
        <v>0</v>
      </c>
      <c r="BB255" s="31">
        <f t="shared" si="186"/>
        <v>0</v>
      </c>
    </row>
    <row r="256" spans="14:54" x14ac:dyDescent="0.45">
      <c r="N256" s="10">
        <v>38</v>
      </c>
      <c r="O256" s="50">
        <f t="shared" si="187"/>
        <v>2398.8329190194918</v>
      </c>
      <c r="P256" s="48" t="str">
        <f t="shared" si="150"/>
        <v>17.4002386318441</v>
      </c>
      <c r="Q256" s="17" t="str">
        <f t="shared" si="151"/>
        <v>1+1.29082770664863i</v>
      </c>
      <c r="R256" s="17">
        <f t="shared" si="161"/>
        <v>1.6328613438537156</v>
      </c>
      <c r="S256" s="17">
        <f t="shared" si="162"/>
        <v>0.91167575763795861</v>
      </c>
      <c r="T256" s="17" t="str">
        <f t="shared" si="152"/>
        <v>1+0.0045216935253486i</v>
      </c>
      <c r="U256" s="17">
        <f t="shared" si="163"/>
        <v>1.0000102228039158</v>
      </c>
      <c r="V256" s="17">
        <f t="shared" si="164"/>
        <v>4.5216627093116009E-3</v>
      </c>
      <c r="W256" s="31" t="str">
        <f t="shared" si="153"/>
        <v>1-0.0111555613505199i</v>
      </c>
      <c r="X256" s="17">
        <f t="shared" si="165"/>
        <v>1.0000622213387751</v>
      </c>
      <c r="Y256" s="17">
        <f t="shared" si="166"/>
        <v>-1.1155098628032359E-2</v>
      </c>
      <c r="Z256" s="31" t="str">
        <f t="shared" si="154"/>
        <v>0.999994780590138+0.0156017203129657i</v>
      </c>
      <c r="AA256" s="17">
        <f t="shared" si="167"/>
        <v>1.0001164806582494</v>
      </c>
      <c r="AB256" s="17">
        <f t="shared" si="168"/>
        <v>1.5600536019493997E-2</v>
      </c>
      <c r="AC256" s="66" t="str">
        <f t="shared" si="169"/>
        <v>6.33696462710793-8.56675702655298i</v>
      </c>
      <c r="AD256" s="64">
        <f t="shared" si="170"/>
        <v>20.551735478028029</v>
      </c>
      <c r="AE256" s="61">
        <f t="shared" si="171"/>
        <v>-53.509085950918724</v>
      </c>
      <c r="AF256" s="31" t="str">
        <f t="shared" si="155"/>
        <v>-9090.90909090909</v>
      </c>
      <c r="AG256" s="31" t="str">
        <f t="shared" si="156"/>
        <v>15072.311751162i</v>
      </c>
      <c r="AH256" s="31">
        <f t="shared" si="172"/>
        <v>15072.311751162</v>
      </c>
      <c r="AI256" s="31">
        <f t="shared" si="173"/>
        <v>1.5707963267948966</v>
      </c>
      <c r="AJ256" s="31" t="str">
        <f t="shared" si="157"/>
        <v>0.177005556528962+5.21874272690459i</v>
      </c>
      <c r="AK256" s="31">
        <f t="shared" si="174"/>
        <v>5.2217436375852158</v>
      </c>
      <c r="AL256" s="31">
        <f t="shared" si="175"/>
        <v>1.5368920441087672</v>
      </c>
      <c r="AM256" s="31" t="str">
        <f t="shared" si="158"/>
        <v>1+19.8622924256813i</v>
      </c>
      <c r="AN256" s="31">
        <f t="shared" si="176"/>
        <v>19.887449821514991</v>
      </c>
      <c r="AO256" s="31">
        <f t="shared" si="177"/>
        <v>1.5204921457512883</v>
      </c>
      <c r="AP256" s="31" t="str">
        <f t="shared" si="159"/>
        <v>1+3.31590858525564i</v>
      </c>
      <c r="AQ256" s="31">
        <f t="shared" si="178"/>
        <v>3.4634159071315791</v>
      </c>
      <c r="AR256" s="31">
        <f t="shared" si="179"/>
        <v>1.2778938594914213</v>
      </c>
      <c r="AS256" s="58" t="str">
        <f t="shared" si="180"/>
        <v>-7.57847240977751+2.42176496042071i</v>
      </c>
      <c r="AT256" s="49">
        <f t="shared" si="181"/>
        <v>18.013912888067821</v>
      </c>
      <c r="AU256" s="61">
        <f t="shared" si="182"/>
        <v>162.27827985421519</v>
      </c>
      <c r="AV256" s="58" t="str">
        <f t="shared" si="160"/>
        <v>-27.2778395969296+80.2695706563548i</v>
      </c>
      <c r="AW256" s="64">
        <f t="shared" si="183"/>
        <v>38.56564836609585</v>
      </c>
      <c r="AX256" s="49">
        <f t="shared" si="184"/>
        <v>108.76919390329648</v>
      </c>
      <c r="AY256" s="310"/>
      <c r="BA256" s="31">
        <f t="shared" si="185"/>
        <v>0</v>
      </c>
      <c r="BB256" s="31">
        <f t="shared" si="186"/>
        <v>0</v>
      </c>
    </row>
    <row r="257" spans="14:54" x14ac:dyDescent="0.45">
      <c r="N257" s="10">
        <v>39</v>
      </c>
      <c r="O257" s="50">
        <f t="shared" si="187"/>
        <v>2454.7089156850338</v>
      </c>
      <c r="P257" s="48" t="str">
        <f t="shared" si="150"/>
        <v>17.4002386318441</v>
      </c>
      <c r="Q257" s="17" t="str">
        <f t="shared" si="151"/>
        <v>1+1.32089494645538i</v>
      </c>
      <c r="R257" s="17">
        <f t="shared" si="161"/>
        <v>1.6567327664929434</v>
      </c>
      <c r="S257" s="17">
        <f t="shared" si="162"/>
        <v>0.92279053413348033</v>
      </c>
      <c r="T257" s="17" t="str">
        <f t="shared" si="152"/>
        <v>1+0.00462701729773047i</v>
      </c>
      <c r="U257" s="17">
        <f t="shared" si="163"/>
        <v>1.0000107045872426</v>
      </c>
      <c r="V257" s="17">
        <f t="shared" si="164"/>
        <v>4.6269842777710048E-3</v>
      </c>
      <c r="W257" s="31" t="str">
        <f t="shared" si="153"/>
        <v>1-0.011415407754945i</v>
      </c>
      <c r="X257" s="17">
        <f t="shared" si="165"/>
        <v>1.0000651536446072</v>
      </c>
      <c r="Y257" s="17">
        <f t="shared" si="166"/>
        <v>-1.1414911940611219E-2</v>
      </c>
      <c r="Z257" s="31" t="str">
        <f t="shared" si="154"/>
        <v>0.999994534606929+0.015965131063782i</v>
      </c>
      <c r="AA257" s="17">
        <f t="shared" si="167"/>
        <v>1.0001219698884793</v>
      </c>
      <c r="AB257" s="17">
        <f t="shared" si="168"/>
        <v>1.5963862078817996E-2</v>
      </c>
      <c r="AC257" s="66" t="str">
        <f t="shared" si="169"/>
        <v>6.14700615364778-8.51538353025143i</v>
      </c>
      <c r="AD257" s="64">
        <f t="shared" si="170"/>
        <v>20.425654377948547</v>
      </c>
      <c r="AE257" s="61">
        <f t="shared" si="171"/>
        <v>-54.175584509037314</v>
      </c>
      <c r="AF257" s="31" t="str">
        <f t="shared" si="155"/>
        <v>-9090.90909090909</v>
      </c>
      <c r="AG257" s="31" t="str">
        <f t="shared" si="156"/>
        <v>15423.3909924349i</v>
      </c>
      <c r="AH257" s="31">
        <f t="shared" si="172"/>
        <v>15423.390992434901</v>
      </c>
      <c r="AI257" s="31">
        <f t="shared" si="173"/>
        <v>1.5707963267948966</v>
      </c>
      <c r="AJ257" s="31" t="str">
        <f t="shared" si="157"/>
        <v>0.138219023354217+5.34030286095762i</v>
      </c>
      <c r="AK257" s="31">
        <f t="shared" si="174"/>
        <v>5.3420912707636443</v>
      </c>
      <c r="AL257" s="31">
        <f t="shared" si="175"/>
        <v>1.5449198595835825</v>
      </c>
      <c r="AM257" s="31" t="str">
        <f t="shared" si="158"/>
        <v>1+20.3249446498307i</v>
      </c>
      <c r="AN257" s="31">
        <f t="shared" si="176"/>
        <v>20.349530093313742</v>
      </c>
      <c r="AO257" s="31">
        <f t="shared" si="177"/>
        <v>1.5216353432538003</v>
      </c>
      <c r="AP257" s="31" t="str">
        <f t="shared" si="159"/>
        <v>1+3.39314601833567i</v>
      </c>
      <c r="AQ257" s="31">
        <f t="shared" si="178"/>
        <v>3.5374340844384946</v>
      </c>
      <c r="AR257" s="31">
        <f t="shared" si="179"/>
        <v>1.2841981715951196</v>
      </c>
      <c r="AS257" s="58" t="str">
        <f t="shared" si="180"/>
        <v>-7.56422252402292+2.42205000110727i</v>
      </c>
      <c r="AT257" s="49">
        <f t="shared" si="181"/>
        <v>17.999177677103319</v>
      </c>
      <c r="AU257" s="61">
        <f t="shared" si="182"/>
        <v>162.24503077711748</v>
      </c>
      <c r="AV257" s="58" t="str">
        <f t="shared" si="160"/>
        <v>-25.8726377138557+79.3006121614707i</v>
      </c>
      <c r="AW257" s="64">
        <f t="shared" si="183"/>
        <v>38.424832055051866</v>
      </c>
      <c r="AX257" s="49">
        <f t="shared" si="184"/>
        <v>108.06944626808013</v>
      </c>
      <c r="AY257" s="310"/>
      <c r="BA257" s="31">
        <f t="shared" si="185"/>
        <v>0</v>
      </c>
      <c r="BB257" s="31">
        <f t="shared" si="186"/>
        <v>0</v>
      </c>
    </row>
    <row r="258" spans="14:54" x14ac:dyDescent="0.45">
      <c r="N258" s="10">
        <v>40</v>
      </c>
      <c r="O258" s="50">
        <f t="shared" si="187"/>
        <v>2511.8864315095811</v>
      </c>
      <c r="P258" s="48" t="str">
        <f t="shared" si="150"/>
        <v>17.4002386318441</v>
      </c>
      <c r="Q258" s="17" t="str">
        <f t="shared" si="151"/>
        <v>1+1.35166254224686i</v>
      </c>
      <c r="R258" s="17">
        <f t="shared" si="161"/>
        <v>1.6813660006415156</v>
      </c>
      <c r="S258" s="17">
        <f t="shared" si="162"/>
        <v>0.93383609236343135</v>
      </c>
      <c r="T258" s="17" t="str">
        <f t="shared" si="152"/>
        <v>1+0.00473479437592944i</v>
      </c>
      <c r="U258" s="17">
        <f t="shared" si="163"/>
        <v>1.0000112090760696</v>
      </c>
      <c r="V258" s="17">
        <f t="shared" si="164"/>
        <v>4.7347589944268338E-3</v>
      </c>
      <c r="W258" s="31" t="str">
        <f t="shared" si="153"/>
        <v>1-0.0116813067596627i</v>
      </c>
      <c r="X258" s="17">
        <f t="shared" si="165"/>
        <v>1.0000682241365402</v>
      </c>
      <c r="Y258" s="17">
        <f t="shared" si="166"/>
        <v>-1.168077548698968E-2</v>
      </c>
      <c r="Z258" s="31" t="str">
        <f t="shared" si="154"/>
        <v>0.999994277030889+0.016337006738412i</v>
      </c>
      <c r="AA258" s="17">
        <f t="shared" si="167"/>
        <v>1.000127717785934</v>
      </c>
      <c r="AB258" s="17">
        <f t="shared" si="168"/>
        <v>1.633564700589818E-2</v>
      </c>
      <c r="AC258" s="66" t="str">
        <f t="shared" si="169"/>
        <v>5.95940635328443-8.4601566905123i</v>
      </c>
      <c r="AD258" s="64">
        <f t="shared" si="170"/>
        <v>20.297439519176521</v>
      </c>
      <c r="AE258" s="61">
        <f t="shared" si="171"/>
        <v>-54.838807907919026</v>
      </c>
      <c r="AF258" s="31" t="str">
        <f t="shared" si="155"/>
        <v>-9090.90909090909</v>
      </c>
      <c r="AG258" s="31" t="str">
        <f t="shared" si="156"/>
        <v>15782.6479197648i</v>
      </c>
      <c r="AH258" s="31">
        <f t="shared" si="172"/>
        <v>15782.6479197648</v>
      </c>
      <c r="AI258" s="31">
        <f t="shared" si="173"/>
        <v>1.5707963267948966</v>
      </c>
      <c r="AJ258" s="31" t="str">
        <f t="shared" si="157"/>
        <v>0.097604537187009+5.46469449427479i</v>
      </c>
      <c r="AK258" s="31">
        <f t="shared" si="174"/>
        <v>5.4655660787732403</v>
      </c>
      <c r="AL258" s="31">
        <f t="shared" si="175"/>
        <v>1.5529372936430677</v>
      </c>
      <c r="AM258" s="31" t="str">
        <f t="shared" si="158"/>
        <v>1+20.798373428666i</v>
      </c>
      <c r="AN258" s="31">
        <f t="shared" si="176"/>
        <v>20.822399892381277</v>
      </c>
      <c r="AO258" s="31">
        <f t="shared" si="177"/>
        <v>1.5227526426828379</v>
      </c>
      <c r="AP258" s="31" t="str">
        <f t="shared" si="159"/>
        <v>1+3.47218254234825i</v>
      </c>
      <c r="AQ258" s="31">
        <f t="shared" si="178"/>
        <v>3.613315874288872</v>
      </c>
      <c r="AR258" s="31">
        <f t="shared" si="179"/>
        <v>1.2903816993495867</v>
      </c>
      <c r="AS258" s="58" t="str">
        <f t="shared" si="180"/>
        <v>-7.54978609434522+2.42339377549374i</v>
      </c>
      <c r="AT258" s="49">
        <f t="shared" si="181"/>
        <v>17.984580180652745</v>
      </c>
      <c r="AU258" s="61">
        <f t="shared" si="182"/>
        <v>162.20397222755381</v>
      </c>
      <c r="AV258" s="58" t="str">
        <f t="shared" si="160"/>
        <v>-24.4899521530901+78.3143616001988i</v>
      </c>
      <c r="AW258" s="64">
        <f t="shared" si="183"/>
        <v>38.28201969982927</v>
      </c>
      <c r="AX258" s="49">
        <f t="shared" si="184"/>
        <v>107.36516431963474</v>
      </c>
      <c r="AY258" s="310"/>
      <c r="BA258" s="31">
        <f t="shared" si="185"/>
        <v>0</v>
      </c>
      <c r="BB258" s="31">
        <f t="shared" si="186"/>
        <v>0</v>
      </c>
    </row>
    <row r="259" spans="14:54" x14ac:dyDescent="0.45">
      <c r="N259" s="10">
        <v>41</v>
      </c>
      <c r="O259" s="50">
        <f t="shared" si="187"/>
        <v>2570.3957827688669</v>
      </c>
      <c r="P259" s="48" t="str">
        <f t="shared" si="150"/>
        <v>17.4002386318441</v>
      </c>
      <c r="Q259" s="17" t="str">
        <f t="shared" si="151"/>
        <v>1+1.3831468074096i</v>
      </c>
      <c r="R259" s="17">
        <f t="shared" si="161"/>
        <v>1.7067791570227735</v>
      </c>
      <c r="S259" s="17">
        <f t="shared" si="162"/>
        <v>0.94480750836362082</v>
      </c>
      <c r="T259" s="17" t="str">
        <f t="shared" si="152"/>
        <v>1+0.00484508190477891i</v>
      </c>
      <c r="U259" s="17">
        <f t="shared" si="163"/>
        <v>1.0000117373404493</v>
      </c>
      <c r="V259" s="17">
        <f t="shared" si="164"/>
        <v>4.8450439928398514E-3</v>
      </c>
      <c r="W259" s="31" t="str">
        <f t="shared" si="153"/>
        <v>1-0.0119533993478446i</v>
      </c>
      <c r="X259" s="17">
        <f t="shared" si="165"/>
        <v>1.000071439326196</v>
      </c>
      <c r="Y259" s="17">
        <f t="shared" si="166"/>
        <v>-1.1952830081115378E-2</v>
      </c>
      <c r="Z259" s="31" t="str">
        <f t="shared" si="154"/>
        <v>0.999994007315664+0.0167175445102604i</v>
      </c>
      <c r="AA259" s="17">
        <f t="shared" si="167"/>
        <v>1.0001337365381155</v>
      </c>
      <c r="AB259" s="17">
        <f t="shared" si="168"/>
        <v>1.6716087541138583E-2</v>
      </c>
      <c r="AC259" s="66" t="str">
        <f t="shared" si="169"/>
        <v>5.77431667048657-8.40120858714892i</v>
      </c>
      <c r="AD259" s="64">
        <f t="shared" si="170"/>
        <v>20.167118371307385</v>
      </c>
      <c r="AE259" s="61">
        <f t="shared" si="171"/>
        <v>-55.498490092125067</v>
      </c>
      <c r="AF259" s="31" t="str">
        <f t="shared" si="155"/>
        <v>-9090.90909090909</v>
      </c>
      <c r="AG259" s="31" t="str">
        <f t="shared" si="156"/>
        <v>16150.2730159297i</v>
      </c>
      <c r="AH259" s="31">
        <f t="shared" si="172"/>
        <v>16150.273015929701</v>
      </c>
      <c r="AI259" s="31">
        <f t="shared" si="173"/>
        <v>1.5707963267948966</v>
      </c>
      <c r="AJ259" s="31" t="str">
        <f t="shared" si="157"/>
        <v>0.0550759492569181+5.59198358094662i</v>
      </c>
      <c r="AK259" s="31">
        <f t="shared" si="174"/>
        <v>5.5922547983584519</v>
      </c>
      <c r="AL259" s="31">
        <f t="shared" si="175"/>
        <v>1.5609475553007814</v>
      </c>
      <c r="AM259" s="31" t="str">
        <f t="shared" si="158"/>
        <v>1+21.2828297803921i</v>
      </c>
      <c r="AN259" s="31">
        <f t="shared" si="176"/>
        <v>21.306309944735734</v>
      </c>
      <c r="AO259" s="31">
        <f t="shared" si="177"/>
        <v>1.5238446252806892</v>
      </c>
      <c r="AP259" s="31" t="str">
        <f t="shared" si="159"/>
        <v>1+3.55306006350453i</v>
      </c>
      <c r="AQ259" s="31">
        <f t="shared" si="178"/>
        <v>3.6911022493112835</v>
      </c>
      <c r="AR259" s="31">
        <f t="shared" si="179"/>
        <v>1.2964458291505989</v>
      </c>
      <c r="AS259" s="58" t="str">
        <f t="shared" si="180"/>
        <v>-7.53513788730393+2.42579308964614i</v>
      </c>
      <c r="AT259" s="49">
        <f t="shared" si="181"/>
        <v>17.970096242118608</v>
      </c>
      <c r="AU259" s="61">
        <f t="shared" si="182"/>
        <v>162.15503307994734</v>
      </c>
      <c r="AV259" s="58" t="str">
        <f t="shared" si="160"/>
        <v>-23.1306785816924+77.3115626008638i</v>
      </c>
      <c r="AW259" s="64">
        <f t="shared" si="183"/>
        <v>38.137214613425996</v>
      </c>
      <c r="AX259" s="49">
        <f t="shared" si="184"/>
        <v>106.65654298782228</v>
      </c>
      <c r="AY259" s="310"/>
      <c r="BA259" s="31">
        <f t="shared" si="185"/>
        <v>0</v>
      </c>
      <c r="BB259" s="31">
        <f t="shared" si="186"/>
        <v>0</v>
      </c>
    </row>
    <row r="260" spans="14:54" x14ac:dyDescent="0.45">
      <c r="N260" s="10">
        <v>42</v>
      </c>
      <c r="O260" s="50">
        <f t="shared" si="187"/>
        <v>2630.2679918953822</v>
      </c>
      <c r="P260" s="48" t="str">
        <f t="shared" si="150"/>
        <v>17.4002386318441</v>
      </c>
      <c r="Q260" s="17" t="str">
        <f t="shared" si="151"/>
        <v>1+1.41536443531774i</v>
      </c>
      <c r="R260" s="17">
        <f t="shared" si="161"/>
        <v>1.7329906187750428</v>
      </c>
      <c r="S260" s="17">
        <f t="shared" si="162"/>
        <v>0.95570003440701834</v>
      </c>
      <c r="T260" s="17" t="str">
        <f t="shared" si="152"/>
        <v>1+0.00495793836018654i</v>
      </c>
      <c r="U260" s="17">
        <f t="shared" si="163"/>
        <v>1.0000122905008635</v>
      </c>
      <c r="V260" s="17">
        <f t="shared" si="164"/>
        <v>4.9578977368389052E-3</v>
      </c>
      <c r="W260" s="31" t="str">
        <f t="shared" si="153"/>
        <v>1-0.0122318297865827i</v>
      </c>
      <c r="X260" s="17">
        <f t="shared" si="165"/>
        <v>1.0000748060319926</v>
      </c>
      <c r="Y260" s="17">
        <f t="shared" si="166"/>
        <v>-1.2231219808756735E-2</v>
      </c>
      <c r="Z260" s="31" t="str">
        <f t="shared" si="154"/>
        <v>0.999993724889153+0.017106946145491i</v>
      </c>
      <c r="AA260" s="17">
        <f t="shared" si="167"/>
        <v>1.0001400389066062</v>
      </c>
      <c r="AB260" s="17">
        <f t="shared" si="168"/>
        <v>1.7105384986749544E-2</v>
      </c>
      <c r="AC260" s="66" t="str">
        <f t="shared" si="169"/>
        <v>5.59187927909294-8.33867790961852i</v>
      </c>
      <c r="AD260" s="64">
        <f t="shared" si="170"/>
        <v>20.034720060884133</v>
      </c>
      <c r="AE260" s="61">
        <f t="shared" si="171"/>
        <v>-56.154375476477107</v>
      </c>
      <c r="AF260" s="31" t="str">
        <f t="shared" si="155"/>
        <v>-9090.90909090909</v>
      </c>
      <c r="AG260" s="31" t="str">
        <f t="shared" si="156"/>
        <v>16526.4612006218i</v>
      </c>
      <c r="AH260" s="31">
        <f t="shared" si="172"/>
        <v>16526.461200621801</v>
      </c>
      <c r="AI260" s="31">
        <f t="shared" si="173"/>
        <v>1.5707963267948966</v>
      </c>
      <c r="AJ260" s="31" t="str">
        <f t="shared" si="157"/>
        <v>0.010543050727023+5.7222376113317i</v>
      </c>
      <c r="AK260" s="31">
        <f t="shared" si="174"/>
        <v>5.7222473239504215</v>
      </c>
      <c r="AL260" s="31">
        <f t="shared" si="175"/>
        <v>1.5689538589504959</v>
      </c>
      <c r="AM260" s="31" t="str">
        <f t="shared" si="158"/>
        <v>1+21.7785705701794i</v>
      </c>
      <c r="AN260" s="31">
        <f t="shared" si="176"/>
        <v>21.801516829805315</v>
      </c>
      <c r="AO260" s="31">
        <f t="shared" si="177"/>
        <v>1.5249118596081921</v>
      </c>
      <c r="AP260" s="31" t="str">
        <f t="shared" si="159"/>
        <v>1+3.63582146413679i</v>
      </c>
      <c r="AQ260" s="31">
        <f t="shared" si="178"/>
        <v>3.7708351487538927</v>
      </c>
      <c r="AR260" s="31">
        <f t="shared" si="179"/>
        <v>1.3023919915809186</v>
      </c>
      <c r="AS260" s="58" t="str">
        <f t="shared" si="180"/>
        <v>-7.52025233733108+2.42924438695102i</v>
      </c>
      <c r="AT260" s="49">
        <f t="shared" si="181"/>
        <v>17.955701576439299</v>
      </c>
      <c r="AU260" s="61">
        <f t="shared" si="182"/>
        <v>162.09814370559243</v>
      </c>
      <c r="AV260" s="58" t="str">
        <f t="shared" si="160"/>
        <v>-21.7956567121387+76.293003391304i</v>
      </c>
      <c r="AW260" s="64">
        <f t="shared" si="183"/>
        <v>37.990421637323443</v>
      </c>
      <c r="AX260" s="49">
        <f t="shared" si="184"/>
        <v>105.94376822911535</v>
      </c>
      <c r="AY260" s="310"/>
      <c r="BA260" s="31">
        <f t="shared" si="185"/>
        <v>0</v>
      </c>
      <c r="BB260" s="31">
        <f t="shared" si="186"/>
        <v>0</v>
      </c>
    </row>
    <row r="261" spans="14:54" x14ac:dyDescent="0.45">
      <c r="N261" s="10">
        <v>43</v>
      </c>
      <c r="O261" s="50">
        <f t="shared" si="187"/>
        <v>2691.5348039269184</v>
      </c>
      <c r="P261" s="48" t="str">
        <f t="shared" si="150"/>
        <v>17.4002386318441</v>
      </c>
      <c r="Q261" s="17" t="str">
        <f t="shared" si="151"/>
        <v>1+1.44833250818405i</v>
      </c>
      <c r="R261" s="17">
        <f t="shared" si="161"/>
        <v>1.7600190494033583</v>
      </c>
      <c r="S261" s="17">
        <f t="shared" si="162"/>
        <v>0.96650910711525306</v>
      </c>
      <c r="T261" s="17" t="str">
        <f t="shared" si="152"/>
        <v>1+0.00507342358013883i</v>
      </c>
      <c r="U261" s="17">
        <f t="shared" si="163"/>
        <v>1.0000128697305968</v>
      </c>
      <c r="V261" s="17">
        <f t="shared" si="164"/>
        <v>5.0733800514678514E-3</v>
      </c>
      <c r="W261" s="31" t="str">
        <f t="shared" si="153"/>
        <v>1-0.0125167457033811i</v>
      </c>
      <c r="X261" s="17">
        <f t="shared" si="165"/>
        <v>1.0000783313935979</v>
      </c>
      <c r="Y261" s="17">
        <f t="shared" si="166"/>
        <v>-1.251609210312969E-2</v>
      </c>
      <c r="Z261" s="31" t="str">
        <f t="shared" si="154"/>
        <v>0.99999342915229+0.0175054181100053i</v>
      </c>
      <c r="AA261" s="17">
        <f t="shared" si="167"/>
        <v>1.0001466382540922</v>
      </c>
      <c r="AB261" s="17">
        <f t="shared" si="168"/>
        <v>1.7503745311514541E-2</v>
      </c>
      <c r="AC261" s="66" t="str">
        <f t="shared" si="169"/>
        <v>5.41222677050833-8.2727092059552i</v>
      </c>
      <c r="AD261" s="64">
        <f t="shared" si="170"/>
        <v>19.90027526474503</v>
      </c>
      <c r="AE261" s="61">
        <f t="shared" si="171"/>
        <v>-56.806219419374671</v>
      </c>
      <c r="AF261" s="31" t="str">
        <f t="shared" si="155"/>
        <v>-9090.90909090909</v>
      </c>
      <c r="AG261" s="31" t="str">
        <f t="shared" si="156"/>
        <v>16911.4119337961i</v>
      </c>
      <c r="AH261" s="31">
        <f t="shared" si="172"/>
        <v>16911.411933796098</v>
      </c>
      <c r="AI261" s="31">
        <f t="shared" si="173"/>
        <v>1.5707963267948966</v>
      </c>
      <c r="AJ261" s="31" t="str">
        <f t="shared" si="157"/>
        <v>-0.03608861865109+5.8555256478411i</v>
      </c>
      <c r="AK261" s="31">
        <f t="shared" si="174"/>
        <v>5.8556368569884079</v>
      </c>
      <c r="AL261" s="31">
        <f t="shared" si="175"/>
        <v>1.5769594219452547</v>
      </c>
      <c r="AM261" s="31" t="str">
        <f t="shared" si="158"/>
        <v>1+22.2858586463565i</v>
      </c>
      <c r="AN261" s="31">
        <f t="shared" si="176"/>
        <v>22.308283116487981</v>
      </c>
      <c r="AO261" s="31">
        <f t="shared" si="177"/>
        <v>1.5259549017970355</v>
      </c>
      <c r="AP261" s="31" t="str">
        <f t="shared" si="159"/>
        <v>1+3.72051062543514i</v>
      </c>
      <c r="AQ261" s="31">
        <f t="shared" si="178"/>
        <v>3.8525575030070316</v>
      </c>
      <c r="AR261" s="31">
        <f t="shared" si="179"/>
        <v>1.308221656805399</v>
      </c>
      <c r="AS261" s="58" t="str">
        <f t="shared" si="180"/>
        <v>-7.5051035322895+2.43374372795514i</v>
      </c>
      <c r="AT261" s="49">
        <f t="shared" si="181"/>
        <v>17.941371760138484</v>
      </c>
      <c r="AU261" s="61">
        <f t="shared" si="182"/>
        <v>162.03323586197845</v>
      </c>
      <c r="AV261" s="58" t="str">
        <f t="shared" si="160"/>
        <v>-20.4856681097036+75.2595120402138i</v>
      </c>
      <c r="AW261" s="64">
        <f t="shared" si="183"/>
        <v>37.841647024883514</v>
      </c>
      <c r="AX261" s="49">
        <f t="shared" si="184"/>
        <v>105.22701644260376</v>
      </c>
      <c r="AY261" s="310"/>
      <c r="BA261" s="31">
        <f t="shared" si="185"/>
        <v>0</v>
      </c>
      <c r="BB261" s="31">
        <f t="shared" si="186"/>
        <v>0</v>
      </c>
    </row>
    <row r="262" spans="14:54" x14ac:dyDescent="0.45">
      <c r="N262" s="10">
        <v>44</v>
      </c>
      <c r="O262" s="50">
        <f t="shared" si="187"/>
        <v>2754.228703338169</v>
      </c>
      <c r="P262" s="48" t="str">
        <f t="shared" si="150"/>
        <v>17.4002386318441</v>
      </c>
      <c r="Q262" s="17" t="str">
        <f t="shared" si="151"/>
        <v>1+1.48206850611715i</v>
      </c>
      <c r="R262" s="17">
        <f t="shared" si="161"/>
        <v>1.7878834013504126</v>
      </c>
      <c r="S262" s="17">
        <f t="shared" si="162"/>
        <v>0.97723035458594387</v>
      </c>
      <c r="T262" s="17" t="str">
        <f t="shared" si="152"/>
        <v>1+0.00519159879642802i</v>
      </c>
      <c r="U262" s="17">
        <f t="shared" si="163"/>
        <v>1.0000134762582267</v>
      </c>
      <c r="V262" s="17">
        <f t="shared" si="164"/>
        <v>5.1915521546506823E-3</v>
      </c>
      <c r="W262" s="31" t="str">
        <f t="shared" si="153"/>
        <v>1-0.0128082981644301i</v>
      </c>
      <c r="X262" s="17">
        <f t="shared" si="165"/>
        <v>1.0000820228870575</v>
      </c>
      <c r="Y262" s="17">
        <f t="shared" si="166"/>
        <v>-1.2807597822245021E-2</v>
      </c>
      <c r="Z262" s="31" t="str">
        <f t="shared" si="154"/>
        <v>0.999993119477777+0.017913171678913i</v>
      </c>
      <c r="AA262" s="17">
        <f t="shared" si="167"/>
        <v>1.0001535485726649</v>
      </c>
      <c r="AB262" s="17">
        <f t="shared" si="168"/>
        <v>1.7911379257890801E-2</v>
      </c>
      <c r="AC262" s="66" t="str">
        <f t="shared" si="169"/>
        <v>5.23548191055053-8.20345212160507i</v>
      </c>
      <c r="AD262" s="64">
        <f t="shared" si="170"/>
        <v>19.763816100232003</v>
      </c>
      <c r="AE262" s="61">
        <f t="shared" si="171"/>
        <v>-57.453788639914862</v>
      </c>
      <c r="AF262" s="31" t="str">
        <f t="shared" si="155"/>
        <v>-9090.90909090909</v>
      </c>
      <c r="AG262" s="31" t="str">
        <f t="shared" si="156"/>
        <v>17305.3293214267i</v>
      </c>
      <c r="AH262" s="31">
        <f t="shared" si="172"/>
        <v>17305.3293214267</v>
      </c>
      <c r="AI262" s="31">
        <f t="shared" si="173"/>
        <v>1.5707963267948966</v>
      </c>
      <c r="AJ262" s="31" t="str">
        <f t="shared" si="157"/>
        <v>-0.0849179709001799+5.99191836155602i</v>
      </c>
      <c r="AK262" s="31">
        <f t="shared" si="174"/>
        <v>5.9925200636571905</v>
      </c>
      <c r="AL262" s="31">
        <f t="shared" si="175"/>
        <v>1.5849674621910947</v>
      </c>
      <c r="AM262" s="31" t="str">
        <f t="shared" si="158"/>
        <v>1+22.8049629797761i</v>
      </c>
      <c r="AN262" s="31">
        <f t="shared" si="176"/>
        <v>22.826877502386491</v>
      </c>
      <c r="AO262" s="31">
        <f t="shared" si="177"/>
        <v>1.5269742957987151</v>
      </c>
      <c r="AP262" s="31" t="str">
        <f t="shared" si="159"/>
        <v>1+3.80717245071387i</v>
      </c>
      <c r="AQ262" s="31">
        <f t="shared" si="178"/>
        <v>3.9363132585548444</v>
      </c>
      <c r="AR262" s="31">
        <f t="shared" si="179"/>
        <v>1.3139363301794407</v>
      </c>
      <c r="AS262" s="58" t="str">
        <f t="shared" si="180"/>
        <v>-7.48966519937443+2.43928676752816i</v>
      </c>
      <c r="AT262" s="49">
        <f t="shared" si="181"/>
        <v>17.92708221958998</v>
      </c>
      <c r="AU262" s="61">
        <f t="shared" si="182"/>
        <v>161.96024259330648</v>
      </c>
      <c r="AV262" s="58" t="str">
        <f t="shared" si="160"/>
        <v>-19.2014344591226+74.2119516159588i</v>
      </c>
      <c r="AW262" s="64">
        <f t="shared" si="183"/>
        <v>37.690898319821983</v>
      </c>
      <c r="AX262" s="49">
        <f t="shared" si="184"/>
        <v>104.5064539533916</v>
      </c>
      <c r="AY262" s="310"/>
      <c r="BA262" s="31">
        <f t="shared" si="185"/>
        <v>0</v>
      </c>
      <c r="BB262" s="31">
        <f t="shared" si="186"/>
        <v>0</v>
      </c>
    </row>
    <row r="263" spans="14:54" x14ac:dyDescent="0.45">
      <c r="N263" s="10">
        <v>45</v>
      </c>
      <c r="O263" s="50">
        <f t="shared" si="187"/>
        <v>2818.3829312644561</v>
      </c>
      <c r="P263" s="48" t="str">
        <f t="shared" si="150"/>
        <v>17.4002386318441</v>
      </c>
      <c r="Q263" s="17" t="str">
        <f t="shared" si="151"/>
        <v>1+1.51659031638968i</v>
      </c>
      <c r="R263" s="17">
        <f t="shared" si="161"/>
        <v>1.8166029251784632</v>
      </c>
      <c r="S263" s="17">
        <f t="shared" si="162"/>
        <v>0.98785960252718708</v>
      </c>
      <c r="T263" s="17" t="str">
        <f t="shared" si="152"/>
        <v>1+0.00531252666711798i</v>
      </c>
      <c r="U263" s="17">
        <f t="shared" si="163"/>
        <v>1.000014111370229</v>
      </c>
      <c r="V263" s="17">
        <f t="shared" si="164"/>
        <v>5.3124766895912218E-3</v>
      </c>
      <c r="W263" s="31" t="str">
        <f t="shared" si="153"/>
        <v>1-0.0131066417547038i</v>
      </c>
      <c r="X263" s="17">
        <f t="shared" si="165"/>
        <v>1.0000858883406396</v>
      </c>
      <c r="Y263" s="17">
        <f t="shared" si="166"/>
        <v>-1.3105891328012919E-2</v>
      </c>
      <c r="Z263" s="31" t="str">
        <f t="shared" si="154"/>
        <v>0.999992795208755+0.0183304230485538i</v>
      </c>
      <c r="AA263" s="17">
        <f t="shared" si="167"/>
        <v>1.000160784513449</v>
      </c>
      <c r="AB263" s="17">
        <f t="shared" si="168"/>
        <v>1.8328502451491972E-2</v>
      </c>
      <c r="AC263" s="66" t="str">
        <f t="shared" si="169"/>
        <v>5.06175746417663-8.13106063500144i</v>
      </c>
      <c r="AD263" s="64">
        <f t="shared" si="170"/>
        <v>19.625376013032668</v>
      </c>
      <c r="AE263" s="61">
        <f t="shared" si="171"/>
        <v>-58.096861578321601</v>
      </c>
      <c r="AF263" s="31" t="str">
        <f t="shared" si="155"/>
        <v>-9090.90909090909</v>
      </c>
      <c r="AG263" s="31" t="str">
        <f t="shared" si="156"/>
        <v>17708.4222237266i</v>
      </c>
      <c r="AH263" s="31">
        <f t="shared" si="172"/>
        <v>17708.4222237266</v>
      </c>
      <c r="AI263" s="31">
        <f t="shared" si="173"/>
        <v>1.5707963267948966</v>
      </c>
      <c r="AJ263" s="31" t="str">
        <f t="shared" si="157"/>
        <v>-0.13604857962303+6.13148806969865i</v>
      </c>
      <c r="AK263" s="31">
        <f t="shared" si="174"/>
        <v>6.1329972415511733</v>
      </c>
      <c r="AL263" s="31">
        <f t="shared" si="175"/>
        <v>1.5929811957435143</v>
      </c>
      <c r="AM263" s="31" t="str">
        <f t="shared" si="158"/>
        <v>1+23.3361588064269i</v>
      </c>
      <c r="AN263" s="31">
        <f t="shared" si="176"/>
        <v>23.357574956291497</v>
      </c>
      <c r="AO263" s="31">
        <f t="shared" si="177"/>
        <v>1.5279705736300573</v>
      </c>
      <c r="AP263" s="31" t="str">
        <f t="shared" si="159"/>
        <v>1+3.89585288921985i</v>
      </c>
      <c r="AQ263" s="31">
        <f t="shared" si="178"/>
        <v>4.0221474033708233</v>
      </c>
      <c r="AR263" s="31">
        <f t="shared" si="179"/>
        <v>1.3195375480695544</v>
      </c>
      <c r="AS263" s="58" t="str">
        <f t="shared" si="180"/>
        <v>-7.47391069155639+2.44586872931039i</v>
      </c>
      <c r="AT263" s="49">
        <f t="shared" si="181"/>
        <v>17.912808217640947</v>
      </c>
      <c r="AU263" s="61">
        <f t="shared" si="182"/>
        <v>161.87909814280547</v>
      </c>
      <c r="AV263" s="58" t="str">
        <f t="shared" si="160"/>
        <v>-17.9436162862984+73.1512153106136i</v>
      </c>
      <c r="AW263" s="64">
        <f t="shared" si="183"/>
        <v>37.538184230673608</v>
      </c>
      <c r="AX263" s="49">
        <f t="shared" si="184"/>
        <v>103.78223656448391</v>
      </c>
      <c r="AY263" s="310"/>
      <c r="BA263" s="31">
        <f t="shared" si="185"/>
        <v>0</v>
      </c>
      <c r="BB263" s="31">
        <f t="shared" si="186"/>
        <v>0</v>
      </c>
    </row>
    <row r="264" spans="14:54" x14ac:dyDescent="0.45">
      <c r="N264" s="10">
        <v>46</v>
      </c>
      <c r="O264" s="50">
        <f t="shared" si="187"/>
        <v>2884.0315031266077</v>
      </c>
      <c r="P264" s="48" t="str">
        <f t="shared" si="150"/>
        <v>17.4002386318441</v>
      </c>
      <c r="Q264" s="17" t="str">
        <f t="shared" si="151"/>
        <v>1+1.55191624292241i</v>
      </c>
      <c r="R264" s="17">
        <f t="shared" si="161"/>
        <v>1.8461971793517638</v>
      </c>
      <c r="S264" s="17">
        <f t="shared" si="162"/>
        <v>0.99839287939927457</v>
      </c>
      <c r="T264" s="17" t="str">
        <f t="shared" si="152"/>
        <v>1+0.00543627130976647i</v>
      </c>
      <c r="U264" s="17">
        <f t="shared" si="163"/>
        <v>1.0000147764137055</v>
      </c>
      <c r="V264" s="17">
        <f t="shared" si="164"/>
        <v>5.4362177579244568E-3</v>
      </c>
      <c r="W264" s="31" t="str">
        <f t="shared" si="153"/>
        <v>1-0.0134119346599227i</v>
      </c>
      <c r="X264" s="17">
        <f t="shared" si="165"/>
        <v>1.0000899359514233</v>
      </c>
      <c r="Y264" s="17">
        <f t="shared" si="166"/>
        <v>-1.3411130567141626E-2</v>
      </c>
      <c r="Z264" s="31" t="str">
        <f t="shared" si="154"/>
        <v>0.999992455657405+0.0187573934511267i</v>
      </c>
      <c r="AA264" s="17">
        <f t="shared" si="167"/>
        <v>1.0001683614176202</v>
      </c>
      <c r="AB264" s="17">
        <f t="shared" si="168"/>
        <v>1.8755335512997174E-2</v>
      </c>
      <c r="AC264" s="66" t="str">
        <f t="shared" si="169"/>
        <v>4.89115608659516-8.05569229642346i</v>
      </c>
      <c r="AD264" s="64">
        <f t="shared" si="170"/>
        <v>19.484989663413611</v>
      </c>
      <c r="AE264" s="61">
        <f t="shared" si="171"/>
        <v>-58.735228699691731</v>
      </c>
      <c r="AF264" s="31" t="str">
        <f t="shared" si="155"/>
        <v>-9090.90909090909</v>
      </c>
      <c r="AG264" s="31" t="str">
        <f t="shared" si="156"/>
        <v>18120.9043658882i</v>
      </c>
      <c r="AH264" s="31">
        <f t="shared" si="172"/>
        <v>18120.9043658882</v>
      </c>
      <c r="AI264" s="31">
        <f t="shared" si="173"/>
        <v>1.5707963267948966</v>
      </c>
      <c r="AJ264" s="31" t="str">
        <f t="shared" si="157"/>
        <v>-0.18958889969595+6.27430877397568i</v>
      </c>
      <c r="AK264" s="31">
        <f t="shared" si="174"/>
        <v>6.2771724958038329</v>
      </c>
      <c r="AL264" s="31">
        <f t="shared" si="175"/>
        <v>1.6010038343947643</v>
      </c>
      <c r="AM264" s="31" t="str">
        <f t="shared" si="158"/>
        <v>1+23.8797277733675i</v>
      </c>
      <c r="AN264" s="31">
        <f t="shared" si="176"/>
        <v>23.900656863988885</v>
      </c>
      <c r="AO264" s="31">
        <f t="shared" si="177"/>
        <v>1.5289442556152506</v>
      </c>
      <c r="AP264" s="31" t="str">
        <f t="shared" si="159"/>
        <v>1+3.9865989604954i</v>
      </c>
      <c r="AQ264" s="31">
        <f t="shared" si="178"/>
        <v>4.1101059927723282</v>
      </c>
      <c r="AR264" s="31">
        <f t="shared" si="179"/>
        <v>1.325026873883814</v>
      </c>
      <c r="AS264" s="58" t="str">
        <f t="shared" si="180"/>
        <v>-7.45781297477104+2.45348437741464i</v>
      </c>
      <c r="AT264" s="49">
        <f t="shared" si="181"/>
        <v>17.898524838736726</v>
      </c>
      <c r="AU264" s="61">
        <f t="shared" si="182"/>
        <v>161.7897378773992</v>
      </c>
      <c r="AV264" s="58" t="str">
        <f t="shared" si="160"/>
        <v>-16.7128121257053+72.0782215749878i</v>
      </c>
      <c r="AW264" s="64">
        <f t="shared" si="183"/>
        <v>37.383514502150341</v>
      </c>
      <c r="AX264" s="49">
        <f t="shared" si="184"/>
        <v>103.05450917770746</v>
      </c>
      <c r="AY264" s="310"/>
      <c r="BA264" s="31">
        <f t="shared" si="185"/>
        <v>0</v>
      </c>
      <c r="BB264" s="31">
        <f t="shared" si="186"/>
        <v>0</v>
      </c>
    </row>
    <row r="265" spans="14:54" x14ac:dyDescent="0.45">
      <c r="N265" s="10">
        <v>47</v>
      </c>
      <c r="O265" s="50">
        <f t="shared" si="187"/>
        <v>2951.2092266663876</v>
      </c>
      <c r="P265" s="48" t="str">
        <f t="shared" si="150"/>
        <v>17.4002386318441</v>
      </c>
      <c r="Q265" s="17" t="str">
        <f t="shared" si="151"/>
        <v>1+1.58806501598918i</v>
      </c>
      <c r="R265" s="17">
        <f t="shared" si="161"/>
        <v>1.8766860406068764</v>
      </c>
      <c r="S265" s="17">
        <f t="shared" si="162"/>
        <v>1.0088264205719322</v>
      </c>
      <c r="T265" s="17" t="str">
        <f t="shared" si="152"/>
        <v>1+0.00556289833542094i</v>
      </c>
      <c r="U265" s="17">
        <f t="shared" si="163"/>
        <v>1.0000154727992414</v>
      </c>
      <c r="V265" s="17">
        <f t="shared" si="164"/>
        <v>5.5628409536363438E-3</v>
      </c>
      <c r="W265" s="31" t="str">
        <f t="shared" si="153"/>
        <v>1-0.0137243387504262i</v>
      </c>
      <c r="X265" s="17">
        <f t="shared" si="165"/>
        <v>1.0000941743026686</v>
      </c>
      <c r="Y265" s="17">
        <f t="shared" si="166"/>
        <v>-1.372347715386992E-2</v>
      </c>
      <c r="Z265" s="31" t="str">
        <f t="shared" si="154"/>
        <v>0.999992100103492+0.0191943092719909i</v>
      </c>
      <c r="AA265" s="17">
        <f t="shared" si="167"/>
        <v>1.0001762953488857</v>
      </c>
      <c r="AB265" s="17">
        <f t="shared" si="168"/>
        <v>1.9192104172537208E-2</v>
      </c>
      <c r="AC265" s="66" t="str">
        <f t="shared" si="169"/>
        <v>4.72377027861353-7.97750747631464i</v>
      </c>
      <c r="AD265" s="64">
        <f t="shared" si="170"/>
        <v>19.342692811584236</v>
      </c>
      <c r="AE265" s="61">
        <f t="shared" si="171"/>
        <v>-59.368692741538375</v>
      </c>
      <c r="AF265" s="31" t="str">
        <f t="shared" si="155"/>
        <v>-9090.90909090909</v>
      </c>
      <c r="AG265" s="31" t="str">
        <f t="shared" si="156"/>
        <v>18542.9944514031i</v>
      </c>
      <c r="AH265" s="31">
        <f t="shared" si="172"/>
        <v>18542.994451403101</v>
      </c>
      <c r="AI265" s="31">
        <f t="shared" si="173"/>
        <v>1.5707963267948966</v>
      </c>
      <c r="AJ265" s="31" t="str">
        <f t="shared" si="157"/>
        <v>-0.24565249731609+6.42045619981496i</v>
      </c>
      <c r="AK265" s="31">
        <f t="shared" si="174"/>
        <v>6.425153925251907</v>
      </c>
      <c r="AL265" s="31">
        <f t="shared" si="175"/>
        <v>1.609038583240062</v>
      </c>
      <c r="AM265" s="31" t="str">
        <f t="shared" si="158"/>
        <v>1+24.435958088059i</v>
      </c>
      <c r="AN265" s="31">
        <f t="shared" si="176"/>
        <v>24.456411177467885</v>
      </c>
      <c r="AO265" s="31">
        <f t="shared" si="177"/>
        <v>1.5298958506243183</v>
      </c>
      <c r="AP265" s="31" t="str">
        <f t="shared" si="159"/>
        <v>1+4.07945877930868i</v>
      </c>
      <c r="AQ265" s="31">
        <f t="shared" si="178"/>
        <v>4.2002361757499616</v>
      </c>
      <c r="AR265" s="31">
        <f t="shared" si="179"/>
        <v>1.3304058943091579</v>
      </c>
      <c r="AS265" s="58" t="str">
        <f t="shared" si="180"/>
        <v>-7.4413446160676+2.46212798535753i</v>
      </c>
      <c r="AT265" s="49">
        <f t="shared" si="181"/>
        <v>17.884206972688595</v>
      </c>
      <c r="AU265" s="61">
        <f t="shared" si="182"/>
        <v>161.69209822522814</v>
      </c>
      <c r="AV265" s="58" t="str">
        <f t="shared" si="160"/>
        <v>-15.5095581194677+70.9939093078875i</v>
      </c>
      <c r="AW265" s="64">
        <f t="shared" si="183"/>
        <v>37.226899784272838</v>
      </c>
      <c r="AX265" s="49">
        <f t="shared" si="184"/>
        <v>102.32340548368975</v>
      </c>
      <c r="AY265" s="310"/>
      <c r="BA265" s="31">
        <f t="shared" si="185"/>
        <v>0</v>
      </c>
      <c r="BB265" s="31">
        <f t="shared" si="186"/>
        <v>0</v>
      </c>
    </row>
    <row r="266" spans="14:54" x14ac:dyDescent="0.45">
      <c r="N266" s="10">
        <v>48</v>
      </c>
      <c r="O266" s="50">
        <f t="shared" si="187"/>
        <v>3019.9517204020176</v>
      </c>
      <c r="P266" s="48" t="str">
        <f t="shared" si="150"/>
        <v>17.4002386318441</v>
      </c>
      <c r="Q266" s="17" t="str">
        <f t="shared" si="151"/>
        <v>1+1.62505580214795i</v>
      </c>
      <c r="R266" s="17">
        <f t="shared" si="161"/>
        <v>1.9080897148967384</v>
      </c>
      <c r="S266" s="17">
        <f t="shared" si="162"/>
        <v>1.0191566715132081</v>
      </c>
      <c r="T266" s="17" t="str">
        <f t="shared" si="152"/>
        <v>1+0.00569247488340652i</v>
      </c>
      <c r="U266" s="17">
        <f t="shared" si="163"/>
        <v>1.0000162020038965</v>
      </c>
      <c r="V266" s="17">
        <f t="shared" si="164"/>
        <v>5.6924133977703578E-3</v>
      </c>
      <c r="W266" s="31" t="str">
        <f t="shared" si="153"/>
        <v>1-0.0140440196669984i</v>
      </c>
      <c r="X266" s="17">
        <f t="shared" si="165"/>
        <v>1.0000986123820026</v>
      </c>
      <c r="Y266" s="17">
        <f t="shared" si="166"/>
        <v>-1.404309645457147E-2</v>
      </c>
      <c r="Z266" s="31" t="str">
        <f t="shared" si="154"/>
        <v>0.99999172779284+0.0196414021696977i</v>
      </c>
      <c r="AA266" s="17">
        <f t="shared" si="167"/>
        <v>1.0001846031274932</v>
      </c>
      <c r="AB266" s="17">
        <f t="shared" si="168"/>
        <v>1.9639039386603701E-2</v>
      </c>
      <c r="AC266" s="66" t="str">
        <f t="shared" si="169"/>
        <v>4.55968240347884-7.89666862880122i</v>
      </c>
      <c r="AD266" s="64">
        <f t="shared" si="170"/>
        <v>19.198522202901131</v>
      </c>
      <c r="AE266" s="61">
        <f t="shared" si="171"/>
        <v>-59.9970689060574</v>
      </c>
      <c r="AF266" s="31" t="str">
        <f t="shared" si="155"/>
        <v>-9090.90909090909</v>
      </c>
      <c r="AG266" s="31" t="str">
        <f t="shared" si="156"/>
        <v>18974.9162780217i</v>
      </c>
      <c r="AH266" s="31">
        <f t="shared" si="172"/>
        <v>18974.916278021701</v>
      </c>
      <c r="AI266" s="31">
        <f t="shared" si="173"/>
        <v>1.5707963267948966</v>
      </c>
      <c r="AJ266" s="31" t="str">
        <f t="shared" si="157"/>
        <v>-0.30435829089057+6.57000783651617i</v>
      </c>
      <c r="AK266" s="31">
        <f t="shared" si="174"/>
        <v>6.5770538192353056</v>
      </c>
      <c r="AL266" s="31">
        <f t="shared" si="175"/>
        <v>1.6170886382108851</v>
      </c>
      <c r="AM266" s="31" t="str">
        <f t="shared" si="158"/>
        <v>1+25.005144671177i</v>
      </c>
      <c r="AN266" s="31">
        <f t="shared" si="176"/>
        <v>25.025132567610736</v>
      </c>
      <c r="AO266" s="31">
        <f t="shared" si="177"/>
        <v>1.5308258563079957</v>
      </c>
      <c r="AP266" s="31" t="str">
        <f t="shared" si="159"/>
        <v>1+4.17448158116477i</v>
      </c>
      <c r="AQ266" s="31">
        <f t="shared" si="178"/>
        <v>4.2925862217879693</v>
      </c>
      <c r="AR266" s="31">
        <f t="shared" si="179"/>
        <v>1.3356762157517528</v>
      </c>
      <c r="AS266" s="58" t="str">
        <f t="shared" si="180"/>
        <v>-7.42447777293582+2.47179330220358i</v>
      </c>
      <c r="AT266" s="49">
        <f t="shared" si="181"/>
        <v>17.869829297225643</v>
      </c>
      <c r="AU266" s="61">
        <f t="shared" si="182"/>
        <v>161.58611662648758</v>
      </c>
      <c r="AV266" s="58" t="str">
        <f t="shared" si="160"/>
        <v>-14.3343280298832+69.8992331398688i</v>
      </c>
      <c r="AW266" s="64">
        <f t="shared" si="183"/>
        <v>37.068351500126781</v>
      </c>
      <c r="AX266" s="49">
        <f t="shared" si="184"/>
        <v>101.58904772043014</v>
      </c>
      <c r="AY266" s="310"/>
      <c r="BA266" s="31">
        <f t="shared" si="185"/>
        <v>0</v>
      </c>
      <c r="BB266" s="31">
        <f t="shared" si="186"/>
        <v>0</v>
      </c>
    </row>
    <row r="267" spans="14:54" x14ac:dyDescent="0.45">
      <c r="N267" s="10">
        <v>49</v>
      </c>
      <c r="O267" s="50">
        <f t="shared" si="187"/>
        <v>3090.295432513592</v>
      </c>
      <c r="P267" s="48" t="str">
        <f t="shared" si="150"/>
        <v>17.4002386318441</v>
      </c>
      <c r="Q267" s="17" t="str">
        <f t="shared" si="151"/>
        <v>1+1.66290821440318i</v>
      </c>
      <c r="R267" s="17">
        <f t="shared" si="161"/>
        <v>1.9404287488927732</v>
      </c>
      <c r="S267" s="17">
        <f t="shared" si="162"/>
        <v>1.0293802900332405</v>
      </c>
      <c r="T267" s="17" t="str">
        <f t="shared" si="152"/>
        <v>1+0.00582506965692409i</v>
      </c>
      <c r="U267" s="17">
        <f t="shared" si="163"/>
        <v>1.0000169655743387</v>
      </c>
      <c r="V267" s="17">
        <f t="shared" si="164"/>
        <v>5.8250037739383149E-3</v>
      </c>
      <c r="W267" s="31" t="str">
        <f t="shared" si="153"/>
        <v>1-0.0143711469086925i</v>
      </c>
      <c r="X267" s="17">
        <f t="shared" si="165"/>
        <v>1.0001032596004631</v>
      </c>
      <c r="Y267" s="17">
        <f t="shared" si="166"/>
        <v>-1.4370157674270485E-2</v>
      </c>
      <c r="Z267" s="31" t="str">
        <f t="shared" si="154"/>
        <v>0.999991337935728+0.0200989091988197i</v>
      </c>
      <c r="AA267" s="17">
        <f t="shared" si="167"/>
        <v>1.0001933023658327</v>
      </c>
      <c r="AB267" s="17">
        <f t="shared" si="168"/>
        <v>2.0096377457532726E-2</v>
      </c>
      <c r="AC267" s="66" t="str">
        <f t="shared" si="169"/>
        <v>4.39896476195525-7.8133395756626i</v>
      </c>
      <c r="AD267" s="64">
        <f t="shared" si="170"/>
        <v>19.052515453589209</v>
      </c>
      <c r="AE267" s="61">
        <f t="shared" si="171"/>
        <v>-60.620184998454583</v>
      </c>
      <c r="AF267" s="31" t="str">
        <f t="shared" si="155"/>
        <v>-9090.90909090909</v>
      </c>
      <c r="AG267" s="31" t="str">
        <f t="shared" si="156"/>
        <v>19416.8988564136i</v>
      </c>
      <c r="AH267" s="31">
        <f t="shared" si="172"/>
        <v>19416.898856413602</v>
      </c>
      <c r="AI267" s="31">
        <f t="shared" si="173"/>
        <v>1.5707963267948966</v>
      </c>
      <c r="AJ267" s="31" t="str">
        <f t="shared" si="157"/>
        <v>-0.3658308032784+6.72304297833664i</v>
      </c>
      <c r="AK267" s="31">
        <f t="shared" si="174"/>
        <v>6.7329888656664885</v>
      </c>
      <c r="AL267" s="31">
        <f t="shared" si="175"/>
        <v>1.6251571835635816</v>
      </c>
      <c r="AM267" s="31" t="str">
        <f t="shared" si="158"/>
        <v>1+25.5875893129818i</v>
      </c>
      <c r="AN267" s="31">
        <f t="shared" si="176"/>
        <v>25.607122580442741</v>
      </c>
      <c r="AO267" s="31">
        <f t="shared" si="177"/>
        <v>1.5317347593289627</v>
      </c>
      <c r="AP267" s="31" t="str">
        <f t="shared" si="159"/>
        <v>1+4.27171774841099i</v>
      </c>
      <c r="AQ267" s="31">
        <f t="shared" si="178"/>
        <v>4.387205548192318</v>
      </c>
      <c r="AR267" s="31">
        <f t="shared" si="179"/>
        <v>1.3408394609760179</v>
      </c>
      <c r="AS267" s="58" t="str">
        <f t="shared" si="180"/>
        <v>-7.40718418404051+2.48247351591494i</v>
      </c>
      <c r="AT267" s="49">
        <f t="shared" si="181"/>
        <v>17.855366259472394</v>
      </c>
      <c r="AU267" s="61">
        <f t="shared" si="182"/>
        <v>161.47173149799769</v>
      </c>
      <c r="AV267" s="58" t="str">
        <f t="shared" si="160"/>
        <v>-13.187533643474+68.7951588483828i</v>
      </c>
      <c r="AW267" s="64">
        <f t="shared" si="183"/>
        <v>36.907881713061606</v>
      </c>
      <c r="AX267" s="49">
        <f t="shared" si="184"/>
        <v>100.85154649954313</v>
      </c>
      <c r="AY267" s="310"/>
      <c r="BA267" s="31">
        <f t="shared" si="185"/>
        <v>0</v>
      </c>
      <c r="BB267" s="31">
        <f t="shared" si="186"/>
        <v>0</v>
      </c>
    </row>
    <row r="268" spans="14:54" x14ac:dyDescent="0.45">
      <c r="N268" s="10">
        <v>50</v>
      </c>
      <c r="O268" s="50">
        <f t="shared" si="187"/>
        <v>3162.2776601683804</v>
      </c>
      <c r="P268" s="48" t="str">
        <f t="shared" si="150"/>
        <v>17.4002386318441</v>
      </c>
      <c r="Q268" s="17" t="str">
        <f t="shared" si="151"/>
        <v>1+1.70164232260487i</v>
      </c>
      <c r="R268" s="17">
        <f t="shared" si="161"/>
        <v>1.9737240420281903</v>
      </c>
      <c r="S268" s="17">
        <f t="shared" si="162"/>
        <v>1.0394941476126152</v>
      </c>
      <c r="T268" s="17" t="str">
        <f t="shared" si="152"/>
        <v>1+0.00596075295947767i</v>
      </c>
      <c r="U268" s="17">
        <f t="shared" si="163"/>
        <v>1.0000177651301221</v>
      </c>
      <c r="V268" s="17">
        <f t="shared" si="164"/>
        <v>5.9606823646542574E-3</v>
      </c>
      <c r="W268" s="31" t="str">
        <f t="shared" si="153"/>
        <v>1-0.0147058939227023i</v>
      </c>
      <c r="X268" s="17">
        <f t="shared" si="165"/>
        <v>1.0001081258124374</v>
      </c>
      <c r="Y268" s="17">
        <f t="shared" si="166"/>
        <v>-1.4704833945110983E-2</v>
      </c>
      <c r="Z268" s="31" t="str">
        <f t="shared" si="154"/>
        <v>0.999990929705215+0.0205670729356393i</v>
      </c>
      <c r="AA268" s="17">
        <f t="shared" si="167"/>
        <v>1.0002024115057113</v>
      </c>
      <c r="AB268" s="17">
        <f t="shared" si="168"/>
        <v>2.0564360155608849E-2</v>
      </c>
      <c r="AC268" s="66" t="str">
        <f t="shared" si="169"/>
        <v>4.24167972194529-7.72768481547655i</v>
      </c>
      <c r="AD268" s="64">
        <f t="shared" si="170"/>
        <v>18.904710937617658</v>
      </c>
      <c r="AE268" s="61">
        <f t="shared" si="171"/>
        <v>-61.237881513037998</v>
      </c>
      <c r="AF268" s="31" t="str">
        <f t="shared" si="155"/>
        <v>-9090.90909090909</v>
      </c>
      <c r="AG268" s="31" t="str">
        <f t="shared" si="156"/>
        <v>19869.1765315922i</v>
      </c>
      <c r="AH268" s="31">
        <f t="shared" si="172"/>
        <v>19869.176531592198</v>
      </c>
      <c r="AI268" s="31">
        <f t="shared" si="173"/>
        <v>1.5707963267948966</v>
      </c>
      <c r="AJ268" s="31" t="str">
        <f t="shared" si="157"/>
        <v>-0.4302004259201+6.87964276653421i</v>
      </c>
      <c r="AK268" s="31">
        <f t="shared" si="174"/>
        <v>6.8930803710379234</v>
      </c>
      <c r="AL268" s="31">
        <f t="shared" si="175"/>
        <v>1.6332473893116102</v>
      </c>
      <c r="AM268" s="31" t="str">
        <f t="shared" si="158"/>
        <v>1+26.1836008333322i</v>
      </c>
      <c r="AN268" s="31">
        <f t="shared" si="176"/>
        <v>26.202689797027986</v>
      </c>
      <c r="AO268" s="31">
        <f t="shared" si="177"/>
        <v>1.5326230355894137</v>
      </c>
      <c r="AP268" s="31" t="str">
        <f t="shared" si="159"/>
        <v>1+4.37121883695028i</v>
      </c>
      <c r="AQ268" s="31">
        <f t="shared" si="178"/>
        <v>4.4841447479434651</v>
      </c>
      <c r="AR268" s="31">
        <f t="shared" si="179"/>
        <v>1.3458972659373649</v>
      </c>
      <c r="AS268" s="58" t="str">
        <f t="shared" si="180"/>
        <v>-7.38943516159907+2.49416121390749i</v>
      </c>
      <c r="AT268" s="49">
        <f t="shared" si="181"/>
        <v>17.840792056490361</v>
      </c>
      <c r="AU268" s="61">
        <f t="shared" si="182"/>
        <v>161.34888221189414</v>
      </c>
      <c r="AV268" s="58" t="str">
        <f t="shared" si="160"/>
        <v>-12.0695255415208+67.6826589375315i</v>
      </c>
      <c r="AW268" s="64">
        <f t="shared" si="183"/>
        <v>36.745502994108023</v>
      </c>
      <c r="AX268" s="49">
        <f t="shared" si="184"/>
        <v>100.11100069885612</v>
      </c>
      <c r="AY268" s="310"/>
      <c r="BA268" s="31">
        <f t="shared" si="185"/>
        <v>0</v>
      </c>
      <c r="BB268" s="31">
        <f t="shared" si="186"/>
        <v>0</v>
      </c>
    </row>
    <row r="269" spans="14:54" x14ac:dyDescent="0.45">
      <c r="N269" s="10">
        <v>51</v>
      </c>
      <c r="O269" s="50">
        <f t="shared" si="187"/>
        <v>3235.9365692962833</v>
      </c>
      <c r="P269" s="48" t="str">
        <f t="shared" si="150"/>
        <v>17.4002386318441</v>
      </c>
      <c r="Q269" s="17" t="str">
        <f t="shared" si="151"/>
        <v>1+1.74127866408991i</v>
      </c>
      <c r="R269" s="17">
        <f t="shared" si="161"/>
        <v>2.0079968590649591</v>
      </c>
      <c r="S269" s="17">
        <f t="shared" si="162"/>
        <v>1.0494953298508733</v>
      </c>
      <c r="T269" s="17" t="str">
        <f t="shared" si="152"/>
        <v>1+0.00609959673215026i</v>
      </c>
      <c r="U269" s="17">
        <f t="shared" si="163"/>
        <v>1.0000186023671234</v>
      </c>
      <c r="V269" s="17">
        <f t="shared" si="164"/>
        <v>6.0995210885101212E-3</v>
      </c>
      <c r="W269" s="31" t="str">
        <f t="shared" si="153"/>
        <v>1-0.0150484381963253i</v>
      </c>
      <c r="X269" s="17">
        <f t="shared" si="165"/>
        <v>1.0001132213365389</v>
      </c>
      <c r="Y269" s="17">
        <f t="shared" si="166"/>
        <v>-1.5047302416817473E-2</v>
      </c>
      <c r="Z269" s="31" t="str">
        <f t="shared" si="154"/>
        <v>0.999990502235392+0.0210461416067669i</v>
      </c>
      <c r="AA269" s="17">
        <f t="shared" si="167"/>
        <v>1.0002119498573907</v>
      </c>
      <c r="AB269" s="17">
        <f t="shared" si="168"/>
        <v>2.1043234843842837E-2</v>
      </c>
      <c r="AC269" s="66" t="str">
        <f t="shared" si="169"/>
        <v>4.08787989860441-7.63986886210195i</v>
      </c>
      <c r="AD269" s="64">
        <f t="shared" si="170"/>
        <v>18.755147675323151</v>
      </c>
      <c r="AE269" s="61">
        <f t="shared" si="171"/>
        <v>-61.850011669118061</v>
      </c>
      <c r="AF269" s="31" t="str">
        <f t="shared" si="155"/>
        <v>-9090.90909090909</v>
      </c>
      <c r="AG269" s="31" t="str">
        <f t="shared" si="156"/>
        <v>20331.9891071675i</v>
      </c>
      <c r="AH269" s="31">
        <f t="shared" si="172"/>
        <v>20331.989107167501</v>
      </c>
      <c r="AI269" s="31">
        <f t="shared" si="173"/>
        <v>1.5707963267948966</v>
      </c>
      <c r="AJ269" s="31" t="str">
        <f t="shared" si="157"/>
        <v>-0.49760369541549+7.03989023238943i</v>
      </c>
      <c r="AK269" s="31">
        <f t="shared" si="174"/>
        <v>7.0574544930720782</v>
      </c>
      <c r="AL269" s="31">
        <f t="shared" si="175"/>
        <v>1.6413624085899319</v>
      </c>
      <c r="AM269" s="31" t="str">
        <f t="shared" si="158"/>
        <v>1+26.7934952454253i</v>
      </c>
      <c r="AN269" s="31">
        <f t="shared" si="176"/>
        <v>26.812149997093265</v>
      </c>
      <c r="AO269" s="31">
        <f t="shared" si="177"/>
        <v>1.533491150454934</v>
      </c>
      <c r="AP269" s="31" t="str">
        <f t="shared" si="159"/>
        <v>1+4.47303760357685i</v>
      </c>
      <c r="AQ269" s="31">
        <f t="shared" si="178"/>
        <v>4.5834556180912811</v>
      </c>
      <c r="AR269" s="31">
        <f t="shared" si="179"/>
        <v>1.350851276803283</v>
      </c>
      <c r="AS269" s="58" t="str">
        <f t="shared" si="180"/>
        <v>-7.37120158565006+2.50684834082732i</v>
      </c>
      <c r="AT269" s="49">
        <f t="shared" si="181"/>
        <v>17.826080615025887</v>
      </c>
      <c r="AU269" s="61">
        <f t="shared" si="182"/>
        <v>161.21750908878499</v>
      </c>
      <c r="AV269" s="58" t="str">
        <f t="shared" si="160"/>
        <v>-10.9805942094413+66.5627084118022i</v>
      </c>
      <c r="AW269" s="64">
        <f t="shared" si="183"/>
        <v>36.581228290349031</v>
      </c>
      <c r="AX269" s="49">
        <f t="shared" si="184"/>
        <v>99.367497419666975</v>
      </c>
      <c r="AY269" s="310"/>
      <c r="BA269" s="31">
        <f t="shared" si="185"/>
        <v>0</v>
      </c>
      <c r="BB269" s="31">
        <f t="shared" si="186"/>
        <v>0</v>
      </c>
    </row>
    <row r="270" spans="14:54" x14ac:dyDescent="0.45">
      <c r="N270" s="10">
        <v>52</v>
      </c>
      <c r="O270" s="50">
        <f t="shared" si="187"/>
        <v>3311.3112148259115</v>
      </c>
      <c r="P270" s="48" t="str">
        <f t="shared" si="150"/>
        <v>17.4002386318441</v>
      </c>
      <c r="Q270" s="17" t="str">
        <f t="shared" si="151"/>
        <v>1+1.78183825457121i</v>
      </c>
      <c r="R270" s="17">
        <f t="shared" si="161"/>
        <v>2.0432688431661106</v>
      </c>
      <c r="S270" s="17">
        <f t="shared" si="162"/>
        <v>1.0593811360756684</v>
      </c>
      <c r="T270" s="17" t="str">
        <f t="shared" si="152"/>
        <v>1+0.00624167459174797i</v>
      </c>
      <c r="U270" s="17">
        <f t="shared" si="163"/>
        <v>1.0000194790611376</v>
      </c>
      <c r="V270" s="17">
        <f t="shared" si="164"/>
        <v>6.241593538212512E-3</v>
      </c>
      <c r="W270" s="31" t="str">
        <f t="shared" si="153"/>
        <v>1-0.0153989613510698i</v>
      </c>
      <c r="X270" s="17">
        <f t="shared" si="165"/>
        <v>1.0001185569774673</v>
      </c>
      <c r="Y270" s="17">
        <f t="shared" si="166"/>
        <v>-1.5397744349192282E-2</v>
      </c>
      <c r="Z270" s="31" t="str">
        <f t="shared" si="154"/>
        <v>0.999990054619536+0.021536369220753i</v>
      </c>
      <c r="AA270" s="17">
        <f t="shared" si="167"/>
        <v>1.0002219376404395</v>
      </c>
      <c r="AB270" s="17">
        <f t="shared" si="168"/>
        <v>2.1533254605469575E-2</v>
      </c>
      <c r="AC270" s="66" t="str">
        <f>(IMDIV(IMPRODUCT(P270,T270,W270),IMPRODUCT(Q270,Z270)))</f>
        <v>3.93760838062365-7.55005561608621i</v>
      </c>
      <c r="AD270" s="64">
        <f t="shared" si="170"/>
        <v>18.603865224327386</v>
      </c>
      <c r="AE270" s="61">
        <f t="shared" si="171"/>
        <v>-62.456441399038681</v>
      </c>
      <c r="AF270" s="31" t="str">
        <f t="shared" si="155"/>
        <v>-9090.90909090909</v>
      </c>
      <c r="AG270" s="31" t="str">
        <f t="shared" si="156"/>
        <v>20805.5819724932i</v>
      </c>
      <c r="AH270" s="31">
        <f t="shared" si="172"/>
        <v>20805.581972493201</v>
      </c>
      <c r="AI270" s="31">
        <f t="shared" si="173"/>
        <v>1.5707963267948966</v>
      </c>
      <c r="AJ270" s="31" t="str">
        <f t="shared" si="157"/>
        <v>-0.56818358313609+7.20387034122984i</v>
      </c>
      <c r="AK270" s="31">
        <f t="shared" si="174"/>
        <v>7.2262424867559139</v>
      </c>
      <c r="AL270" s="31">
        <f t="shared" si="175"/>
        <v>1.6495053749401765</v>
      </c>
      <c r="AM270" s="31" t="str">
        <f t="shared" si="158"/>
        <v>1+27.4175959233515i</v>
      </c>
      <c r="AN270" s="31">
        <f t="shared" si="176"/>
        <v>27.435826326469204</v>
      </c>
      <c r="AO270" s="31">
        <f t="shared" si="177"/>
        <v>1.5343395589746756</v>
      </c>
      <c r="AP270" s="31" t="str">
        <f t="shared" si="159"/>
        <v>1+4.5772280339485i</v>
      </c>
      <c r="AQ270" s="31">
        <f t="shared" si="178"/>
        <v>4.685191188709811</v>
      </c>
      <c r="AR270" s="31">
        <f t="shared" si="179"/>
        <v>1.3557031471570222</v>
      </c>
      <c r="AS270" s="58" t="str">
        <f t="shared" si="180"/>
        <v>-7.35245390046675+2.52052615357181i</v>
      </c>
      <c r="AT270" s="49">
        <f t="shared" si="181"/>
        <v>17.811205570602194</v>
      </c>
      <c r="AU270" s="61">
        <f t="shared" si="182"/>
        <v>161.07755340569699</v>
      </c>
      <c r="AV270" s="58" t="str">
        <f t="shared" si="160"/>
        <v>-9.9209714553599+65.4362807691194i</v>
      </c>
      <c r="AW270" s="64">
        <f t="shared" si="183"/>
        <v>36.415070794929591</v>
      </c>
      <c r="AX270" s="49">
        <f t="shared" si="184"/>
        <v>98.621112006658322</v>
      </c>
      <c r="AY270" s="310"/>
      <c r="BA270" s="31">
        <f t="shared" si="185"/>
        <v>0</v>
      </c>
      <c r="BB270" s="31">
        <f t="shared" si="186"/>
        <v>0</v>
      </c>
    </row>
    <row r="271" spans="14:54" x14ac:dyDescent="0.45">
      <c r="N271" s="10">
        <v>53</v>
      </c>
      <c r="O271" s="50">
        <f t="shared" si="187"/>
        <v>3388.4415613920314</v>
      </c>
      <c r="P271" s="48" t="str">
        <f t="shared" si="150"/>
        <v>17.4002386318441</v>
      </c>
      <c r="Q271" s="17" t="str">
        <f t="shared" si="151"/>
        <v>1+1.82334259928049i</v>
      </c>
      <c r="R271" s="17">
        <f t="shared" si="161"/>
        <v>2.0795620294549844</v>
      </c>
      <c r="S271" s="17">
        <f t="shared" si="162"/>
        <v>1.0691490781574513</v>
      </c>
      <c r="T271" s="17" t="str">
        <f t="shared" si="152"/>
        <v>1+0.00638706186983254i</v>
      </c>
      <c r="U271" s="17">
        <f t="shared" si="163"/>
        <v>1.0000203970716444</v>
      </c>
      <c r="V271" s="17">
        <f t="shared" si="164"/>
        <v>6.3869750195002135E-3</v>
      </c>
      <c r="W271" s="31" t="str">
        <f t="shared" si="153"/>
        <v>1-0.0157576492389519i</v>
      </c>
      <c r="X271" s="17">
        <f t="shared" si="165"/>
        <v>1.0001241440488964</v>
      </c>
      <c r="Y271" s="17">
        <f t="shared" si="166"/>
        <v>-1.5756345206687825E-2</v>
      </c>
      <c r="Z271" s="31" t="str">
        <f t="shared" si="154"/>
        <v>0.999989585908195+0.0220380157027675i</v>
      </c>
      <c r="AA271" s="17">
        <f t="shared" si="167"/>
        <v>1.0002323960265229</v>
      </c>
      <c r="AB271" s="17">
        <f t="shared" si="168"/>
        <v>2.2034678374219109E-2</v>
      </c>
      <c r="AC271" s="66" t="str">
        <f t="shared" si="169"/>
        <v>3.79089899815521-7.45840777199984i</v>
      </c>
      <c r="AD271" s="64">
        <f t="shared" si="170"/>
        <v>18.450903573243302</v>
      </c>
      <c r="AE271" s="61">
        <f t="shared" si="171"/>
        <v>-63.057049290917099</v>
      </c>
      <c r="AF271" s="31" t="str">
        <f t="shared" si="155"/>
        <v>-9090.90909090909</v>
      </c>
      <c r="AG271" s="31" t="str">
        <f t="shared" si="156"/>
        <v>21290.2062327751i</v>
      </c>
      <c r="AH271" s="31">
        <f t="shared" si="172"/>
        <v>21290.206232775101</v>
      </c>
      <c r="AI271" s="31">
        <f t="shared" si="173"/>
        <v>1.5707963267948966</v>
      </c>
      <c r="AJ271" s="31" t="str">
        <f t="shared" si="157"/>
        <v>-0.64208979848656+7.37167003747967i</v>
      </c>
      <c r="AK271" s="31">
        <f t="shared" si="174"/>
        <v>7.399580964540899</v>
      </c>
      <c r="AL271" s="31">
        <f t="shared" si="175"/>
        <v>1.657679399505485</v>
      </c>
      <c r="AM271" s="31" t="str">
        <f t="shared" si="158"/>
        <v>1+28.056233773551i</v>
      </c>
      <c r="AN271" s="31">
        <f t="shared" si="176"/>
        <v>28.074049468435149</v>
      </c>
      <c r="AO271" s="31">
        <f t="shared" si="177"/>
        <v>1.535168706097821</v>
      </c>
      <c r="AP271" s="31" t="str">
        <f t="shared" si="159"/>
        <v>1+4.68384537121052i</v>
      </c>
      <c r="AQ271" s="31">
        <f t="shared" si="178"/>
        <v>4.7894057524300671</v>
      </c>
      <c r="AR271" s="31">
        <f t="shared" si="179"/>
        <v>1.3604545353778659</v>
      </c>
      <c r="AS271" s="58" t="str">
        <f t="shared" si="180"/>
        <v>-7.33316211338288+2.53518517359478i</v>
      </c>
      <c r="AT271" s="49">
        <f t="shared" si="181"/>
        <v>17.796140246098567</v>
      </c>
      <c r="AU271" s="61">
        <f t="shared" si="182"/>
        <v>160.92895741910263</v>
      </c>
      <c r="AV271" s="58" t="str">
        <f t="shared" si="160"/>
        <v>-8.89083210673483+64.304344234508i</v>
      </c>
      <c r="AW271" s="64">
        <f t="shared" si="183"/>
        <v>36.247043819341862</v>
      </c>
      <c r="AX271" s="49">
        <f t="shared" si="184"/>
        <v>97.871908128185538</v>
      </c>
      <c r="AY271" s="310"/>
      <c r="BA271" s="31">
        <f t="shared" si="185"/>
        <v>0</v>
      </c>
      <c r="BB271" s="31">
        <f t="shared" si="186"/>
        <v>0</v>
      </c>
    </row>
    <row r="272" spans="14:54" x14ac:dyDescent="0.45">
      <c r="N272" s="10">
        <v>54</v>
      </c>
      <c r="O272" s="50">
        <f t="shared" si="187"/>
        <v>3467.3685045253224</v>
      </c>
      <c r="P272" s="48" t="str">
        <f t="shared" si="150"/>
        <v>17.4002386318441</v>
      </c>
      <c r="Q272" s="17" t="str">
        <f t="shared" si="151"/>
        <v>1+1.8658137043707i</v>
      </c>
      <c r="R272" s="17">
        <f t="shared" si="161"/>
        <v>2.11689885904299</v>
      </c>
      <c r="S272" s="17">
        <f t="shared" si="162"/>
        <v>1.0787968785780595</v>
      </c>
      <c r="T272" s="17" t="str">
        <f t="shared" si="152"/>
        <v>1+0.00653583565266325i</v>
      </c>
      <c r="U272" s="17">
        <f t="shared" si="163"/>
        <v>1.0000213583457498</v>
      </c>
      <c r="V272" s="17">
        <f t="shared" si="164"/>
        <v>6.5357425909628444E-3</v>
      </c>
      <c r="W272" s="31" t="str">
        <f t="shared" si="153"/>
        <v>1-0.0161246920410377i</v>
      </c>
      <c r="X272" s="17">
        <f t="shared" si="165"/>
        <v>1.0001299943974375</v>
      </c>
      <c r="Y272" s="17">
        <f t="shared" si="166"/>
        <v>-1.6123294755100843E-2</v>
      </c>
      <c r="Z272" s="31" t="str">
        <f t="shared" si="154"/>
        <v>0.999989095107169+0.0225513470324152i</v>
      </c>
      <c r="AA272" s="17">
        <f t="shared" si="167"/>
        <v>1.0002433471841896</v>
      </c>
      <c r="AB272" s="17">
        <f t="shared" si="168"/>
        <v>2.2547771067409648E-2</v>
      </c>
      <c r="AC272" s="66" t="str">
        <f t="shared" si="169"/>
        <v>3.64777662773553-7.3650862641236i</v>
      </c>
      <c r="AD272" s="64">
        <f t="shared" si="170"/>
        <v>18.296303038615424</v>
      </c>
      <c r="AE272" s="61">
        <f t="shared" si="171"/>
        <v>-63.651726488866359</v>
      </c>
      <c r="AF272" s="31" t="str">
        <f t="shared" si="155"/>
        <v>-9090.90909090909</v>
      </c>
      <c r="AG272" s="31" t="str">
        <f t="shared" si="156"/>
        <v>21786.1188422108i</v>
      </c>
      <c r="AH272" s="31">
        <f t="shared" si="172"/>
        <v>21786.118842210799</v>
      </c>
      <c r="AI272" s="31">
        <f t="shared" si="173"/>
        <v>1.5707963267948966</v>
      </c>
      <c r="AJ272" s="31" t="str">
        <f t="shared" si="157"/>
        <v>-0.71947910645842+7.54337829075895i</v>
      </c>
      <c r="AK272" s="31">
        <f t="shared" si="174"/>
        <v>7.5776121715302649</v>
      </c>
      <c r="AL272" s="31">
        <f t="shared" si="175"/>
        <v>1.6658875681241658</v>
      </c>
      <c r="AM272" s="31" t="str">
        <f t="shared" si="158"/>
        <v>1+28.7097474102654i</v>
      </c>
      <c r="AN272" s="31">
        <f t="shared" si="176"/>
        <v>28.727157819061055</v>
      </c>
      <c r="AO272" s="31">
        <f t="shared" si="177"/>
        <v>1.5359790268863363</v>
      </c>
      <c r="AP272" s="31" t="str">
        <f t="shared" si="159"/>
        <v>1+4.79294614528637i</v>
      </c>
      <c r="AQ272" s="31">
        <f t="shared" si="178"/>
        <v>4.8961548945693565</v>
      </c>
      <c r="AR272" s="31">
        <f t="shared" si="179"/>
        <v>1.3651071021917458</v>
      </c>
      <c r="AS272" s="58" t="str">
        <f t="shared" si="180"/>
        <v>-7.31329579630546+2.55081513655019i</v>
      </c>
      <c r="AT272" s="49">
        <f t="shared" si="181"/>
        <v>17.780857629957808</v>
      </c>
      <c r="AU272" s="61">
        <f t="shared" si="182"/>
        <v>160.77166440329211</v>
      </c>
      <c r="AV272" s="58" t="str">
        <f t="shared" si="160"/>
        <v>-7.89029595295519+63.167858251624i</v>
      </c>
      <c r="AW272" s="64">
        <f t="shared" si="183"/>
        <v>36.077160668573228</v>
      </c>
      <c r="AX272" s="49">
        <f t="shared" si="184"/>
        <v>97.119937914425762</v>
      </c>
      <c r="AY272" s="310"/>
      <c r="BA272" s="31">
        <f t="shared" si="185"/>
        <v>0</v>
      </c>
      <c r="BB272" s="31">
        <f t="shared" si="186"/>
        <v>0</v>
      </c>
    </row>
    <row r="273" spans="14:54" x14ac:dyDescent="0.45">
      <c r="N273" s="10">
        <v>55</v>
      </c>
      <c r="O273" s="50">
        <f t="shared" si="187"/>
        <v>3548.1338923357539</v>
      </c>
      <c r="P273" s="48" t="str">
        <f t="shared" si="150"/>
        <v>17.4002386318441</v>
      </c>
      <c r="Q273" s="17" t="str">
        <f t="shared" si="151"/>
        <v>1+1.90927408858392i</v>
      </c>
      <c r="R273" s="17">
        <f t="shared" si="161"/>
        <v>2.1553021935074343</v>
      </c>
      <c r="S273" s="17">
        <f t="shared" si="162"/>
        <v>1.0883224678043206</v>
      </c>
      <c r="T273" s="17" t="str">
        <f t="shared" si="152"/>
        <v>1+0.00668807482206898i</v>
      </c>
      <c r="U273" s="17">
        <f t="shared" si="163"/>
        <v>1.0000223649223179</v>
      </c>
      <c r="V273" s="17">
        <f t="shared" si="164"/>
        <v>6.6879751047808625E-3</v>
      </c>
      <c r="W273" s="31" t="str">
        <f t="shared" si="153"/>
        <v>1-0.016500284368279i</v>
      </c>
      <c r="X273" s="17">
        <f t="shared" si="165"/>
        <v>1.0001361204277317</v>
      </c>
      <c r="Y273" s="17">
        <f t="shared" si="166"/>
        <v>-1.6498787160428127E-2</v>
      </c>
      <c r="Z273" s="31" t="str">
        <f t="shared" si="154"/>
        <v>0.999988581175403+0.0230766353847618i</v>
      </c>
      <c r="AA273" s="17">
        <f t="shared" si="167"/>
        <v>1.0002548143257681</v>
      </c>
      <c r="AB273" s="17">
        <f t="shared" si="168"/>
        <v>2.3072803721914021E-2</v>
      </c>
      <c r="AC273" s="66" t="str">
        <f t="shared" si="169"/>
        <v>3.50825752950797-7.2702497523456i</v>
      </c>
      <c r="AD273" s="64">
        <f t="shared" si="170"/>
        <v>18.140104165484804</v>
      </c>
      <c r="AE273" s="61">
        <f t="shared" si="171"/>
        <v>-64.240376553634121</v>
      </c>
      <c r="AF273" s="31" t="str">
        <f t="shared" si="155"/>
        <v>-9090.90909090909</v>
      </c>
      <c r="AG273" s="31" t="str">
        <f t="shared" si="156"/>
        <v>22293.5827402299i</v>
      </c>
      <c r="AH273" s="31">
        <f t="shared" si="172"/>
        <v>22293.5827402299</v>
      </c>
      <c r="AI273" s="31">
        <f t="shared" si="173"/>
        <v>1.5707963267948966</v>
      </c>
      <c r="AJ273" s="31" t="str">
        <f t="shared" si="157"/>
        <v>-0.80051566014965+7.71908614305639i</v>
      </c>
      <c r="AK273" s="31">
        <f t="shared" si="174"/>
        <v>7.7604842765171558</v>
      </c>
      <c r="AL273" s="31">
        <f t="shared" si="175"/>
        <v>1.674132938311617</v>
      </c>
      <c r="AM273" s="31" t="str">
        <f t="shared" si="158"/>
        <v>1+29.378483335075i</v>
      </c>
      <c r="AN273" s="31">
        <f t="shared" si="176"/>
        <v>29.395497666637308</v>
      </c>
      <c r="AO273" s="31">
        <f t="shared" si="177"/>
        <v>1.5367709467240169</v>
      </c>
      <c r="AP273" s="31" t="str">
        <f t="shared" si="159"/>
        <v>1+4.90458820285057i</v>
      </c>
      <c r="AQ273" s="31">
        <f t="shared" si="178"/>
        <v>5.0054955238758305</v>
      </c>
      <c r="AR273" s="31">
        <f t="shared" si="179"/>
        <v>1.3696625083858149</v>
      </c>
      <c r="AS273" s="58" t="str">
        <f t="shared" si="180"/>
        <v>-7.29282409019944+2.56740493934613i</v>
      </c>
      <c r="AT273" s="49">
        <f t="shared" si="181"/>
        <v>17.765330354165052</v>
      </c>
      <c r="AU273" s="61">
        <f t="shared" si="182"/>
        <v>160.60561870432795</v>
      </c>
      <c r="AV273" s="58" t="str">
        <f t="shared" si="160"/>
        <v>-6.91942990136722+62.0277702454295i</v>
      </c>
      <c r="AW273" s="64">
        <f t="shared" si="183"/>
        <v>35.905434519649859</v>
      </c>
      <c r="AX273" s="49">
        <f t="shared" si="184"/>
        <v>96.365242150693817</v>
      </c>
      <c r="AY273" s="310"/>
      <c r="BA273" s="31">
        <f t="shared" si="185"/>
        <v>0</v>
      </c>
      <c r="BB273" s="31">
        <f t="shared" si="186"/>
        <v>0</v>
      </c>
    </row>
    <row r="274" spans="14:54" x14ac:dyDescent="0.45">
      <c r="N274" s="10">
        <v>56</v>
      </c>
      <c r="O274" s="50">
        <f t="shared" si="187"/>
        <v>3630.7805477010188</v>
      </c>
      <c r="P274" s="48" t="str">
        <f t="shared" si="150"/>
        <v>17.4002386318441</v>
      </c>
      <c r="Q274" s="17" t="str">
        <f t="shared" si="151"/>
        <v>1+1.95374679519116i</v>
      </c>
      <c r="R274" s="17">
        <f t="shared" si="161"/>
        <v>2.1947953298017855</v>
      </c>
      <c r="S274" s="17">
        <f t="shared" si="162"/>
        <v>1.0977239810199371</v>
      </c>
      <c r="T274" s="17" t="str">
        <f t="shared" si="152"/>
        <v>1+0.00684386009727256i</v>
      </c>
      <c r="U274" s="17">
        <f t="shared" si="163"/>
        <v>1.0000234189362922</v>
      </c>
      <c r="V274" s="17">
        <f t="shared" si="164"/>
        <v>6.843753248408419E-3</v>
      </c>
      <c r="W274" s="31" t="str">
        <f t="shared" si="153"/>
        <v>1-0.0168846253646996i</v>
      </c>
      <c r="X274" s="17">
        <f t="shared" si="165"/>
        <v>1.0001425351287216</v>
      </c>
      <c r="Y274" s="17">
        <f t="shared" si="166"/>
        <v>-1.6883021089931484E-2</v>
      </c>
      <c r="Z274" s="31" t="str">
        <f t="shared" si="154"/>
        <v>0.99998804302278+0.0236141592746449i</v>
      </c>
      <c r="AA274" s="17">
        <f t="shared" si="167"/>
        <v>1.0002668217564639</v>
      </c>
      <c r="AB274" s="17">
        <f t="shared" si="168"/>
        <v>2.361005363305008E-2</v>
      </c>
      <c r="AC274" s="66" t="str">
        <f t="shared" si="169"/>
        <v>3.37234971206143-7.17405414958187i</v>
      </c>
      <c r="AD274" s="64">
        <f t="shared" si="170"/>
        <v>17.982347631916674</v>
      </c>
      <c r="AE274" s="61">
        <f t="shared" si="171"/>
        <v>-64.82291528671324</v>
      </c>
      <c r="AF274" s="31" t="str">
        <f t="shared" si="155"/>
        <v>-9090.90909090909</v>
      </c>
      <c r="AG274" s="31" t="str">
        <f t="shared" si="156"/>
        <v>22812.8669909085i</v>
      </c>
      <c r="AH274" s="31">
        <f t="shared" si="172"/>
        <v>22812.8669909085</v>
      </c>
      <c r="AI274" s="31">
        <f t="shared" si="173"/>
        <v>1.5707963267948966</v>
      </c>
      <c r="AJ274" s="31" t="str">
        <f t="shared" si="157"/>
        <v>-0.88537134895542+7.89888675700109i</v>
      </c>
      <c r="AK274" s="31">
        <f t="shared" si="174"/>
        <v>7.9483516797810569</v>
      </c>
      <c r="AL274" s="31">
        <f t="shared" si="175"/>
        <v>1.6824185361203248</v>
      </c>
      <c r="AM274" s="31" t="str">
        <f t="shared" si="158"/>
        <v>1+30.0627961206192i</v>
      </c>
      <c r="AN274" s="31">
        <f t="shared" si="176"/>
        <v>30.079423375289572</v>
      </c>
      <c r="AO274" s="31">
        <f t="shared" si="177"/>
        <v>1.5375448815218349</v>
      </c>
      <c r="AP274" s="31" t="str">
        <f t="shared" si="159"/>
        <v>1+5.01883073799987i</v>
      </c>
      <c r="AQ274" s="31">
        <f t="shared" si="178"/>
        <v>5.1174859039075349</v>
      </c>
      <c r="AR274" s="31">
        <f t="shared" si="179"/>
        <v>1.3741224126804834</v>
      </c>
      <c r="AS274" s="58" t="str">
        <f t="shared" si="180"/>
        <v>-7.27171571284019+2.58494258470034i</v>
      </c>
      <c r="AT274" s="49">
        <f t="shared" si="181"/>
        <v>17.749530672144608</v>
      </c>
      <c r="AU274" s="61">
        <f t="shared" si="182"/>
        <v>160.43076580979613</v>
      </c>
      <c r="AV274" s="58" t="str">
        <f t="shared" si="160"/>
        <v>-5.97825031418883+60.8850126654904i</v>
      </c>
      <c r="AW274" s="64">
        <f t="shared" si="183"/>
        <v>35.731878304061283</v>
      </c>
      <c r="AX274" s="49">
        <f t="shared" si="184"/>
        <v>95.607850523082888</v>
      </c>
      <c r="AY274" s="310"/>
      <c r="BA274" s="31">
        <f t="shared" si="185"/>
        <v>0</v>
      </c>
      <c r="BB274" s="31">
        <f t="shared" si="186"/>
        <v>0</v>
      </c>
    </row>
    <row r="275" spans="14:54" x14ac:dyDescent="0.45">
      <c r="N275" s="10">
        <v>57</v>
      </c>
      <c r="O275" s="50">
        <f t="shared" si="187"/>
        <v>3715.352290971724</v>
      </c>
      <c r="P275" s="48" t="str">
        <f t="shared" ref="P275:P338" si="188">COMPLEX(Adc,0)</f>
        <v>17.4002386318441</v>
      </c>
      <c r="Q275" s="17" t="str">
        <f t="shared" ref="Q275:Q338" si="189">IMSUM(COMPLEX(1,0),IMDIV(COMPLEX(0,2*PI()*O275),COMPLEX(wp_lf,0)))</f>
        <v>1+1.99925540421009i</v>
      </c>
      <c r="R275" s="17">
        <f t="shared" si="161"/>
        <v>2.2354020155809224</v>
      </c>
      <c r="S275" s="17">
        <f t="shared" si="162"/>
        <v>1.1069997542701648</v>
      </c>
      <c r="T275" s="17" t="str">
        <f t="shared" ref="T275:T338" si="190">IMSUM(COMPLEX(1,0),IMDIV(COMPLEX(0,2*PI()*O275),COMPLEX(wz_esr,0)))</f>
        <v>1+0.00700327407768889i</v>
      </c>
      <c r="U275" s="17">
        <f t="shared" si="163"/>
        <v>1.0000245226232241</v>
      </c>
      <c r="V275" s="17">
        <f t="shared" si="164"/>
        <v>7.0031595872198519E-3</v>
      </c>
      <c r="W275" s="31" t="str">
        <f t="shared" ref="W275:W338" si="191">IMSUB(COMPLEX(1,0),IMDIV(COMPLEX(0,2*PI()*O275),COMPLEX(wz_rhp,0)))</f>
        <v>1-0.017277918812983i</v>
      </c>
      <c r="X275" s="17">
        <f t="shared" si="165"/>
        <v>1.0001492521011592</v>
      </c>
      <c r="Y275" s="17">
        <f t="shared" si="166"/>
        <v>-1.7276199815452534E-2</v>
      </c>
      <c r="Z275" s="31" t="str">
        <f t="shared" ref="Z275:Z338" si="192">IMSUM(COMPLEX(1,0),IMDIV(COMPLEX(0,2*PI()*O275),COMPLEX(Q*(wsl/2),0)),IMDIV(IMPOWER(COMPLEX(0,2*PI()*O275),2),IMPOWER(COMPLEX(wsl/2,0),2)))</f>
        <v>0.999987479507804+0.0241642037043457i</v>
      </c>
      <c r="AA275" s="17">
        <f t="shared" si="167"/>
        <v>1.0002793949257556</v>
      </c>
      <c r="AB275" s="17">
        <f t="shared" si="168"/>
        <v>2.4159804496445354E-2</v>
      </c>
      <c r="AC275" s="66" t="str">
        <f t="shared" si="169"/>
        <v>3.24005332027565-7.07665219151687i</v>
      </c>
      <c r="AD275" s="64">
        <f t="shared" si="170"/>
        <v>17.823074157776585</v>
      </c>
      <c r="AE275" s="61">
        <f t="shared" si="171"/>
        <v>-65.399270521053026</v>
      </c>
      <c r="AF275" s="31" t="str">
        <f t="shared" ref="AF275:AF338" si="193">IF(FB_type=1,COMPLEX(Adc_ea_iso,0),COMPLEX(Adc_ea,0))</f>
        <v>-9090.90909090909</v>
      </c>
      <c r="AG275" s="31" t="str">
        <f t="shared" ref="AG275:AG338" si="194">IF(FB_type=1,COMPLEX(0,2*PI()*O275),COMPLEX(0,2*PI()*O275*wp0_ea))</f>
        <v>23344.2469256296i</v>
      </c>
      <c r="AH275" s="31">
        <f t="shared" si="172"/>
        <v>23344.246925629599</v>
      </c>
      <c r="AI275" s="31">
        <f t="shared" si="173"/>
        <v>1.5707963267948966</v>
      </c>
      <c r="AJ275" s="31" t="str">
        <f t="shared" ref="AJ275:AJ338" si="195">IF(FB_type=1,IMSUM(IMPRODUCT(COMPLEX(wpA_ea_iso,0),IMPOWER(COMPLEX(0,2*PI()*O275),2)),COMPLEX(0,wpB_ea_iso*2*PI()*O275),COMPLEX(1,0)),IMSUM(COMPLEX(1,0),IMDIV(COMPLEX(0,2*PI()*O275),COMPLEX(wp1_ea,0))))</f>
        <v>-0.97422616316845+8.08287546525846i</v>
      </c>
      <c r="AK275" s="31">
        <f t="shared" si="174"/>
        <v>8.14137533859477</v>
      </c>
      <c r="AL275" s="31">
        <f t="shared" si="175"/>
        <v>1.69074735286817</v>
      </c>
      <c r="AM275" s="31" t="str">
        <f t="shared" ref="AM275:AM338" si="196">IMSUM(COMPLEX(1,0),IMDIV(COMPLEX(0,2*PI()*O275),COMPLEX(wz1_ea_iso,0)))</f>
        <v>1+30.7630485985947i</v>
      </c>
      <c r="AN275" s="31">
        <f t="shared" si="176"/>
        <v>30.779297572873546</v>
      </c>
      <c r="AO275" s="31">
        <f t="shared" si="177"/>
        <v>1.5383012379196039</v>
      </c>
      <c r="AP275" s="31" t="str">
        <f t="shared" ref="AP275:AP338" si="197">IF(FB_type=1,IMSUM(COMPLEX(1,0),IMDIV(COMPLEX(0,2*PI()*O275),COMPLEX(wz2_ea_iso,0))),1)</f>
        <v>1+5.13573432363851i</v>
      </c>
      <c r="AQ275" s="31">
        <f t="shared" si="178"/>
        <v>5.2321856850649624</v>
      </c>
      <c r="AR275" s="31">
        <f t="shared" si="179"/>
        <v>1.3784884697523632</v>
      </c>
      <c r="AS275" s="58" t="str">
        <f t="shared" si="180"/>
        <v>-7.2499389701365+2.60341512330954i</v>
      </c>
      <c r="AT275" s="49">
        <f t="shared" si="181"/>
        <v>17.733430436721491</v>
      </c>
      <c r="AU275" s="61">
        <f t="shared" si="182"/>
        <v>160.2470524345386</v>
      </c>
      <c r="AV275" s="58" t="str">
        <f t="shared" ref="AV275:AV338" si="198">IMPRODUCT(AC275,AS275)</f>
        <v>-5.06672549418997+59.7405003157149i</v>
      </c>
      <c r="AW275" s="64">
        <f t="shared" si="183"/>
        <v>35.556504594498072</v>
      </c>
      <c r="AX275" s="49">
        <f t="shared" si="184"/>
        <v>94.847781913485576</v>
      </c>
      <c r="AY275" s="310"/>
      <c r="BA275" s="31">
        <f t="shared" si="185"/>
        <v>0</v>
      </c>
      <c r="BB275" s="31">
        <f t="shared" si="186"/>
        <v>0</v>
      </c>
    </row>
    <row r="276" spans="14:54" x14ac:dyDescent="0.45">
      <c r="N276" s="10">
        <v>58</v>
      </c>
      <c r="O276" s="50">
        <f t="shared" si="187"/>
        <v>3801.8939632056172</v>
      </c>
      <c r="P276" s="48" t="str">
        <f t="shared" si="188"/>
        <v>17.4002386318441</v>
      </c>
      <c r="Q276" s="17" t="str">
        <f t="shared" si="189"/>
        <v>1+2.04582404490761i</v>
      </c>
      <c r="R276" s="17">
        <f t="shared" ref="R276:R339" si="199">IMABS(Q276)</f>
        <v>2.2771464649253756</v>
      </c>
      <c r="S276" s="17">
        <f t="shared" ref="S276:S339" si="200">IMARGUMENT(Q276)</f>
        <v>1.1161483200746811</v>
      </c>
      <c r="T276" s="17" t="str">
        <f t="shared" si="190"/>
        <v>1+0.0071664012867205i</v>
      </c>
      <c r="U276" s="17">
        <f t="shared" ref="U276:U339" si="201">IMABS(T276)</f>
        <v>1.0000256783240131</v>
      </c>
      <c r="V276" s="17">
        <f t="shared" ref="V276:V339" si="202">IMARGUMENT(T276)</f>
        <v>7.1662786081427921E-3</v>
      </c>
      <c r="W276" s="31" t="str">
        <f t="shared" si="191"/>
        <v>1-0.0176803732425213i</v>
      </c>
      <c r="X276" s="17">
        <f t="shared" ref="X276:X339" si="203">IMABS(W276)</f>
        <v>1.0001562855864052</v>
      </c>
      <c r="Y276" s="17">
        <f t="shared" ref="Y276:Y339" si="204">IMARGUMENT(W276)</f>
        <v>-1.7678531319026428E-2</v>
      </c>
      <c r="Z276" s="31" t="str">
        <f t="shared" si="192"/>
        <v>0.999986889435186+0.0247270603147016i</v>
      </c>
      <c r="AA276" s="17">
        <f t="shared" ref="AA276:AA339" si="205">IMABS(Z276)</f>
        <v>1.0002925604812154</v>
      </c>
      <c r="AB276" s="17">
        <f t="shared" ref="AB276:AB339" si="206">IMARGUMENT(Z276)</f>
        <v>2.4722346552928116E-2</v>
      </c>
      <c r="AC276" s="66" t="str">
        <f t="shared" ref="AC276:AC339" si="207">(IMDIV(IMPRODUCT(P276,T276,W276),IMPRODUCT(Q276,Z276)))</f>
        <v>3.11136104168937-6.97819304897711i</v>
      </c>
      <c r="AD276" s="64">
        <f t="shared" ref="AD276:AD339" si="208">20*LOG(IMABS(AC276))</f>
        <v>17.662324417988582</v>
      </c>
      <c r="AE276" s="61">
        <f t="shared" ref="AE276:AE339" si="209">(180/PI())*IMARGUMENT(AC276)</f>
        <v>-65.969381881547278</v>
      </c>
      <c r="AF276" s="31" t="str">
        <f t="shared" si="193"/>
        <v>-9090.90909090909</v>
      </c>
      <c r="AG276" s="31" t="str">
        <f t="shared" si="194"/>
        <v>23888.0042890683i</v>
      </c>
      <c r="AH276" s="31">
        <f t="shared" ref="AH276:AH339" si="210">IMABS(AG276)</f>
        <v>23888.0042890683</v>
      </c>
      <c r="AI276" s="31">
        <f t="shared" ref="AI276:AI339" si="211">IMARGUMENT(AG276)</f>
        <v>1.5707963267948966</v>
      </c>
      <c r="AJ276" s="31" t="str">
        <f t="shared" si="195"/>
        <v>-1.06726857576268+8.27114982107703i</v>
      </c>
      <c r="AK276" s="31">
        <f t="shared" ref="AK276:AK339" si="212">IMABS(AJ276)</f>
        <v>8.3397231114415948</v>
      </c>
      <c r="AL276" s="31">
        <f t="shared" ref="AL276:AL339" si="213">IMARGUMENT(AJ276)</f>
        <v>1.6991223417258006</v>
      </c>
      <c r="AM276" s="31" t="str">
        <f t="shared" si="196"/>
        <v>1+31.4796120521342i</v>
      </c>
      <c r="AN276" s="31">
        <f t="shared" ref="AN276:AN339" si="214">IMABS(AM276)</f>
        <v>31.495491343252176</v>
      </c>
      <c r="AO276" s="31">
        <f t="shared" ref="AO276:AO339" si="215">IMARGUMENT(AM276)</f>
        <v>1.5390404134839777</v>
      </c>
      <c r="AP276" s="31" t="str">
        <f t="shared" si="197"/>
        <v>1+5.25536094359502i</v>
      </c>
      <c r="AQ276" s="31">
        <f t="shared" ref="AQ276:AQ339" si="216">IMABS(AP276)</f>
        <v>5.3496559372976451</v>
      </c>
      <c r="AR276" s="31">
        <f t="shared" ref="AR276:AR339" si="217">IMARGUMENT(AP276)</f>
        <v>1.3827623284015944</v>
      </c>
      <c r="AS276" s="58" t="str">
        <f t="shared" ref="AS276:AS339" si="218">IMDIV(IMPRODUCT(AF276,AM276,AP276),IMPRODUCT(AG276,AJ276))</f>
        <v>-7.22746177133726+2.62280859376931i</v>
      </c>
      <c r="AT276" s="49">
        <f t="shared" ref="AT276:AT339" si="219">20*LOG(IMABS(AS276))</f>
        <v>17.717001078299912</v>
      </c>
      <c r="AU276" s="61">
        <f t="shared" ref="AU276:AU339" si="220">(180/PI())*IMARGUMENT(AS276)</f>
        <v>160.05442662252145</v>
      </c>
      <c r="AV276" s="58" t="str">
        <f t="shared" si="198"/>
        <v>-4.18477828779957+58.5951279729554i</v>
      </c>
      <c r="AW276" s="64">
        <f t="shared" ref="AW276:AW339" si="221">20*LOG(IMABS(AV276))</f>
        <v>35.379325496288502</v>
      </c>
      <c r="AX276" s="49">
        <f t="shared" ref="AX276:AX339" si="222">(180/PI())*IMARGUMENT(AV276)</f>
        <v>94.085044740974183</v>
      </c>
      <c r="AY276" s="310"/>
      <c r="BA276" s="31">
        <f t="shared" ref="BA276:BA339" si="223">SUM((AW277&lt;0)*(AW276&gt;0))*O276</f>
        <v>0</v>
      </c>
      <c r="BB276" s="31">
        <f t="shared" ref="BB276:BB339" si="224">IF(BA276&gt;0,AX276,0)</f>
        <v>0</v>
      </c>
    </row>
    <row r="277" spans="14:54" x14ac:dyDescent="0.45">
      <c r="N277" s="10">
        <v>59</v>
      </c>
      <c r="O277" s="50">
        <f t="shared" si="187"/>
        <v>3890.451449942811</v>
      </c>
      <c r="P277" s="48" t="str">
        <f t="shared" si="188"/>
        <v>17.4002386318441</v>
      </c>
      <c r="Q277" s="17" t="str">
        <f t="shared" si="189"/>
        <v>1+2.09347740859343i</v>
      </c>
      <c r="R277" s="17">
        <f t="shared" si="199"/>
        <v>2.3200533744487566</v>
      </c>
      <c r="S277" s="17">
        <f t="shared" si="200"/>
        <v>1.1251684025639528</v>
      </c>
      <c r="T277" s="17" t="str">
        <f t="shared" si="190"/>
        <v>1+0.00733332821657287i</v>
      </c>
      <c r="U277" s="17">
        <f t="shared" si="201"/>
        <v>1.0000268884898706</v>
      </c>
      <c r="V277" s="17">
        <f t="shared" si="202"/>
        <v>7.3331967642994086E-3</v>
      </c>
      <c r="W277" s="31" t="str">
        <f t="shared" si="191"/>
        <v>1-0.0180922020399802i</v>
      </c>
      <c r="X277" s="17">
        <f t="shared" si="203"/>
        <v>1.0001636504965852</v>
      </c>
      <c r="Y277" s="17">
        <f t="shared" si="204"/>
        <v>-1.8090228400837727E-2</v>
      </c>
      <c r="Z277" s="31" t="str">
        <f t="shared" si="192"/>
        <v>0.999986271553302+0.0253030275397377i</v>
      </c>
      <c r="AA277" s="17">
        <f t="shared" si="205"/>
        <v>1.0003063463248401</v>
      </c>
      <c r="AB277" s="17">
        <f t="shared" si="206"/>
        <v>2.5297976736493959E-2</v>
      </c>
      <c r="AC277" s="66" t="str">
        <f t="shared" si="207"/>
        <v>2.98625852708129-6.87882198280714i</v>
      </c>
      <c r="AD277" s="64">
        <f t="shared" si="208"/>
        <v>17.500138960460639</v>
      </c>
      <c r="AE277" s="61">
        <f t="shared" si="209"/>
        <v>-66.533200518474885</v>
      </c>
      <c r="AF277" s="31" t="str">
        <f t="shared" si="193"/>
        <v>-9090.90909090909</v>
      </c>
      <c r="AG277" s="31" t="str">
        <f t="shared" si="194"/>
        <v>24444.4273885762i</v>
      </c>
      <c r="AH277" s="31">
        <f t="shared" si="210"/>
        <v>24444.427388576201</v>
      </c>
      <c r="AI277" s="31">
        <f t="shared" si="211"/>
        <v>1.5707963267948966</v>
      </c>
      <c r="AJ277" s="31" t="str">
        <f t="shared" si="195"/>
        <v>-1.16469594216963+8.46380965001234i</v>
      </c>
      <c r="AK277" s="31">
        <f t="shared" si="212"/>
        <v>8.5435701219893101</v>
      </c>
      <c r="AL277" s="31">
        <f t="shared" si="213"/>
        <v>1.707546414154312</v>
      </c>
      <c r="AM277" s="31" t="str">
        <f t="shared" si="196"/>
        <v>1+32.2128664126657i</v>
      </c>
      <c r="AN277" s="31">
        <f t="shared" si="214"/>
        <v>32.228384423055488</v>
      </c>
      <c r="AO277" s="31">
        <f t="shared" si="215"/>
        <v>1.5397627969028087</v>
      </c>
      <c r="AP277" s="31" t="str">
        <f t="shared" si="197"/>
        <v>1+5.37777402548676i</v>
      </c>
      <c r="AQ277" s="31">
        <f t="shared" si="216"/>
        <v>5.4699591835040291</v>
      </c>
      <c r="AR277" s="31">
        <f t="shared" si="217"/>
        <v>1.3869456298570033</v>
      </c>
      <c r="AS277" s="58" t="str">
        <f t="shared" si="218"/>
        <v>-7.20425164844116+2.64310796040595i</v>
      </c>
      <c r="AT277" s="49">
        <f t="shared" si="219"/>
        <v>17.700213583412523</v>
      </c>
      <c r="AU277" s="61">
        <f t="shared" si="220"/>
        <v>159.85283786497035</v>
      </c>
      <c r="AV277" s="58" t="str">
        <f t="shared" si="198"/>
        <v>-3.33228877542386+57.4497682937303i</v>
      </c>
      <c r="AW277" s="64">
        <f t="shared" si="221"/>
        <v>35.200352543873159</v>
      </c>
      <c r="AX277" s="49">
        <f t="shared" si="222"/>
        <v>93.319637346495483</v>
      </c>
      <c r="AY277" s="310"/>
      <c r="BA277" s="31">
        <f t="shared" si="223"/>
        <v>0</v>
      </c>
      <c r="BB277" s="31">
        <f t="shared" si="224"/>
        <v>0</v>
      </c>
    </row>
    <row r="278" spans="14:54" x14ac:dyDescent="0.45">
      <c r="N278" s="10">
        <v>60</v>
      </c>
      <c r="O278" s="50">
        <f t="shared" si="187"/>
        <v>3981.0717055349769</v>
      </c>
      <c r="P278" s="48" t="str">
        <f t="shared" si="188"/>
        <v>17.4002386318441</v>
      </c>
      <c r="Q278" s="17" t="str">
        <f t="shared" si="189"/>
        <v>1+2.14224076171172i</v>
      </c>
      <c r="R278" s="17">
        <f t="shared" si="199"/>
        <v>2.3641479397743304</v>
      </c>
      <c r="S278" s="17">
        <f t="shared" si="200"/>
        <v>1.1340589121941458</v>
      </c>
      <c r="T278" s="17" t="str">
        <f t="shared" si="190"/>
        <v>1+0.00750414337411372i</v>
      </c>
      <c r="U278" s="17">
        <f t="shared" si="201"/>
        <v>1.0000281556875183</v>
      </c>
      <c r="V278" s="17">
        <f t="shared" si="202"/>
        <v>7.5040025206791717E-3</v>
      </c>
      <c r="W278" s="31" t="str">
        <f t="shared" si="191"/>
        <v>1-0.0185136235624393i</v>
      </c>
      <c r="X278" s="17">
        <f t="shared" si="203"/>
        <v>1.0001713624461619</v>
      </c>
      <c r="Y278" s="17">
        <f t="shared" si="204"/>
        <v>-1.8511508789565329E-2</v>
      </c>
      <c r="Z278" s="31" t="str">
        <f t="shared" si="192"/>
        <v>0.999985624551542+0.0258924107649004i</v>
      </c>
      <c r="AA278" s="17">
        <f t="shared" si="205"/>
        <v>1.0003207816720374</v>
      </c>
      <c r="AB278" s="17">
        <f t="shared" si="206"/>
        <v>2.588699882539899E-2</v>
      </c>
      <c r="AC278" s="66" t="str">
        <f t="shared" si="207"/>
        <v>2.86472482116328-6.77868004071264i</v>
      </c>
      <c r="AD278" s="64">
        <f t="shared" si="208"/>
        <v>17.336558128813316</v>
      </c>
      <c r="AE278" s="61">
        <f t="shared" si="209"/>
        <v>-67.090688817048289</v>
      </c>
      <c r="AF278" s="31" t="str">
        <f t="shared" si="193"/>
        <v>-9090.90909090909</v>
      </c>
      <c r="AG278" s="31" t="str">
        <f t="shared" si="194"/>
        <v>25013.8112470457i</v>
      </c>
      <c r="AH278" s="31">
        <f t="shared" si="210"/>
        <v>25013.811247045702</v>
      </c>
      <c r="AI278" s="31">
        <f t="shared" si="211"/>
        <v>1.5707963267948966</v>
      </c>
      <c r="AJ278" s="31" t="str">
        <f t="shared" si="195"/>
        <v>-1.26671491889575+8.66095710285585i</v>
      </c>
      <c r="AK278" s="31">
        <f t="shared" si="212"/>
        <v>8.7530991439182433</v>
      </c>
      <c r="AL278" s="31">
        <f t="shared" si="213"/>
        <v>1.7160224361851886</v>
      </c>
      <c r="AM278" s="31" t="str">
        <f t="shared" si="196"/>
        <v>1+32.9632004613568i</v>
      </c>
      <c r="AN278" s="31">
        <f t="shared" si="214"/>
        <v>32.978365403027375</v>
      </c>
      <c r="AO278" s="31">
        <f t="shared" si="215"/>
        <v>1.5404687681758864</v>
      </c>
      <c r="AP278" s="31" t="str">
        <f t="shared" si="197"/>
        <v>1+5.50303847435005i</v>
      </c>
      <c r="AQ278" s="31">
        <f t="shared" si="216"/>
        <v>5.5931594336454351</v>
      </c>
      <c r="AR278" s="31">
        <f t="shared" si="217"/>
        <v>1.3910400062126433</v>
      </c>
      <c r="AS278" s="58" t="str">
        <f t="shared" si="218"/>
        <v>-7.18027578013419+2.66429704921099i</v>
      </c>
      <c r="AT278" s="49">
        <f t="shared" si="219"/>
        <v>17.683038473798081</v>
      </c>
      <c r="AU278" s="61">
        <f t="shared" si="220"/>
        <v>159.64223723486245</v>
      </c>
      <c r="AV278" s="58" t="str">
        <f t="shared" si="198"/>
        <v>-2.50909702013183+56.3052700054348i</v>
      </c>
      <c r="AW278" s="64">
        <f t="shared" si="221"/>
        <v>35.019596602611394</v>
      </c>
      <c r="AX278" s="49">
        <f t="shared" si="222"/>
        <v>92.551548417814146</v>
      </c>
      <c r="AY278" s="310"/>
      <c r="BA278" s="31">
        <f t="shared" si="223"/>
        <v>0</v>
      </c>
      <c r="BB278" s="31">
        <f t="shared" si="224"/>
        <v>0</v>
      </c>
    </row>
    <row r="279" spans="14:54" x14ac:dyDescent="0.45">
      <c r="N279" s="10">
        <v>61</v>
      </c>
      <c r="O279" s="50">
        <f t="shared" si="187"/>
        <v>4073.8027780411317</v>
      </c>
      <c r="P279" s="48" t="str">
        <f t="shared" si="188"/>
        <v>17.4002386318441</v>
      </c>
      <c r="Q279" s="17" t="str">
        <f t="shared" si="189"/>
        <v>1+2.19213995923779i</v>
      </c>
      <c r="R279" s="17">
        <f t="shared" si="199"/>
        <v>2.4094558723676727</v>
      </c>
      <c r="S279" s="17">
        <f t="shared" si="200"/>
        <v>1.1428189400946107</v>
      </c>
      <c r="T279" s="17" t="str">
        <f t="shared" si="190"/>
        <v>1+0.00767893732780063i</v>
      </c>
      <c r="U279" s="17">
        <f t="shared" si="201"/>
        <v>1.0000294826046301</v>
      </c>
      <c r="V279" s="17">
        <f t="shared" si="202"/>
        <v>7.6787864008666194E-3</v>
      </c>
      <c r="W279" s="31" t="str">
        <f t="shared" si="191"/>
        <v>1-0.018944861253168i</v>
      </c>
      <c r="X279" s="17">
        <f t="shared" si="203"/>
        <v>1.0001794377849915</v>
      </c>
      <c r="Y279" s="17">
        <f t="shared" si="204"/>
        <v>-1.8942595255163366E-2</v>
      </c>
      <c r="Z279" s="31" t="str">
        <f t="shared" si="192"/>
        <v>0.999984947057529+0.0264955224889774i</v>
      </c>
      <c r="AA279" s="17">
        <f t="shared" si="205"/>
        <v>1.0003358971133711</v>
      </c>
      <c r="AB279" s="17">
        <f t="shared" si="206"/>
        <v>2.6489723596430467E-2</v>
      </c>
      <c r="AC279" s="66" t="str">
        <f t="shared" si="207"/>
        <v>2.74673279952813-6.67790379517656i</v>
      </c>
      <c r="AD279" s="64">
        <f t="shared" si="208"/>
        <v>17.171621990003892</v>
      </c>
      <c r="AE279" s="61">
        <f t="shared" si="209"/>
        <v>-67.641820086172089</v>
      </c>
      <c r="AF279" s="31" t="str">
        <f t="shared" si="193"/>
        <v>-9090.90909090909</v>
      </c>
      <c r="AG279" s="31" t="str">
        <f t="shared" si="194"/>
        <v>25596.4577593354i</v>
      </c>
      <c r="AH279" s="31">
        <f t="shared" si="210"/>
        <v>25596.457759335401</v>
      </c>
      <c r="AI279" s="31">
        <f t="shared" si="211"/>
        <v>1.5707963267948966</v>
      </c>
      <c r="AJ279" s="31" t="str">
        <f t="shared" si="195"/>
        <v>-1.37354190186862+8.86269670979661i</v>
      </c>
      <c r="AK279" s="31">
        <f t="shared" si="212"/>
        <v>8.9685010077508789</v>
      </c>
      <c r="AL279" s="31">
        <f t="shared" si="213"/>
        <v>1.7245532245351487</v>
      </c>
      <c r="AM279" s="31" t="str">
        <f t="shared" si="196"/>
        <v>1+33.7310120352522i</v>
      </c>
      <c r="AN279" s="31">
        <f t="shared" si="214"/>
        <v>33.745831934067482</v>
      </c>
      <c r="AO279" s="31">
        <f t="shared" si="215"/>
        <v>1.5411586988020922</v>
      </c>
      <c r="AP279" s="31" t="str">
        <f t="shared" si="197"/>
        <v>1+5.63122070705378i</v>
      </c>
      <c r="AQ279" s="31">
        <f t="shared" si="216"/>
        <v>5.7193222195948428</v>
      </c>
      <c r="AR279" s="31">
        <f t="shared" si="217"/>
        <v>1.3950470789893512</v>
      </c>
      <c r="AS279" s="58" t="str">
        <f t="shared" si="218"/>
        <v>-7.15550102058639+2.68635848209968i</v>
      </c>
      <c r="AT279" s="49">
        <f t="shared" si="219"/>
        <v>17.665445786171524</v>
      </c>
      <c r="AU279" s="61">
        <f t="shared" si="220"/>
        <v>159.42257753783588</v>
      </c>
      <c r="AV279" s="58" t="str">
        <f t="shared" si="198"/>
        <v>-1.71500584748345+55.1624563758374i</v>
      </c>
      <c r="AW279" s="64">
        <f t="shared" si="221"/>
        <v>34.837067776175417</v>
      </c>
      <c r="AX279" s="49">
        <f t="shared" si="222"/>
        <v>91.780757451663789</v>
      </c>
      <c r="AY279" s="310"/>
      <c r="BA279" s="31">
        <f t="shared" si="223"/>
        <v>0</v>
      </c>
      <c r="BB279" s="31">
        <f t="shared" si="224"/>
        <v>0</v>
      </c>
    </row>
    <row r="280" spans="14:54" x14ac:dyDescent="0.45">
      <c r="N280" s="10">
        <v>62</v>
      </c>
      <c r="O280" s="50">
        <f t="shared" si="187"/>
        <v>4168.6938347033583</v>
      </c>
      <c r="P280" s="48" t="str">
        <f t="shared" si="188"/>
        <v>17.4002386318441</v>
      </c>
      <c r="Q280" s="17" t="str">
        <f t="shared" si="189"/>
        <v>1+2.24320145838665i</v>
      </c>
      <c r="R280" s="17">
        <f t="shared" si="199"/>
        <v>2.4560034167134202</v>
      </c>
      <c r="S280" s="17">
        <f t="shared" si="200"/>
        <v>1.151447752100573</v>
      </c>
      <c r="T280" s="17" t="str">
        <f t="shared" si="190"/>
        <v>1+0.0078578027557015i</v>
      </c>
      <c r="U280" s="17">
        <f t="shared" si="201"/>
        <v>1.000030872055532</v>
      </c>
      <c r="V280" s="17">
        <f t="shared" si="202"/>
        <v>7.8576410348476667E-3</v>
      </c>
      <c r="W280" s="31" t="str">
        <f t="shared" si="191"/>
        <v>1-0.019386143760098i</v>
      </c>
      <c r="X280" s="17">
        <f t="shared" si="203"/>
        <v>1.0001878936329349</v>
      </c>
      <c r="Y280" s="17">
        <f t="shared" si="204"/>
        <v>-1.9383715724124877E-2</v>
      </c>
      <c r="Z280" s="31" t="str">
        <f t="shared" si="192"/>
        <v>0.999984237634206+0.0271126824897877i</v>
      </c>
      <c r="AA280" s="17">
        <f t="shared" si="205"/>
        <v>1.0003517246792031</v>
      </c>
      <c r="AB280" s="17">
        <f t="shared" si="206"/>
        <v>2.7106468982402151E-2</v>
      </c>
      <c r="AC280" s="66" t="str">
        <f t="shared" si="207"/>
        <v>2.63224960826129-6.57662512123866i</v>
      </c>
      <c r="AD280" s="64">
        <f t="shared" si="208"/>
        <v>17.005370266895731</v>
      </c>
      <c r="AE280" s="61">
        <f t="shared" si="209"/>
        <v>-68.186578229430779</v>
      </c>
      <c r="AF280" s="31" t="str">
        <f t="shared" si="193"/>
        <v>-9090.90909090909</v>
      </c>
      <c r="AG280" s="31" t="str">
        <f t="shared" si="194"/>
        <v>26192.6758523383i</v>
      </c>
      <c r="AH280" s="31">
        <f t="shared" si="210"/>
        <v>26192.6758523383</v>
      </c>
      <c r="AI280" s="31">
        <f t="shared" si="211"/>
        <v>1.5707963267948966</v>
      </c>
      <c r="AJ280" s="31" t="str">
        <f t="shared" si="195"/>
        <v>-1.48540348544167+9.06913543584457i</v>
      </c>
      <c r="AK280" s="31">
        <f t="shared" si="212"/>
        <v>9.1899750308830512</v>
      </c>
      <c r="AL280" s="31">
        <f t="shared" si="213"/>
        <v>1.7331415425493395</v>
      </c>
      <c r="AM280" s="31" t="str">
        <f t="shared" si="196"/>
        <v>1+34.5167082382114i</v>
      </c>
      <c r="AN280" s="31">
        <f t="shared" si="214"/>
        <v>34.531190938075255</v>
      </c>
      <c r="AO280" s="31">
        <f t="shared" si="215"/>
        <v>1.5418329519629934</v>
      </c>
      <c r="AP280" s="31" t="str">
        <f t="shared" si="197"/>
        <v>1+5.76238868751442i</v>
      </c>
      <c r="AQ280" s="31">
        <f t="shared" si="216"/>
        <v>5.8485146307412252</v>
      </c>
      <c r="AR280" s="31">
        <f t="shared" si="217"/>
        <v>1.3989684578150521</v>
      </c>
      <c r="AS280" s="58" t="str">
        <f t="shared" si="218"/>
        <v>-7.12989393343924+2.70927360974755i</v>
      </c>
      <c r="AT280" s="49">
        <f t="shared" si="219"/>
        <v>17.647405052852363</v>
      </c>
      <c r="AU280" s="61">
        <f t="shared" si="220"/>
        <v>159.19381347953419</v>
      </c>
      <c r="AV280" s="58" t="str">
        <f t="shared" si="198"/>
        <v>-0.949783631065308+54.0221239523543i</v>
      </c>
      <c r="AW280" s="64">
        <f t="shared" si="221"/>
        <v>34.652775319748102</v>
      </c>
      <c r="AX280" s="49">
        <f t="shared" si="222"/>
        <v>91.007235250103406</v>
      </c>
      <c r="AY280" s="310"/>
      <c r="BA280" s="31">
        <f t="shared" si="223"/>
        <v>0</v>
      </c>
      <c r="BB280" s="31">
        <f t="shared" si="224"/>
        <v>0</v>
      </c>
    </row>
    <row r="281" spans="14:54" x14ac:dyDescent="0.45">
      <c r="N281" s="10">
        <v>63</v>
      </c>
      <c r="O281" s="50">
        <f t="shared" si="187"/>
        <v>4265.7951880159299</v>
      </c>
      <c r="P281" s="48" t="str">
        <f t="shared" si="188"/>
        <v>17.4002386318441</v>
      </c>
      <c r="Q281" s="17" t="str">
        <f t="shared" si="189"/>
        <v>1+2.29545233264103i</v>
      </c>
      <c r="R281" s="17">
        <f t="shared" si="199"/>
        <v>2.5038173678260049</v>
      </c>
      <c r="S281" s="17">
        <f t="shared" si="200"/>
        <v>1.1599447825219951</v>
      </c>
      <c r="T281" s="17" t="str">
        <f t="shared" si="190"/>
        <v>1+0.00804083449463374i</v>
      </c>
      <c r="U281" s="17">
        <f t="shared" si="201"/>
        <v>1.000032326987168</v>
      </c>
      <c r="V281" s="17">
        <f t="shared" si="202"/>
        <v>8.0406612079193373E-3</v>
      </c>
      <c r="W281" s="31" t="str">
        <f t="shared" si="191"/>
        <v>1-0.0198377050570556i</v>
      </c>
      <c r="X281" s="17">
        <f t="shared" si="203"/>
        <v>1.0001967479160943</v>
      </c>
      <c r="Y281" s="17">
        <f t="shared" si="204"/>
        <v>-1.9835103397276243E-2</v>
      </c>
      <c r="Z281" s="31" t="str">
        <f t="shared" si="192"/>
        <v>0.999983494776793+0.0277442179937329i</v>
      </c>
      <c r="AA281" s="17">
        <f t="shared" si="205"/>
        <v>1.0003682979073718</v>
      </c>
      <c r="AB281" s="17">
        <f t="shared" si="206"/>
        <v>2.7737560232926711E-2</v>
      </c>
      <c r="AC281" s="66" t="str">
        <f t="shared" si="207"/>
        <v>2.52123710291021-6.474971012658i</v>
      </c>
      <c r="AD281" s="64">
        <f t="shared" si="208"/>
        <v>16.837842275783146</v>
      </c>
      <c r="AE281" s="61">
        <f t="shared" si="209"/>
        <v>-68.72495740122821</v>
      </c>
      <c r="AF281" s="31" t="str">
        <f t="shared" si="193"/>
        <v>-9090.90909090909</v>
      </c>
      <c r="AG281" s="31" t="str">
        <f t="shared" si="194"/>
        <v>26802.7816487791i</v>
      </c>
      <c r="AH281" s="31">
        <f t="shared" si="210"/>
        <v>26802.781648779099</v>
      </c>
      <c r="AI281" s="31">
        <f t="shared" si="211"/>
        <v>1.5707963267948966</v>
      </c>
      <c r="AJ281" s="31" t="str">
        <f t="shared" si="195"/>
        <v>-1.60253694303118+9.28038273754481i</v>
      </c>
      <c r="AK281" s="31">
        <f t="shared" si="212"/>
        <v>9.417729472070187</v>
      </c>
      <c r="AL281" s="31">
        <f t="shared" si="213"/>
        <v>1.7417900959672787</v>
      </c>
      <c r="AM281" s="31" t="str">
        <f t="shared" si="196"/>
        <v>1+35.3207056567611i</v>
      </c>
      <c r="AN281" s="31">
        <f t="shared" si="214"/>
        <v>35.334858823710555</v>
      </c>
      <c r="AO281" s="31">
        <f t="shared" si="215"/>
        <v>1.5424918827029201</v>
      </c>
      <c r="AP281" s="31" t="str">
        <f t="shared" si="197"/>
        <v>1+5.8966119627314i</v>
      </c>
      <c r="AQ281" s="31">
        <f t="shared" si="216"/>
        <v>5.9808053503710568</v>
      </c>
      <c r="AR281" s="31">
        <f t="shared" si="217"/>
        <v>1.4028057392177011</v>
      </c>
      <c r="AS281" s="58" t="str">
        <f t="shared" si="218"/>
        <v>-7.10342083131647+2.73302244329548i</v>
      </c>
      <c r="AT281" s="49">
        <f t="shared" si="219"/>
        <v>17.62888528342377</v>
      </c>
      <c r="AU281" s="61">
        <f t="shared" si="220"/>
        <v>158.9559018493579</v>
      </c>
      <c r="AV281" s="58" t="str">
        <f t="shared" si="198"/>
        <v>-0.213167060218392+52.885041560608i</v>
      </c>
      <c r="AW281" s="64">
        <f t="shared" si="221"/>
        <v>34.466727559206916</v>
      </c>
      <c r="AX281" s="49">
        <f t="shared" si="222"/>
        <v>90.230944448129691</v>
      </c>
      <c r="AY281" s="310"/>
      <c r="BA281" s="31">
        <f t="shared" si="223"/>
        <v>0</v>
      </c>
      <c r="BB281" s="31">
        <f t="shared" si="224"/>
        <v>0</v>
      </c>
    </row>
    <row r="282" spans="14:54" x14ac:dyDescent="0.45">
      <c r="N282" s="10">
        <v>64</v>
      </c>
      <c r="O282" s="50">
        <f t="shared" si="187"/>
        <v>4365.1583224016631</v>
      </c>
      <c r="P282" s="48" t="str">
        <f t="shared" si="188"/>
        <v>17.4002386318441</v>
      </c>
      <c r="Q282" s="17" t="str">
        <f t="shared" si="189"/>
        <v>1+2.34892028610607i</v>
      </c>
      <c r="R282" s="17">
        <f t="shared" si="199"/>
        <v>2.5529250890851896</v>
      </c>
      <c r="S282" s="17">
        <f t="shared" si="200"/>
        <v>1.1683096276974061</v>
      </c>
      <c r="T282" s="17" t="str">
        <f t="shared" si="190"/>
        <v>1+0.00822812959044805i</v>
      </c>
      <c r="U282" s="17">
        <f t="shared" si="201"/>
        <v>1.000033850485351</v>
      </c>
      <c r="V282" s="17">
        <f t="shared" si="202"/>
        <v>8.2279439107276788E-3</v>
      </c>
      <c r="W282" s="31" t="str">
        <f t="shared" si="191"/>
        <v>1-0.0202997845678174i</v>
      </c>
      <c r="X282" s="17">
        <f t="shared" si="203"/>
        <v>1.0002060194047524</v>
      </c>
      <c r="Y282" s="17">
        <f t="shared" si="204"/>
        <v>-2.0296996870149554E-2</v>
      </c>
      <c r="Z282" s="31" t="str">
        <f t="shared" si="192"/>
        <v>0.999982716909588+0.0283904638492964i</v>
      </c>
      <c r="AA282" s="17">
        <f t="shared" si="205"/>
        <v>1.0003856519140302</v>
      </c>
      <c r="AB282" s="17">
        <f t="shared" si="206"/>
        <v>2.8383330078510752E-2</v>
      </c>
      <c r="AC282" s="66" t="str">
        <f t="shared" si="207"/>
        <v>2.41365228380189-6.37306343475241i</v>
      </c>
      <c r="AD282" s="64">
        <f t="shared" si="208"/>
        <v>16.669076868847622</v>
      </c>
      <c r="AE282" s="61">
        <f t="shared" si="209"/>
        <v>-69.256961650882005</v>
      </c>
      <c r="AF282" s="31" t="str">
        <f t="shared" si="193"/>
        <v>-9090.90909090909</v>
      </c>
      <c r="AG282" s="31" t="str">
        <f t="shared" si="194"/>
        <v>27427.0986348268i</v>
      </c>
      <c r="AH282" s="31">
        <f t="shared" si="210"/>
        <v>27427.098634826802</v>
      </c>
      <c r="AI282" s="31">
        <f t="shared" si="211"/>
        <v>1.5707963267948966</v>
      </c>
      <c r="AJ282" s="31" t="str">
        <f t="shared" si="195"/>
        <v>-1.72519073040505+9.49655062101288i</v>
      </c>
      <c r="AK282" s="31">
        <f t="shared" si="212"/>
        <v>9.6519820116769619</v>
      </c>
      <c r="AL282" s="31">
        <f t="shared" si="213"/>
        <v>1.7505015285069478</v>
      </c>
      <c r="AM282" s="31" t="str">
        <f t="shared" si="196"/>
        <v>1+36.1434305809747i</v>
      </c>
      <c r="AN282" s="31">
        <f t="shared" si="214"/>
        <v>36.15726170718321</v>
      </c>
      <c r="AO282" s="31">
        <f t="shared" si="215"/>
        <v>1.5431358381055551</v>
      </c>
      <c r="AP282" s="31" t="str">
        <f t="shared" si="197"/>
        <v>1+6.03396169966189i</v>
      </c>
      <c r="AQ282" s="31">
        <f t="shared" si="216"/>
        <v>6.1162646928486195</v>
      </c>
      <c r="AR282" s="31">
        <f t="shared" si="217"/>
        <v>1.4065605055248935</v>
      </c>
      <c r="AS282" s="58" t="str">
        <f t="shared" si="218"/>
        <v>-7.07604782118826+2.75758358525169i</v>
      </c>
      <c r="AT282" s="49">
        <f t="shared" si="219"/>
        <v>17.609854947599718</v>
      </c>
      <c r="AU282" s="61">
        <f t="shared" si="220"/>
        <v>158.7088017205476</v>
      </c>
      <c r="AV282" s="58" t="str">
        <f t="shared" si="198"/>
        <v>0.495136131538572+51.7519495500917i</v>
      </c>
      <c r="AW282" s="64">
        <f t="shared" si="221"/>
        <v>34.27893181644734</v>
      </c>
      <c r="AX282" s="49">
        <f t="shared" si="222"/>
        <v>89.451840069665607</v>
      </c>
      <c r="AY282" s="310"/>
      <c r="BA282" s="31">
        <f t="shared" si="223"/>
        <v>0</v>
      </c>
      <c r="BB282" s="31">
        <f t="shared" si="224"/>
        <v>0</v>
      </c>
    </row>
    <row r="283" spans="14:54" x14ac:dyDescent="0.45">
      <c r="N283" s="10">
        <v>65</v>
      </c>
      <c r="O283" s="50">
        <f t="shared" si="187"/>
        <v>4466.8359215096343</v>
      </c>
      <c r="P283" s="48" t="str">
        <f t="shared" si="188"/>
        <v>17.4002386318441</v>
      </c>
      <c r="Q283" s="17" t="str">
        <f t="shared" si="189"/>
        <v>1+2.40363366819845i</v>
      </c>
      <c r="R283" s="17">
        <f t="shared" si="199"/>
        <v>2.6033545303890397</v>
      </c>
      <c r="S283" s="17">
        <f t="shared" si="200"/>
        <v>1.1765420393792227</v>
      </c>
      <c r="T283" s="17" t="str">
        <f t="shared" si="190"/>
        <v>1+0.0084197873494834i</v>
      </c>
      <c r="U283" s="17">
        <f t="shared" si="201"/>
        <v>1.0000354457813037</v>
      </c>
      <c r="V283" s="17">
        <f t="shared" si="202"/>
        <v>8.4195883904593007E-3</v>
      </c>
      <c r="W283" s="31" t="str">
        <f t="shared" si="191"/>
        <v>1-0.0207726272930565i</v>
      </c>
      <c r="X283" s="17">
        <f t="shared" si="203"/>
        <v>1.0002157277530963</v>
      </c>
      <c r="Y283" s="17">
        <f t="shared" si="204"/>
        <v>-2.0769640255982658E-2</v>
      </c>
      <c r="Z283" s="31" t="str">
        <f t="shared" si="192"/>
        <v>0.999981902382631+0.0290517627045851i</v>
      </c>
      <c r="AA283" s="17">
        <f t="shared" si="205"/>
        <v>1.0004038234678181</v>
      </c>
      <c r="AB283" s="17">
        <f t="shared" si="206"/>
        <v>2.9044118898021914E-2</v>
      </c>
      <c r="AC283" s="66" t="str">
        <f t="shared" si="207"/>
        <v>2.30944772500153-6.27101921202332i</v>
      </c>
      <c r="AD283" s="64">
        <f t="shared" si="208"/>
        <v>16.499112381486757</v>
      </c>
      <c r="AE283" s="61">
        <f t="shared" si="209"/>
        <v>-69.782604557339155</v>
      </c>
      <c r="AF283" s="31" t="str">
        <f t="shared" si="193"/>
        <v>-9090.90909090909</v>
      </c>
      <c r="AG283" s="31" t="str">
        <f t="shared" si="194"/>
        <v>28065.9578316113i</v>
      </c>
      <c r="AH283" s="31">
        <f t="shared" si="210"/>
        <v>28065.9578316113</v>
      </c>
      <c r="AI283" s="31">
        <f t="shared" si="211"/>
        <v>1.5707963267948966</v>
      </c>
      <c r="AJ283" s="31" t="str">
        <f t="shared" si="195"/>
        <v>-1.85362501269081+9.71775370132193i</v>
      </c>
      <c r="AK283" s="31">
        <f t="shared" si="212"/>
        <v>9.8929602590543695</v>
      </c>
      <c r="AL283" s="31">
        <f t="shared" si="213"/>
        <v>1.7592784172635669</v>
      </c>
      <c r="AM283" s="31" t="str">
        <f t="shared" si="196"/>
        <v>1+36.9853192304974i</v>
      </c>
      <c r="AN283" s="31">
        <f t="shared" si="214"/>
        <v>36.99883563819003</v>
      </c>
      <c r="AO283" s="31">
        <f t="shared" si="215"/>
        <v>1.5437651574670779</v>
      </c>
      <c r="AP283" s="31" t="str">
        <f t="shared" si="197"/>
        <v>1+6.17451072295448i</v>
      </c>
      <c r="AQ283" s="31">
        <f t="shared" si="216"/>
        <v>6.2549646416170779</v>
      </c>
      <c r="AR283" s="31">
        <f t="shared" si="217"/>
        <v>1.4102343238643367</v>
      </c>
      <c r="AS283" s="58" t="str">
        <f t="shared" si="218"/>
        <v>-7.04774085591294+2.78293415995965i</v>
      </c>
      <c r="AT283" s="49">
        <f t="shared" si="219"/>
        <v>17.590281959482731</v>
      </c>
      <c r="AU283" s="61">
        <f t="shared" si="220"/>
        <v>158.45247466646649</v>
      </c>
      <c r="AV283" s="58" t="str">
        <f t="shared" si="198"/>
        <v>1.17544449681447+50.6235592733396i</v>
      </c>
      <c r="AW283" s="64">
        <f t="shared" si="221"/>
        <v>34.089394340969491</v>
      </c>
      <c r="AX283" s="49">
        <f t="shared" si="222"/>
        <v>88.669870109127345</v>
      </c>
      <c r="AY283" s="310"/>
      <c r="BA283" s="31">
        <f t="shared" si="223"/>
        <v>0</v>
      </c>
      <c r="BB283" s="31">
        <f t="shared" si="224"/>
        <v>0</v>
      </c>
    </row>
    <row r="284" spans="14:54" x14ac:dyDescent="0.45">
      <c r="N284" s="10">
        <v>66</v>
      </c>
      <c r="O284" s="50">
        <f t="shared" ref="O284:O318" si="225">10^(3+(N284/100))</f>
        <v>4570.8818961487532</v>
      </c>
      <c r="P284" s="48" t="str">
        <f t="shared" si="188"/>
        <v>17.4002386318441</v>
      </c>
      <c r="Q284" s="17" t="str">
        <f t="shared" si="189"/>
        <v>1+2.45962148867756i</v>
      </c>
      <c r="R284" s="17">
        <f t="shared" si="199"/>
        <v>2.6551342466181285</v>
      </c>
      <c r="S284" s="17">
        <f t="shared" si="200"/>
        <v>1.1846419179944634</v>
      </c>
      <c r="T284" s="17" t="str">
        <f t="shared" si="190"/>
        <v>1+0.00861590939122051i</v>
      </c>
      <c r="U284" s="17">
        <f t="shared" si="201"/>
        <v>1.0000371162585107</v>
      </c>
      <c r="V284" s="17">
        <f t="shared" si="202"/>
        <v>8.6156962032125778E-3</v>
      </c>
      <c r="W284" s="31" t="str">
        <f t="shared" si="191"/>
        <v>1-0.0212564839402447i</v>
      </c>
      <c r="X284" s="17">
        <f t="shared" si="203"/>
        <v>1.000225893540805</v>
      </c>
      <c r="Y284" s="17">
        <f t="shared" si="204"/>
        <v>-2.1253283311393485E-2</v>
      </c>
      <c r="Z284" s="31" t="str">
        <f t="shared" si="192"/>
        <v>0.999981049468201+0.0297284651890053i</v>
      </c>
      <c r="AA284" s="17">
        <f t="shared" si="205"/>
        <v>1.0004228510674966</v>
      </c>
      <c r="AB284" s="17">
        <f t="shared" si="206"/>
        <v>2.9720274889572709E-2</v>
      </c>
      <c r="AC284" s="66" t="str">
        <f t="shared" si="207"/>
        <v>2.20857199450956-6.16894994853294i</v>
      </c>
      <c r="AD284" s="64">
        <f t="shared" si="208"/>
        <v>16.327986584431208</v>
      </c>
      <c r="AE284" s="61">
        <f t="shared" si="209"/>
        <v>-70.301908857034533</v>
      </c>
      <c r="AF284" s="31" t="str">
        <f t="shared" si="193"/>
        <v>-9090.90909090909</v>
      </c>
      <c r="AG284" s="31" t="str">
        <f t="shared" si="194"/>
        <v>28719.697970735i</v>
      </c>
      <c r="AH284" s="31">
        <f t="shared" si="210"/>
        <v>28719.697970735</v>
      </c>
      <c r="AI284" s="31">
        <f t="shared" si="211"/>
        <v>1.5707963267948966</v>
      </c>
      <c r="AJ284" s="31" t="str">
        <f t="shared" si="195"/>
        <v>-1.98811221622066+9.94410926327309i</v>
      </c>
      <c r="AK284" s="31">
        <f t="shared" si="212"/>
        <v>10.140902288465238</v>
      </c>
      <c r="AL284" s="31">
        <f t="shared" si="213"/>
        <v>1.7681232679208554</v>
      </c>
      <c r="AM284" s="31" t="str">
        <f t="shared" si="196"/>
        <v>1+37.8468179858346i</v>
      </c>
      <c r="AN284" s="31">
        <f t="shared" si="214"/>
        <v>37.860026831116926</v>
      </c>
      <c r="AO284" s="31">
        <f t="shared" si="215"/>
        <v>1.544380172465903</v>
      </c>
      <c r="AP284" s="31" t="str">
        <f t="shared" si="197"/>
        <v>1+6.31833355356169i</v>
      </c>
      <c r="AQ284" s="31">
        <f t="shared" si="216"/>
        <v>6.3969788880426597</v>
      </c>
      <c r="AR284" s="31">
        <f t="shared" si="217"/>
        <v>1.4138287452595597</v>
      </c>
      <c r="AS284" s="58" t="str">
        <f t="shared" si="218"/>
        <v>-7.01846579226979+2.80904974404355i</v>
      </c>
      <c r="AT284" s="49">
        <f t="shared" si="219"/>
        <v>17.570133663399311</v>
      </c>
      <c r="AU284" s="61">
        <f t="shared" si="220"/>
        <v>158.18688499288811</v>
      </c>
      <c r="AV284" s="58" t="str">
        <f t="shared" si="198"/>
        <v>1.82810028071351+49.5005527838818i</v>
      </c>
      <c r="AW284" s="64">
        <f t="shared" si="221"/>
        <v>33.898120247830533</v>
      </c>
      <c r="AX284" s="49">
        <f t="shared" si="222"/>
        <v>87.884976135853591</v>
      </c>
      <c r="AY284" s="310"/>
      <c r="BA284" s="31">
        <f t="shared" si="223"/>
        <v>0</v>
      </c>
      <c r="BB284" s="31">
        <f t="shared" si="224"/>
        <v>0</v>
      </c>
    </row>
    <row r="285" spans="14:54" x14ac:dyDescent="0.45">
      <c r="N285" s="10">
        <v>67</v>
      </c>
      <c r="O285" s="50">
        <f t="shared" si="225"/>
        <v>4677.3514128719844</v>
      </c>
      <c r="P285" s="48" t="str">
        <f t="shared" si="188"/>
        <v>17.4002386318441</v>
      </c>
      <c r="Q285" s="17" t="str">
        <f t="shared" si="189"/>
        <v>1+2.5169134330269i</v>
      </c>
      <c r="R285" s="17">
        <f t="shared" si="199"/>
        <v>2.7082934164065855</v>
      </c>
      <c r="S285" s="17">
        <f t="shared" si="200"/>
        <v>1.1926093058221103</v>
      </c>
      <c r="T285" s="17" t="str">
        <f t="shared" si="190"/>
        <v>1+0.00881659970216188i</v>
      </c>
      <c r="U285" s="17">
        <f t="shared" si="201"/>
        <v>1.000038865459892</v>
      </c>
      <c r="V285" s="17">
        <f t="shared" si="202"/>
        <v>8.8163712675752171E-3</v>
      </c>
      <c r="W285" s="31" t="str">
        <f t="shared" si="191"/>
        <v>1-0.0217516110565808i</v>
      </c>
      <c r="X285" s="17">
        <f t="shared" si="203"/>
        <v>1.0002365383165908</v>
      </c>
      <c r="Y285" s="17">
        <f t="shared" si="204"/>
        <v>-2.1748181564778851E-2</v>
      </c>
      <c r="Z285" s="31" t="str">
        <f t="shared" si="192"/>
        <v>0.999980156357152+0.0304209300991715i</v>
      </c>
      <c r="AA285" s="17">
        <f t="shared" si="205"/>
        <v>1.0004427750232259</v>
      </c>
      <c r="AB285" s="17">
        <f t="shared" si="206"/>
        <v>3.0412154244868539E-2</v>
      </c>
      <c r="AC285" s="66" t="str">
        <f t="shared" si="207"/>
        <v>2.11097006359369-6.06696197889375i</v>
      </c>
      <c r="AD285" s="64">
        <f t="shared" si="208"/>
        <v>16.155736640536936</v>
      </c>
      <c r="AE285" s="61">
        <f t="shared" si="209"/>
        <v>-70.814906067259287</v>
      </c>
      <c r="AF285" s="31" t="str">
        <f t="shared" si="193"/>
        <v>-9090.90909090909</v>
      </c>
      <c r="AG285" s="31" t="str">
        <f t="shared" si="194"/>
        <v>29388.6656738729i</v>
      </c>
      <c r="AH285" s="31">
        <f t="shared" si="210"/>
        <v>29388.6656738729</v>
      </c>
      <c r="AI285" s="31">
        <f t="shared" si="211"/>
        <v>1.5707963267948966</v>
      </c>
      <c r="AJ285" s="31" t="str">
        <f t="shared" si="195"/>
        <v>-2.12893760638429+10.1757373235815i</v>
      </c>
      <c r="AK285" s="31">
        <f t="shared" si="212"/>
        <v>10.396057205037247</v>
      </c>
      <c r="AL285" s="31">
        <f t="shared" si="213"/>
        <v>1.7770385097739831</v>
      </c>
      <c r="AM285" s="31" t="str">
        <f t="shared" si="196"/>
        <v>1+38.7283836250297i</v>
      </c>
      <c r="AN285" s="31">
        <f t="shared" si="214"/>
        <v>38.741291901632152</v>
      </c>
      <c r="AO285" s="31">
        <f t="shared" si="215"/>
        <v>1.5449812073290543</v>
      </c>
      <c r="AP285" s="31" t="str">
        <f t="shared" si="197"/>
        <v>1+6.46550644825203i</v>
      </c>
      <c r="AQ285" s="31">
        <f t="shared" si="216"/>
        <v>6.5423828711249064</v>
      </c>
      <c r="AR285" s="31">
        <f t="shared" si="217"/>
        <v>1.41734530381543</v>
      </c>
      <c r="AS285" s="58" t="str">
        <f t="shared" si="218"/>
        <v>-6.98818845578377+2.83590429728799i</v>
      </c>
      <c r="AT285" s="49">
        <f t="shared" si="219"/>
        <v>17.549376821506307</v>
      </c>
      <c r="AU285" s="61">
        <f t="shared" si="220"/>
        <v>157.9119999860263</v>
      </c>
      <c r="AV285" s="58" t="str">
        <f t="shared" si="198"/>
        <v>2.45346691851708+48.383582737376i</v>
      </c>
      <c r="AW285" s="64">
        <f t="shared" si="221"/>
        <v>33.705113462043244</v>
      </c>
      <c r="AX285" s="49">
        <f t="shared" si="222"/>
        <v>87.097093918766987</v>
      </c>
      <c r="AY285" s="310"/>
      <c r="BA285" s="31">
        <f t="shared" si="223"/>
        <v>0</v>
      </c>
      <c r="BB285" s="31">
        <f t="shared" si="224"/>
        <v>0</v>
      </c>
    </row>
    <row r="286" spans="14:54" x14ac:dyDescent="0.45">
      <c r="N286" s="10">
        <v>68</v>
      </c>
      <c r="O286" s="50">
        <f t="shared" si="225"/>
        <v>4786.3009232263848</v>
      </c>
      <c r="P286" s="48" t="str">
        <f t="shared" si="188"/>
        <v>17.4002386318441</v>
      </c>
      <c r="Q286" s="17" t="str">
        <f t="shared" si="189"/>
        <v>1+2.57553987819372i</v>
      </c>
      <c r="R286" s="17">
        <f t="shared" si="199"/>
        <v>2.7628618612167566</v>
      </c>
      <c r="S286" s="17">
        <f t="shared" si="200"/>
        <v>1.2004443801254845</v>
      </c>
      <c r="T286" s="17" t="str">
        <f t="shared" si="190"/>
        <v>1+0.00902196469096684i</v>
      </c>
      <c r="U286" s="17">
        <f t="shared" si="201"/>
        <v>1.0000406970953157</v>
      </c>
      <c r="V286" s="17">
        <f t="shared" si="202"/>
        <v>9.0217199194352303E-3</v>
      </c>
      <c r="W286" s="31" t="str">
        <f t="shared" si="191"/>
        <v>1-0.0222582711650157i</v>
      </c>
      <c r="X286" s="17">
        <f t="shared" si="203"/>
        <v>1.0002476846437862</v>
      </c>
      <c r="Y286" s="17">
        <f t="shared" si="204"/>
        <v>-2.2254596447486792E-2</v>
      </c>
      <c r="Z286" s="31" t="str">
        <f t="shared" si="192"/>
        <v>0.999979221155077+0.0311295245891448i</v>
      </c>
      <c r="AA286" s="17">
        <f t="shared" si="205"/>
        <v>1.0004636375416454</v>
      </c>
      <c r="AB286" s="17">
        <f t="shared" si="206"/>
        <v>3.1120121327061989E-2</v>
      </c>
      <c r="AC286" s="66" t="str">
        <f t="shared" si="207"/>
        <v>2.01658370344655-5.96515634766082i</v>
      </c>
      <c r="AD286" s="64">
        <f t="shared" si="208"/>
        <v>15.982399066119356</v>
      </c>
      <c r="AE286" s="61">
        <f t="shared" si="209"/>
        <v>-71.321636107239328</v>
      </c>
      <c r="AF286" s="31" t="str">
        <f t="shared" si="193"/>
        <v>-9090.90909090909</v>
      </c>
      <c r="AG286" s="31" t="str">
        <f t="shared" si="194"/>
        <v>30073.2156365561i</v>
      </c>
      <c r="AH286" s="31">
        <f t="shared" si="210"/>
        <v>30073.215636556099</v>
      </c>
      <c r="AI286" s="31">
        <f t="shared" si="211"/>
        <v>1.5707963267948966</v>
      </c>
      <c r="AJ286" s="31" t="str">
        <f t="shared" si="195"/>
        <v>-2.27639989271504+10.4127606945106i</v>
      </c>
      <c r="AK286" s="31">
        <f t="shared" si="212"/>
        <v>10.658685742280701</v>
      </c>
      <c r="AL286" s="31">
        <f t="shared" si="213"/>
        <v>1.7860264905649244</v>
      </c>
      <c r="AM286" s="31" t="str">
        <f t="shared" si="196"/>
        <v>1+39.6304835658536i</v>
      </c>
      <c r="AN286" s="31">
        <f t="shared" si="214"/>
        <v>39.643098108793069</v>
      </c>
      <c r="AO286" s="31">
        <f t="shared" si="215"/>
        <v>1.5455685789952207</v>
      </c>
      <c r="AP286" s="31" t="str">
        <f t="shared" si="197"/>
        <v>1+6.61610744004234i</v>
      </c>
      <c r="AQ286" s="31">
        <f t="shared" si="216"/>
        <v>6.6912538180959489</v>
      </c>
      <c r="AR286" s="31">
        <f t="shared" si="217"/>
        <v>1.420785515988223</v>
      </c>
      <c r="AS286" s="58" t="str">
        <f t="shared" si="218"/>
        <v>-6.95687471262465+2.8634700944553i</v>
      </c>
      <c r="AT286" s="49">
        <f t="shared" si="219"/>
        <v>17.527977603366875</v>
      </c>
      <c r="AU286" s="61">
        <f t="shared" si="220"/>
        <v>157.62779017596816</v>
      </c>
      <c r="AV286" s="58" t="str">
        <f t="shared" si="198"/>
        <v>3.05192663787869+47.2732724796791i</v>
      </c>
      <c r="AW286" s="64">
        <f t="shared" si="221"/>
        <v>33.510376669486234</v>
      </c>
      <c r="AX286" s="49">
        <f t="shared" si="222"/>
        <v>86.306154068728844</v>
      </c>
      <c r="AY286" s="310"/>
      <c r="BA286" s="31">
        <f t="shared" si="223"/>
        <v>0</v>
      </c>
      <c r="BB286" s="31">
        <f t="shared" si="224"/>
        <v>0</v>
      </c>
    </row>
    <row r="287" spans="14:54" x14ac:dyDescent="0.45">
      <c r="N287" s="10">
        <v>69</v>
      </c>
      <c r="O287" s="50">
        <f t="shared" si="225"/>
        <v>4897.7881936844633</v>
      </c>
      <c r="P287" s="48" t="str">
        <f t="shared" si="188"/>
        <v>17.4002386318441</v>
      </c>
      <c r="Q287" s="17" t="str">
        <f t="shared" si="189"/>
        <v>1+2.63553190869526i</v>
      </c>
      <c r="R287" s="17">
        <f t="shared" si="199"/>
        <v>2.8188700647158038</v>
      </c>
      <c r="S287" s="17">
        <f t="shared" si="200"/>
        <v>1.2081474462751161</v>
      </c>
      <c r="T287" s="17" t="str">
        <f t="shared" si="190"/>
        <v>1+0.00923211324487078i</v>
      </c>
      <c r="U287" s="17">
        <f t="shared" si="201"/>
        <v>1.0000426150494617</v>
      </c>
      <c r="V287" s="17">
        <f t="shared" si="202"/>
        <v>9.2318509680529137E-3</v>
      </c>
      <c r="W287" s="31" t="str">
        <f t="shared" si="191"/>
        <v>1-0.0227767329034454i</v>
      </c>
      <c r="X287" s="17">
        <f t="shared" si="203"/>
        <v>1.0002593561480717</v>
      </c>
      <c r="Y287" s="17">
        <f t="shared" si="204"/>
        <v>-2.2772795427810598E-2</v>
      </c>
      <c r="Z287" s="31" t="str">
        <f t="shared" si="192"/>
        <v>0.999978241878286+0.0318546243651034i</v>
      </c>
      <c r="AA287" s="17">
        <f t="shared" si="205"/>
        <v>1.000485482814933</v>
      </c>
      <c r="AB287" s="17">
        <f t="shared" si="206"/>
        <v>3.184454885215765E-2</v>
      </c>
      <c r="AC287" s="66" t="str">
        <f t="shared" si="207"/>
        <v>1.92535186764104-5.86362881487968i</v>
      </c>
      <c r="AD287" s="64">
        <f t="shared" si="208"/>
        <v>15.808009696676846</v>
      </c>
      <c r="AE287" s="61">
        <f t="shared" si="209"/>
        <v>-71.822146918964492</v>
      </c>
      <c r="AF287" s="31" t="str">
        <f t="shared" si="193"/>
        <v>-9090.90909090909</v>
      </c>
      <c r="AG287" s="31" t="str">
        <f t="shared" si="194"/>
        <v>30773.7108162359i</v>
      </c>
      <c r="AH287" s="31">
        <f t="shared" si="210"/>
        <v>30773.7108162359</v>
      </c>
      <c r="AI287" s="31">
        <f t="shared" si="211"/>
        <v>1.5707963267948966</v>
      </c>
      <c r="AJ287" s="31" t="str">
        <f t="shared" si="195"/>
        <v>-2.43081186249284+10.6553050489892i</v>
      </c>
      <c r="AK287" s="31">
        <f t="shared" si="212"/>
        <v>10.929060892768906</v>
      </c>
      <c r="AL287" s="31">
        <f t="shared" si="213"/>
        <v>1.7950894711325656</v>
      </c>
      <c r="AM287" s="31" t="str">
        <f t="shared" si="196"/>
        <v>1+40.5535961136356i</v>
      </c>
      <c r="AN287" s="31">
        <f t="shared" si="214"/>
        <v>40.565923602795991</v>
      </c>
      <c r="AO287" s="31">
        <f t="shared" si="215"/>
        <v>1.5461425972745346</v>
      </c>
      <c r="AP287" s="31" t="str">
        <f t="shared" si="197"/>
        <v>1+6.77021637957189i</v>
      </c>
      <c r="AQ287" s="31">
        <f t="shared" si="216"/>
        <v>6.8436707859323196</v>
      </c>
      <c r="AR287" s="31">
        <f t="shared" si="217"/>
        <v>1.4241508799351987</v>
      </c>
      <c r="AS287" s="58" t="str">
        <f t="shared" si="218"/>
        <v>-6.92449054883736+2.89171765859076i</v>
      </c>
      <c r="AT287" s="49">
        <f t="shared" si="219"/>
        <v>17.505901577696704</v>
      </c>
      <c r="AU287" s="61">
        <f t="shared" si="220"/>
        <v>157.33422961508847</v>
      </c>
      <c r="AV287" s="58" t="str">
        <f t="shared" si="198"/>
        <v>3.62387817674244+46.170216305183i</v>
      </c>
      <c r="AW287" s="64">
        <f t="shared" si="221"/>
        <v>33.313911274373545</v>
      </c>
      <c r="AX287" s="49">
        <f t="shared" si="222"/>
        <v>85.512082696123983</v>
      </c>
      <c r="AY287" s="310"/>
      <c r="BA287" s="31">
        <f t="shared" si="223"/>
        <v>0</v>
      </c>
      <c r="BB287" s="31">
        <f t="shared" si="224"/>
        <v>0</v>
      </c>
    </row>
    <row r="288" spans="14:54" x14ac:dyDescent="0.45">
      <c r="N288" s="10">
        <v>70</v>
      </c>
      <c r="O288" s="50">
        <f t="shared" si="225"/>
        <v>5011.8723362727324</v>
      </c>
      <c r="P288" s="48" t="str">
        <f t="shared" si="188"/>
        <v>17.4002386318441</v>
      </c>
      <c r="Q288" s="17" t="str">
        <f t="shared" si="189"/>
        <v>1+2.69692133310019i</v>
      </c>
      <c r="R288" s="17">
        <f t="shared" si="199"/>
        <v>2.8763491924540223</v>
      </c>
      <c r="S288" s="17">
        <f t="shared" si="200"/>
        <v>1.2157189308946763</v>
      </c>
      <c r="T288" s="17" t="str">
        <f t="shared" si="190"/>
        <v>1+0.00944715678741862i</v>
      </c>
      <c r="U288" s="17">
        <f t="shared" si="201"/>
        <v>1.0000446233900597</v>
      </c>
      <c r="V288" s="17">
        <f t="shared" si="202"/>
        <v>9.4468757534222365E-3</v>
      </c>
      <c r="W288" s="31" t="str">
        <f t="shared" si="191"/>
        <v>1-0.0233072711671462i</v>
      </c>
      <c r="X288" s="17">
        <f t="shared" si="203"/>
        <v>1.0002715775674418</v>
      </c>
      <c r="Y288" s="17">
        <f t="shared" si="204"/>
        <v>-2.3303052147854154E-2</v>
      </c>
      <c r="Z288" s="31" t="str">
        <f t="shared" si="192"/>
        <v>0.999977216449601+0.0325966138845461i</v>
      </c>
      <c r="AA288" s="17">
        <f t="shared" si="205"/>
        <v>1.0005083571140376</v>
      </c>
      <c r="AB288" s="17">
        <f t="shared" si="206"/>
        <v>3.2585818074005547E-2</v>
      </c>
      <c r="AC288" s="66" t="str">
        <f t="shared" si="207"/>
        <v>1.83721105912543-5.76246988553257i</v>
      </c>
      <c r="AD288" s="64">
        <f t="shared" si="208"/>
        <v>15.632603656834871</v>
      </c>
      <c r="AE288" s="61">
        <f t="shared" si="209"/>
        <v>-72.31649408963294</v>
      </c>
      <c r="AF288" s="31" t="str">
        <f t="shared" si="193"/>
        <v>-9090.90909090909</v>
      </c>
      <c r="AG288" s="31" t="str">
        <f t="shared" si="194"/>
        <v>31490.5226247287i</v>
      </c>
      <c r="AH288" s="31">
        <f t="shared" si="210"/>
        <v>31490.522624728699</v>
      </c>
      <c r="AI288" s="31">
        <f t="shared" si="211"/>
        <v>1.5707963267948966</v>
      </c>
      <c r="AJ288" s="31" t="str">
        <f t="shared" si="195"/>
        <v>-2.59250104420794+10.9034989872444i</v>
      </c>
      <c r="AK288" s="31">
        <f t="shared" si="212"/>
        <v>11.207468573636907</v>
      </c>
      <c r="AL288" s="31">
        <f t="shared" si="213"/>
        <v>1.8042296198817891</v>
      </c>
      <c r="AM288" s="31" t="str">
        <f t="shared" si="196"/>
        <v>1+41.4982107148675i</v>
      </c>
      <c r="AN288" s="31">
        <f t="shared" si="214"/>
        <v>41.510257678500906</v>
      </c>
      <c r="AO288" s="31">
        <f t="shared" si="215"/>
        <v>1.5467035650051202</v>
      </c>
      <c r="AP288" s="31" t="str">
        <f t="shared" si="197"/>
        <v>1+6.92791497744031i</v>
      </c>
      <c r="AQ288" s="31">
        <f t="shared" si="216"/>
        <v>6.9997147038034182</v>
      </c>
      <c r="AR288" s="31">
        <f t="shared" si="217"/>
        <v>1.4274428749388397</v>
      </c>
      <c r="AS288" s="58" t="str">
        <f t="shared" si="218"/>
        <v>-6.89100215713452+2.92061569641678i</v>
      </c>
      <c r="AT288" s="49">
        <f t="shared" si="219"/>
        <v>17.483113706489949</v>
      </c>
      <c r="AU288" s="61">
        <f t="shared" si="220"/>
        <v>157.03129617092853</v>
      </c>
      <c r="AV288" s="58" t="str">
        <f t="shared" si="198"/>
        <v>4.16973462627069+45.0749798685399i</v>
      </c>
      <c r="AW288" s="64">
        <f t="shared" si="221"/>
        <v>33.115717363324826</v>
      </c>
      <c r="AX288" s="49">
        <f t="shared" si="222"/>
        <v>84.714802081295602</v>
      </c>
      <c r="AY288" s="310"/>
      <c r="BA288" s="31">
        <f t="shared" si="223"/>
        <v>0</v>
      </c>
      <c r="BB288" s="31">
        <f t="shared" si="224"/>
        <v>0</v>
      </c>
    </row>
    <row r="289" spans="14:54" x14ac:dyDescent="0.45">
      <c r="N289" s="10">
        <v>71</v>
      </c>
      <c r="O289" s="50">
        <f t="shared" si="225"/>
        <v>5128.6138399136489</v>
      </c>
      <c r="P289" s="48" t="str">
        <f t="shared" si="188"/>
        <v>17.4002386318441</v>
      </c>
      <c r="Q289" s="17" t="str">
        <f t="shared" si="189"/>
        <v>1+2.75974070089388i</v>
      </c>
      <c r="R289" s="17">
        <f t="shared" si="199"/>
        <v>2.9353311118458585</v>
      </c>
      <c r="S289" s="17">
        <f t="shared" si="200"/>
        <v>1.2231593750595766</v>
      </c>
      <c r="T289" s="17" t="str">
        <f t="shared" si="190"/>
        <v>1+0.009667209337543i</v>
      </c>
      <c r="U289" s="17">
        <f t="shared" si="201"/>
        <v>1.0000467263765107</v>
      </c>
      <c r="V289" s="17">
        <f t="shared" si="202"/>
        <v>9.6669082049503589E-3</v>
      </c>
      <c r="W289" s="31" t="str">
        <f t="shared" si="191"/>
        <v>1-0.0238501672545278i</v>
      </c>
      <c r="X289" s="17">
        <f t="shared" si="203"/>
        <v>1.0002843748045198</v>
      </c>
      <c r="Y289" s="17">
        <f t="shared" si="204"/>
        <v>-2.3845646563317887E-2</v>
      </c>
      <c r="Z289" s="31" t="str">
        <f t="shared" si="192"/>
        <v>0.999976142693951+0.0333558865601374i</v>
      </c>
      <c r="AA289" s="17">
        <f t="shared" si="205"/>
        <v>1.0005323088862677</v>
      </c>
      <c r="AB289" s="17">
        <f t="shared" si="206"/>
        <v>3.3344318972924863E-2</v>
      </c>
      <c r="AC289" s="66" t="str">
        <f t="shared" si="207"/>
        <v>1.75209568075357-5.66176486064347i</v>
      </c>
      <c r="AD289" s="64">
        <f t="shared" si="208"/>
        <v>15.456215334330153</v>
      </c>
      <c r="AE289" s="61">
        <f t="shared" si="209"/>
        <v>-72.804740477414384</v>
      </c>
      <c r="AF289" s="31" t="str">
        <f t="shared" si="193"/>
        <v>-9090.90909090909</v>
      </c>
      <c r="AG289" s="31" t="str">
        <f t="shared" si="194"/>
        <v>32224.0311251433i</v>
      </c>
      <c r="AH289" s="31">
        <f t="shared" si="210"/>
        <v>32224.031125143301</v>
      </c>
      <c r="AI289" s="31">
        <f t="shared" si="211"/>
        <v>1.5707963267948966</v>
      </c>
      <c r="AJ289" s="31" t="str">
        <f t="shared" si="195"/>
        <v>-2.76181040229276+11.1574741049875i</v>
      </c>
      <c r="AK289" s="31">
        <f t="shared" si="212"/>
        <v>11.494208328618337</v>
      </c>
      <c r="AL289" s="31">
        <f t="shared" si="213"/>
        <v>1.8134490070776166</v>
      </c>
      <c r="AM289" s="31" t="str">
        <f t="shared" si="196"/>
        <v>1+42.4648282167138i</v>
      </c>
      <c r="AN289" s="31">
        <f t="shared" si="214"/>
        <v>42.476601034864039</v>
      </c>
      <c r="AO289" s="31">
        <f t="shared" si="215"/>
        <v>1.5472517782064603</v>
      </c>
      <c r="AP289" s="31" t="str">
        <f t="shared" si="197"/>
        <v>1+7.08928684753152i</v>
      </c>
      <c r="AQ289" s="31">
        <f t="shared" si="216"/>
        <v>7.1594684164806122</v>
      </c>
      <c r="AR289" s="31">
        <f t="shared" si="217"/>
        <v>1.4306629609010963</v>
      </c>
      <c r="AS289" s="58" t="str">
        <f t="shared" si="218"/>
        <v>-6.85637603144225+2.95013103646408i</v>
      </c>
      <c r="AT289" s="49">
        <f t="shared" si="219"/>
        <v>17.459578341732168</v>
      </c>
      <c r="AU289" s="61">
        <f t="shared" si="220"/>
        <v>156.71897183292748</v>
      </c>
      <c r="AV289" s="58" t="str">
        <f t="shared" si="198"/>
        <v>4.68992140623376+43.9881007328236i</v>
      </c>
      <c r="AW289" s="64">
        <f t="shared" si="221"/>
        <v>32.915793676062314</v>
      </c>
      <c r="AX289" s="49">
        <f t="shared" si="222"/>
        <v>83.914231355513081</v>
      </c>
      <c r="AY289" s="310"/>
      <c r="BA289" s="31">
        <f t="shared" si="223"/>
        <v>0</v>
      </c>
      <c r="BB289" s="31">
        <f t="shared" si="224"/>
        <v>0</v>
      </c>
    </row>
    <row r="290" spans="14:54" x14ac:dyDescent="0.45">
      <c r="N290" s="10">
        <v>72</v>
      </c>
      <c r="O290" s="50">
        <f t="shared" si="225"/>
        <v>5248.0746024977261</v>
      </c>
      <c r="P290" s="48" t="str">
        <f t="shared" si="188"/>
        <v>17.4002386318441</v>
      </c>
      <c r="Q290" s="17" t="str">
        <f t="shared" si="189"/>
        <v>1+2.82402331973669i</v>
      </c>
      <c r="R290" s="17">
        <f t="shared" si="199"/>
        <v>2.9958484124562506</v>
      </c>
      <c r="S290" s="17">
        <f t="shared" si="200"/>
        <v>1.2304694275750032</v>
      </c>
      <c r="T290" s="17" t="str">
        <f t="shared" si="190"/>
        <v>1+0.00989238757001884i</v>
      </c>
      <c r="U290" s="17">
        <f t="shared" si="201"/>
        <v>1.0000489284689202</v>
      </c>
      <c r="V290" s="17">
        <f t="shared" si="202"/>
        <v>9.8920649014850176E-3</v>
      </c>
      <c r="W290" s="31" t="str">
        <f t="shared" si="191"/>
        <v>1-0.0244057090162823i</v>
      </c>
      <c r="X290" s="17">
        <f t="shared" si="203"/>
        <v>1.000297774981324</v>
      </c>
      <c r="Y290" s="17">
        <f t="shared" si="204"/>
        <v>-2.4400865086255011E-2</v>
      </c>
      <c r="Z290" s="31" t="str">
        <f t="shared" si="192"/>
        <v>0.999975018333757+0.0341328449683005i</v>
      </c>
      <c r="AA290" s="17">
        <f t="shared" si="205"/>
        <v>1.0005573888574446</v>
      </c>
      <c r="AB290" s="17">
        <f t="shared" si="206"/>
        <v>3.4120450447992688E-2</v>
      </c>
      <c r="AC290" s="66" t="str">
        <f t="shared" si="207"/>
        <v>1.66993836858243-5.56159390783981i</v>
      </c>
      <c r="AD290" s="64">
        <f t="shared" si="208"/>
        <v>15.278878357842727</v>
      </c>
      <c r="AE290" s="61">
        <f t="shared" si="209"/>
        <v>-73.28695584206713</v>
      </c>
      <c r="AF290" s="31" t="str">
        <f t="shared" si="193"/>
        <v>-9090.90909090909</v>
      </c>
      <c r="AG290" s="31" t="str">
        <f t="shared" si="194"/>
        <v>32974.6252333961i</v>
      </c>
      <c r="AH290" s="31">
        <f t="shared" si="210"/>
        <v>32974.625233396102</v>
      </c>
      <c r="AI290" s="31">
        <f t="shared" si="211"/>
        <v>1.5707963267948966</v>
      </c>
      <c r="AJ290" s="31" t="str">
        <f t="shared" si="195"/>
        <v>-2.9390990645956+11.4173650631877i</v>
      </c>
      <c r="AK290" s="31">
        <f t="shared" si="212"/>
        <v>11.789594068398021</v>
      </c>
      <c r="AL290" s="31">
        <f t="shared" si="213"/>
        <v>1.822749598972675</v>
      </c>
      <c r="AM290" s="31" t="str">
        <f t="shared" si="196"/>
        <v>1+43.4539611325694i</v>
      </c>
      <c r="AN290" s="31">
        <f t="shared" si="214"/>
        <v>43.465466040419393</v>
      </c>
      <c r="AO290" s="31">
        <f t="shared" si="215"/>
        <v>1.5477875262296257</v>
      </c>
      <c r="AP290" s="31" t="str">
        <f t="shared" si="197"/>
        <v>1+7.25441755134714i</v>
      </c>
      <c r="AQ290" s="31">
        <f t="shared" si="216"/>
        <v>7.3230167287323225</v>
      </c>
      <c r="AR290" s="31">
        <f t="shared" si="217"/>
        <v>1.4338125779031992</v>
      </c>
      <c r="AS290" s="58" t="str">
        <f t="shared" si="218"/>
        <v>-6.82057906935255+2.98022857063961i</v>
      </c>
      <c r="AT290" s="49">
        <f t="shared" si="219"/>
        <v>17.435259224916063</v>
      </c>
      <c r="AU290" s="61">
        <f t="shared" si="220"/>
        <v>156.39724303227993</v>
      </c>
      <c r="AV290" s="58" t="str">
        <f t="shared" si="198"/>
        <v>5.18487437857734+42.9100890373075i</v>
      </c>
      <c r="AW290" s="64">
        <f t="shared" si="221"/>
        <v>32.714137582758788</v>
      </c>
      <c r="AX290" s="49">
        <f t="shared" si="222"/>
        <v>83.110287190212802</v>
      </c>
      <c r="AY290" s="310"/>
      <c r="BA290" s="31">
        <f t="shared" si="223"/>
        <v>0</v>
      </c>
      <c r="BB290" s="31">
        <f t="shared" si="224"/>
        <v>0</v>
      </c>
    </row>
    <row r="291" spans="14:54" x14ac:dyDescent="0.45">
      <c r="N291" s="10">
        <v>73</v>
      </c>
      <c r="O291" s="50">
        <f t="shared" si="225"/>
        <v>5370.3179637025269</v>
      </c>
      <c r="P291" s="48" t="str">
        <f t="shared" si="188"/>
        <v>17.4002386318441</v>
      </c>
      <c r="Q291" s="17" t="str">
        <f t="shared" si="189"/>
        <v>1+2.88980327312398i</v>
      </c>
      <c r="R291" s="17">
        <f t="shared" si="199"/>
        <v>3.0579344265955193</v>
      </c>
      <c r="S291" s="17">
        <f t="shared" si="200"/>
        <v>1.2376498383572374</v>
      </c>
      <c r="T291" s="17" t="str">
        <f t="shared" si="190"/>
        <v>1+0.0101228108773255i</v>
      </c>
      <c r="U291" s="17">
        <f t="shared" si="201"/>
        <v>1.0000512343375505</v>
      </c>
      <c r="V291" s="17">
        <f t="shared" si="202"/>
        <v>1.0122465132718977E-2</v>
      </c>
      <c r="W291" s="31" t="str">
        <f t="shared" si="191"/>
        <v>1-0.0249741910080049i</v>
      </c>
      <c r="X291" s="17">
        <f t="shared" si="203"/>
        <v>1.0003118064966066</v>
      </c>
      <c r="Y291" s="17">
        <f t="shared" si="204"/>
        <v>-2.496900073084362E-2</v>
      </c>
      <c r="Z291" s="31" t="str">
        <f t="shared" si="192"/>
        <v>0.999973840984099+0.0349279010626672i</v>
      </c>
      <c r="AA291" s="17">
        <f t="shared" si="205"/>
        <v>1.0005836501388254</v>
      </c>
      <c r="AB291" s="17">
        <f t="shared" si="206"/>
        <v>3.4914620513029994E-2</v>
      </c>
      <c r="AC291" s="66" t="str">
        <f t="shared" si="207"/>
        <v>1.59067030738884-5.46203214922819i</v>
      </c>
      <c r="AD291" s="64">
        <f t="shared" si="208"/>
        <v>15.100625578478555</v>
      </c>
      <c r="AE291" s="61">
        <f t="shared" si="209"/>
        <v>-73.763216481779025</v>
      </c>
      <c r="AF291" s="31" t="str">
        <f t="shared" si="193"/>
        <v>-9090.90909090909</v>
      </c>
      <c r="AG291" s="31" t="str">
        <f t="shared" si="194"/>
        <v>33742.7029244183i</v>
      </c>
      <c r="AH291" s="31">
        <f t="shared" si="210"/>
        <v>33742.7029244183</v>
      </c>
      <c r="AI291" s="31">
        <f t="shared" si="211"/>
        <v>1.5707963267948966</v>
      </c>
      <c r="AJ291" s="31" t="str">
        <f t="shared" si="195"/>
        <v>-3.12474308413866+11.6833096594711i</v>
      </c>
      <c r="AK291" s="31">
        <f t="shared" si="212"/>
        <v>12.093954851121412</v>
      </c>
      <c r="AL291" s="31">
        <f t="shared" si="213"/>
        <v>1.8321332517783753</v>
      </c>
      <c r="AM291" s="31" t="str">
        <f t="shared" si="196"/>
        <v>1+44.4661339137984i</v>
      </c>
      <c r="AN291" s="31">
        <f t="shared" si="214"/>
        <v>44.477377004943229</v>
      </c>
      <c r="AO291" s="31">
        <f t="shared" si="215"/>
        <v>1.5483110919044161</v>
      </c>
      <c r="AP291" s="31" t="str">
        <f t="shared" si="197"/>
        <v>1+7.42339464337202i</v>
      </c>
      <c r="AQ291" s="31">
        <f t="shared" si="216"/>
        <v>7.4904464507293831</v>
      </c>
      <c r="AR291" s="31">
        <f t="shared" si="217"/>
        <v>1.436893145826776</v>
      </c>
      <c r="AS291" s="58" t="str">
        <f t="shared" si="218"/>
        <v>-6.78357868258217+3.01087119997652i</v>
      </c>
      <c r="AT291" s="49">
        <f t="shared" si="219"/>
        <v>17.410119489571862</v>
      </c>
      <c r="AU291" s="61">
        <f t="shared" si="220"/>
        <v>156.06610097408506</v>
      </c>
      <c r="AV291" s="58" t="str">
        <f t="shared" si="198"/>
        <v>5.65503810323765+41.8414282682577i</v>
      </c>
      <c r="AW291" s="64">
        <f t="shared" si="221"/>
        <v>32.510745068050419</v>
      </c>
      <c r="AX291" s="49">
        <f t="shared" si="222"/>
        <v>82.302884492306049</v>
      </c>
      <c r="AY291" s="310"/>
      <c r="BA291" s="31">
        <f t="shared" si="223"/>
        <v>0</v>
      </c>
      <c r="BB291" s="31">
        <f t="shared" si="224"/>
        <v>0</v>
      </c>
    </row>
    <row r="292" spans="14:54" x14ac:dyDescent="0.45">
      <c r="N292" s="10">
        <v>74</v>
      </c>
      <c r="O292" s="50">
        <f t="shared" si="225"/>
        <v>5495.4087385762541</v>
      </c>
      <c r="P292" s="48" t="str">
        <f t="shared" si="188"/>
        <v>17.4002386318441</v>
      </c>
      <c r="Q292" s="17" t="str">
        <f t="shared" si="189"/>
        <v>1+2.95711543845776i</v>
      </c>
      <c r="R292" s="17">
        <f t="shared" si="199"/>
        <v>3.1216232502281933</v>
      </c>
      <c r="S292" s="17">
        <f t="shared" si="200"/>
        <v>1.2447014519394921</v>
      </c>
      <c r="T292" s="17" t="str">
        <f t="shared" si="190"/>
        <v>1+0.0103586014329506i</v>
      </c>
      <c r="U292" s="17">
        <f t="shared" si="201"/>
        <v>1.0000536488727225</v>
      </c>
      <c r="V292" s="17">
        <f t="shared" si="202"/>
        <v>1.035823096200341E-2</v>
      </c>
      <c r="W292" s="31" t="str">
        <f t="shared" si="191"/>
        <v>1-0.0255559146463724i</v>
      </c>
      <c r="X292" s="17">
        <f t="shared" si="203"/>
        <v>1.0003264990858798</v>
      </c>
      <c r="Y292" s="17">
        <f t="shared" si="204"/>
        <v>-2.5550353262228216E-2</v>
      </c>
      <c r="Z292" s="31" t="str">
        <f t="shared" si="192"/>
        <v>0.999972608147661+0.0357414763925029i</v>
      </c>
      <c r="AA292" s="17">
        <f t="shared" si="205"/>
        <v>1.0006111483390296</v>
      </c>
      <c r="AB292" s="17">
        <f t="shared" si="206"/>
        <v>3.5727246496320475E-2</v>
      </c>
      <c r="AC292" s="66" t="str">
        <f t="shared" si="207"/>
        <v>1.51422152805637-5.36314976451367i</v>
      </c>
      <c r="AD292" s="64">
        <f t="shared" si="208"/>
        <v>14.921489054697549</v>
      </c>
      <c r="AE292" s="61">
        <f t="shared" si="209"/>
        <v>-74.23360487745073</v>
      </c>
      <c r="AF292" s="31" t="str">
        <f t="shared" si="193"/>
        <v>-9090.90909090909</v>
      </c>
      <c r="AG292" s="31" t="str">
        <f t="shared" si="194"/>
        <v>34528.6714431686i</v>
      </c>
      <c r="AH292" s="31">
        <f t="shared" si="210"/>
        <v>34528.671443168598</v>
      </c>
      <c r="AI292" s="31">
        <f t="shared" si="211"/>
        <v>1.5707963267948966</v>
      </c>
      <c r="AJ292" s="31" t="str">
        <f t="shared" si="195"/>
        <v>-3.31913623677712+11.9554489011828i</v>
      </c>
      <c r="AK292" s="31">
        <f t="shared" si="212"/>
        <v>12.407635704963296</v>
      </c>
      <c r="AL292" s="31">
        <f t="shared" si="213"/>
        <v>1.8416017054927161</v>
      </c>
      <c r="AM292" s="31" t="str">
        <f t="shared" si="196"/>
        <v>1+45.5018832278076i</v>
      </c>
      <c r="AN292" s="31">
        <f t="shared" si="214"/>
        <v>45.512870457454554</v>
      </c>
      <c r="AO292" s="31">
        <f t="shared" si="215"/>
        <v>1.5488227516834616</v>
      </c>
      <c r="AP292" s="31" t="str">
        <f t="shared" si="197"/>
        <v>1+7.59630771749708i</v>
      </c>
      <c r="AQ292" s="31">
        <f t="shared" si="216"/>
        <v>7.6618464444874972</v>
      </c>
      <c r="AR292" s="31">
        <f t="shared" si="217"/>
        <v>1.4399060640322416</v>
      </c>
      <c r="AS292" s="58" t="str">
        <f t="shared" si="218"/>
        <v>-6.74534291548472+3.04201978536122i</v>
      </c>
      <c r="AT292" s="49">
        <f t="shared" si="219"/>
        <v>17.38412166702987</v>
      </c>
      <c r="AU292" s="61">
        <f t="shared" si="220"/>
        <v>155.72554198081556</v>
      </c>
      <c r="AV292" s="58" t="str">
        <f t="shared" si="198"/>
        <v>6.10086423875647+40.7825761165132i</v>
      </c>
      <c r="AW292" s="64">
        <f t="shared" si="221"/>
        <v>32.305610721727419</v>
      </c>
      <c r="AX292" s="49">
        <f t="shared" si="222"/>
        <v>81.491937103364833</v>
      </c>
      <c r="AY292" s="310"/>
      <c r="BA292" s="31">
        <f t="shared" si="223"/>
        <v>0</v>
      </c>
      <c r="BB292" s="31">
        <f t="shared" si="224"/>
        <v>0</v>
      </c>
    </row>
    <row r="293" spans="14:54" x14ac:dyDescent="0.45">
      <c r="N293" s="10">
        <v>75</v>
      </c>
      <c r="O293" s="50">
        <f t="shared" si="225"/>
        <v>5623.4132519034993</v>
      </c>
      <c r="P293" s="48" t="str">
        <f t="shared" si="188"/>
        <v>17.4002386318441</v>
      </c>
      <c r="Q293" s="17" t="str">
        <f t="shared" si="189"/>
        <v>1+3.02599550553906i</v>
      </c>
      <c r="R293" s="17">
        <f t="shared" si="199"/>
        <v>3.1869497642012794</v>
      </c>
      <c r="S293" s="17">
        <f t="shared" si="200"/>
        <v>1.2516252011207363</v>
      </c>
      <c r="T293" s="17" t="str">
        <f t="shared" si="190"/>
        <v>1+0.0105998842561677i</v>
      </c>
      <c r="U293" s="17">
        <f t="shared" si="201"/>
        <v>1.0000561771951835</v>
      </c>
      <c r="V293" s="17">
        <f t="shared" si="202"/>
        <v>1.0599487290600104E-2</v>
      </c>
      <c r="W293" s="31" t="str">
        <f t="shared" si="191"/>
        <v>1-0.026151188368958i</v>
      </c>
      <c r="X293" s="17">
        <f t="shared" si="203"/>
        <v>1.0003418838842593</v>
      </c>
      <c r="Y293" s="17">
        <f t="shared" si="204"/>
        <v>-2.6145229348474519E-2</v>
      </c>
      <c r="Z293" s="31" t="str">
        <f t="shared" si="192"/>
        <v>0.999971317209432+0.0365740023262162i</v>
      </c>
      <c r="AA293" s="17">
        <f t="shared" si="205"/>
        <v>1.0006399416811846</v>
      </c>
      <c r="AB293" s="17">
        <f t="shared" si="206"/>
        <v>3.6558755244084418E-2</v>
      </c>
      <c r="AC293" s="66" t="str">
        <f t="shared" si="207"/>
        <v>1.44052118666558-5.26501210738067i</v>
      </c>
      <c r="AD293" s="64">
        <f t="shared" si="208"/>
        <v>14.741500040481561</v>
      </c>
      <c r="AE293" s="61">
        <f t="shared" si="209"/>
        <v>-74.698209345484017</v>
      </c>
      <c r="AF293" s="31" t="str">
        <f t="shared" si="193"/>
        <v>-9090.90909090909</v>
      </c>
      <c r="AG293" s="31" t="str">
        <f t="shared" si="194"/>
        <v>35332.947520559i</v>
      </c>
      <c r="AH293" s="31">
        <f t="shared" si="210"/>
        <v>35332.947520558999</v>
      </c>
      <c r="AI293" s="31">
        <f t="shared" si="211"/>
        <v>1.5707963267948966</v>
      </c>
      <c r="AJ293" s="31" t="str">
        <f t="shared" si="195"/>
        <v>-3.52269085645044+12.233927080151i</v>
      </c>
      <c r="AK293" s="31">
        <f t="shared" si="212"/>
        <v>12.730998494720339</v>
      </c>
      <c r="AL293" s="31">
        <f t="shared" si="213"/>
        <v>1.8511565775999865</v>
      </c>
      <c r="AM293" s="31" t="str">
        <f t="shared" si="196"/>
        <v>1+46.5617582425926i</v>
      </c>
      <c r="AN293" s="31">
        <f t="shared" si="214"/>
        <v>46.57249543068999</v>
      </c>
      <c r="AO293" s="31">
        <f t="shared" si="215"/>
        <v>1.5493227757833323</v>
      </c>
      <c r="AP293" s="31" t="str">
        <f t="shared" si="197"/>
        <v>1+7.77324845452297i</v>
      </c>
      <c r="AQ293" s="31">
        <f t="shared" si="216"/>
        <v>7.837307671371831</v>
      </c>
      <c r="AR293" s="31">
        <f t="shared" si="217"/>
        <v>1.4428527110905813</v>
      </c>
      <c r="AS293" s="58" t="str">
        <f t="shared" si="218"/>
        <v>-6.70584057159514+3.07363310407343i</v>
      </c>
      <c r="AT293" s="49">
        <f t="shared" si="219"/>
        <v>17.357227695626975</v>
      </c>
      <c r="AU293" s="61">
        <f t="shared" si="220"/>
        <v>155.37556784601665</v>
      </c>
      <c r="AV293" s="58" t="str">
        <f t="shared" si="198"/>
        <v>6.52281008880822+39.7339654060674i</v>
      </c>
      <c r="AW293" s="64">
        <f t="shared" si="221"/>
        <v>32.098727736108536</v>
      </c>
      <c r="AX293" s="49">
        <f t="shared" si="222"/>
        <v>80.677358500532662</v>
      </c>
      <c r="AY293" s="310"/>
      <c r="BA293" s="31">
        <f t="shared" si="223"/>
        <v>0</v>
      </c>
      <c r="BB293" s="31">
        <f t="shared" si="224"/>
        <v>0</v>
      </c>
    </row>
    <row r="294" spans="14:54" x14ac:dyDescent="0.45">
      <c r="N294" s="10">
        <v>76</v>
      </c>
      <c r="O294" s="50">
        <f t="shared" si="225"/>
        <v>5754.399373371567</v>
      </c>
      <c r="P294" s="48" t="str">
        <f t="shared" si="188"/>
        <v>17.4002386318441</v>
      </c>
      <c r="Q294" s="17" t="str">
        <f t="shared" si="189"/>
        <v>1+3.09647999549117i</v>
      </c>
      <c r="R294" s="17">
        <f t="shared" si="199"/>
        <v>3.2539496557993943</v>
      </c>
      <c r="S294" s="17">
        <f t="shared" si="200"/>
        <v>1.2584221007735588</v>
      </c>
      <c r="T294" s="17" t="str">
        <f t="shared" si="190"/>
        <v>1+0.0108467872783235i</v>
      </c>
      <c r="U294" s="17">
        <f t="shared" si="201"/>
        <v>1.0000588246669599</v>
      </c>
      <c r="V294" s="17">
        <f t="shared" si="202"/>
        <v>1.0846361923405596E-2</v>
      </c>
      <c r="W294" s="31" t="str">
        <f t="shared" si="191"/>
        <v>1-0.0267603277977686i</v>
      </c>
      <c r="X294" s="17">
        <f t="shared" si="203"/>
        <v>1.0003579934922517</v>
      </c>
      <c r="Y294" s="17">
        <f t="shared" si="204"/>
        <v>-2.6753942715686468E-2</v>
      </c>
      <c r="Z294" s="31" t="str">
        <f t="shared" si="192"/>
        <v>0.999969965431158+0.037425920280077i</v>
      </c>
      <c r="AA294" s="17">
        <f t="shared" si="205"/>
        <v>1.0006700911255428</v>
      </c>
      <c r="AB294" s="17">
        <f t="shared" si="206"/>
        <v>3.7409583327736896E-2</v>
      </c>
      <c r="AC294" s="66" t="str">
        <f t="shared" si="207"/>
        <v>1.36949782528266-5.16767983324982i</v>
      </c>
      <c r="AD294" s="64">
        <f t="shared" si="208"/>
        <v>14.560688976534173</v>
      </c>
      <c r="AE294" s="61">
        <f t="shared" si="209"/>
        <v>-75.157123699995054</v>
      </c>
      <c r="AF294" s="31" t="str">
        <f t="shared" si="193"/>
        <v>-9090.90909090909</v>
      </c>
      <c r="AG294" s="31" t="str">
        <f t="shared" si="194"/>
        <v>36155.9575944116i</v>
      </c>
      <c r="AH294" s="31">
        <f t="shared" si="210"/>
        <v>36155.9575944116</v>
      </c>
      <c r="AI294" s="31">
        <f t="shared" si="211"/>
        <v>1.5707963267948966</v>
      </c>
      <c r="AJ294" s="31" t="str">
        <f t="shared" si="195"/>
        <v>-3.735838709798+12.5188918491923i</v>
      </c>
      <c r="AK294" s="31">
        <f t="shared" si="212"/>
        <v>13.064422834453827</v>
      </c>
      <c r="AL294" s="31">
        <f t="shared" si="213"/>
        <v>1.8607993566603842</v>
      </c>
      <c r="AM294" s="31" t="str">
        <f t="shared" si="196"/>
        <v>1+47.6463209179156i</v>
      </c>
      <c r="AN294" s="31">
        <f t="shared" si="214"/>
        <v>47.656813752211775</v>
      </c>
      <c r="AO294" s="31">
        <f t="shared" si="215"/>
        <v>1.5498114283227074</v>
      </c>
      <c r="AP294" s="31" t="str">
        <f t="shared" si="197"/>
        <v>1+7.95431067077054i</v>
      </c>
      <c r="AQ294" s="31">
        <f t="shared" si="216"/>
        <v>8.0169232406911615</v>
      </c>
      <c r="AR294" s="31">
        <f t="shared" si="217"/>
        <v>1.4457344445648737</v>
      </c>
      <c r="AS294" s="58" t="str">
        <f t="shared" si="218"/>
        <v>-6.66504134811543+3.10566781301832i</v>
      </c>
      <c r="AT294" s="49">
        <f t="shared" si="219"/>
        <v>17.329398933569983</v>
      </c>
      <c r="AU294" s="61">
        <f t="shared" si="220"/>
        <v>155.0161861969917</v>
      </c>
      <c r="AV294" s="58" t="str">
        <f t="shared" si="198"/>
        <v>6.92133729444476+38.6960050784112i</v>
      </c>
      <c r="AW294" s="64">
        <f t="shared" si="221"/>
        <v>31.890087910104139</v>
      </c>
      <c r="AX294" s="49">
        <f t="shared" si="222"/>
        <v>79.859062496996629</v>
      </c>
      <c r="AY294" s="310"/>
      <c r="BA294" s="31">
        <f t="shared" si="223"/>
        <v>0</v>
      </c>
      <c r="BB294" s="31">
        <f t="shared" si="224"/>
        <v>0</v>
      </c>
    </row>
    <row r="295" spans="14:54" x14ac:dyDescent="0.45">
      <c r="N295" s="10">
        <v>77</v>
      </c>
      <c r="O295" s="50">
        <f t="shared" si="225"/>
        <v>5888.4365535558973</v>
      </c>
      <c r="P295" s="48" t="str">
        <f t="shared" si="188"/>
        <v>17.4002386318441</v>
      </c>
      <c r="Q295" s="17" t="str">
        <f t="shared" si="189"/>
        <v>1+3.16860628012366i</v>
      </c>
      <c r="R295" s="17">
        <f t="shared" si="199"/>
        <v>3.3226594406347303</v>
      </c>
      <c r="S295" s="17">
        <f t="shared" si="200"/>
        <v>1.2650932418246814</v>
      </c>
      <c r="T295" s="17" t="str">
        <f t="shared" si="190"/>
        <v>1+0.0110994414106685i</v>
      </c>
      <c r="U295" s="17">
        <f t="shared" si="201"/>
        <v>1.0000615969027251</v>
      </c>
      <c r="V295" s="17">
        <f t="shared" si="202"/>
        <v>1.1098985636178548E-2</v>
      </c>
      <c r="W295" s="31" t="str">
        <f t="shared" si="191"/>
        <v>1-0.0273836559065925i</v>
      </c>
      <c r="X295" s="17">
        <f t="shared" si="203"/>
        <v>1.0003748620446291</v>
      </c>
      <c r="Y295" s="17">
        <f t="shared" si="204"/>
        <v>-2.7376814306333496E-2</v>
      </c>
      <c r="Z295" s="31" t="str">
        <f t="shared" si="192"/>
        <v>0.999968549945537+0.0382976819522611i</v>
      </c>
      <c r="AA295" s="17">
        <f t="shared" si="205"/>
        <v>1.0007016604978212</v>
      </c>
      <c r="AB295" s="17">
        <f t="shared" si="206"/>
        <v>3.8280177254947659E-2</v>
      </c>
      <c r="AC295" s="66" t="str">
        <f t="shared" si="207"/>
        <v>1.30107961458543-5.07120903663024i</v>
      </c>
      <c r="AD295" s="64">
        <f t="shared" si="208"/>
        <v>14.379085484305094</v>
      </c>
      <c r="AE295" s="61">
        <f t="shared" si="209"/>
        <v>-75.610446925235621</v>
      </c>
      <c r="AF295" s="31" t="str">
        <f t="shared" si="193"/>
        <v>-9090.90909090909</v>
      </c>
      <c r="AG295" s="31" t="str">
        <f t="shared" si="194"/>
        <v>36998.1380355616i</v>
      </c>
      <c r="AH295" s="31">
        <f t="shared" si="210"/>
        <v>36998.138035561598</v>
      </c>
      <c r="AI295" s="31">
        <f t="shared" si="211"/>
        <v>1.5707963267948966</v>
      </c>
      <c r="AJ295" s="31" t="str">
        <f t="shared" si="195"/>
        <v>-3.95903191199405+12.8104943003991i</v>
      </c>
      <c r="AK295" s="31">
        <f t="shared" si="212"/>
        <v>13.408307048272167</v>
      </c>
      <c r="AL295" s="31">
        <f t="shared" si="213"/>
        <v>1.8705313958102472</v>
      </c>
      <c r="AM295" s="31" t="str">
        <f t="shared" si="196"/>
        <v>1+48.7561463032631i</v>
      </c>
      <c r="AN295" s="31">
        <f t="shared" si="214"/>
        <v>48.766400342297111</v>
      </c>
      <c r="AO295" s="31">
        <f t="shared" si="215"/>
        <v>1.5502889674576468</v>
      </c>
      <c r="AP295" s="31" t="str">
        <f t="shared" si="197"/>
        <v>1+8.13959036782354i</v>
      </c>
      <c r="AQ295" s="31">
        <f t="shared" si="216"/>
        <v>8.2007884594083862</v>
      </c>
      <c r="AR295" s="31">
        <f t="shared" si="217"/>
        <v>1.4485526008380616</v>
      </c>
      <c r="AS295" s="58" t="str">
        <f t="shared" si="218"/>
        <v>-6.62291597816844+3.13807841956354i</v>
      </c>
      <c r="AT295" s="49">
        <f t="shared" si="219"/>
        <v>17.300596175661735</v>
      </c>
      <c r="AU295" s="61">
        <f t="shared" si="220"/>
        <v>154.64741086509486</v>
      </c>
      <c r="AV295" s="58" t="str">
        <f t="shared" si="198"/>
        <v>7.29691067063789+37.6690812179952i</v>
      </c>
      <c r="AW295" s="64">
        <f t="shared" si="221"/>
        <v>31.679681659966832</v>
      </c>
      <c r="AX295" s="49">
        <f t="shared" si="222"/>
        <v>79.036963939859234</v>
      </c>
      <c r="AY295" s="310"/>
      <c r="BA295" s="31">
        <f t="shared" si="223"/>
        <v>0</v>
      </c>
      <c r="BB295" s="31">
        <f t="shared" si="224"/>
        <v>0</v>
      </c>
    </row>
    <row r="296" spans="14:54" x14ac:dyDescent="0.45">
      <c r="N296" s="10">
        <v>78</v>
      </c>
      <c r="O296" s="50">
        <f t="shared" si="225"/>
        <v>6025.595860743585</v>
      </c>
      <c r="P296" s="48" t="str">
        <f t="shared" si="188"/>
        <v>17.4002386318441</v>
      </c>
      <c r="Q296" s="17" t="str">
        <f t="shared" si="189"/>
        <v>1+3.24241260174733i</v>
      </c>
      <c r="R296" s="17">
        <f t="shared" si="199"/>
        <v>3.393116484880808</v>
      </c>
      <c r="S296" s="17">
        <f t="shared" si="200"/>
        <v>1.271639785419495</v>
      </c>
      <c r="T296" s="17" t="str">
        <f t="shared" si="190"/>
        <v>1+0.0113579806137679i</v>
      </c>
      <c r="U296" s="17">
        <f t="shared" si="201"/>
        <v>1.0000644997817005</v>
      </c>
      <c r="V296" s="17">
        <f t="shared" si="202"/>
        <v>1.1357492244304226E-2</v>
      </c>
      <c r="W296" s="31" t="str">
        <f t="shared" si="191"/>
        <v>1-0.0280215031922436i</v>
      </c>
      <c r="X296" s="17">
        <f t="shared" si="203"/>
        <v>1.0003925252825279</v>
      </c>
      <c r="Y296" s="17">
        <f t="shared" si="204"/>
        <v>-2.8014172440831608E-2</v>
      </c>
      <c r="Z296" s="31" t="str">
        <f t="shared" si="192"/>
        <v>0.999967067750134+0.0391897495623458i</v>
      </c>
      <c r="AA296" s="17">
        <f t="shared" si="205"/>
        <v>1.0007347166235219</v>
      </c>
      <c r="AB296" s="17">
        <f t="shared" si="206"/>
        <v>3.9170993684519442E-2</v>
      </c>
      <c r="AC296" s="66" t="str">
        <f t="shared" si="207"/>
        <v>1.23519457859171-4.97565139639804i</v>
      </c>
      <c r="AD296" s="64">
        <f t="shared" si="208"/>
        <v>14.196718362635362</v>
      </c>
      <c r="AE296" s="61">
        <f t="shared" si="209"/>
        <v>-76.058282858875387</v>
      </c>
      <c r="AF296" s="31" t="str">
        <f t="shared" si="193"/>
        <v>-9090.90909090909</v>
      </c>
      <c r="AG296" s="31" t="str">
        <f t="shared" si="194"/>
        <v>37859.9353792262i</v>
      </c>
      <c r="AH296" s="31">
        <f t="shared" si="210"/>
        <v>37859.935379226197</v>
      </c>
      <c r="AI296" s="31">
        <f t="shared" si="211"/>
        <v>1.5707963267948966</v>
      </c>
      <c r="AJ296" s="31" t="str">
        <f t="shared" si="195"/>
        <v>-4.19274388574439+13.1088890452509i</v>
      </c>
      <c r="AK296" s="31">
        <f t="shared" si="212"/>
        <v>13.763069181405214</v>
      </c>
      <c r="AL296" s="31">
        <f t="shared" si="213"/>
        <v>1.8803539061964409</v>
      </c>
      <c r="AM296" s="31" t="str">
        <f t="shared" si="196"/>
        <v>1+49.8918228427443i</v>
      </c>
      <c r="AN296" s="31">
        <f t="shared" si="214"/>
        <v>49.901843518769738</v>
      </c>
      <c r="AO296" s="31">
        <f t="shared" si="215"/>
        <v>1.5507556455140235</v>
      </c>
      <c r="AP296" s="31" t="str">
        <f t="shared" si="197"/>
        <v>1+8.32918578342976i</v>
      </c>
      <c r="AQ296" s="31">
        <f t="shared" si="216"/>
        <v>8.3890008829948517</v>
      </c>
      <c r="AR296" s="31">
        <f t="shared" si="217"/>
        <v>1.4513084949836674</v>
      </c>
      <c r="AS296" s="58" t="str">
        <f t="shared" si="218"/>
        <v>-6.57943638055759+3.1708172609246i</v>
      </c>
      <c r="AT296" s="49">
        <f t="shared" si="219"/>
        <v>17.270779674089663</v>
      </c>
      <c r="AU296" s="61">
        <f t="shared" si="220"/>
        <v>154.26926226209235</v>
      </c>
      <c r="AV296" s="58" t="str">
        <f t="shared" si="198"/>
        <v>7.6499971845887+36.6535581048325i</v>
      </c>
      <c r="AW296" s="64">
        <f t="shared" si="221"/>
        <v>31.467498036725022</v>
      </c>
      <c r="AX296" s="49">
        <f t="shared" si="222"/>
        <v>78.210979403216982</v>
      </c>
      <c r="AY296" s="310"/>
      <c r="BA296" s="31">
        <f t="shared" si="223"/>
        <v>0</v>
      </c>
      <c r="BB296" s="31">
        <f t="shared" si="224"/>
        <v>0</v>
      </c>
    </row>
    <row r="297" spans="14:54" x14ac:dyDescent="0.45">
      <c r="N297" s="10">
        <v>79</v>
      </c>
      <c r="O297" s="50">
        <f t="shared" si="225"/>
        <v>6165.9500186148289</v>
      </c>
      <c r="P297" s="48" t="str">
        <f t="shared" si="188"/>
        <v>17.4002386318441</v>
      </c>
      <c r="Q297" s="17" t="str">
        <f t="shared" si="189"/>
        <v>1+3.31793809345085i</v>
      </c>
      <c r="R297" s="17">
        <f t="shared" si="199"/>
        <v>3.4653590278602096</v>
      </c>
      <c r="S297" s="17">
        <f t="shared" si="200"/>
        <v>1.2780629572799305</v>
      </c>
      <c r="T297" s="17" t="str">
        <f t="shared" si="190"/>
        <v>1+0.0116225419685293i</v>
      </c>
      <c r="U297" s="17">
        <f t="shared" si="201"/>
        <v>1.0000675394601157</v>
      </c>
      <c r="V297" s="17">
        <f t="shared" si="202"/>
        <v>1.1622018673129586E-2</v>
      </c>
      <c r="W297" s="31" t="str">
        <f t="shared" si="191"/>
        <v>1-0.0286742078497957i</v>
      </c>
      <c r="X297" s="17">
        <f t="shared" si="203"/>
        <v>1.0004110206289278</v>
      </c>
      <c r="Y297" s="17">
        <f t="shared" si="204"/>
        <v>-2.8666352982425963E-2</v>
      </c>
      <c r="Z297" s="31" t="str">
        <f t="shared" si="192"/>
        <v>0.999965515701014+0.0401025960963863i</v>
      </c>
      <c r="AA297" s="17">
        <f t="shared" si="205"/>
        <v>1.0007693294685167</v>
      </c>
      <c r="AB297" s="17">
        <f t="shared" si="206"/>
        <v>4.008249964509903E-2</v>
      </c>
      <c r="AC297" s="66" t="str">
        <f t="shared" si="207"/>
        <v>1.17177080186329-4.88105432744511i</v>
      </c>
      <c r="AD297" s="64">
        <f t="shared" si="208"/>
        <v>14.013615586821786</v>
      </c>
      <c r="AE297" s="61">
        <f t="shared" si="209"/>
        <v>-76.500739886680336</v>
      </c>
      <c r="AF297" s="31" t="str">
        <f t="shared" si="193"/>
        <v>-9090.90909090909</v>
      </c>
      <c r="AG297" s="31" t="str">
        <f t="shared" si="194"/>
        <v>38741.8065617644i</v>
      </c>
      <c r="AH297" s="31">
        <f t="shared" si="210"/>
        <v>38741.806561764402</v>
      </c>
      <c r="AI297" s="31">
        <f t="shared" si="211"/>
        <v>1.5707963267948966</v>
      </c>
      <c r="AJ297" s="31" t="str">
        <f t="shared" si="195"/>
        <v>-4.43747036547973+13.4142342965912i</v>
      </c>
      <c r="AK297" s="31">
        <f t="shared" si="212"/>
        <v>14.129148063784823</v>
      </c>
      <c r="AL297" s="31">
        <f t="shared" si="213"/>
        <v>1.8902679503714535</v>
      </c>
      <c r="AM297" s="31" t="str">
        <f t="shared" si="196"/>
        <v>1+51.0539526870931i</v>
      </c>
      <c r="AN297" s="31">
        <f t="shared" si="214"/>
        <v>51.063745308936568</v>
      </c>
      <c r="AO297" s="31">
        <f t="shared" si="215"/>
        <v>1.5512117091171573</v>
      </c>
      <c r="AP297" s="31" t="str">
        <f t="shared" si="197"/>
        <v>1+8.52319744358816i</v>
      </c>
      <c r="AQ297" s="31">
        <f t="shared" si="216"/>
        <v>8.5816603674573226</v>
      </c>
      <c r="AR297" s="31">
        <f t="shared" si="217"/>
        <v>1.4540034206763301</v>
      </c>
      <c r="AS297" s="58" t="str">
        <f t="shared" si="218"/>
        <v>-6.53457581667492+3.20383449306508i</v>
      </c>
      <c r="AT297" s="49">
        <f t="shared" si="219"/>
        <v>17.239909163469129</v>
      </c>
      <c r="AU297" s="61">
        <f t="shared" si="220"/>
        <v>153.88176776089787</v>
      </c>
      <c r="AV297" s="58" t="str">
        <f t="shared" si="198"/>
        <v>7.98106507225158+35.6497792809754i</v>
      </c>
      <c r="AW297" s="64">
        <f t="shared" si="221"/>
        <v>31.253524750290911</v>
      </c>
      <c r="AX297" s="49">
        <f t="shared" si="222"/>
        <v>77.381027874217565</v>
      </c>
      <c r="AY297" s="310"/>
      <c r="BA297" s="31">
        <f t="shared" si="223"/>
        <v>0</v>
      </c>
      <c r="BB297" s="31">
        <f t="shared" si="224"/>
        <v>0</v>
      </c>
    </row>
    <row r="298" spans="14:54" x14ac:dyDescent="0.45">
      <c r="N298" s="10">
        <v>80</v>
      </c>
      <c r="O298" s="50">
        <f t="shared" si="225"/>
        <v>6309.5734448019384</v>
      </c>
      <c r="P298" s="48" t="str">
        <f t="shared" si="188"/>
        <v>17.4002386318441</v>
      </c>
      <c r="Q298" s="17" t="str">
        <f t="shared" si="189"/>
        <v>1+3.39522279984962i</v>
      </c>
      <c r="R298" s="17">
        <f t="shared" si="199"/>
        <v>3.5394262049968903</v>
      </c>
      <c r="S298" s="17">
        <f t="shared" si="200"/>
        <v>1.2843640422629756</v>
      </c>
      <c r="T298" s="17" t="str">
        <f t="shared" si="190"/>
        <v>1+0.011893265748885i</v>
      </c>
      <c r="U298" s="17">
        <f t="shared" si="201"/>
        <v>1.0000707223842589</v>
      </c>
      <c r="V298" s="17">
        <f t="shared" si="202"/>
        <v>1.1892705029903441E-2</v>
      </c>
      <c r="W298" s="31" t="str">
        <f t="shared" si="191"/>
        <v>1-0.0293421159518977i</v>
      </c>
      <c r="X298" s="17">
        <f t="shared" si="203"/>
        <v>1.0004303872676672</v>
      </c>
      <c r="Y298" s="17">
        <f t="shared" si="204"/>
        <v>-2.9333699505417095E-2</v>
      </c>
      <c r="Z298" s="31" t="str">
        <f t="shared" si="192"/>
        <v>0.999963890506072+0.0410367055576976i</v>
      </c>
      <c r="AA298" s="17">
        <f t="shared" si="205"/>
        <v>1.0008055722861802</v>
      </c>
      <c r="AB298" s="17">
        <f t="shared" si="206"/>
        <v>4.1015172757722318E-2</v>
      </c>
      <c r="AC298" s="66" t="str">
        <f t="shared" si="207"/>
        <v>1.11073661965146-4.78746113725814i</v>
      </c>
      <c r="AD298" s="64">
        <f t="shared" si="208"/>
        <v>13.829804309904345</v>
      </c>
      <c r="AE298" s="61">
        <f t="shared" si="209"/>
        <v>-76.937930649005949</v>
      </c>
      <c r="AF298" s="31" t="str">
        <f t="shared" si="193"/>
        <v>-9090.90909090909</v>
      </c>
      <c r="AG298" s="31" t="str">
        <f t="shared" si="194"/>
        <v>39644.21916295i</v>
      </c>
      <c r="AH298" s="31">
        <f t="shared" si="210"/>
        <v>39644.219162950001</v>
      </c>
      <c r="AI298" s="31">
        <f t="shared" si="211"/>
        <v>1.5707963267948966</v>
      </c>
      <c r="AJ298" s="31" t="str">
        <f t="shared" si="195"/>
        <v>-4.69373044887457+13.726691952514i</v>
      </c>
      <c r="AK298" s="31">
        <f t="shared" si="212"/>
        <v>14.507004428409914</v>
      </c>
      <c r="AL298" s="31">
        <f t="shared" si="213"/>
        <v>1.9002744356785526</v>
      </c>
      <c r="AM298" s="31" t="str">
        <f t="shared" si="196"/>
        <v>1+52.2431520129355i</v>
      </c>
      <c r="AN298" s="31">
        <f t="shared" si="214"/>
        <v>52.252721768791019</v>
      </c>
      <c r="AO298" s="31">
        <f t="shared" si="215"/>
        <v>1.5516573993187044</v>
      </c>
      <c r="AP298" s="31" t="str">
        <f t="shared" si="197"/>
        <v>1+8.72172821584899i</v>
      </c>
      <c r="AQ298" s="31">
        <f t="shared" si="216"/>
        <v>8.7788691225656397</v>
      </c>
      <c r="AR298" s="31">
        <f t="shared" si="217"/>
        <v>1.4566386501391932</v>
      </c>
      <c r="AS298" s="58" t="str">
        <f t="shared" si="218"/>
        <v>-6.48830905409371+3.23707809009076i</v>
      </c>
      <c r="AT298" s="49">
        <f t="shared" si="219"/>
        <v>17.207943890319989</v>
      </c>
      <c r="AU298" s="61">
        <f t="shared" si="220"/>
        <v>153.48496207883099</v>
      </c>
      <c r="AV298" s="58" t="str">
        <f t="shared" si="198"/>
        <v>8.29058308858131+34.658068618329i</v>
      </c>
      <c r="AW298" s="64">
        <f t="shared" si="221"/>
        <v>31.037748200224339</v>
      </c>
      <c r="AX298" s="49">
        <f t="shared" si="222"/>
        <v>76.54703142982504</v>
      </c>
      <c r="AY298" s="310"/>
      <c r="BA298" s="31">
        <f t="shared" si="223"/>
        <v>0</v>
      </c>
      <c r="BB298" s="31">
        <f t="shared" si="224"/>
        <v>0</v>
      </c>
    </row>
    <row r="299" spans="14:54" x14ac:dyDescent="0.45">
      <c r="N299" s="10">
        <v>81</v>
      </c>
      <c r="O299" s="50">
        <f t="shared" si="225"/>
        <v>6456.5422903465615</v>
      </c>
      <c r="P299" s="48" t="str">
        <f t="shared" si="188"/>
        <v>17.4002386318441</v>
      </c>
      <c r="Q299" s="17" t="str">
        <f t="shared" si="189"/>
        <v>1+3.47430769831797i</v>
      </c>
      <c r="R299" s="17">
        <f t="shared" si="199"/>
        <v>3.6153580711447537</v>
      </c>
      <c r="S299" s="17">
        <f t="shared" si="200"/>
        <v>1.2905443791253914</v>
      </c>
      <c r="T299" s="17" t="str">
        <f t="shared" si="190"/>
        <v>1+0.0121702954961668i</v>
      </c>
      <c r="U299" s="17">
        <f t="shared" si="201"/>
        <v>1.0000740553041381</v>
      </c>
      <c r="V299" s="17">
        <f t="shared" si="202"/>
        <v>1.2169694677356116E-2</v>
      </c>
      <c r="W299" s="31" t="str">
        <f t="shared" si="191"/>
        <v>1-0.0300255816322663i</v>
      </c>
      <c r="X299" s="17">
        <f t="shared" si="203"/>
        <v>1.0004506662261543</v>
      </c>
      <c r="Y299" s="17">
        <f t="shared" si="204"/>
        <v>-3.0016563466774795E-2</v>
      </c>
      <c r="Z299" s="31" t="str">
        <f t="shared" si="192"/>
        <v>0.999962188718053+0.0419925732234807i</v>
      </c>
      <c r="AA299" s="17">
        <f t="shared" si="205"/>
        <v>1.0008435217713747</v>
      </c>
      <c r="AB299" s="17">
        <f t="shared" si="206"/>
        <v>4.1969501462199833E-2</v>
      </c>
      <c r="AC299" s="66" t="str">
        <f t="shared" si="207"/>
        <v>1.05202079152662-4.69491118610376i</v>
      </c>
      <c r="AD299" s="64">
        <f t="shared" si="208"/>
        <v>13.645310865985978</v>
      </c>
      <c r="AE299" s="61">
        <f t="shared" si="209"/>
        <v>-77.369971759425752</v>
      </c>
      <c r="AF299" s="31" t="str">
        <f t="shared" si="193"/>
        <v>-9090.90909090909</v>
      </c>
      <c r="AG299" s="31" t="str">
        <f t="shared" si="194"/>
        <v>40567.6516538892i</v>
      </c>
      <c r="AH299" s="31">
        <f t="shared" si="210"/>
        <v>40567.651653889203</v>
      </c>
      <c r="AI299" s="31">
        <f t="shared" si="211"/>
        <v>1.5707963267948966</v>
      </c>
      <c r="AJ299" s="31" t="str">
        <f t="shared" si="195"/>
        <v>-4.96206769792325+14.0464276822042i</v>
      </c>
      <c r="AK299" s="31">
        <f t="shared" si="212"/>
        <v>14.89712208683831</v>
      </c>
      <c r="AL299" s="31">
        <f t="shared" si="213"/>
        <v>1.9103741076595433</v>
      </c>
      <c r="AM299" s="31" t="str">
        <f t="shared" si="196"/>
        <v>1+53.4600513494952i</v>
      </c>
      <c r="AN299" s="31">
        <f t="shared" si="214"/>
        <v>53.469403309656109</v>
      </c>
      <c r="AO299" s="31">
        <f t="shared" si="215"/>
        <v>1.5520929517208484</v>
      </c>
      <c r="AP299" s="31" t="str">
        <f t="shared" si="197"/>
        <v>1+8.92488336385562i</v>
      </c>
      <c r="AQ299" s="31">
        <f t="shared" si="216"/>
        <v>8.9807317663109618</v>
      </c>
      <c r="AR299" s="31">
        <f t="shared" si="217"/>
        <v>1.459215434125356</v>
      </c>
      <c r="AS299" s="58" t="str">
        <f t="shared" si="218"/>
        <v>-6.44061253627101+3.27049385512239i</v>
      </c>
      <c r="AT299" s="49">
        <f t="shared" si="219"/>
        <v>17.174842647142199</v>
      </c>
      <c r="AU299" s="61">
        <f t="shared" si="220"/>
        <v>153.07888766137739</v>
      </c>
      <c r="AV299" s="58" t="str">
        <f t="shared" si="198"/>
        <v>8.57901988617362+33.6787313760477i</v>
      </c>
      <c r="AW299" s="64">
        <f t="shared" si="221"/>
        <v>30.820153513128187</v>
      </c>
      <c r="AX299" s="49">
        <f t="shared" si="222"/>
        <v>75.708915901951642</v>
      </c>
      <c r="AY299" s="310"/>
      <c r="BA299" s="31">
        <f t="shared" si="223"/>
        <v>0</v>
      </c>
      <c r="BB299" s="31">
        <f t="shared" si="224"/>
        <v>0</v>
      </c>
    </row>
    <row r="300" spans="14:54" x14ac:dyDescent="0.45">
      <c r="N300" s="10">
        <v>82</v>
      </c>
      <c r="O300" s="50">
        <f t="shared" si="225"/>
        <v>6606.9344800759654</v>
      </c>
      <c r="P300" s="48" t="str">
        <f t="shared" si="188"/>
        <v>17.4002386318441</v>
      </c>
      <c r="Q300" s="17" t="str">
        <f t="shared" si="189"/>
        <v>1+3.55523472071584i</v>
      </c>
      <c r="R300" s="17">
        <f t="shared" si="199"/>
        <v>3.6931956243047077</v>
      </c>
      <c r="S300" s="17">
        <f t="shared" si="200"/>
        <v>1.2966053554985078</v>
      </c>
      <c r="T300" s="17" t="str">
        <f t="shared" si="190"/>
        <v>1+0.0124537780952135i</v>
      </c>
      <c r="U300" s="17">
        <f t="shared" si="201"/>
        <v>1.0000775452877866</v>
      </c>
      <c r="V300" s="17">
        <f t="shared" si="202"/>
        <v>1.2453134308954937E-2</v>
      </c>
      <c r="W300" s="31" t="str">
        <f t="shared" si="191"/>
        <v>1-0.0307249672734518i</v>
      </c>
      <c r="X300" s="17">
        <f t="shared" si="203"/>
        <v>1.0004719004619542</v>
      </c>
      <c r="Y300" s="17">
        <f t="shared" si="204"/>
        <v>-3.0715304381179309E-2</v>
      </c>
      <c r="Z300" s="31" t="str">
        <f t="shared" si="192"/>
        <v>0.999960406727234+0.0429707059074241i</v>
      </c>
      <c r="AA300" s="17">
        <f t="shared" si="205"/>
        <v>1.0008832582215956</v>
      </c>
      <c r="AB300" s="17">
        <f t="shared" si="206"/>
        <v>4.2945985247332993E-2</v>
      </c>
      <c r="AC300" s="66" t="str">
        <f t="shared" si="207"/>
        <v>0.995552659097737-4.60344004961017i</v>
      </c>
      <c r="AD300" s="64">
        <f t="shared" si="208"/>
        <v>13.460160775401071</v>
      </c>
      <c r="AE300" s="61">
        <f t="shared" si="209"/>
        <v>-77.796983535716066</v>
      </c>
      <c r="AF300" s="31" t="str">
        <f t="shared" si="193"/>
        <v>-9090.90909090909</v>
      </c>
      <c r="AG300" s="31" t="str">
        <f t="shared" si="194"/>
        <v>41512.5936507115i</v>
      </c>
      <c r="AH300" s="31">
        <f t="shared" si="210"/>
        <v>41512.593650711497</v>
      </c>
      <c r="AI300" s="31">
        <f t="shared" si="211"/>
        <v>1.5707963267948966</v>
      </c>
      <c r="AJ300" s="31" t="str">
        <f t="shared" si="195"/>
        <v>-5.24305129190751+14.3736110137779i</v>
      </c>
      <c r="AK300" s="31">
        <f t="shared" si="212"/>
        <v>15.300009164211973</v>
      </c>
      <c r="AL300" s="31">
        <f t="shared" si="213"/>
        <v>1.9205675435204668</v>
      </c>
      <c r="AM300" s="31" t="str">
        <f t="shared" si="196"/>
        <v>1+54.7052959129076i</v>
      </c>
      <c r="AN300" s="31">
        <f t="shared" si="214"/>
        <v>54.714435032437152</v>
      </c>
      <c r="AO300" s="31">
        <f t="shared" si="215"/>
        <v>1.5525185965978439</v>
      </c>
      <c r="AP300" s="31" t="str">
        <f t="shared" si="197"/>
        <v>1+9.13277060315652i</v>
      </c>
      <c r="AQ300" s="31">
        <f t="shared" si="216"/>
        <v>9.1873553806239521</v>
      </c>
      <c r="AR300" s="31">
        <f t="shared" si="217"/>
        <v>1.461735001930742</v>
      </c>
      <c r="AS300" s="58" t="str">
        <f t="shared" si="218"/>
        <v>-6.39146455766743+3.30402544362281i</v>
      </c>
      <c r="AT300" s="49">
        <f t="shared" si="219"/>
        <v>17.140563811238316</v>
      </c>
      <c r="AU300" s="61">
        <f t="shared" si="220"/>
        <v>152.66359506427804</v>
      </c>
      <c r="AV300" s="58" t="str">
        <f t="shared" si="198"/>
        <v>8.8468435161895+32.7120552365555i</v>
      </c>
      <c r="AW300" s="64">
        <f t="shared" si="221"/>
        <v>30.600724586639391</v>
      </c>
      <c r="AX300" s="49">
        <f t="shared" si="222"/>
        <v>74.866611528561975</v>
      </c>
      <c r="AY300" s="310"/>
      <c r="BA300" s="31">
        <f t="shared" si="223"/>
        <v>0</v>
      </c>
      <c r="BB300" s="31">
        <f t="shared" si="224"/>
        <v>0</v>
      </c>
    </row>
    <row r="301" spans="14:54" x14ac:dyDescent="0.45">
      <c r="N301" s="10">
        <v>83</v>
      </c>
      <c r="O301" s="50">
        <f t="shared" si="225"/>
        <v>6760.8297539198229</v>
      </c>
      <c r="P301" s="48" t="str">
        <f t="shared" si="188"/>
        <v>17.4002386318441</v>
      </c>
      <c r="Q301" s="17" t="str">
        <f t="shared" si="189"/>
        <v>1+3.63804677562175i</v>
      </c>
      <c r="R301" s="17">
        <f t="shared" si="199"/>
        <v>3.7729808297434819</v>
      </c>
      <c r="S301" s="17">
        <f t="shared" si="200"/>
        <v>1.302548403075513</v>
      </c>
      <c r="T301" s="17" t="str">
        <f t="shared" si="190"/>
        <v>1+0.0127438638522515i</v>
      </c>
      <c r="U301" s="17">
        <f t="shared" si="201"/>
        <v>1.0000811997362438</v>
      </c>
      <c r="V301" s="17">
        <f t="shared" si="202"/>
        <v>1.2743174025871974E-2</v>
      </c>
      <c r="W301" s="31" t="str">
        <f t="shared" si="191"/>
        <v>1-0.0314406436989787i</v>
      </c>
      <c r="X301" s="17">
        <f t="shared" si="203"/>
        <v>1.0004941349534269</v>
      </c>
      <c r="Y301" s="17">
        <f t="shared" si="204"/>
        <v>-3.1430289999531409E-2</v>
      </c>
      <c r="Z301" s="31" t="str">
        <f t="shared" si="192"/>
        <v>0.999958540753776+0.0439716222284243i</v>
      </c>
      <c r="AA301" s="17">
        <f t="shared" si="205"/>
        <v>1.0009248657056236</v>
      </c>
      <c r="AB301" s="17">
        <f t="shared" si="206"/>
        <v>4.3945134884952303E-2</v>
      </c>
      <c r="AC301" s="66" t="str">
        <f t="shared" si="207"/>
        <v>0.941262288476628-4.51307968264686i</v>
      </c>
      <c r="AD301" s="64">
        <f t="shared" si="208"/>
        <v>13.274378751554467</v>
      </c>
      <c r="AE301" s="61">
        <f t="shared" si="209"/>
        <v>-78.219089743335175</v>
      </c>
      <c r="AF301" s="31" t="str">
        <f t="shared" si="193"/>
        <v>-9090.90909090909</v>
      </c>
      <c r="AG301" s="31" t="str">
        <f t="shared" si="194"/>
        <v>42479.5461741716i</v>
      </c>
      <c r="AH301" s="31">
        <f t="shared" si="210"/>
        <v>42479.546174171599</v>
      </c>
      <c r="AI301" s="31">
        <f t="shared" si="211"/>
        <v>1.5707963267948966</v>
      </c>
      <c r="AJ301" s="31" t="str">
        <f t="shared" si="195"/>
        <v>-5.53727723470243+14.7084154241684i</v>
      </c>
      <c r="AK301" s="31">
        <f t="shared" si="212"/>
        <v>15.716199396287537</v>
      </c>
      <c r="AL301" s="31">
        <f t="shared" si="213"/>
        <v>1.9308551456937242</v>
      </c>
      <c r="AM301" s="31" t="str">
        <f t="shared" si="196"/>
        <v>1+55.9795459483233i</v>
      </c>
      <c r="AN301" s="31">
        <f t="shared" si="214"/>
        <v>55.988477069665322</v>
      </c>
      <c r="AO301" s="31">
        <f t="shared" si="215"/>
        <v>1.5529345590149604</v>
      </c>
      <c r="AP301" s="31" t="str">
        <f t="shared" si="197"/>
        <v>1+9.34550015831774i</v>
      </c>
      <c r="AQ301" s="31">
        <f t="shared" si="216"/>
        <v>9.3988495683842554</v>
      </c>
      <c r="AR301" s="31">
        <f t="shared" si="217"/>
        <v>1.464198561435901</v>
      </c>
      <c r="AS301" s="58" t="str">
        <f t="shared" si="218"/>
        <v>-6.34084544346805+3.33761440013568i</v>
      </c>
      <c r="AT301" s="49">
        <f t="shared" si="219"/>
        <v>17.105065388411454</v>
      </c>
      <c r="AU301" s="61">
        <f t="shared" si="220"/>
        <v>152.23914333160255</v>
      </c>
      <c r="AV301" s="58" t="str">
        <f t="shared" si="198"/>
        <v>9.09452104476659+31.7583113100438i</v>
      </c>
      <c r="AW301" s="64">
        <f t="shared" si="221"/>
        <v>30.379444139965912</v>
      </c>
      <c r="AX301" s="49">
        <f t="shared" si="222"/>
        <v>74.020053588267373</v>
      </c>
      <c r="AY301" s="310"/>
      <c r="BA301" s="31">
        <f t="shared" si="223"/>
        <v>0</v>
      </c>
      <c r="BB301" s="31">
        <f t="shared" si="224"/>
        <v>0</v>
      </c>
    </row>
    <row r="302" spans="14:54" x14ac:dyDescent="0.45">
      <c r="N302" s="10">
        <v>84</v>
      </c>
      <c r="O302" s="50">
        <f t="shared" si="225"/>
        <v>6918.3097091893687</v>
      </c>
      <c r="P302" s="48" t="str">
        <f t="shared" si="188"/>
        <v>17.4002386318441</v>
      </c>
      <c r="Q302" s="17" t="str">
        <f t="shared" si="189"/>
        <v>1+3.72278777108333i</v>
      </c>
      <c r="R302" s="17">
        <f t="shared" si="199"/>
        <v>3.854756644527328</v>
      </c>
      <c r="S302" s="17">
        <f t="shared" si="200"/>
        <v>1.3083749930122295</v>
      </c>
      <c r="T302" s="17" t="str">
        <f t="shared" si="190"/>
        <v>1+0.013040706574589i</v>
      </c>
      <c r="U302" s="17">
        <f t="shared" si="201"/>
        <v>1.000085026399238</v>
      </c>
      <c r="V302" s="17">
        <f t="shared" si="202"/>
        <v>1.3039967415700113E-2</v>
      </c>
      <c r="W302" s="31" t="str">
        <f t="shared" si="191"/>
        <v>1-0.032172990369961i</v>
      </c>
      <c r="X302" s="17">
        <f t="shared" si="203"/>
        <v>1.0005174167946032</v>
      </c>
      <c r="Y302" s="17">
        <f t="shared" si="204"/>
        <v>-3.2161896490967061E-2</v>
      </c>
      <c r="Z302" s="31" t="str">
        <f t="shared" si="192"/>
        <v>0.999956586839699+0.0449958528855632i</v>
      </c>
      <c r="AA302" s="17">
        <f t="shared" si="205"/>
        <v>1.0009684322399983</v>
      </c>
      <c r="AB302" s="17">
        <f t="shared" si="206"/>
        <v>4.496747266775513E-2</v>
      </c>
      <c r="AC302" s="66" t="str">
        <f t="shared" si="207"/>
        <v>0.889080598180491-4.42385858351393i</v>
      </c>
      <c r="AD302" s="64">
        <f t="shared" si="208"/>
        <v>13.087988709263117</v>
      </c>
      <c r="AE302" s="61">
        <f t="shared" si="209"/>
        <v>-78.636417351452863</v>
      </c>
      <c r="AF302" s="31" t="str">
        <f t="shared" si="193"/>
        <v>-9090.90909090909</v>
      </c>
      <c r="AG302" s="31" t="str">
        <f t="shared" si="194"/>
        <v>43469.0219152965i</v>
      </c>
      <c r="AH302" s="31">
        <f t="shared" si="210"/>
        <v>43469.0219152965</v>
      </c>
      <c r="AI302" s="31">
        <f t="shared" si="211"/>
        <v>1.5707963267948966</v>
      </c>
      <c r="AJ302" s="31" t="str">
        <f t="shared" si="195"/>
        <v>-5.84536961898015+15.0510184311057i</v>
      </c>
      <c r="AK302" s="31">
        <f t="shared" si="212"/>
        <v>16.146253491010835</v>
      </c>
      <c r="AL302" s="31">
        <f t="shared" si="213"/>
        <v>1.9412371355377724</v>
      </c>
      <c r="AM302" s="31" t="str">
        <f t="shared" si="196"/>
        <v>1+57.2834770799777i</v>
      </c>
      <c r="AN302" s="31">
        <f t="shared" si="214"/>
        <v>57.292204935508721</v>
      </c>
      <c r="AO302" s="31">
        <f t="shared" si="215"/>
        <v>1.5533410589448724</v>
      </c>
      <c r="AP302" s="31" t="str">
        <f t="shared" si="197"/>
        <v>1+9.56318482136522i</v>
      </c>
      <c r="AQ302" s="31">
        <f t="shared" si="216"/>
        <v>9.6153265117514426</v>
      </c>
      <c r="AR302" s="31">
        <f t="shared" si="217"/>
        <v>1.4666072991743928</v>
      </c>
      <c r="AS302" s="58" t="str">
        <f t="shared" si="218"/>
        <v>-6.28873773296028+3.37120020935703i</v>
      </c>
      <c r="AT302" s="49">
        <f t="shared" si="219"/>
        <v>17.068305061642711</v>
      </c>
      <c r="AU302" s="61">
        <f t="shared" si="220"/>
        <v>151.80560036731671</v>
      </c>
      <c r="AV302" s="58" t="str">
        <f t="shared" si="198"/>
        <v>9.3225182774875+30.8177550981456i</v>
      </c>
      <c r="AW302" s="64">
        <f t="shared" si="221"/>
        <v>30.156293770905819</v>
      </c>
      <c r="AX302" s="49">
        <f t="shared" si="222"/>
        <v>73.169183015863865</v>
      </c>
      <c r="AY302" s="310"/>
      <c r="BA302" s="31">
        <f t="shared" si="223"/>
        <v>0</v>
      </c>
      <c r="BB302" s="31">
        <f t="shared" si="224"/>
        <v>0</v>
      </c>
    </row>
    <row r="303" spans="14:54" x14ac:dyDescent="0.45">
      <c r="N303" s="10">
        <v>85</v>
      </c>
      <c r="O303" s="50">
        <f t="shared" si="225"/>
        <v>7079.4578438413828</v>
      </c>
      <c r="P303" s="48" t="str">
        <f t="shared" si="188"/>
        <v>17.4002386318441</v>
      </c>
      <c r="Q303" s="17" t="str">
        <f t="shared" si="189"/>
        <v>1+3.80950263789805i</v>
      </c>
      <c r="R303" s="17">
        <f t="shared" si="199"/>
        <v>3.9385670424854013</v>
      </c>
      <c r="S303" s="17">
        <f t="shared" si="200"/>
        <v>1.3140866315412354</v>
      </c>
      <c r="T303" s="17" t="str">
        <f t="shared" si="190"/>
        <v>1+0.0133444636521664i</v>
      </c>
      <c r="U303" s="17">
        <f t="shared" si="201"/>
        <v>1.0000890333916097</v>
      </c>
      <c r="V303" s="17">
        <f t="shared" si="202"/>
        <v>1.3343671632955448E-2</v>
      </c>
      <c r="W303" s="31" t="str">
        <f t="shared" si="191"/>
        <v>1-0.0329223955862972i</v>
      </c>
      <c r="X303" s="17">
        <f t="shared" si="203"/>
        <v>1.0005417952944997</v>
      </c>
      <c r="Y303" s="17">
        <f t="shared" si="204"/>
        <v>-3.2910508628412778E-2</v>
      </c>
      <c r="Z303" s="31" t="str">
        <f t="shared" si="192"/>
        <v>0.999954540840487+0.0460439409394926i</v>
      </c>
      <c r="AA303" s="17">
        <f t="shared" si="205"/>
        <v>1.0010140499736997</v>
      </c>
      <c r="AB303" s="17">
        <f t="shared" si="206"/>
        <v>4.6013532650919009E-2</v>
      </c>
      <c r="AC303" s="66" t="str">
        <f t="shared" si="207"/>
        <v>0.838939473192383-4.33580195755533i</v>
      </c>
      <c r="AD303" s="64">
        <f t="shared" si="208"/>
        <v>12.90101377443726</v>
      </c>
      <c r="AE303" s="61">
        <f t="shared" si="209"/>
        <v>-79.049096301520891</v>
      </c>
      <c r="AF303" s="31" t="str">
        <f t="shared" si="193"/>
        <v>-9090.90909090909</v>
      </c>
      <c r="AG303" s="31" t="str">
        <f t="shared" si="194"/>
        <v>44481.5455072214i</v>
      </c>
      <c r="AH303" s="31">
        <f t="shared" si="210"/>
        <v>44481.545507221403</v>
      </c>
      <c r="AI303" s="31">
        <f t="shared" si="211"/>
        <v>1.5707963267948966</v>
      </c>
      <c r="AJ303" s="31" t="str">
        <f t="shared" si="195"/>
        <v>-6.1679819499944+15.4016016872389i</v>
      </c>
      <c r="AK303" s="31">
        <f t="shared" si="212"/>
        <v>16.590760557244408</v>
      </c>
      <c r="AL303" s="31">
        <f t="shared" si="213"/>
        <v>1.9517135472184455</v>
      </c>
      <c r="AM303" s="31" t="str">
        <f t="shared" si="196"/>
        <v>1+58.6177806694163i</v>
      </c>
      <c r="AN303" s="31">
        <f t="shared" si="214"/>
        <v>58.626309883940294</v>
      </c>
      <c r="AO303" s="31">
        <f t="shared" si="215"/>
        <v>1.5537383113815482</v>
      </c>
      <c r="AP303" s="31" t="str">
        <f t="shared" si="197"/>
        <v>1+9.7859400115887i</v>
      </c>
      <c r="AQ303" s="31">
        <f t="shared" si="216"/>
        <v>9.8369010318500543</v>
      </c>
      <c r="AR303" s="31">
        <f t="shared" si="217"/>
        <v>1.4689623804255565</v>
      </c>
      <c r="AS303" s="58" t="str">
        <f t="shared" si="218"/>
        <v>-6.23512636549414+3.40472036241205i</v>
      </c>
      <c r="AT303" s="49">
        <f t="shared" si="219"/>
        <v>17.030240244825841</v>
      </c>
      <c r="AU303" s="61">
        <f t="shared" si="220"/>
        <v>151.3630432976974</v>
      </c>
      <c r="AV303" s="58" t="str">
        <f t="shared" si="198"/>
        <v>9.53129958391907+29.8906274083237i</v>
      </c>
      <c r="AW303" s="64">
        <f t="shared" si="221"/>
        <v>29.931254019263104</v>
      </c>
      <c r="AX303" s="49">
        <f t="shared" si="222"/>
        <v>72.313946996176512</v>
      </c>
      <c r="AY303" s="310"/>
      <c r="BA303" s="31">
        <f t="shared" si="223"/>
        <v>0</v>
      </c>
      <c r="BB303" s="31">
        <f t="shared" si="224"/>
        <v>0</v>
      </c>
    </row>
    <row r="304" spans="14:54" x14ac:dyDescent="0.45">
      <c r="N304" s="10">
        <v>86</v>
      </c>
      <c r="O304" s="50">
        <f t="shared" si="225"/>
        <v>7244.3596007499036</v>
      </c>
      <c r="P304" s="48" t="str">
        <f t="shared" si="188"/>
        <v>17.4002386318441</v>
      </c>
      <c r="Q304" s="17" t="str">
        <f t="shared" si="189"/>
        <v>1+3.89823735343613i</v>
      </c>
      <c r="R304" s="17">
        <f t="shared" si="199"/>
        <v>4.0244570396172357</v>
      </c>
      <c r="S304" s="17">
        <f t="shared" si="200"/>
        <v>1.3196848557980341</v>
      </c>
      <c r="T304" s="17" t="str">
        <f t="shared" si="190"/>
        <v>1+0.0136552961410072i</v>
      </c>
      <c r="U304" s="17">
        <f t="shared" si="201"/>
        <v>1.0000932292105065</v>
      </c>
      <c r="V304" s="17">
        <f t="shared" si="202"/>
        <v>1.3654447481405287E-2</v>
      </c>
      <c r="W304" s="31" t="str">
        <f t="shared" si="191"/>
        <v>1-0.0336892566925528i</v>
      </c>
      <c r="X304" s="17">
        <f t="shared" si="203"/>
        <v>1.0005673220810765</v>
      </c>
      <c r="Y304" s="17">
        <f t="shared" si="204"/>
        <v>-3.3676519977715827E-2</v>
      </c>
      <c r="Z304" s="31" t="str">
        <f t="shared" si="192"/>
        <v>0.999952398416304+0.0471164421003717i</v>
      </c>
      <c r="AA304" s="17">
        <f t="shared" si="205"/>
        <v>1.0010618153814062</v>
      </c>
      <c r="AB304" s="17">
        <f t="shared" si="206"/>
        <v>4.7083860897451306E-2</v>
      </c>
      <c r="AC304" s="66" t="str">
        <f t="shared" si="207"/>
        <v>0.790771865917507-4.24893187941125i</v>
      </c>
      <c r="AD304" s="64">
        <f t="shared" si="208"/>
        <v>12.713476294948924</v>
      </c>
      <c r="AE304" s="61">
        <f t="shared" si="209"/>
        <v>-79.457259288306602</v>
      </c>
      <c r="AF304" s="31" t="str">
        <f t="shared" si="193"/>
        <v>-9090.90909090909</v>
      </c>
      <c r="AG304" s="31" t="str">
        <f t="shared" si="194"/>
        <v>45517.6538033572i</v>
      </c>
      <c r="AH304" s="31">
        <f t="shared" si="210"/>
        <v>45517.6538033572</v>
      </c>
      <c r="AI304" s="31">
        <f t="shared" si="211"/>
        <v>1.5707963267948966</v>
      </c>
      <c r="AJ304" s="31" t="str">
        <f t="shared" si="195"/>
        <v>-6.50579853175272+15.760351076451i</v>
      </c>
      <c r="AK304" s="31">
        <f t="shared" si="212"/>
        <v>17.050339603325973</v>
      </c>
      <c r="AL304" s="31">
        <f t="shared" si="213"/>
        <v>1.9622842218183787</v>
      </c>
      <c r="AM304" s="31" t="str">
        <f t="shared" si="196"/>
        <v>1+59.9831641820641i</v>
      </c>
      <c r="AN304" s="31">
        <f t="shared" si="214"/>
        <v>59.99149927525113</v>
      </c>
      <c r="AO304" s="31">
        <f t="shared" si="215"/>
        <v>1.5541265264516784</v>
      </c>
      <c r="AP304" s="31" t="str">
        <f t="shared" si="197"/>
        <v>1+10.0138838367386i</v>
      </c>
      <c r="AQ304" s="31">
        <f t="shared" si="216"/>
        <v>10.063690649840872</v>
      </c>
      <c r="AR304" s="31">
        <f t="shared" si="217"/>
        <v>1.4712649493295853</v>
      </c>
      <c r="AS304" s="58" t="str">
        <f t="shared" si="218"/>
        <v>-6.17999886781924+3.43811043914218i</v>
      </c>
      <c r="AT304" s="49">
        <f t="shared" si="219"/>
        <v>16.990828141607032</v>
      </c>
      <c r="AU304" s="61">
        <f t="shared" si="220"/>
        <v>150.91155882181587</v>
      </c>
      <c r="AV304" s="58" t="str">
        <f t="shared" si="198"/>
        <v>9.72132781373432+28.9771552113935i</v>
      </c>
      <c r="AW304" s="64">
        <f t="shared" si="221"/>
        <v>29.704304436555951</v>
      </c>
      <c r="AX304" s="49">
        <f t="shared" si="222"/>
        <v>71.454299533509257</v>
      </c>
      <c r="AY304" s="310"/>
      <c r="BA304" s="31">
        <f t="shared" si="223"/>
        <v>0</v>
      </c>
      <c r="BB304" s="31">
        <f t="shared" si="224"/>
        <v>0</v>
      </c>
    </row>
    <row r="305" spans="14:54" x14ac:dyDescent="0.45">
      <c r="N305" s="10">
        <v>87</v>
      </c>
      <c r="O305" s="50">
        <f t="shared" si="225"/>
        <v>7413.1024130091773</v>
      </c>
      <c r="P305" s="48" t="str">
        <f t="shared" si="188"/>
        <v>17.4002386318441</v>
      </c>
      <c r="Q305" s="17" t="str">
        <f t="shared" si="189"/>
        <v>1+3.98903896601826i</v>
      </c>
      <c r="R305" s="17">
        <f t="shared" si="199"/>
        <v>4.1124727199596149</v>
      </c>
      <c r="S305" s="17">
        <f t="shared" si="200"/>
        <v>1.3251712298570424</v>
      </c>
      <c r="T305" s="17" t="str">
        <f t="shared" si="190"/>
        <v>1+0.0139733688486111i</v>
      </c>
      <c r="U305" s="17">
        <f t="shared" si="201"/>
        <v>1.0000976227533886</v>
      </c>
      <c r="V305" s="17">
        <f t="shared" si="202"/>
        <v>1.3972459498258111E-2</v>
      </c>
      <c r="W305" s="31" t="str">
        <f t="shared" si="191"/>
        <v>1-0.0344739802886368i</v>
      </c>
      <c r="X305" s="17">
        <f t="shared" si="203"/>
        <v>1.0005940512100506</v>
      </c>
      <c r="Y305" s="17">
        <f t="shared" si="204"/>
        <v>-3.4460333090376993E-2</v>
      </c>
      <c r="Z305" s="31" t="str">
        <f t="shared" si="192"/>
        <v>0.999950155022779+0.0482139250225123i</v>
      </c>
      <c r="AA305" s="17">
        <f t="shared" si="205"/>
        <v>1.0011118294656978</v>
      </c>
      <c r="AB305" s="17">
        <f t="shared" si="206"/>
        <v>4.8179015727232932E-2</v>
      </c>
      <c r="AC305" s="66" t="str">
        <f t="shared" si="207"/>
        <v>0.744511884781576-4.1632674532188i</v>
      </c>
      <c r="AD305" s="64">
        <f t="shared" si="208"/>
        <v>12.525397852542744</v>
      </c>
      <c r="AE305" s="61">
        <f t="shared" si="209"/>
        <v>-79.861041553260051</v>
      </c>
      <c r="AF305" s="31" t="str">
        <f t="shared" si="193"/>
        <v>-9090.90909090909</v>
      </c>
      <c r="AG305" s="31" t="str">
        <f t="shared" si="194"/>
        <v>46577.8961620368i</v>
      </c>
      <c r="AH305" s="31">
        <f t="shared" si="210"/>
        <v>46577.896162036799</v>
      </c>
      <c r="AI305" s="31">
        <f t="shared" si="211"/>
        <v>1.5707963267948966</v>
      </c>
      <c r="AJ305" s="31" t="str">
        <f t="shared" si="195"/>
        <v>-6.85953591851677+16.1274568124168i</v>
      </c>
      <c r="AK305" s="31">
        <f t="shared" si="212"/>
        <v>17.525641108210301</v>
      </c>
      <c r="AL305" s="31">
        <f t="shared" si="213"/>
        <v>1.9729488017234131</v>
      </c>
      <c r="AM305" s="31" t="str">
        <f t="shared" si="196"/>
        <v>1+61.3803515623321i</v>
      </c>
      <c r="AN305" s="31">
        <f t="shared" si="214"/>
        <v>61.388496951102212</v>
      </c>
      <c r="AO305" s="31">
        <f t="shared" si="215"/>
        <v>1.5545059095236968</v>
      </c>
      <c r="AP305" s="31" t="str">
        <f t="shared" si="197"/>
        <v>1+10.2471371556481i</v>
      </c>
      <c r="AQ305" s="31">
        <f t="shared" si="216"/>
        <v>10.295815649411358</v>
      </c>
      <c r="AR305" s="31">
        <f t="shared" si="217"/>
        <v>1.4735161290229604</v>
      </c>
      <c r="AS305" s="58" t="str">
        <f t="shared" si="218"/>
        <v>-6.12334554146163+3.47130420712354i</v>
      </c>
      <c r="AT305" s="49">
        <f t="shared" si="219"/>
        <v>16.950025809343483</v>
      </c>
      <c r="AU305" s="61">
        <f t="shared" si="220"/>
        <v>150.45124354717862</v>
      </c>
      <c r="AV305" s="58" t="str">
        <f t="shared" si="198"/>
        <v>9.89306429549647+28.0775524354754i</v>
      </c>
      <c r="AW305" s="64">
        <f t="shared" si="221"/>
        <v>29.475423661886229</v>
      </c>
      <c r="AX305" s="49">
        <f t="shared" si="222"/>
        <v>70.590201993918583</v>
      </c>
      <c r="AY305" s="310"/>
      <c r="BA305" s="31">
        <f t="shared" si="223"/>
        <v>0</v>
      </c>
      <c r="BB305" s="31">
        <f t="shared" si="224"/>
        <v>0</v>
      </c>
    </row>
    <row r="306" spans="14:54" x14ac:dyDescent="0.45">
      <c r="N306" s="10">
        <v>88</v>
      </c>
      <c r="O306" s="50">
        <f t="shared" si="225"/>
        <v>7585.7757502918394</v>
      </c>
      <c r="P306" s="48" t="str">
        <f t="shared" si="188"/>
        <v>17.4002386318441</v>
      </c>
      <c r="Q306" s="17" t="str">
        <f t="shared" si="189"/>
        <v>1+4.08195561986135i</v>
      </c>
      <c r="R306" s="17">
        <f t="shared" si="199"/>
        <v>4.2026612619288812</v>
      </c>
      <c r="S306" s="17">
        <f t="shared" si="200"/>
        <v>1.3305473409743462</v>
      </c>
      <c r="T306" s="17" t="str">
        <f t="shared" si="190"/>
        <v>1+0.0142988504213379i</v>
      </c>
      <c r="U306" s="17">
        <f t="shared" si="201"/>
        <v>1.0001022233368806</v>
      </c>
      <c r="V306" s="17">
        <f t="shared" si="202"/>
        <v>1.4297876040258376E-2</v>
      </c>
      <c r="W306" s="31" t="str">
        <f t="shared" si="191"/>
        <v>1-0.0352769824453869i</v>
      </c>
      <c r="X306" s="17">
        <f t="shared" si="203"/>
        <v>1.0006220392787939</v>
      </c>
      <c r="Y306" s="17">
        <f t="shared" si="204"/>
        <v>-3.5262359699916083E-2</v>
      </c>
      <c r="Z306" s="31" t="str">
        <f t="shared" si="192"/>
        <v>0.999947805901375+0.0493369716058865i</v>
      </c>
      <c r="AA306" s="17">
        <f t="shared" si="205"/>
        <v>1.0011641979686519</v>
      </c>
      <c r="AB306" s="17">
        <f t="shared" si="206"/>
        <v>4.9299567969697582E-2</v>
      </c>
      <c r="AC306" s="66" t="str">
        <f t="shared" si="207"/>
        <v>0.700094871218903-4.07882497015837i</v>
      </c>
      <c r="AD306" s="64">
        <f t="shared" si="208"/>
        <v>12.336799275651437</v>
      </c>
      <c r="AE306" s="61">
        <f t="shared" si="209"/>
        <v>-80.260580690035496</v>
      </c>
      <c r="AF306" s="31" t="str">
        <f t="shared" si="193"/>
        <v>-9090.90909090909</v>
      </c>
      <c r="AG306" s="31" t="str">
        <f t="shared" si="194"/>
        <v>47662.8347377929i</v>
      </c>
      <c r="AH306" s="31">
        <f t="shared" si="210"/>
        <v>47662.834737792902</v>
      </c>
      <c r="AI306" s="31">
        <f t="shared" si="211"/>
        <v>1.5707963267948966</v>
      </c>
      <c r="AJ306" s="31" t="str">
        <f t="shared" si="195"/>
        <v>-7.22994443471038+16.5031135394566i</v>
      </c>
      <c r="AK306" s="31">
        <f t="shared" si="212"/>
        <v>18.017348668025363</v>
      </c>
      <c r="AL306" s="31">
        <f t="shared" si="213"/>
        <v>1.9837067253369247</v>
      </c>
      <c r="AM306" s="31" t="str">
        <f t="shared" si="196"/>
        <v>1+62.8100836174635i</v>
      </c>
      <c r="AN306" s="31">
        <f t="shared" si="214"/>
        <v>62.818043618316835</v>
      </c>
      <c r="AO306" s="31">
        <f t="shared" si="215"/>
        <v>1.5548766613144382</v>
      </c>
      <c r="AP306" s="31" t="str">
        <f t="shared" si="197"/>
        <v>1+10.4858236423144i</v>
      </c>
      <c r="AQ306" s="31">
        <f t="shared" si="216"/>
        <v>10.533399140719943</v>
      </c>
      <c r="AR306" s="31">
        <f t="shared" si="217"/>
        <v>1.4757170217924263</v>
      </c>
      <c r="AS306" s="58" t="str">
        <f t="shared" si="218"/>
        <v>-6.06515964867747+3.50423373803498i</v>
      </c>
      <c r="AT306" s="49">
        <f t="shared" si="219"/>
        <v>16.907790228159051</v>
      </c>
      <c r="AU306" s="61">
        <f t="shared" si="220"/>
        <v>149.98220430750797</v>
      </c>
      <c r="AV306" s="58" t="str">
        <f t="shared" si="198"/>
        <v>10.0469689088055+27.1920206905732i</v>
      </c>
      <c r="AW306" s="64">
        <f t="shared" si="221"/>
        <v>29.244589503810499</v>
      </c>
      <c r="AX306" s="49">
        <f t="shared" si="222"/>
        <v>69.721623617472588</v>
      </c>
      <c r="AY306" s="310"/>
      <c r="BA306" s="31">
        <f t="shared" si="223"/>
        <v>0</v>
      </c>
      <c r="BB306" s="31">
        <f t="shared" si="224"/>
        <v>0</v>
      </c>
    </row>
    <row r="307" spans="14:54" x14ac:dyDescent="0.45">
      <c r="N307" s="10">
        <v>89</v>
      </c>
      <c r="O307" s="50">
        <f t="shared" si="225"/>
        <v>7762.4711662869322</v>
      </c>
      <c r="P307" s="48" t="str">
        <f t="shared" si="188"/>
        <v>17.4002386318441</v>
      </c>
      <c r="Q307" s="17" t="str">
        <f t="shared" si="189"/>
        <v>1+4.17703658060517i</v>
      </c>
      <c r="R307" s="17">
        <f t="shared" si="199"/>
        <v>4.2950709651545607</v>
      </c>
      <c r="S307" s="17">
        <f t="shared" si="200"/>
        <v>1.3358147960334004</v>
      </c>
      <c r="T307" s="17" t="str">
        <f t="shared" si="190"/>
        <v>1+0.0146319134338258i</v>
      </c>
      <c r="U307" s="17">
        <f t="shared" si="201"/>
        <v>1.00010704071651</v>
      </c>
      <c r="V307" s="17">
        <f t="shared" si="202"/>
        <v>1.4630869371723606E-2</v>
      </c>
      <c r="W307" s="31" t="str">
        <f t="shared" si="191"/>
        <v>1-0.0360986889251756i</v>
      </c>
      <c r="X307" s="17">
        <f t="shared" si="203"/>
        <v>1.0006513455455484</v>
      </c>
      <c r="Y307" s="17">
        <f t="shared" si="204"/>
        <v>-3.6083020921892112E-2</v>
      </c>
      <c r="Z307" s="31" t="str">
        <f t="shared" si="192"/>
        <v>0.99994534606929+0.0504861773046582i</v>
      </c>
      <c r="AA307" s="17">
        <f t="shared" si="205"/>
        <v>1.0012190315932221</v>
      </c>
      <c r="AB307" s="17">
        <f t="shared" si="206"/>
        <v>5.044610122008289E-2</v>
      </c>
      <c r="AC307" s="66" t="str">
        <f t="shared" si="207"/>
        <v>0.657457465793186-3.99561806282766i</v>
      </c>
      <c r="AD307" s="64">
        <f t="shared" si="208"/>
        <v>12.14770065298951</v>
      </c>
      <c r="AE307" s="61">
        <f t="shared" si="209"/>
        <v>-80.656016461942926</v>
      </c>
      <c r="AF307" s="31" t="str">
        <f t="shared" si="193"/>
        <v>-9090.90909090909</v>
      </c>
      <c r="AG307" s="31" t="str">
        <f t="shared" si="194"/>
        <v>48773.0447794192i</v>
      </c>
      <c r="AH307" s="31">
        <f t="shared" si="210"/>
        <v>48773.0447794192</v>
      </c>
      <c r="AI307" s="31">
        <f t="shared" si="211"/>
        <v>1.5707963267948966</v>
      </c>
      <c r="AJ307" s="31" t="str">
        <f t="shared" si="195"/>
        <v>-7.61780976645786+16.8875204357396i</v>
      </c>
      <c r="AK307" s="31">
        <f t="shared" si="212"/>
        <v>18.526180720954425</v>
      </c>
      <c r="AL307" s="31">
        <f t="shared" si="213"/>
        <v>1.9945572221745929</v>
      </c>
      <c r="AM307" s="31" t="str">
        <f t="shared" si="196"/>
        <v>1+64.2731184103186i</v>
      </c>
      <c r="AN307" s="31">
        <f t="shared" si="214"/>
        <v>64.280897241613204</v>
      </c>
      <c r="AO307" s="31">
        <f t="shared" si="215"/>
        <v>1.5552389779934765</v>
      </c>
      <c r="AP307" s="31" t="str">
        <f t="shared" si="197"/>
        <v>1+10.7300698514722i</v>
      </c>
      <c r="AQ307" s="31">
        <f t="shared" si="216"/>
        <v>10.776567125827809</v>
      </c>
      <c r="AR307" s="31">
        <f t="shared" si="217"/>
        <v>1.4778687092457858</v>
      </c>
      <c r="AS307" s="58" t="str">
        <f t="shared" si="218"/>
        <v>-6.00543759539743+3.53682954187086i</v>
      </c>
      <c r="AT307" s="49">
        <f t="shared" si="219"/>
        <v>16.86407837503284</v>
      </c>
      <c r="AU307" s="61">
        <f t="shared" si="220"/>
        <v>149.50455845955443</v>
      </c>
      <c r="AV307" s="58" t="str">
        <f t="shared" si="198"/>
        <v>10.1835002201926+26.3207499188952i</v>
      </c>
      <c r="AW307" s="64">
        <f t="shared" si="221"/>
        <v>29.011779028022367</v>
      </c>
      <c r="AX307" s="49">
        <f t="shared" si="222"/>
        <v>68.848541997611477</v>
      </c>
      <c r="AY307" s="310"/>
      <c r="BA307" s="31">
        <f t="shared" si="223"/>
        <v>0</v>
      </c>
      <c r="BB307" s="31">
        <f t="shared" si="224"/>
        <v>0</v>
      </c>
    </row>
    <row r="308" spans="14:54" x14ac:dyDescent="0.45">
      <c r="N308" s="10">
        <v>90</v>
      </c>
      <c r="O308" s="50">
        <f t="shared" si="225"/>
        <v>7943.2823472428154</v>
      </c>
      <c r="P308" s="48" t="str">
        <f t="shared" si="188"/>
        <v>17.4002386318441</v>
      </c>
      <c r="Q308" s="17" t="str">
        <f t="shared" si="189"/>
        <v>1+4.27433226143363i</v>
      </c>
      <c r="R308" s="17">
        <f t="shared" si="199"/>
        <v>4.3897512778211398</v>
      </c>
      <c r="S308" s="17">
        <f t="shared" si="200"/>
        <v>1.3409752181892636</v>
      </c>
      <c r="T308" s="17" t="str">
        <f t="shared" si="190"/>
        <v>1+0.0149727344804925i</v>
      </c>
      <c r="U308" s="17">
        <f t="shared" si="201"/>
        <v>1.0001120851073759</v>
      </c>
      <c r="V308" s="17">
        <f t="shared" si="202"/>
        <v>1.4971615754565614E-2</v>
      </c>
      <c r="W308" s="31" t="str">
        <f t="shared" si="191"/>
        <v>1-0.036939535407655i</v>
      </c>
      <c r="X308" s="17">
        <f t="shared" si="203"/>
        <v>1.0006820320542054</v>
      </c>
      <c r="Y308" s="17">
        <f t="shared" si="204"/>
        <v>-3.692274745759918E-2</v>
      </c>
      <c r="Z308" s="31" t="str">
        <f t="shared" si="192"/>
        <v>0.999942770308891+0.0516621514429003i</v>
      </c>
      <c r="AA308" s="17">
        <f t="shared" si="205"/>
        <v>1.0012764462348691</v>
      </c>
      <c r="AB308" s="17">
        <f t="shared" si="206"/>
        <v>5.1619212099172015E-2</v>
      </c>
      <c r="AC308" s="66" t="str">
        <f t="shared" si="207"/>
        <v>0.616537664182695-3.91365785600114i</v>
      </c>
      <c r="AD308" s="64">
        <f t="shared" si="208"/>
        <v>11.958121347804028</v>
      </c>
      <c r="AE308" s="61">
        <f t="shared" si="209"/>
        <v>-81.047490631072336</v>
      </c>
      <c r="AF308" s="31" t="str">
        <f t="shared" si="193"/>
        <v>-9090.90909090909</v>
      </c>
      <c r="AG308" s="31" t="str">
        <f t="shared" si="194"/>
        <v>49909.114934975i</v>
      </c>
      <c r="AH308" s="31">
        <f t="shared" si="210"/>
        <v>49909.114934974998</v>
      </c>
      <c r="AI308" s="31">
        <f t="shared" si="211"/>
        <v>1.5707963267948966</v>
      </c>
      <c r="AJ308" s="31" t="str">
        <f t="shared" si="195"/>
        <v>-8.02395462812984+17.2808813188903i</v>
      </c>
      <c r="AK308" s="31">
        <f t="shared" si="212"/>
        <v>19.052892353442246</v>
      </c>
      <c r="AL308" s="31">
        <f t="shared" si="213"/>
        <v>2.0054993083936408</v>
      </c>
      <c r="AM308" s="31" t="str">
        <f t="shared" si="196"/>
        <v>1+65.77023166131i</v>
      </c>
      <c r="AN308" s="31">
        <f t="shared" si="214"/>
        <v>65.777833445488199</v>
      </c>
      <c r="AO308" s="31">
        <f t="shared" si="215"/>
        <v>1.5555930512851919</v>
      </c>
      <c r="AP308" s="31" t="str">
        <f t="shared" si="197"/>
        <v>1+10.9800052856945i</v>
      </c>
      <c r="AQ308" s="31">
        <f t="shared" si="216"/>
        <v>11.025448565653878</v>
      </c>
      <c r="AR308" s="31">
        <f t="shared" si="217"/>
        <v>1.479972252497916</v>
      </c>
      <c r="AS308" s="58" t="str">
        <f t="shared" si="218"/>
        <v>-5.94417910946411+3.56902071935402i</v>
      </c>
      <c r="AT308" s="49">
        <f t="shared" si="219"/>
        <v>16.818847302816206</v>
      </c>
      <c r="AU308" s="61">
        <f t="shared" si="220"/>
        <v>149.01843415575854</v>
      </c>
      <c r="AV308" s="58" t="str">
        <f t="shared" si="198"/>
        <v>10.3031156728981+25.4639189669622i</v>
      </c>
      <c r="AW308" s="64">
        <f t="shared" si="221"/>
        <v>28.776968650620219</v>
      </c>
      <c r="AX308" s="49">
        <f t="shared" si="222"/>
        <v>67.970943524686234</v>
      </c>
      <c r="AY308" s="310"/>
      <c r="BA308" s="31">
        <f t="shared" si="223"/>
        <v>0</v>
      </c>
      <c r="BB308" s="31">
        <f t="shared" si="224"/>
        <v>0</v>
      </c>
    </row>
    <row r="309" spans="14:54" x14ac:dyDescent="0.45">
      <c r="N309" s="10">
        <v>91</v>
      </c>
      <c r="O309" s="50">
        <f t="shared" si="225"/>
        <v>8128.3051616410066</v>
      </c>
      <c r="P309" s="48" t="str">
        <f t="shared" si="188"/>
        <v>17.4002386318441</v>
      </c>
      <c r="Q309" s="17" t="str">
        <f t="shared" si="189"/>
        <v>1+4.37389424980459i</v>
      </c>
      <c r="R309" s="17">
        <f t="shared" si="199"/>
        <v>4.4867528245350963</v>
      </c>
      <c r="S309" s="17">
        <f t="shared" si="200"/>
        <v>1.3460302437064213</v>
      </c>
      <c r="T309" s="17" t="str">
        <f t="shared" si="190"/>
        <v>1+0.0153214942691685i</v>
      </c>
      <c r="U309" s="17">
        <f t="shared" si="201"/>
        <v>1.0001173672057897</v>
      </c>
      <c r="V309" s="17">
        <f t="shared" si="202"/>
        <v>1.5320295540338187E-2</v>
      </c>
      <c r="W309" s="31" t="str">
        <f t="shared" si="191"/>
        <v>1-0.0377999677207603i</v>
      </c>
      <c r="X309" s="17">
        <f t="shared" si="203"/>
        <v>1.0007141637649037</v>
      </c>
      <c r="Y309" s="17">
        <f t="shared" si="204"/>
        <v>-3.7781979801454604E-2</v>
      </c>
      <c r="Z309" s="31" t="str">
        <f t="shared" si="192"/>
        <v>0.999940073156643+0.0528655175376671i</v>
      </c>
      <c r="AA309" s="17">
        <f t="shared" si="205"/>
        <v>1.0013365632238933</v>
      </c>
      <c r="AB309" s="17">
        <f t="shared" si="206"/>
        <v>5.2819510516437233E-2</v>
      </c>
      <c r="AC309" s="66" t="str">
        <f t="shared" si="207"/>
        <v>0.577274863746547-3.832953113405i</v>
      </c>
      <c r="AD309" s="64">
        <f t="shared" si="208"/>
        <v>11.768080012671032</v>
      </c>
      <c r="AE309" s="61">
        <f t="shared" si="209"/>
        <v>-81.435146798799707</v>
      </c>
      <c r="AF309" s="31" t="str">
        <f t="shared" si="193"/>
        <v>-9090.90909090909</v>
      </c>
      <c r="AG309" s="31" t="str">
        <f t="shared" si="194"/>
        <v>51071.6475638948i</v>
      </c>
      <c r="AH309" s="31">
        <f t="shared" si="210"/>
        <v>51071.647563894803</v>
      </c>
      <c r="AI309" s="31">
        <f t="shared" si="211"/>
        <v>1.5707963267948966</v>
      </c>
      <c r="AJ309" s="31" t="str">
        <f t="shared" si="195"/>
        <v>-8.44924050743086+17.6834047540559i</v>
      </c>
      <c r="AK309" s="31">
        <f t="shared" si="212"/>
        <v>19.598277190819026</v>
      </c>
      <c r="AL309" s="31">
        <f t="shared" si="213"/>
        <v>2.0165317828112213</v>
      </c>
      <c r="AM309" s="31" t="str">
        <f t="shared" si="196"/>
        <v>1+67.3022171597005i</v>
      </c>
      <c r="AN309" s="31">
        <f t="shared" si="214"/>
        <v>67.309645925465134</v>
      </c>
      <c r="AO309" s="31">
        <f t="shared" si="215"/>
        <v>1.5559390685686114</v>
      </c>
      <c r="AP309" s="31" t="str">
        <f t="shared" si="197"/>
        <v>1+11.2357624640568i</v>
      </c>
      <c r="AQ309" s="31">
        <f t="shared" si="216"/>
        <v>11.28017544848961</v>
      </c>
      <c r="AR309" s="31">
        <f t="shared" si="217"/>
        <v>1.482028692370511</v>
      </c>
      <c r="AS309" s="58" t="str">
        <f t="shared" si="218"/>
        <v>-5.88138741236224+3.60073513274194i</v>
      </c>
      <c r="AT309" s="49">
        <f t="shared" si="219"/>
        <v>16.772054224025734</v>
      </c>
      <c r="AU309" s="61">
        <f t="shared" si="220"/>
        <v>148.52397058954583</v>
      </c>
      <c r="AV309" s="58" t="str">
        <f t="shared" si="198"/>
        <v>10.4062718204779+24.6216960764958i</v>
      </c>
      <c r="AW309" s="64">
        <f t="shared" si="221"/>
        <v>28.540134236696755</v>
      </c>
      <c r="AX309" s="49">
        <f t="shared" si="222"/>
        <v>67.088823790746133</v>
      </c>
      <c r="AY309" s="310"/>
      <c r="BA309" s="31">
        <f t="shared" si="223"/>
        <v>0</v>
      </c>
      <c r="BB309" s="31">
        <f t="shared" si="224"/>
        <v>0</v>
      </c>
    </row>
    <row r="310" spans="14:54" x14ac:dyDescent="0.45">
      <c r="N310" s="10">
        <v>92</v>
      </c>
      <c r="O310" s="50">
        <f t="shared" si="225"/>
        <v>8317.6377110267094</v>
      </c>
      <c r="P310" s="48" t="str">
        <f t="shared" si="188"/>
        <v>17.4002386318441</v>
      </c>
      <c r="Q310" s="17" t="str">
        <f t="shared" si="189"/>
        <v>1+4.47577533480212i</v>
      </c>
      <c r="R310" s="17">
        <f t="shared" si="199"/>
        <v>4.5861274347343457</v>
      </c>
      <c r="S310" s="17">
        <f t="shared" si="200"/>
        <v>1.3509815189847898</v>
      </c>
      <c r="T310" s="17" t="str">
        <f t="shared" si="190"/>
        <v>1+0.0156783777169098i</v>
      </c>
      <c r="U310" s="17">
        <f t="shared" si="201"/>
        <v>1.0001228982119319</v>
      </c>
      <c r="V310" s="17">
        <f t="shared" si="202"/>
        <v>1.5677093264350909E-2</v>
      </c>
      <c r="W310" s="31" t="str">
        <f t="shared" si="191"/>
        <v>1-0.0386804420770926i</v>
      </c>
      <c r="X310" s="17">
        <f t="shared" si="203"/>
        <v>1.0007478086907207</v>
      </c>
      <c r="Y310" s="17">
        <f t="shared" si="204"/>
        <v>-3.8661168452089209E-2</v>
      </c>
      <c r="Z310" s="31" t="str">
        <f t="shared" si="192"/>
        <v>0.999937248891527+0.05409691362959i</v>
      </c>
      <c r="AA310" s="17">
        <f t="shared" si="205"/>
        <v>1.0013995095789707</v>
      </c>
      <c r="AB310" s="17">
        <f t="shared" si="206"/>
        <v>5.4047619936475881E-2</v>
      </c>
      <c r="AC310" s="66" t="str">
        <f t="shared" si="207"/>
        <v>0.539609901369407-3.75351038020343i</v>
      </c>
      <c r="AD310" s="64">
        <f t="shared" si="208"/>
        <v>11.577594604734436</v>
      </c>
      <c r="AE310" s="61">
        <f t="shared" si="209"/>
        <v>-81.8191302573575</v>
      </c>
      <c r="AF310" s="31" t="str">
        <f t="shared" si="193"/>
        <v>-9090.90909090909</v>
      </c>
      <c r="AG310" s="31" t="str">
        <f t="shared" si="194"/>
        <v>52261.2590563659i</v>
      </c>
      <c r="AH310" s="31">
        <f t="shared" si="210"/>
        <v>52261.259056365903</v>
      </c>
      <c r="AI310" s="31">
        <f t="shared" si="211"/>
        <v>1.5707963267948966</v>
      </c>
      <c r="AJ310" s="31" t="str">
        <f t="shared" si="195"/>
        <v>-8.8945694927298+18.0953041644895i</v>
      </c>
      <c r="AK310" s="31">
        <f t="shared" si="212"/>
        <v>20.163169375531979</v>
      </c>
      <c r="AL310" s="31">
        <f t="shared" si="213"/>
        <v>2.0276532234670919</v>
      </c>
      <c r="AM310" s="31" t="str">
        <f t="shared" si="196"/>
        <v>1+68.869887184479i</v>
      </c>
      <c r="AN310" s="31">
        <f t="shared" si="214"/>
        <v>68.877146868920633</v>
      </c>
      <c r="AO310" s="31">
        <f t="shared" si="215"/>
        <v>1.5562772129750648</v>
      </c>
      <c r="AP310" s="31" t="str">
        <f t="shared" si="197"/>
        <v>1+11.4974769924005i</v>
      </c>
      <c r="AQ310" s="31">
        <f t="shared" si="216"/>
        <v>11.540882860109916</v>
      </c>
      <c r="AR310" s="31">
        <f t="shared" si="217"/>
        <v>1.4840390496041469</v>
      </c>
      <c r="AS310" s="58" t="str">
        <f t="shared" si="218"/>
        <v>-5.81706938255477+3.63189959504161i</v>
      </c>
      <c r="AT310" s="49">
        <f t="shared" si="219"/>
        <v>16.723656599213413</v>
      </c>
      <c r="AU310" s="61">
        <f t="shared" si="220"/>
        <v>148.02131821001589</v>
      </c>
      <c r="AV310" s="58" t="str">
        <f t="shared" si="198"/>
        <v>10.4934245940659+23.7942392920469i</v>
      </c>
      <c r="AW310" s="64">
        <f t="shared" si="221"/>
        <v>28.301251203947849</v>
      </c>
      <c r="AX310" s="49">
        <f t="shared" si="222"/>
        <v>66.202187952658491</v>
      </c>
      <c r="AY310" s="310"/>
      <c r="BA310" s="31">
        <f t="shared" si="223"/>
        <v>0</v>
      </c>
      <c r="BB310" s="31">
        <f t="shared" si="224"/>
        <v>0</v>
      </c>
    </row>
    <row r="311" spans="14:54" x14ac:dyDescent="0.45">
      <c r="N311" s="10">
        <v>93</v>
      </c>
      <c r="O311" s="50">
        <f t="shared" si="225"/>
        <v>8511.3803820237772</v>
      </c>
      <c r="P311" s="48" t="str">
        <f t="shared" si="188"/>
        <v>17.4002386318441</v>
      </c>
      <c r="Q311" s="17" t="str">
        <f t="shared" si="189"/>
        <v>1+4.58002953512606i</v>
      </c>
      <c r="R311" s="17">
        <f t="shared" si="199"/>
        <v>4.6879281716582462</v>
      </c>
      <c r="S311" s="17">
        <f t="shared" si="200"/>
        <v>1.3558306977681798</v>
      </c>
      <c r="T311" s="17" t="str">
        <f t="shared" si="190"/>
        <v>1+0.0160435740480445i</v>
      </c>
      <c r="U311" s="17">
        <f t="shared" si="201"/>
        <v>1.0001286898535784</v>
      </c>
      <c r="V311" s="17">
        <f t="shared" si="202"/>
        <v>1.6042197741895515E-2</v>
      </c>
      <c r="W311" s="31" t="str">
        <f t="shared" si="191"/>
        <v>1-0.0395814253158105i</v>
      </c>
      <c r="X311" s="17">
        <f t="shared" si="203"/>
        <v>1.000783038040729</v>
      </c>
      <c r="Y311" s="17">
        <f t="shared" si="204"/>
        <v>-3.9560774127150547E-2</v>
      </c>
      <c r="Z311" s="31" t="str">
        <f t="shared" si="192"/>
        <v>0.999934291522896+0.0553569926211767i</v>
      </c>
      <c r="AA311" s="17">
        <f t="shared" si="205"/>
        <v>1.0014654182723719</v>
      </c>
      <c r="AB311" s="17">
        <f t="shared" si="206"/>
        <v>5.530417764862449E-2</v>
      </c>
      <c r="AC311" s="66" t="str">
        <f t="shared" si="207"/>
        <v>0.503485083259197-3.67533412095157i</v>
      </c>
      <c r="AD311" s="64">
        <f t="shared" si="208"/>
        <v>11.386682401290589</v>
      </c>
      <c r="AE311" s="61">
        <f t="shared" si="209"/>
        <v>-82.199587852133277</v>
      </c>
      <c r="AF311" s="31" t="str">
        <f t="shared" si="193"/>
        <v>-9090.90909090909</v>
      </c>
      <c r="AG311" s="31" t="str">
        <f t="shared" si="194"/>
        <v>53478.5801601484i</v>
      </c>
      <c r="AH311" s="31">
        <f t="shared" si="210"/>
        <v>53478.580160148398</v>
      </c>
      <c r="AI311" s="31">
        <f t="shared" si="211"/>
        <v>1.5707963267948966</v>
      </c>
      <c r="AJ311" s="31" t="str">
        <f t="shared" si="195"/>
        <v>-9.3608861865109+18.5167979447109i</v>
      </c>
      <c r="AK311" s="31">
        <f t="shared" si="212"/>
        <v>20.748445636289489</v>
      </c>
      <c r="AL311" s="31">
        <f t="shared" si="213"/>
        <v>2.038861984785473</v>
      </c>
      <c r="AM311" s="31" t="str">
        <f t="shared" si="196"/>
        <v>1+70.4740729350435i</v>
      </c>
      <c r="AN311" s="31">
        <f t="shared" si="214"/>
        <v>70.481167385719644</v>
      </c>
      <c r="AO311" s="31">
        <f t="shared" si="215"/>
        <v>1.5566076634837032</v>
      </c>
      <c r="AP311" s="31" t="str">
        <f t="shared" si="197"/>
        <v>1+11.7652876352326i</v>
      </c>
      <c r="AQ311" s="31">
        <f t="shared" si="216"/>
        <v>11.807709055517799</v>
      </c>
      <c r="AR311" s="31">
        <f t="shared" si="217"/>
        <v>1.4860043250813582</v>
      </c>
      <c r="AS311" s="58" t="str">
        <f t="shared" si="218"/>
        <v>-5.75123570846625+3.66244007744984i</v>
      </c>
      <c r="AT311" s="49">
        <f t="shared" si="219"/>
        <v>16.673612229661646</v>
      </c>
      <c r="AU311" s="61">
        <f t="shared" si="220"/>
        <v>147.5106389028108</v>
      </c>
      <c r="AV311" s="58" t="str">
        <f t="shared" si="198"/>
        <v>10.5650295930715+22.9816967842877i</v>
      </c>
      <c r="AW311" s="64">
        <f t="shared" si="221"/>
        <v>28.060294630952221</v>
      </c>
      <c r="AX311" s="49">
        <f t="shared" si="222"/>
        <v>65.311051050677506</v>
      </c>
      <c r="AY311" s="310"/>
      <c r="BA311" s="31">
        <f t="shared" si="223"/>
        <v>0</v>
      </c>
      <c r="BB311" s="31">
        <f t="shared" si="224"/>
        <v>0</v>
      </c>
    </row>
    <row r="312" spans="14:54" x14ac:dyDescent="0.45">
      <c r="N312" s="10">
        <v>94</v>
      </c>
      <c r="O312" s="50">
        <f t="shared" si="225"/>
        <v>8709.6358995608189</v>
      </c>
      <c r="P312" s="48" t="str">
        <f t="shared" si="188"/>
        <v>17.4002386318441</v>
      </c>
      <c r="Q312" s="17" t="str">
        <f t="shared" si="189"/>
        <v>1+4.68671212773337i</v>
      </c>
      <c r="R312" s="17">
        <f t="shared" si="199"/>
        <v>4.792209361895936</v>
      </c>
      <c r="S312" s="17">
        <f t="shared" si="200"/>
        <v>1.3605794385291703</v>
      </c>
      <c r="T312" s="17" t="str">
        <f t="shared" si="190"/>
        <v>1+0.0164172768945013i</v>
      </c>
      <c r="U312" s="17">
        <f t="shared" si="201"/>
        <v>1.0001347544109398</v>
      </c>
      <c r="V312" s="17">
        <f t="shared" si="202"/>
        <v>1.6415802166624142E-2</v>
      </c>
      <c r="W312" s="31" t="str">
        <f t="shared" si="191"/>
        <v>1-0.0405033951501529i</v>
      </c>
      <c r="X312" s="17">
        <f t="shared" si="203"/>
        <v>1.0008199263697188</v>
      </c>
      <c r="Y312" s="17">
        <f t="shared" si="204"/>
        <v>-4.0481267981814853E-2</v>
      </c>
      <c r="Z312" s="31" t="str">
        <f t="shared" si="192"/>
        <v>0.999931194777775+0.0566464226229875i</v>
      </c>
      <c r="AA312" s="17">
        <f t="shared" si="205"/>
        <v>1.001534428507423</v>
      </c>
      <c r="AB312" s="17">
        <f t="shared" si="206"/>
        <v>5.6589835039606774E-2</v>
      </c>
      <c r="AC312" s="66" t="str">
        <f t="shared" si="207"/>
        <v>0.468844207347685-3.59842685282545i</v>
      </c>
      <c r="AD312" s="64">
        <f t="shared" si="208"/>
        <v>11.195360015630133</v>
      </c>
      <c r="AE312" s="61">
        <f t="shared" si="209"/>
        <v>-82.576667854338467</v>
      </c>
      <c r="AF312" s="31" t="str">
        <f t="shared" si="193"/>
        <v>-9090.90909090909</v>
      </c>
      <c r="AG312" s="31" t="str">
        <f t="shared" si="194"/>
        <v>54724.2563150044i</v>
      </c>
      <c r="AH312" s="31">
        <f t="shared" si="210"/>
        <v>54724.256315004401</v>
      </c>
      <c r="AI312" s="31">
        <f t="shared" si="211"/>
        <v>1.5707963267948966</v>
      </c>
      <c r="AJ312" s="31" t="str">
        <f t="shared" si="195"/>
        <v>-9.8491797090018+18.9481095763013i</v>
      </c>
      <c r="AK312" s="31">
        <f t="shared" si="212"/>
        <v>21.355027451533136</v>
      </c>
      <c r="AL312" s="31">
        <f t="shared" si="213"/>
        <v>2.0501561953900849</v>
      </c>
      <c r="AM312" s="31" t="str">
        <f t="shared" si="196"/>
        <v>1+72.1156249719128i</v>
      </c>
      <c r="AN312" s="31">
        <f t="shared" si="214"/>
        <v>72.122557948880129</v>
      </c>
      <c r="AO312" s="31">
        <f t="shared" si="215"/>
        <v>1.5569305950149193</v>
      </c>
      <c r="AP312" s="31" t="str">
        <f t="shared" si="197"/>
        <v>1+12.039336389301i</v>
      </c>
      <c r="AQ312" s="31">
        <f t="shared" si="216"/>
        <v>12.0807955323624</v>
      </c>
      <c r="AR312" s="31">
        <f t="shared" si="217"/>
        <v>1.4879255000595162</v>
      </c>
      <c r="AS312" s="58" t="str">
        <f t="shared" si="218"/>
        <v>-5.6839010291091+3.69228193462519i</v>
      </c>
      <c r="AT312" s="49">
        <f t="shared" si="219"/>
        <v>16.621879354104315</v>
      </c>
      <c r="AU312" s="61">
        <f t="shared" si="220"/>
        <v>146.99210613399961</v>
      </c>
      <c r="AV312" s="58" t="str">
        <f t="shared" si="198"/>
        <v>10.6215423891222+22.1842070888919i</v>
      </c>
      <c r="AW312" s="64">
        <f t="shared" si="221"/>
        <v>27.817239369734438</v>
      </c>
      <c r="AX312" s="49">
        <f t="shared" si="222"/>
        <v>64.415438279661245</v>
      </c>
      <c r="AY312" s="310"/>
      <c r="BA312" s="31">
        <f t="shared" si="223"/>
        <v>0</v>
      </c>
      <c r="BB312" s="31">
        <f t="shared" si="224"/>
        <v>0</v>
      </c>
    </row>
    <row r="313" spans="14:54" x14ac:dyDescent="0.45">
      <c r="N313" s="10">
        <v>95</v>
      </c>
      <c r="O313" s="50">
        <f t="shared" si="225"/>
        <v>8912.5093813374679</v>
      </c>
      <c r="P313" s="48" t="str">
        <f t="shared" si="188"/>
        <v>17.4002386318441</v>
      </c>
      <c r="Q313" s="17" t="str">
        <f t="shared" si="189"/>
        <v>1+4.79587967714678i</v>
      </c>
      <c r="R313" s="17">
        <f t="shared" si="199"/>
        <v>4.8990266255317998</v>
      </c>
      <c r="S313" s="17">
        <f t="shared" si="200"/>
        <v>1.3652294020241689</v>
      </c>
      <c r="T313" s="17" t="str">
        <f t="shared" si="190"/>
        <v>1+0.016799684398476i</v>
      </c>
      <c r="U313" s="17">
        <f t="shared" si="201"/>
        <v>1.00014110474267</v>
      </c>
      <c r="V313" s="17">
        <f t="shared" si="202"/>
        <v>1.6798104211126264E-2</v>
      </c>
      <c r="W313" s="31" t="str">
        <f t="shared" si="191"/>
        <v>1-0.0414468404207298i</v>
      </c>
      <c r="X313" s="17">
        <f t="shared" si="203"/>
        <v>1.00085855173489</v>
      </c>
      <c r="Y313" s="17">
        <f t="shared" si="204"/>
        <v>-4.1423131831008625E-2</v>
      </c>
      <c r="Z313" s="31" t="str">
        <f t="shared" si="192"/>
        <v>0.999927952087553+0.0579658873078771i</v>
      </c>
      <c r="AA313" s="17">
        <f t="shared" si="205"/>
        <v>1.0016066860087334</v>
      </c>
      <c r="AB313" s="17">
        <f t="shared" si="206"/>
        <v>5.790525786906759E-2</v>
      </c>
      <c r="AC313" s="66" t="str">
        <f t="shared" si="207"/>
        <v>0.435632578916531-3.52278927398881i</v>
      </c>
      <c r="AD313" s="64">
        <f t="shared" si="208"/>
        <v>11.00364341305629</v>
      </c>
      <c r="AE313" s="61">
        <f t="shared" si="209"/>
        <v>-82.95051984368061</v>
      </c>
      <c r="AF313" s="31" t="str">
        <f t="shared" si="193"/>
        <v>-9090.90909090909</v>
      </c>
      <c r="AG313" s="31" t="str">
        <f t="shared" si="194"/>
        <v>55998.9479949198i</v>
      </c>
      <c r="AH313" s="31">
        <f t="shared" si="210"/>
        <v>55998.947994919799</v>
      </c>
      <c r="AI313" s="31">
        <f t="shared" si="211"/>
        <v>1.5707963267948966</v>
      </c>
      <c r="AJ313" s="31" t="str">
        <f t="shared" si="195"/>
        <v>-10.3604857962303+19.389467746397i</v>
      </c>
      <c r="AK313" s="31">
        <f t="shared" si="212"/>
        <v>21.983883310790642</v>
      </c>
      <c r="AL313" s="31">
        <f t="shared" si="213"/>
        <v>2.0615337566248977</v>
      </c>
      <c r="AM313" s="31" t="str">
        <f t="shared" si="196"/>
        <v>1+73.7954136677053i</v>
      </c>
      <c r="AN313" s="31">
        <f t="shared" si="214"/>
        <v>73.802188845506123</v>
      </c>
      <c r="AO313" s="31">
        <f t="shared" si="215"/>
        <v>1.557246178521716</v>
      </c>
      <c r="AP313" s="31" t="str">
        <f t="shared" si="197"/>
        <v>1+12.3197685588823i</v>
      </c>
      <c r="AQ313" s="31">
        <f t="shared" si="216"/>
        <v>12.360287106067757</v>
      </c>
      <c r="AR313" s="31">
        <f t="shared" si="217"/>
        <v>1.4898035364123583</v>
      </c>
      <c r="AS313" s="58" t="str">
        <f t="shared" si="218"/>
        <v>-5.61508406031775+3.72135014716788i</v>
      </c>
      <c r="AT313" s="49">
        <f t="shared" si="219"/>
        <v>16.568416749115201</v>
      </c>
      <c r="AU313" s="61">
        <f t="shared" si="220"/>
        <v>146.46590505390654</v>
      </c>
      <c r="AV313" s="58" t="str">
        <f t="shared" si="198"/>
        <v>10.6634188331704+21.4018992618951i</v>
      </c>
      <c r="AW313" s="64">
        <f t="shared" si="221"/>
        <v>27.572060162171507</v>
      </c>
      <c r="AX313" s="49">
        <f t="shared" si="222"/>
        <v>63.515385210225887</v>
      </c>
      <c r="AY313" s="310"/>
      <c r="BA313" s="31">
        <f t="shared" si="223"/>
        <v>0</v>
      </c>
      <c r="BB313" s="31">
        <f t="shared" si="224"/>
        <v>0</v>
      </c>
    </row>
    <row r="314" spans="14:54" x14ac:dyDescent="0.45">
      <c r="N314" s="10">
        <v>96</v>
      </c>
      <c r="O314" s="50">
        <f t="shared" si="225"/>
        <v>9120.1083935591087</v>
      </c>
      <c r="P314" s="48" t="str">
        <f t="shared" si="188"/>
        <v>17.4002386318441</v>
      </c>
      <c r="Q314" s="17" t="str">
        <f t="shared" si="189"/>
        <v>1+4.90759006544599i</v>
      </c>
      <c r="R314" s="17">
        <f t="shared" si="199"/>
        <v>5.0084369069066019</v>
      </c>
      <c r="S314" s="17">
        <f t="shared" si="200"/>
        <v>1.3697822490122487</v>
      </c>
      <c r="T314" s="17" t="str">
        <f t="shared" si="190"/>
        <v>1+0.0171909993174888i</v>
      </c>
      <c r="U314" s="17">
        <f t="shared" si="201"/>
        <v>1.0001477543130983</v>
      </c>
      <c r="V314" s="17">
        <f t="shared" si="202"/>
        <v>1.7189306129747204E-2</v>
      </c>
      <c r="W314" s="31" t="str">
        <f t="shared" si="191"/>
        <v>1-0.0424122613547115i</v>
      </c>
      <c r="X314" s="17">
        <f t="shared" si="203"/>
        <v>1.0008989958598322</v>
      </c>
      <c r="Y314" s="17">
        <f t="shared" si="204"/>
        <v>-4.2386858375325208E-2</v>
      </c>
      <c r="Z314" s="31" t="str">
        <f t="shared" si="192"/>
        <v>0.99992455657405+0.0593160862734865i</v>
      </c>
      <c r="AA314" s="17">
        <f t="shared" si="205"/>
        <v>1.0016823433257742</v>
      </c>
      <c r="AB314" s="17">
        <f t="shared" si="206"/>
        <v>5.9251126547815516E-2</v>
      </c>
      <c r="AC314" s="66" t="str">
        <f t="shared" si="207"/>
        <v>0.403797020043141-3.4484203870003i</v>
      </c>
      <c r="AD314" s="64">
        <f t="shared" si="208"/>
        <v>10.811547927004067</v>
      </c>
      <c r="AE314" s="61">
        <f t="shared" si="209"/>
        <v>-83.321294600657211</v>
      </c>
      <c r="AF314" s="31" t="str">
        <f t="shared" si="193"/>
        <v>-9090.90909090909</v>
      </c>
      <c r="AG314" s="31" t="str">
        <f t="shared" si="194"/>
        <v>57303.3310582958i</v>
      </c>
      <c r="AH314" s="31">
        <f t="shared" si="210"/>
        <v>57303.3310582958</v>
      </c>
      <c r="AI314" s="31">
        <f t="shared" si="211"/>
        <v>1.5707963267948966</v>
      </c>
      <c r="AJ314" s="31" t="str">
        <f t="shared" si="195"/>
        <v>-10.8958889969595+19.8411064689417i</v>
      </c>
      <c r="AK314" s="31">
        <f t="shared" si="212"/>
        <v>22.636031077597131</v>
      </c>
      <c r="AL314" s="31">
        <f t="shared" si="213"/>
        <v>2.0729923418309348</v>
      </c>
      <c r="AM314" s="31" t="str">
        <f t="shared" si="196"/>
        <v>1+75.5143296686222i</v>
      </c>
      <c r="AN314" s="31">
        <f t="shared" si="214"/>
        <v>75.520950638225912</v>
      </c>
      <c r="AO314" s="31">
        <f t="shared" si="215"/>
        <v>1.5575545810790625</v>
      </c>
      <c r="AP314" s="31" t="str">
        <f t="shared" si="197"/>
        <v>1+12.6067328328251i</v>
      </c>
      <c r="AQ314" s="31">
        <f t="shared" si="216"/>
        <v>12.646331986715769</v>
      </c>
      <c r="AR314" s="31">
        <f t="shared" si="217"/>
        <v>1.4916393768791292</v>
      </c>
      <c r="AS314" s="58" t="str">
        <f t="shared" si="218"/>
        <v>-5.54480770456173+3.74956958044884i</v>
      </c>
      <c r="AT314" s="49">
        <f t="shared" si="219"/>
        <v>16.513183832759989</v>
      </c>
      <c r="AU314" s="61">
        <f t="shared" si="220"/>
        <v>145.93223255794192</v>
      </c>
      <c r="AV314" s="58" t="str">
        <f t="shared" si="198"/>
        <v>10.6911153558817+20.6348929534367i</v>
      </c>
      <c r="AW314" s="64">
        <f t="shared" si="221"/>
        <v>27.324731759764077</v>
      </c>
      <c r="AX314" s="49">
        <f t="shared" si="222"/>
        <v>62.610937957284669</v>
      </c>
      <c r="AY314" s="310"/>
      <c r="BA314" s="31">
        <f t="shared" si="223"/>
        <v>0</v>
      </c>
      <c r="BB314" s="31">
        <f t="shared" si="224"/>
        <v>0</v>
      </c>
    </row>
    <row r="315" spans="14:54" x14ac:dyDescent="0.45">
      <c r="N315" s="10">
        <v>97</v>
      </c>
      <c r="O315" s="50">
        <f t="shared" si="225"/>
        <v>9332.5430079699217</v>
      </c>
      <c r="P315" s="48" t="str">
        <f t="shared" si="188"/>
        <v>17.4002386318441</v>
      </c>
      <c r="Q315" s="17" t="str">
        <f t="shared" si="189"/>
        <v>1+5.02190252295752i</v>
      </c>
      <c r="R315" s="17">
        <f t="shared" si="199"/>
        <v>5.1204985060135604</v>
      </c>
      <c r="S315" s="17">
        <f t="shared" si="200"/>
        <v>1.3742396381312776</v>
      </c>
      <c r="T315" s="17" t="str">
        <f t="shared" si="190"/>
        <v>1+0.0175914291318894i</v>
      </c>
      <c r="U315" s="17">
        <f t="shared" si="201"/>
        <v>1.0001547172207419</v>
      </c>
      <c r="V315" s="17">
        <f t="shared" si="202"/>
        <v>1.7589614863694543E-2</v>
      </c>
      <c r="W315" s="31" t="str">
        <f t="shared" si="191"/>
        <v>1-0.043400169831056i</v>
      </c>
      <c r="X315" s="17">
        <f t="shared" si="203"/>
        <v>1.000941344306131</v>
      </c>
      <c r="Y315" s="17">
        <f t="shared" si="204"/>
        <v>-4.3372951430620671E-2</v>
      </c>
      <c r="Z315" s="31" t="str">
        <f t="shared" si="192"/>
        <v>0.999921001034925+0.0606977354131793i</v>
      </c>
      <c r="AA315" s="17">
        <f t="shared" si="205"/>
        <v>1.0017615601504055</v>
      </c>
      <c r="AB315" s="17">
        <f t="shared" si="206"/>
        <v>6.0628136418583299E-2</v>
      </c>
      <c r="AC315" s="66" t="str">
        <f t="shared" si="207"/>
        <v>0.373285873431116-3.37531761720486i</v>
      </c>
      <c r="AD315" s="64">
        <f t="shared" si="208"/>
        <v>10.619088275192873</v>
      </c>
      <c r="AE315" s="61">
        <f t="shared" si="209"/>
        <v>-83.689144008086132</v>
      </c>
      <c r="AF315" s="31" t="str">
        <f t="shared" si="193"/>
        <v>-9090.90909090909</v>
      </c>
      <c r="AG315" s="31" t="str">
        <f t="shared" si="194"/>
        <v>58638.0971062981i</v>
      </c>
      <c r="AH315" s="31">
        <f t="shared" si="210"/>
        <v>58638.097106298097</v>
      </c>
      <c r="AI315" s="31">
        <f t="shared" si="211"/>
        <v>1.5707963267948966</v>
      </c>
      <c r="AJ315" s="31" t="str">
        <f t="shared" si="195"/>
        <v>-11.4565249731609+20.3032652087644i</v>
      </c>
      <c r="AK315" s="31">
        <f t="shared" si="212"/>
        <v>23.312540457832611</v>
      </c>
      <c r="AL315" s="31">
        <f t="shared" si="213"/>
        <v>2.0845293964264293</v>
      </c>
      <c r="AM315" s="31" t="str">
        <f t="shared" si="196"/>
        <v>1+77.2732843666796i</v>
      </c>
      <c r="AN315" s="31">
        <f t="shared" si="214"/>
        <v>77.279754637380478</v>
      </c>
      <c r="AO315" s="31">
        <f t="shared" si="215"/>
        <v>1.5578559659712798</v>
      </c>
      <c r="AP315" s="31" t="str">
        <f t="shared" si="197"/>
        <v>1+12.9003813633856i</v>
      </c>
      <c r="AQ315" s="31">
        <f t="shared" si="216"/>
        <v>12.939081857720298</v>
      </c>
      <c r="AR315" s="31">
        <f t="shared" si="217"/>
        <v>1.4934339453203254</v>
      </c>
      <c r="AS315" s="58" t="str">
        <f t="shared" si="218"/>
        <v>-5.47309914233256+3.77686525867852i</v>
      </c>
      <c r="AT315" s="49">
        <f t="shared" si="219"/>
        <v>16.456140771046613</v>
      </c>
      <c r="AU315" s="61">
        <f t="shared" si="220"/>
        <v>145.39129730166903</v>
      </c>
      <c r="AV315" s="58" t="str">
        <f t="shared" si="198"/>
        <v>10.7050892517059+19.8832984027413i</v>
      </c>
      <c r="AW315" s="64">
        <f t="shared" si="221"/>
        <v>27.075229046239468</v>
      </c>
      <c r="AX315" s="49">
        <f t="shared" si="222"/>
        <v>61.702153293582811</v>
      </c>
      <c r="AY315" s="310"/>
      <c r="BA315" s="31">
        <f t="shared" si="223"/>
        <v>0</v>
      </c>
      <c r="BB315" s="31">
        <f t="shared" si="224"/>
        <v>0</v>
      </c>
    </row>
    <row r="316" spans="14:54" x14ac:dyDescent="0.45">
      <c r="N316" s="10">
        <v>98</v>
      </c>
      <c r="O316" s="50">
        <f t="shared" si="225"/>
        <v>9549.9258602143691</v>
      </c>
      <c r="P316" s="48" t="str">
        <f t="shared" si="188"/>
        <v>17.4002386318441</v>
      </c>
      <c r="Q316" s="17" t="str">
        <f t="shared" si="189"/>
        <v>1+5.13887765965947i</v>
      </c>
      <c r="R316" s="17">
        <f t="shared" si="199"/>
        <v>5.2352711105488314</v>
      </c>
      <c r="S316" s="17">
        <f t="shared" si="200"/>
        <v>1.3786032239247945</v>
      </c>
      <c r="T316" s="17" t="str">
        <f t="shared" si="190"/>
        <v>1+0.018001186154866i</v>
      </c>
      <c r="U316" s="17">
        <f t="shared" si="201"/>
        <v>1.0001620082281579</v>
      </c>
      <c r="V316" s="17">
        <f t="shared" si="202"/>
        <v>1.7999242148477153E-2</v>
      </c>
      <c r="W316" s="31" t="str">
        <f t="shared" si="191"/>
        <v>1-0.0444110896519143i</v>
      </c>
      <c r="X316" s="17">
        <f t="shared" si="203"/>
        <v>1.0009856866529463</v>
      </c>
      <c r="Y316" s="17">
        <f t="shared" si="204"/>
        <v>-4.4381926161262665E-2</v>
      </c>
      <c r="Z316" s="31" t="str">
        <f t="shared" si="192"/>
        <v>0.999917277928403+0.0621115672956178i</v>
      </c>
      <c r="AA316" s="17">
        <f t="shared" si="205"/>
        <v>1.0018445036489771</v>
      </c>
      <c r="AB316" s="17">
        <f t="shared" si="206"/>
        <v>6.2036998039088811E-2</v>
      </c>
      <c r="AC316" s="66" t="str">
        <f t="shared" si="207"/>
        <v>0.344049001160239-3.30347692608785i</v>
      </c>
      <c r="AD316" s="64">
        <f t="shared" si="208"/>
        <v>10.426278575750443</v>
      </c>
      <c r="AE316" s="61">
        <f t="shared" si="209"/>
        <v>-84.054220961480524</v>
      </c>
      <c r="AF316" s="31" t="str">
        <f t="shared" si="193"/>
        <v>-9090.90909090909</v>
      </c>
      <c r="AG316" s="31" t="str">
        <f t="shared" si="194"/>
        <v>60003.9538495533i</v>
      </c>
      <c r="AH316" s="31">
        <f t="shared" si="210"/>
        <v>60003.953849553298</v>
      </c>
      <c r="AI316" s="31">
        <f t="shared" si="211"/>
        <v>1.5707963267948966</v>
      </c>
      <c r="AJ316" s="31" t="str">
        <f t="shared" si="195"/>
        <v>-12.0435829089057+20.7761890085463i</v>
      </c>
      <c r="AK316" s="31">
        <f t="shared" si="212"/>
        <v>24.014535577489845</v>
      </c>
      <c r="AL316" s="31">
        <f t="shared" si="213"/>
        <v>2.0961421388340868</v>
      </c>
      <c r="AM316" s="31" t="str">
        <f t="shared" si="196"/>
        <v>1+79.0732103829413i</v>
      </c>
      <c r="AN316" s="31">
        <f t="shared" si="214"/>
        <v>79.079533384213235</v>
      </c>
      <c r="AO316" s="31">
        <f t="shared" si="215"/>
        <v>1.5581504927774958</v>
      </c>
      <c r="AP316" s="31" t="str">
        <f t="shared" si="197"/>
        <v>1+13.2008698469017i</v>
      </c>
      <c r="AQ316" s="31">
        <f t="shared" si="216"/>
        <v>13.238691956339135</v>
      </c>
      <c r="AR316" s="31">
        <f t="shared" si="217"/>
        <v>1.4951881469791566</v>
      </c>
      <c r="AS316" s="58" t="str">
        <f t="shared" si="218"/>
        <v>-5.39998990316614+3.80316265285861i</v>
      </c>
      <c r="AT316" s="49">
        <f t="shared" si="219"/>
        <v>16.397248586666194</v>
      </c>
      <c r="AU316" s="61">
        <f t="shared" si="220"/>
        <v>144.84331966755329</v>
      </c>
      <c r="AV316" s="58" t="str">
        <f t="shared" si="198"/>
        <v>10.7057989374178+19.1472163581826i</v>
      </c>
      <c r="AW316" s="64">
        <f t="shared" si="221"/>
        <v>26.823527162416628</v>
      </c>
      <c r="AX316" s="49">
        <f t="shared" si="222"/>
        <v>60.789098706072686</v>
      </c>
      <c r="AY316" s="310"/>
      <c r="BA316" s="31">
        <f t="shared" si="223"/>
        <v>0</v>
      </c>
      <c r="BB316" s="31">
        <f t="shared" si="224"/>
        <v>0</v>
      </c>
    </row>
    <row r="317" spans="14:54" x14ac:dyDescent="0.45">
      <c r="N317" s="10">
        <v>99</v>
      </c>
      <c r="O317" s="50">
        <f t="shared" si="225"/>
        <v>9772.3722095581161</v>
      </c>
      <c r="P317" s="48" t="str">
        <f t="shared" si="188"/>
        <v>17.4002386318441</v>
      </c>
      <c r="Q317" s="17" t="str">
        <f t="shared" si="189"/>
        <v>1+5.25857749731767i</v>
      </c>
      <c r="R317" s="17">
        <f t="shared" si="199"/>
        <v>5.3528158286359693</v>
      </c>
      <c r="S317" s="17">
        <f t="shared" si="200"/>
        <v>1.3828746550130713</v>
      </c>
      <c r="T317" s="17" t="str">
        <f t="shared" si="190"/>
        <v>1+0.0184204876450157i</v>
      </c>
      <c r="U317" s="17">
        <f t="shared" si="201"/>
        <v>1.0001696427932014</v>
      </c>
      <c r="V317" s="17">
        <f t="shared" si="202"/>
        <v>1.8418404623722108E-2</v>
      </c>
      <c r="W317" s="31" t="str">
        <f t="shared" si="191"/>
        <v>1-0.0454455568203562i</v>
      </c>
      <c r="X317" s="17">
        <f t="shared" si="203"/>
        <v>1.0010321166849305</v>
      </c>
      <c r="Y317" s="17">
        <f t="shared" si="204"/>
        <v>-4.541430931699697E-2</v>
      </c>
      <c r="Z317" s="31" t="str">
        <f t="shared" si="192"/>
        <v>0.999913379357277+0.0635583315531802i</v>
      </c>
      <c r="AA317" s="17">
        <f t="shared" si="205"/>
        <v>1.0019313488096444</v>
      </c>
      <c r="AB317" s="17">
        <f t="shared" si="206"/>
        <v>6.347843746715863E-2</v>
      </c>
      <c r="AC317" s="66" t="str">
        <f t="shared" si="207"/>
        <v>0.316037778860754-3.23289291960163i</v>
      </c>
      <c r="AD317" s="64">
        <f t="shared" si="208"/>
        <v>10.233132363252357</v>
      </c>
      <c r="AE317" s="61">
        <f t="shared" si="209"/>
        <v>-84.416679287874061</v>
      </c>
      <c r="AF317" s="31" t="str">
        <f t="shared" si="193"/>
        <v>-9090.90909090909</v>
      </c>
      <c r="AG317" s="31" t="str">
        <f t="shared" si="194"/>
        <v>61401.6254833857i</v>
      </c>
      <c r="AH317" s="31">
        <f t="shared" si="210"/>
        <v>61401.625483385702</v>
      </c>
      <c r="AI317" s="31">
        <f t="shared" si="211"/>
        <v>1.5707963267948966</v>
      </c>
      <c r="AJ317" s="31" t="str">
        <f t="shared" si="195"/>
        <v>-12.658308032784+21.2601286187458i</v>
      </c>
      <c r="AK317" s="31">
        <f t="shared" si="212"/>
        <v>24.743197674077173</v>
      </c>
      <c r="AL317" s="31">
        <f t="shared" si="213"/>
        <v>2.1078275622946308</v>
      </c>
      <c r="AM317" s="31" t="str">
        <f t="shared" si="196"/>
        <v>1+80.9150620620056i</v>
      </c>
      <c r="AN317" s="31">
        <f t="shared" si="214"/>
        <v>80.92124114531498</v>
      </c>
      <c r="AO317" s="31">
        <f t="shared" si="215"/>
        <v>1.5584383174552121</v>
      </c>
      <c r="AP317" s="31" t="str">
        <f t="shared" si="197"/>
        <v>1+13.5083576063448i</v>
      </c>
      <c r="AQ317" s="31">
        <f t="shared" si="216"/>
        <v>13.545321156063205</v>
      </c>
      <c r="AR317" s="31">
        <f t="shared" si="217"/>
        <v>1.4969028687478541</v>
      </c>
      <c r="AS317" s="58" t="str">
        <f t="shared" si="218"/>
        <v>-5.32551591445082+3.8283879810043i</v>
      </c>
      <c r="AT317" s="49">
        <f t="shared" si="219"/>
        <v>16.336469269459446</v>
      </c>
      <c r="AU317" s="61">
        <f t="shared" si="220"/>
        <v>144.28853168109927</v>
      </c>
      <c r="AV317" s="58" t="str">
        <f t="shared" si="198"/>
        <v>10.6937041763861+18.4267379271877i</v>
      </c>
      <c r="AW317" s="64">
        <f t="shared" si="221"/>
        <v>26.569601632711802</v>
      </c>
      <c r="AX317" s="49">
        <f t="shared" si="222"/>
        <v>59.871852393225367</v>
      </c>
      <c r="AY317" s="310"/>
      <c r="BA317" s="31">
        <f t="shared" si="223"/>
        <v>0</v>
      </c>
      <c r="BB317" s="31">
        <f t="shared" si="224"/>
        <v>0</v>
      </c>
    </row>
    <row r="318" spans="14:54" x14ac:dyDescent="0.45">
      <c r="N318" s="10">
        <v>100</v>
      </c>
      <c r="O318" s="50">
        <f t="shared" si="225"/>
        <v>10000</v>
      </c>
      <c r="P318" s="48" t="str">
        <f t="shared" si="188"/>
        <v>17.4002386318441</v>
      </c>
      <c r="Q318" s="17" t="str">
        <f t="shared" si="189"/>
        <v>1+5.38106550237043i</v>
      </c>
      <c r="R318" s="17">
        <f t="shared" si="199"/>
        <v>5.473195222244601</v>
      </c>
      <c r="S318" s="17">
        <f t="shared" si="200"/>
        <v>1.3870555724018487</v>
      </c>
      <c r="T318" s="17" t="str">
        <f t="shared" si="190"/>
        <v>1+0.0188495559215388i</v>
      </c>
      <c r="U318" s="17">
        <f t="shared" si="201"/>
        <v>1.0001776371017497</v>
      </c>
      <c r="V318" s="17">
        <f t="shared" si="202"/>
        <v>1.8847323945418881E-2</v>
      </c>
      <c r="W318" s="31" t="str">
        <f t="shared" si="191"/>
        <v>1-0.0465041198245673i</v>
      </c>
      <c r="X318" s="17">
        <f t="shared" si="203"/>
        <v>1.0010807325888644</v>
      </c>
      <c r="Y318" s="17">
        <f t="shared" si="204"/>
        <v>-4.6470639473392431E-2</v>
      </c>
      <c r="Z318" s="31" t="str">
        <f t="shared" si="192"/>
        <v>0.999909297052154+0.065038795279426i</v>
      </c>
      <c r="AA318" s="17">
        <f t="shared" si="205"/>
        <v>1.0020222788055821</v>
      </c>
      <c r="AB318" s="17">
        <f t="shared" si="206"/>
        <v>6.495319654765111E-2</v>
      </c>
      <c r="AC318" s="66" t="str">
        <f t="shared" si="207"/>
        <v>0.289205085786494-3.16355895150097i</v>
      </c>
      <c r="AD318" s="64">
        <f t="shared" si="208"/>
        <v>10.039662604625711</v>
      </c>
      <c r="AE318" s="61">
        <f t="shared" si="209"/>
        <v>-84.776673672703708</v>
      </c>
      <c r="AF318" s="31" t="str">
        <f t="shared" si="193"/>
        <v>-9090.90909090909</v>
      </c>
      <c r="AG318" s="31" t="str">
        <f t="shared" si="194"/>
        <v>62831.8530717959i</v>
      </c>
      <c r="AH318" s="31">
        <f t="shared" si="210"/>
        <v>62831.8530717959</v>
      </c>
      <c r="AI318" s="31">
        <f t="shared" si="211"/>
        <v>1.5707963267948966</v>
      </c>
      <c r="AJ318" s="31" t="str">
        <f t="shared" si="195"/>
        <v>-13.302004259201+21.7553406305501i</v>
      </c>
      <c r="AK318" s="31">
        <f t="shared" si="212"/>
        <v>25.499767906062708</v>
      </c>
      <c r="AL318" s="31">
        <f t="shared" si="213"/>
        <v>2.1195824376006147</v>
      </c>
      <c r="AM318" s="31" t="str">
        <f t="shared" si="196"/>
        <v>1+82.7998159780126i</v>
      </c>
      <c r="AN318" s="31">
        <f t="shared" si="214"/>
        <v>82.805854418590187</v>
      </c>
      <c r="AO318" s="31">
        <f t="shared" si="215"/>
        <v>1.5587195924220192</v>
      </c>
      <c r="AP318" s="31" t="str">
        <f t="shared" si="197"/>
        <v>1+13.8230076757951i</v>
      </c>
      <c r="AQ318" s="31">
        <f t="shared" si="216"/>
        <v>13.8591320509291</v>
      </c>
      <c r="AR318" s="31">
        <f t="shared" si="217"/>
        <v>1.4985789794380477</v>
      </c>
      <c r="AS318" s="58" t="str">
        <f t="shared" si="218"/>
        <v>-5.24971752630334+3.85246851877812i</v>
      </c>
      <c r="AT318" s="49">
        <f t="shared" si="219"/>
        <v>16.273765888001911</v>
      </c>
      <c r="AU318" s="61">
        <f t="shared" si="220"/>
        <v>143.72717687438956</v>
      </c>
      <c r="AV318" s="58" t="str">
        <f t="shared" si="198"/>
        <v>10.6692662604068+17.7219443616515i</v>
      </c>
      <c r="AW318" s="64">
        <f t="shared" si="221"/>
        <v>26.313428492627647</v>
      </c>
      <c r="AX318" s="49">
        <f t="shared" si="222"/>
        <v>58.950503201685898</v>
      </c>
      <c r="AY318" s="310"/>
      <c r="BA318" s="31">
        <f t="shared" si="223"/>
        <v>0</v>
      </c>
      <c r="BB318" s="31">
        <f t="shared" si="224"/>
        <v>0</v>
      </c>
    </row>
    <row r="319" spans="14:54" x14ac:dyDescent="0.45">
      <c r="N319" s="10">
        <v>1</v>
      </c>
      <c r="O319" s="50">
        <f>10^(4+(N319/100))</f>
        <v>10232.929922807549</v>
      </c>
      <c r="P319" s="48" t="str">
        <f t="shared" si="188"/>
        <v>17.4002386318441</v>
      </c>
      <c r="Q319" s="17" t="str">
        <f t="shared" si="189"/>
        <v>1+5.50640661957937i</v>
      </c>
      <c r="R319" s="17">
        <f t="shared" si="199"/>
        <v>5.5964733413237573</v>
      </c>
      <c r="S319" s="17">
        <f t="shared" si="200"/>
        <v>1.3911476079222851</v>
      </c>
      <c r="T319" s="17" t="str">
        <f t="shared" si="190"/>
        <v>1+0.0192886184821148i</v>
      </c>
      <c r="U319" s="17">
        <f t="shared" si="201"/>
        <v>1.0001860081019673</v>
      </c>
      <c r="V319" s="17">
        <f t="shared" si="202"/>
        <v>1.9286226900634643E-2</v>
      </c>
      <c r="W319" s="31" t="str">
        <f t="shared" si="191"/>
        <v>1-0.0475873399286642i</v>
      </c>
      <c r="X319" s="17">
        <f t="shared" si="203"/>
        <v>1.0011316371594128</v>
      </c>
      <c r="Y319" s="17">
        <f t="shared" si="204"/>
        <v>-4.7551467275807793E-2</v>
      </c>
      <c r="Z319" s="31" t="str">
        <f t="shared" si="192"/>
        <v>0.999905022353918+0.0665537434358192i</v>
      </c>
      <c r="AA319" s="17">
        <f t="shared" si="205"/>
        <v>1.0021174853747987</v>
      </c>
      <c r="AB319" s="17">
        <f t="shared" si="206"/>
        <v>6.6462033200886825E-2</v>
      </c>
      <c r="AC319" s="66" t="str">
        <f t="shared" si="207"/>
        <v>0.263505291231835-3.09546722174778i</v>
      </c>
      <c r="AD319" s="64">
        <f t="shared" si="208"/>
        <v>9.8458817148726236</v>
      </c>
      <c r="AE319" s="61">
        <f t="shared" si="209"/>
        <v>-85.134359594356511</v>
      </c>
      <c r="AF319" s="31" t="str">
        <f t="shared" si="193"/>
        <v>-9090.90909090909</v>
      </c>
      <c r="AG319" s="31" t="str">
        <f t="shared" si="194"/>
        <v>64295.3949403827i</v>
      </c>
      <c r="AH319" s="31">
        <f t="shared" si="210"/>
        <v>64295.394940382699</v>
      </c>
      <c r="AI319" s="31">
        <f t="shared" si="211"/>
        <v>1.5707963267948966</v>
      </c>
      <c r="AJ319" s="31" t="str">
        <f t="shared" si="195"/>
        <v>-13.9760369541549+22.2620876119227i</v>
      </c>
      <c r="AK319" s="31">
        <f t="shared" si="212"/>
        <v>26.285550284991668</v>
      </c>
      <c r="AL319" s="31">
        <f t="shared" si="213"/>
        <v>2.1314033167786728</v>
      </c>
      <c r="AM319" s="31" t="str">
        <f t="shared" si="196"/>
        <v>1+84.7284714524363i</v>
      </c>
      <c r="AN319" s="31">
        <f t="shared" si="214"/>
        <v>84.73437245100898</v>
      </c>
      <c r="AO319" s="31">
        <f t="shared" si="215"/>
        <v>1.5589944666354993</v>
      </c>
      <c r="AP319" s="31" t="str">
        <f t="shared" si="197"/>
        <v>1+14.1449868868842i</v>
      </c>
      <c r="AQ319" s="31">
        <f t="shared" si="216"/>
        <v>14.180291041799034</v>
      </c>
      <c r="AR319" s="31">
        <f t="shared" si="217"/>
        <v>1.5002173300544863</v>
      </c>
      <c r="AS319" s="58" t="str">
        <f t="shared" si="218"/>
        <v>-5.17263951095526+3.8753329184379i</v>
      </c>
      <c r="AT319" s="49">
        <f t="shared" si="219"/>
        <v>16.209102701656903</v>
      </c>
      <c r="AU319" s="61">
        <f t="shared" si="220"/>
        <v>143.15951009536658</v>
      </c>
      <c r="AV319" s="58" t="str">
        <f t="shared" si="198"/>
        <v>10.6329481416131+17.0329067853728i</v>
      </c>
      <c r="AW319" s="64">
        <f t="shared" si="221"/>
        <v>26.054984416529532</v>
      </c>
      <c r="AX319" s="49">
        <f t="shared" si="222"/>
        <v>58.025150501010195</v>
      </c>
      <c r="AY319" s="310"/>
      <c r="BA319" s="31">
        <f t="shared" si="223"/>
        <v>0</v>
      </c>
      <c r="BB319" s="31">
        <f t="shared" si="224"/>
        <v>0</v>
      </c>
    </row>
    <row r="320" spans="14:54" x14ac:dyDescent="0.45">
      <c r="N320" s="10">
        <v>2</v>
      </c>
      <c r="O320" s="50">
        <f t="shared" ref="O320:O383" si="226">10^(4+(N320/100))</f>
        <v>10471.285480509003</v>
      </c>
      <c r="P320" s="48" t="str">
        <f t="shared" si="188"/>
        <v>17.4002386318441</v>
      </c>
      <c r="Q320" s="17" t="str">
        <f t="shared" si="189"/>
        <v>1+5.63466730646393i</v>
      </c>
      <c r="R320" s="17">
        <f t="shared" si="199"/>
        <v>5.7227157586703079</v>
      </c>
      <c r="S320" s="17">
        <f t="shared" si="200"/>
        <v>1.3951523827957435</v>
      </c>
      <c r="T320" s="17" t="str">
        <f t="shared" si="190"/>
        <v>1+0.0197379081235251i</v>
      </c>
      <c r="U320" s="17">
        <f t="shared" si="201"/>
        <v>1.0001947735401804</v>
      </c>
      <c r="V320" s="17">
        <f t="shared" si="202"/>
        <v>1.9735345524750592E-2</v>
      </c>
      <c r="W320" s="31" t="str">
        <f t="shared" si="191"/>
        <v>1-0.0486957914702842i</v>
      </c>
      <c r="X320" s="17">
        <f t="shared" si="203"/>
        <v>1.0011849380144098</v>
      </c>
      <c r="Y320" s="17">
        <f t="shared" si="204"/>
        <v>-4.8657355686819462E-2</v>
      </c>
      <c r="Z320" s="31" t="str">
        <f t="shared" si="192"/>
        <v>0.999900546195361+0.0681039792679251i</v>
      </c>
      <c r="AA320" s="17">
        <f t="shared" si="205"/>
        <v>1.0022171692172845</v>
      </c>
      <c r="AB320" s="17">
        <f t="shared" si="206"/>
        <v>6.8005721712266515E-2</v>
      </c>
      <c r="AC320" s="66" t="str">
        <f t="shared" si="207"/>
        <v>0.238894237708134-3.02860887006516i</v>
      </c>
      <c r="AD320" s="64">
        <f t="shared" si="208"/>
        <v>9.651801572572122</v>
      </c>
      <c r="AE320" s="61">
        <f t="shared" si="209"/>
        <v>-85.489893265991412</v>
      </c>
      <c r="AF320" s="31" t="str">
        <f t="shared" si="193"/>
        <v>-9090.90909090909</v>
      </c>
      <c r="AG320" s="31" t="str">
        <f t="shared" si="194"/>
        <v>65793.0270784171i</v>
      </c>
      <c r="AH320" s="31">
        <f t="shared" si="210"/>
        <v>65793.027078417101</v>
      </c>
      <c r="AI320" s="31">
        <f t="shared" si="211"/>
        <v>1.5707963267948966</v>
      </c>
      <c r="AJ320" s="31" t="str">
        <f t="shared" si="195"/>
        <v>-14.6818358313609+22.7806382468207i</v>
      </c>
      <c r="AK320" s="31">
        <f t="shared" si="212"/>
        <v>27.101914735153731</v>
      </c>
      <c r="AL320" s="31">
        <f t="shared" si="213"/>
        <v>2.1432865377415173</v>
      </c>
      <c r="AM320" s="31" t="str">
        <f t="shared" si="196"/>
        <v>1+86.702051083938i</v>
      </c>
      <c r="AN320" s="31">
        <f t="shared" si="214"/>
        <v>86.707817768421521</v>
      </c>
      <c r="AO320" s="31">
        <f t="shared" si="215"/>
        <v>1.5592630856713565</v>
      </c>
      <c r="AP320" s="31" t="str">
        <f t="shared" si="197"/>
        <v>1+14.4744659572517i</v>
      </c>
      <c r="AQ320" s="31">
        <f t="shared" si="216"/>
        <v>14.508968424655091</v>
      </c>
      <c r="AR320" s="31">
        <f t="shared" si="217"/>
        <v>1.501818754071423</v>
      </c>
      <c r="AS320" s="58" t="str">
        <f t="shared" si="218"/>
        <v>-5.094331035291+3.89691153377314i</v>
      </c>
      <c r="AT320" s="49">
        <f t="shared" si="219"/>
        <v>16.142445272405816</v>
      </c>
      <c r="AU320" s="61">
        <f t="shared" si="220"/>
        <v>142.58579726160715</v>
      </c>
      <c r="AV320" s="58" t="str">
        <f t="shared" si="198"/>
        <v>10.5852145077358+16.3596858708073i</v>
      </c>
      <c r="AW320" s="64">
        <f t="shared" si="221"/>
        <v>25.79424684497792</v>
      </c>
      <c r="AX320" s="49">
        <f t="shared" si="222"/>
        <v>57.095903995615778</v>
      </c>
      <c r="AY320" s="310"/>
      <c r="BA320" s="31">
        <f t="shared" si="223"/>
        <v>0</v>
      </c>
      <c r="BB320" s="31">
        <f t="shared" si="224"/>
        <v>0</v>
      </c>
    </row>
    <row r="321" spans="14:54" x14ac:dyDescent="0.45">
      <c r="N321" s="10">
        <v>3</v>
      </c>
      <c r="O321" s="50">
        <f t="shared" si="226"/>
        <v>10715.193052376071</v>
      </c>
      <c r="P321" s="48" t="str">
        <f t="shared" si="188"/>
        <v>17.4002386318441</v>
      </c>
      <c r="Q321" s="17" t="str">
        <f t="shared" si="189"/>
        <v>1+5.76591556853801i</v>
      </c>
      <c r="R321" s="17">
        <f t="shared" si="199"/>
        <v>5.8519896055537384</v>
      </c>
      <c r="S321" s="17">
        <f t="shared" si="200"/>
        <v>1.3990715063171697</v>
      </c>
      <c r="T321" s="17" t="str">
        <f t="shared" si="190"/>
        <v>1+0.0201976630650847i</v>
      </c>
      <c r="U321" s="17">
        <f t="shared" si="201"/>
        <v>1.0002039519984365</v>
      </c>
      <c r="V321" s="17">
        <f t="shared" si="202"/>
        <v>2.0194917221265579E-2</v>
      </c>
      <c r="W321" s="31" t="str">
        <f t="shared" si="191"/>
        <v>1-0.0498300621651068i</v>
      </c>
      <c r="X321" s="17">
        <f t="shared" si="203"/>
        <v>1.0012407478201126</v>
      </c>
      <c r="Y321" s="17">
        <f t="shared" si="204"/>
        <v>-4.9788880237034851E-2</v>
      </c>
      <c r="Z321" s="31" t="str">
        <f t="shared" si="192"/>
        <v>0.99989585908195+0.0696903247313015i</v>
      </c>
      <c r="AA321" s="17">
        <f t="shared" si="205"/>
        <v>1.0023215404102543</v>
      </c>
      <c r="AB321" s="17">
        <f t="shared" si="206"/>
        <v>6.9585053022726231E-2</v>
      </c>
      <c r="AC321" s="66" t="str">
        <f t="shared" si="207"/>
        <v>0.215329221266935-2.96297406473839i</v>
      </c>
      <c r="AD321" s="64">
        <f t="shared" si="208"/>
        <v>9.4574335351250429</v>
      </c>
      <c r="AE321" s="61">
        <f t="shared" si="209"/>
        <v>-85.843431584250609</v>
      </c>
      <c r="AF321" s="31" t="str">
        <f t="shared" si="193"/>
        <v>-9090.90909090909</v>
      </c>
      <c r="AG321" s="31" t="str">
        <f t="shared" si="194"/>
        <v>67325.5435502821i</v>
      </c>
      <c r="AH321" s="31">
        <f t="shared" si="210"/>
        <v>67325.543550282106</v>
      </c>
      <c r="AI321" s="31">
        <f t="shared" si="211"/>
        <v>1.5707963267948966</v>
      </c>
      <c r="AJ321" s="31" t="str">
        <f t="shared" si="195"/>
        <v>-15.4208979848655+23.3112674776545i</v>
      </c>
      <c r="AK321" s="31">
        <f t="shared" si="212"/>
        <v>27.950300285942927</v>
      </c>
      <c r="AL321" s="31">
        <f t="shared" si="213"/>
        <v>2.1552282299238881</v>
      </c>
      <c r="AM321" s="31" t="str">
        <f t="shared" si="196"/>
        <v>1+88.7216012905617i</v>
      </c>
      <c r="AN321" s="31">
        <f t="shared" si="214"/>
        <v>88.727236717714817</v>
      </c>
      <c r="AO321" s="31">
        <f t="shared" si="215"/>
        <v>1.5595255917998103</v>
      </c>
      <c r="AP321" s="31" t="str">
        <f t="shared" si="197"/>
        <v>1+14.8116195810621i</v>
      </c>
      <c r="AQ321" s="31">
        <f t="shared" si="216"/>
        <v>14.845338480954291</v>
      </c>
      <c r="AR321" s="31">
        <f t="shared" si="217"/>
        <v>1.5033840677110464</v>
      </c>
      <c r="AS321" s="58" t="str">
        <f t="shared" si="218"/>
        <v>-5.0148456054102+3.91713674850208i</v>
      </c>
      <c r="AT321" s="49">
        <f t="shared" si="219"/>
        <v>16.073760575736948</v>
      </c>
      <c r="AU321" s="61">
        <f t="shared" si="220"/>
        <v>142.0063150577343</v>
      </c>
      <c r="AV321" s="58" t="str">
        <f t="shared" si="198"/>
        <v>10.5265317948584+15.7023314731488i</v>
      </c>
      <c r="AW321" s="64">
        <f t="shared" si="221"/>
        <v>25.531194110862</v>
      </c>
      <c r="AX321" s="49">
        <f t="shared" si="222"/>
        <v>56.162883473483852</v>
      </c>
      <c r="AY321" s="310"/>
      <c r="BA321" s="31">
        <f t="shared" si="223"/>
        <v>0</v>
      </c>
      <c r="BB321" s="31">
        <f t="shared" si="224"/>
        <v>0</v>
      </c>
    </row>
    <row r="322" spans="14:54" x14ac:dyDescent="0.45">
      <c r="N322" s="10">
        <v>4</v>
      </c>
      <c r="O322" s="50">
        <f t="shared" si="226"/>
        <v>10964.781961431856</v>
      </c>
      <c r="P322" s="48" t="str">
        <f t="shared" si="188"/>
        <v>17.4002386318441</v>
      </c>
      <c r="Q322" s="17" t="str">
        <f t="shared" si="189"/>
        <v>1+5.90022099536745i</v>
      </c>
      <c r="R322" s="17">
        <f t="shared" si="199"/>
        <v>5.9843636081186489</v>
      </c>
      <c r="S322" s="17">
        <f t="shared" si="200"/>
        <v>1.4029065746509479</v>
      </c>
      <c r="T322" s="17" t="str">
        <f t="shared" si="190"/>
        <v>1+0.0206681270749489i</v>
      </c>
      <c r="U322" s="17">
        <f t="shared" si="201"/>
        <v>1.0002135629338298</v>
      </c>
      <c r="V322" s="17">
        <f t="shared" si="202"/>
        <v>2.0665184884215732E-2</v>
      </c>
      <c r="W322" s="31" t="str">
        <f t="shared" si="191"/>
        <v>1-0.0509907534184681i</v>
      </c>
      <c r="X322" s="17">
        <f t="shared" si="203"/>
        <v>1.0012991845268742</v>
      </c>
      <c r="Y322" s="17">
        <f t="shared" si="204"/>
        <v>-5.0946629279203834E-2</v>
      </c>
      <c r="Z322" s="31" t="str">
        <f t="shared" si="192"/>
        <v>0.99989095107169+0.0713136209273109i</v>
      </c>
      <c r="AA322" s="17">
        <f t="shared" si="205"/>
        <v>1.0024308188422846</v>
      </c>
      <c r="AB322" s="17">
        <f t="shared" si="206"/>
        <v>7.120083501964547E-2</v>
      </c>
      <c r="AC322" s="66" t="str">
        <f t="shared" si="207"/>
        <v>0.19276896932959-2.89855208677441i</v>
      </c>
      <c r="AD322" s="64">
        <f t="shared" si="208"/>
        <v>9.2627884537094083</v>
      </c>
      <c r="AE322" s="61">
        <f t="shared" si="209"/>
        <v>-86.195132084480122</v>
      </c>
      <c r="AF322" s="31" t="str">
        <f t="shared" si="193"/>
        <v>-9090.90909090909</v>
      </c>
      <c r="AG322" s="31" t="str">
        <f t="shared" si="194"/>
        <v>68893.7569164964i</v>
      </c>
      <c r="AH322" s="31">
        <f t="shared" si="210"/>
        <v>68893.756916496393</v>
      </c>
      <c r="AI322" s="31">
        <f t="shared" si="211"/>
        <v>1.5707963267948966</v>
      </c>
      <c r="AJ322" s="31" t="str">
        <f t="shared" si="195"/>
        <v>-16.1947910645841+23.8542566510661i</v>
      </c>
      <c r="AK322" s="31">
        <f t="shared" si="212"/>
        <v>28.832218402344001</v>
      </c>
      <c r="AL322" s="31">
        <f t="shared" si="213"/>
        <v>2.1672243209087028</v>
      </c>
      <c r="AM322" s="31" t="str">
        <f t="shared" si="196"/>
        <v>1+90.7881928645589i</v>
      </c>
      <c r="AN322" s="31">
        <f t="shared" si="214"/>
        <v>90.793700021600301</v>
      </c>
      <c r="AO322" s="31">
        <f t="shared" si="215"/>
        <v>1.559782124060288</v>
      </c>
      <c r="AP322" s="31" t="str">
        <f t="shared" si="197"/>
        <v>1+15.1566265216292i</v>
      </c>
      <c r="AQ322" s="31">
        <f t="shared" si="216"/>
        <v>15.189579570091915</v>
      </c>
      <c r="AR322" s="31">
        <f t="shared" si="217"/>
        <v>1.5049140702233781</v>
      </c>
      <c r="AS322" s="58" t="str">
        <f t="shared" si="218"/>
        <v>-4.93424098234691+3.93594330541504i</v>
      </c>
      <c r="AT322" s="49">
        <f t="shared" si="219"/>
        <v>16.003017109840659</v>
      </c>
      <c r="AU322" s="61">
        <f t="shared" si="220"/>
        <v>141.42135057608502</v>
      </c>
      <c r="AV322" s="58" t="str">
        <f t="shared" si="198"/>
        <v>10.4573681327457+15.060882230354i</v>
      </c>
      <c r="AW322" s="64">
        <f t="shared" si="221"/>
        <v>25.26580556355006</v>
      </c>
      <c r="AX322" s="49">
        <f t="shared" si="222"/>
        <v>55.226218491604868</v>
      </c>
      <c r="AY322" s="310"/>
      <c r="BA322" s="31">
        <f t="shared" si="223"/>
        <v>0</v>
      </c>
      <c r="BB322" s="31">
        <f t="shared" si="224"/>
        <v>0</v>
      </c>
    </row>
    <row r="323" spans="14:54" x14ac:dyDescent="0.45">
      <c r="N323" s="10">
        <v>5</v>
      </c>
      <c r="O323" s="50">
        <f t="shared" si="226"/>
        <v>11220.184543019639</v>
      </c>
      <c r="P323" s="48" t="str">
        <f t="shared" si="188"/>
        <v>17.4002386318441</v>
      </c>
      <c r="Q323" s="17" t="str">
        <f t="shared" si="189"/>
        <v>1+6.03765479746728i</v>
      </c>
      <c r="R323" s="17">
        <f t="shared" si="199"/>
        <v>6.1199081245864839</v>
      </c>
      <c r="S323" s="17">
        <f t="shared" si="200"/>
        <v>1.4066591697332607</v>
      </c>
      <c r="T323" s="17" t="str">
        <f t="shared" si="190"/>
        <v>1+0.0211495495993634i</v>
      </c>
      <c r="U323" s="17">
        <f t="shared" si="201"/>
        <v>1.0002236267196731</v>
      </c>
      <c r="V323" s="17">
        <f t="shared" si="202"/>
        <v>2.1146397023260103E-2</v>
      </c>
      <c r="W323" s="31" t="str">
        <f t="shared" si="191"/>
        <v>1-0.0521784806442343i</v>
      </c>
      <c r="X323" s="17">
        <f t="shared" si="203"/>
        <v>1.001360371615704</v>
      </c>
      <c r="Y323" s="17">
        <f t="shared" si="204"/>
        <v>-5.2131204245528674E-2</v>
      </c>
      <c r="Z323" s="31" t="str">
        <f t="shared" si="192"/>
        <v>0.999885811754032+0.0729747285490834i</v>
      </c>
      <c r="AA323" s="17">
        <f t="shared" si="205"/>
        <v>1.0025452346671606</v>
      </c>
      <c r="AB323" s="17">
        <f t="shared" si="206"/>
        <v>7.2853892827788341E-2</v>
      </c>
      <c r="AC323" s="66" t="str">
        <f t="shared" si="207"/>
        <v>0.171173616356389-2.83533140954365i</v>
      </c>
      <c r="AD323" s="64">
        <f t="shared" si="208"/>
        <v>9.0678766879190249</v>
      </c>
      <c r="AE323" s="61">
        <f t="shared" si="209"/>
        <v>-86.545152902085491</v>
      </c>
      <c r="AF323" s="31" t="str">
        <f t="shared" si="193"/>
        <v>-9090.90909090909</v>
      </c>
      <c r="AG323" s="31" t="str">
        <f t="shared" si="194"/>
        <v>70498.4986645445i</v>
      </c>
      <c r="AH323" s="31">
        <f t="shared" si="210"/>
        <v>70498.498664544502</v>
      </c>
      <c r="AI323" s="31">
        <f t="shared" si="211"/>
        <v>1.5707963267948966</v>
      </c>
      <c r="AJ323" s="31" t="str">
        <f t="shared" si="195"/>
        <v>-17.0051566014965+24.4098936671025i</v>
      </c>
      <c r="AK323" s="31">
        <f t="shared" si="212"/>
        <v>29.749256459291061</v>
      </c>
      <c r="AL323" s="31">
        <f t="shared" si="213"/>
        <v>2.1792705440412625</v>
      </c>
      <c r="AM323" s="31" t="str">
        <f t="shared" si="196"/>
        <v>1+92.9029215401367i</v>
      </c>
      <c r="AN323" s="31">
        <f t="shared" si="214"/>
        <v>92.908303346325283</v>
      </c>
      <c r="AO323" s="31">
        <f t="shared" si="215"/>
        <v>1.5600328183344556</v>
      </c>
      <c r="AP323" s="31" t="str">
        <f t="shared" si="197"/>
        <v>1+15.5096697061998i</v>
      </c>
      <c r="AQ323" s="31">
        <f t="shared" si="216"/>
        <v>15.541874224024971</v>
      </c>
      <c r="AR323" s="31">
        <f t="shared" si="217"/>
        <v>1.506409544167121</v>
      </c>
      <c r="AS323" s="58" t="str">
        <f t="shared" si="218"/>
        <v>-4.85257906837531+3.95326863340329i</v>
      </c>
      <c r="AT323" s="49">
        <f t="shared" si="219"/>
        <v>15.930185002350335</v>
      </c>
      <c r="AU323" s="61">
        <f t="shared" si="220"/>
        <v>140.83120090072251</v>
      </c>
      <c r="AV323" s="58" t="str">
        <f t="shared" si="198"/>
        <v>10.3781932188629+14.4353651382665i</v>
      </c>
      <c r="AW323" s="64">
        <f t="shared" si="221"/>
        <v>24.998061690269353</v>
      </c>
      <c r="AX323" s="49">
        <f t="shared" si="222"/>
        <v>54.286047998637095</v>
      </c>
      <c r="AY323" s="310"/>
      <c r="BA323" s="31">
        <f t="shared" si="223"/>
        <v>0</v>
      </c>
      <c r="BB323" s="31">
        <f t="shared" si="224"/>
        <v>0</v>
      </c>
    </row>
    <row r="324" spans="14:54" x14ac:dyDescent="0.45">
      <c r="N324" s="10">
        <v>6</v>
      </c>
      <c r="O324" s="50">
        <f t="shared" si="226"/>
        <v>11481.536214968832</v>
      </c>
      <c r="P324" s="48" t="str">
        <f t="shared" si="188"/>
        <v>17.4002386318441</v>
      </c>
      <c r="Q324" s="17" t="str">
        <f t="shared" si="189"/>
        <v>1+6.17828984405855i</v>
      </c>
      <c r="R324" s="17">
        <f t="shared" si="199"/>
        <v>6.2586951832787818</v>
      </c>
      <c r="S324" s="17">
        <f t="shared" si="200"/>
        <v>1.4103308582751659</v>
      </c>
      <c r="T324" s="17" t="str">
        <f t="shared" si="190"/>
        <v>1+0.0216421858949228i</v>
      </c>
      <c r="U324" s="17">
        <f t="shared" si="201"/>
        <v>1.0002341646886046</v>
      </c>
      <c r="V324" s="17">
        <f t="shared" si="202"/>
        <v>2.1638807891477485E-2</v>
      </c>
      <c r="W324" s="31" t="str">
        <f t="shared" si="191"/>
        <v>1-0.053393873591102i</v>
      </c>
      <c r="X324" s="17">
        <f t="shared" si="203"/>
        <v>1.0014244383562159</v>
      </c>
      <c r="Y324" s="17">
        <f t="shared" si="204"/>
        <v>-5.3343219908056211E-2</v>
      </c>
      <c r="Z324" s="31" t="str">
        <f t="shared" si="192"/>
        <v>0.999880430227795+0.0746745283378673i</v>
      </c>
      <c r="AA324" s="17">
        <f t="shared" si="205"/>
        <v>1.002665028778307</v>
      </c>
      <c r="AB324" s="17">
        <f t="shared" si="206"/>
        <v>7.4545069099819131E-2</v>
      </c>
      <c r="AC324" s="66" t="str">
        <f t="shared" si="207"/>
        <v>0.150504677662762-2.77329977403725i</v>
      </c>
      <c r="AD324" s="64">
        <f t="shared" si="208"/>
        <v>8.8727081200605582</v>
      </c>
      <c r="AE324" s="61">
        <f t="shared" si="209"/>
        <v>-86.893652739654613</v>
      </c>
      <c r="AF324" s="31" t="str">
        <f t="shared" si="193"/>
        <v>-9090.90909090909</v>
      </c>
      <c r="AG324" s="31" t="str">
        <f t="shared" si="194"/>
        <v>72140.6196497425i</v>
      </c>
      <c r="AH324" s="31">
        <f t="shared" si="210"/>
        <v>72140.619649742497</v>
      </c>
      <c r="AI324" s="31">
        <f t="shared" si="211"/>
        <v>1.5707963267948966</v>
      </c>
      <c r="AJ324" s="31" t="str">
        <f t="shared" si="195"/>
        <v>-17.8537134895541+24.9784731318644i</v>
      </c>
      <c r="AK324" s="31">
        <f t="shared" si="212"/>
        <v>30.703081365986016</v>
      </c>
      <c r="AL324" s="31">
        <f t="shared" si="213"/>
        <v>2.1913624470205839</v>
      </c>
      <c r="AM324" s="31" t="str">
        <f t="shared" si="196"/>
        <v>1+95.0669085744306i</v>
      </c>
      <c r="AN324" s="31">
        <f t="shared" si="214"/>
        <v>95.072167882609818</v>
      </c>
      <c r="AO324" s="31">
        <f t="shared" si="215"/>
        <v>1.5602778074176191</v>
      </c>
      <c r="AP324" s="31" t="str">
        <f t="shared" si="197"/>
        <v>1+15.8709363229433i</v>
      </c>
      <c r="AQ324" s="31">
        <f t="shared" si="216"/>
        <v>15.902409244102637</v>
      </c>
      <c r="AR324" s="31">
        <f t="shared" si="217"/>
        <v>1.5078712556909522</v>
      </c>
      <c r="AS324" s="58" t="str">
        <f t="shared" si="218"/>
        <v>-4.76992576364316+3.96905316938914i</v>
      </c>
      <c r="AT324" s="49">
        <f t="shared" si="219"/>
        <v>15.855236113846608</v>
      </c>
      <c r="AU324" s="61">
        <f t="shared" si="220"/>
        <v>140.23617263539876</v>
      </c>
      <c r="AV324" s="58" t="str">
        <f t="shared" si="198"/>
        <v>10.2894781182763+13.8257951103713i</v>
      </c>
      <c r="AW324" s="64">
        <f t="shared" si="221"/>
        <v>24.727944233907163</v>
      </c>
      <c r="AX324" s="49">
        <f t="shared" si="222"/>
        <v>53.342519895744182</v>
      </c>
      <c r="AY324" s="310"/>
      <c r="BA324" s="31">
        <f t="shared" si="223"/>
        <v>0</v>
      </c>
      <c r="BB324" s="31">
        <f t="shared" si="224"/>
        <v>0</v>
      </c>
    </row>
    <row r="325" spans="14:54" x14ac:dyDescent="0.45">
      <c r="N325" s="10">
        <v>7</v>
      </c>
      <c r="O325" s="50">
        <f t="shared" si="226"/>
        <v>11748.975549395318</v>
      </c>
      <c r="P325" s="48" t="str">
        <f t="shared" si="188"/>
        <v>17.4002386318441</v>
      </c>
      <c r="Q325" s="17" t="str">
        <f t="shared" si="189"/>
        <v>1+6.32220070170448i</v>
      </c>
      <c r="R325" s="17">
        <f t="shared" si="199"/>
        <v>6.4007985214840675</v>
      </c>
      <c r="S325" s="17">
        <f t="shared" si="200"/>
        <v>1.4139231908607632</v>
      </c>
      <c r="T325" s="17" t="str">
        <f t="shared" si="190"/>
        <v>1+0.0221462971639119i</v>
      </c>
      <c r="U325" s="17">
        <f t="shared" si="201"/>
        <v>1.0002451991777177</v>
      </c>
      <c r="V325" s="17">
        <f t="shared" si="202"/>
        <v>2.2142677615927694E-2</v>
      </c>
      <c r="W325" s="31" t="str">
        <f t="shared" si="191"/>
        <v>1-0.0546375766764991i</v>
      </c>
      <c r="X325" s="17">
        <f t="shared" si="203"/>
        <v>1.0014915200764709</v>
      </c>
      <c r="Y325" s="17">
        <f t="shared" si="204"/>
        <v>-5.4583304642022067E-2</v>
      </c>
      <c r="Z325" s="31" t="str">
        <f t="shared" si="192"/>
        <v>0.999874795078041+0.0764139215500104i</v>
      </c>
      <c r="AA325" s="17">
        <f t="shared" si="205"/>
        <v>1.0027904533046801</v>
      </c>
      <c r="AB325" s="17">
        <f t="shared" si="206"/>
        <v>7.627522430589645E-2</v>
      </c>
      <c r="AC325" s="66" t="str">
        <f t="shared" si="207"/>
        <v>0.130725021665701-2.71244425988033i</v>
      </c>
      <c r="AD325" s="64">
        <f t="shared" si="208"/>
        <v>8.6772921690876856</v>
      </c>
      <c r="AE325" s="61">
        <f t="shared" si="209"/>
        <v>-87.240790839486877</v>
      </c>
      <c r="AF325" s="31" t="str">
        <f t="shared" si="193"/>
        <v>-9090.90909090909</v>
      </c>
      <c r="AG325" s="31" t="str">
        <f t="shared" si="194"/>
        <v>73820.9905463729i</v>
      </c>
      <c r="AH325" s="31">
        <f t="shared" si="210"/>
        <v>73820.990546372894</v>
      </c>
      <c r="AI325" s="31">
        <f t="shared" si="211"/>
        <v>1.5707963267948966</v>
      </c>
      <c r="AJ325" s="31" t="str">
        <f t="shared" si="195"/>
        <v>-18.7422616316846+25.56029651371i</v>
      </c>
      <c r="AK325" s="31">
        <f t="shared" si="212"/>
        <v>31.695443346627794</v>
      </c>
      <c r="AL325" s="31">
        <f t="shared" si="213"/>
        <v>2.2034954014478885</v>
      </c>
      <c r="AM325" s="31" t="str">
        <f t="shared" si="196"/>
        <v>1+97.2813013420102i</v>
      </c>
      <c r="AN325" s="31">
        <f t="shared" si="214"/>
        <v>97.286440940117629</v>
      </c>
      <c r="AO325" s="31">
        <f t="shared" si="215"/>
        <v>1.5605172210885323</v>
      </c>
      <c r="AP325" s="31" t="str">
        <f t="shared" si="197"/>
        <v>1+16.240617920202i</v>
      </c>
      <c r="AQ325" s="31">
        <f t="shared" si="216"/>
        <v>16.27137580015858</v>
      </c>
      <c r="AR325" s="31">
        <f t="shared" si="217"/>
        <v>1.5092999548148343</v>
      </c>
      <c r="AS325" s="58" t="str">
        <f t="shared" si="218"/>
        <v>-4.68635079321738+3.98324067209952i</v>
      </c>
      <c r="AT325" s="49">
        <f t="shared" si="219"/>
        <v>15.778144137349496</v>
      </c>
      <c r="AU325" s="61">
        <f t="shared" si="220"/>
        <v>139.63658137658314</v>
      </c>
      <c r="AV325" s="58" t="str">
        <f t="shared" si="198"/>
        <v>10.1916949877818+13.232174532008i</v>
      </c>
      <c r="AW325" s="64">
        <f t="shared" si="221"/>
        <v>24.455436306437175</v>
      </c>
      <c r="AX325" s="49">
        <f t="shared" si="222"/>
        <v>52.395790537096197</v>
      </c>
      <c r="AY325" s="310"/>
      <c r="BA325" s="31">
        <f t="shared" si="223"/>
        <v>0</v>
      </c>
      <c r="BB325" s="31">
        <f t="shared" si="224"/>
        <v>0</v>
      </c>
    </row>
    <row r="326" spans="14:54" x14ac:dyDescent="0.45">
      <c r="N326" s="10">
        <v>8</v>
      </c>
      <c r="O326" s="50">
        <f t="shared" si="226"/>
        <v>12022.644346174151</v>
      </c>
      <c r="P326" s="48" t="str">
        <f t="shared" si="188"/>
        <v>17.4002386318441</v>
      </c>
      <c r="Q326" s="17" t="str">
        <f t="shared" si="189"/>
        <v>1+6.46946367384665i</v>
      </c>
      <c r="R326" s="17">
        <f t="shared" si="199"/>
        <v>6.546293625191387</v>
      </c>
      <c r="S326" s="17">
        <f t="shared" si="200"/>
        <v>1.4174377011350221</v>
      </c>
      <c r="T326" s="17" t="str">
        <f t="shared" si="190"/>
        <v>1+0.0226621506927982i</v>
      </c>
      <c r="U326" s="17">
        <f t="shared" si="201"/>
        <v>1.0002567535758122</v>
      </c>
      <c r="V326" s="17">
        <f t="shared" si="202"/>
        <v>2.2658272331022956E-2</v>
      </c>
      <c r="W326" s="31" t="str">
        <f t="shared" si="191"/>
        <v>1-0.0559102493282639i</v>
      </c>
      <c r="X326" s="17">
        <f t="shared" si="203"/>
        <v>1.0015617584452536</v>
      </c>
      <c r="Y326" s="17">
        <f t="shared" si="204"/>
        <v>-5.5852100692000362E-2</v>
      </c>
      <c r="Z326" s="31" t="str">
        <f t="shared" si="192"/>
        <v>0.99986889435186+0.0781938304348168i</v>
      </c>
      <c r="AA326" s="17">
        <f t="shared" si="205"/>
        <v>1.0029217721290529</v>
      </c>
      <c r="AB326" s="17">
        <f t="shared" si="206"/>
        <v>7.804523702180044E-2</v>
      </c>
      <c r="AC326" s="66" t="str">
        <f t="shared" si="207"/>
        <v>0.111798840820372-2.6527513522482i</v>
      </c>
      <c r="AD326" s="64">
        <f t="shared" si="208"/>
        <v>8.4816378041557314</v>
      </c>
      <c r="AE326" s="61">
        <f t="shared" si="209"/>
        <v>-87.586726961175472</v>
      </c>
      <c r="AF326" s="31" t="str">
        <f t="shared" si="193"/>
        <v>-9090.90909090909</v>
      </c>
      <c r="AG326" s="31" t="str">
        <f t="shared" si="194"/>
        <v>75540.5023093271i</v>
      </c>
      <c r="AH326" s="31">
        <f t="shared" si="210"/>
        <v>75540.502309327101</v>
      </c>
      <c r="AI326" s="31">
        <f t="shared" si="211"/>
        <v>1.5707963267948966</v>
      </c>
      <c r="AJ326" s="31" t="str">
        <f t="shared" si="195"/>
        <v>-19.6726857576268+26.1556723030976i</v>
      </c>
      <c r="AK326" s="31">
        <f t="shared" si="212"/>
        <v>32.728179884395637</v>
      </c>
      <c r="AL326" s="31">
        <f t="shared" si="213"/>
        <v>2.2156646133029323</v>
      </c>
      <c r="AM326" s="31" t="str">
        <f t="shared" si="196"/>
        <v>1+99.5472739432312i</v>
      </c>
      <c r="AN326" s="31">
        <f t="shared" si="214"/>
        <v>99.552296555773722</v>
      </c>
      <c r="AO326" s="31">
        <f t="shared" si="215"/>
        <v>1.560751186177646</v>
      </c>
      <c r="AP326" s="31" t="str">
        <f t="shared" si="197"/>
        <v>1+16.6189105080519i</v>
      </c>
      <c r="AQ326" s="31">
        <f t="shared" si="216"/>
        <v>16.648969531915114</v>
      </c>
      <c r="AR326" s="31">
        <f t="shared" si="217"/>
        <v>1.510696375710918</v>
      </c>
      <c r="AS326" s="58" t="str">
        <f t="shared" si="218"/>
        <v>-4.60192750497772+3.99577852458522i</v>
      </c>
      <c r="AT326" s="49">
        <f t="shared" si="219"/>
        <v>15.698884693023745</v>
      </c>
      <c r="AU326" s="61">
        <f t="shared" si="220"/>
        <v>139.03275113321791</v>
      </c>
      <c r="AV326" s="58" t="str">
        <f t="shared" si="198"/>
        <v>10.0853167237819+12.6544928190014i</v>
      </c>
      <c r="AW326" s="64">
        <f t="shared" si="221"/>
        <v>24.180522497179489</v>
      </c>
      <c r="AX326" s="49">
        <f t="shared" si="222"/>
        <v>51.446024172042357</v>
      </c>
      <c r="AY326" s="310"/>
      <c r="BA326" s="31">
        <f t="shared" si="223"/>
        <v>0</v>
      </c>
      <c r="BB326" s="31">
        <f t="shared" si="224"/>
        <v>0</v>
      </c>
    </row>
    <row r="327" spans="14:54" x14ac:dyDescent="0.45">
      <c r="N327" s="10">
        <v>9</v>
      </c>
      <c r="O327" s="50">
        <f t="shared" si="226"/>
        <v>12302.687708123816</v>
      </c>
      <c r="P327" s="48" t="str">
        <f t="shared" si="188"/>
        <v>17.4002386318441</v>
      </c>
      <c r="Q327" s="17" t="str">
        <f t="shared" si="189"/>
        <v>1+6.62015684126218i</v>
      </c>
      <c r="R327" s="17">
        <f t="shared" si="199"/>
        <v>6.6952577697136082</v>
      </c>
      <c r="S327" s="17">
        <f t="shared" si="200"/>
        <v>1.4208759050760305</v>
      </c>
      <c r="T327" s="17" t="str">
        <f t="shared" si="190"/>
        <v>1+0.0231900199939508i</v>
      </c>
      <c r="U327" s="17">
        <f t="shared" si="201"/>
        <v>1.0002688523728607</v>
      </c>
      <c r="V327" s="17">
        <f t="shared" si="202"/>
        <v>2.3185864314760413E-2</v>
      </c>
      <c r="W327" s="31" t="str">
        <f t="shared" si="191"/>
        <v>1-0.0572125663342821i</v>
      </c>
      <c r="X327" s="17">
        <f t="shared" si="203"/>
        <v>1.0016353017673423</v>
      </c>
      <c r="Y327" s="17">
        <f t="shared" si="204"/>
        <v>-5.7150264440691455E-2</v>
      </c>
      <c r="Z327" s="31" t="str">
        <f t="shared" si="192"/>
        <v>0.999862715533022+0.0800151987235376i</v>
      </c>
      <c r="AA327" s="17">
        <f t="shared" si="205"/>
        <v>1.0030592614296705</v>
      </c>
      <c r="AB327" s="17">
        <f t="shared" si="206"/>
        <v>7.9856004215009949E-2</v>
      </c>
      <c r="AC327" s="66" t="str">
        <f t="shared" si="207"/>
        <v>0.0936916214848475-2.59420700483557i</v>
      </c>
      <c r="AD327" s="64">
        <f t="shared" si="208"/>
        <v>8.2857535577800174</v>
      </c>
      <c r="AE327" s="61">
        <f t="shared" si="209"/>
        <v>-87.931621363895943</v>
      </c>
      <c r="AF327" s="31" t="str">
        <f t="shared" si="193"/>
        <v>-9090.90909090909</v>
      </c>
      <c r="AG327" s="31" t="str">
        <f t="shared" si="194"/>
        <v>77300.0666465025i</v>
      </c>
      <c r="AH327" s="31">
        <f t="shared" si="210"/>
        <v>77300.066646502499</v>
      </c>
      <c r="AI327" s="31">
        <f t="shared" si="211"/>
        <v>1.5707963267948966</v>
      </c>
      <c r="AJ327" s="31" t="str">
        <f t="shared" si="195"/>
        <v>-20.6469594216962+26.7649161761515i</v>
      </c>
      <c r="AK327" s="31">
        <f t="shared" si="212"/>
        <v>33.80321983595033</v>
      </c>
      <c r="AL327" s="31">
        <f t="shared" si="213"/>
        <v>2.2278651343096714</v>
      </c>
      <c r="AM327" s="31" t="str">
        <f t="shared" si="196"/>
        <v>1+101.866027826761i</v>
      </c>
      <c r="AN327" s="31">
        <f t="shared" si="214"/>
        <v>101.87093611625666</v>
      </c>
      <c r="AO327" s="31">
        <f t="shared" si="215"/>
        <v>1.5609798266338311</v>
      </c>
      <c r="AP327" s="31" t="str">
        <f t="shared" si="197"/>
        <v>1+17.0060146622305i</v>
      </c>
      <c r="AQ327" s="31">
        <f t="shared" si="216"/>
        <v>17.035390652755769</v>
      </c>
      <c r="AR327" s="31">
        <f t="shared" si="217"/>
        <v>1.5120612369836757</v>
      </c>
      <c r="AS327" s="58" t="str">
        <f t="shared" si="218"/>
        <v>-4.51673263916018+4.0066180223999i</v>
      </c>
      <c r="AT327" s="49">
        <f t="shared" si="219"/>
        <v>15.617435417342424</v>
      </c>
      <c r="AU327" s="61">
        <f t="shared" si="220"/>
        <v>138.42501369538613</v>
      </c>
      <c r="AV327" s="58" t="str">
        <f t="shared" si="198"/>
        <v>9.97081653463381+12.0927259906679i</v>
      </c>
      <c r="AW327" s="64">
        <f t="shared" si="221"/>
        <v>23.903188975122465</v>
      </c>
      <c r="AX327" s="49">
        <f t="shared" si="222"/>
        <v>50.493392331490298</v>
      </c>
      <c r="AY327" s="310"/>
      <c r="BA327" s="31">
        <f t="shared" si="223"/>
        <v>0</v>
      </c>
      <c r="BB327" s="31">
        <f t="shared" si="224"/>
        <v>0</v>
      </c>
    </row>
    <row r="328" spans="14:54" x14ac:dyDescent="0.45">
      <c r="N328" s="10">
        <v>10</v>
      </c>
      <c r="O328" s="50">
        <f t="shared" si="226"/>
        <v>12589.254117941671</v>
      </c>
      <c r="P328" s="48" t="str">
        <f t="shared" si="188"/>
        <v>17.4002386318441</v>
      </c>
      <c r="Q328" s="17" t="str">
        <f t="shared" si="189"/>
        <v>1+6.77436010346307i</v>
      </c>
      <c r="R328" s="17">
        <f t="shared" si="199"/>
        <v>6.8477700612237395</v>
      </c>
      <c r="S328" s="17">
        <f t="shared" si="200"/>
        <v>1.4242393003466169</v>
      </c>
      <c r="T328" s="17" t="str">
        <f t="shared" si="190"/>
        <v>1+0.0237301849506604i</v>
      </c>
      <c r="U328" s="17">
        <f t="shared" si="201"/>
        <v>1.0002815212117999</v>
      </c>
      <c r="V328" s="17">
        <f t="shared" si="202"/>
        <v>2.3725732127864316E-2</v>
      </c>
      <c r="W328" s="31" t="str">
        <f t="shared" si="191"/>
        <v>1-0.0585452182002687i</v>
      </c>
      <c r="X328" s="17">
        <f t="shared" si="203"/>
        <v>1.0017123052923513</v>
      </c>
      <c r="Y328" s="17">
        <f t="shared" si="204"/>
        <v>-5.8478466680164411E-2</v>
      </c>
      <c r="Z328" s="31" t="str">
        <f t="shared" si="192"/>
        <v>0.999856245515423+0.0818789921297479i</v>
      </c>
      <c r="AA328" s="17">
        <f t="shared" si="205"/>
        <v>1.0032032102462496</v>
      </c>
      <c r="AB328" s="17">
        <f t="shared" si="206"/>
        <v>8.1708441528086609E-2</v>
      </c>
      <c r="AC328" s="66" t="str">
        <f t="shared" si="207"/>
        <v>0.0763701129301039-2.53679669903237i</v>
      </c>
      <c r="AD328" s="64">
        <f t="shared" si="208"/>
        <v>8.0896475385863713</v>
      </c>
      <c r="AE328" s="61">
        <f t="shared" si="209"/>
        <v>-88.27563479306248</v>
      </c>
      <c r="AF328" s="31" t="str">
        <f t="shared" si="193"/>
        <v>-9090.90909090909</v>
      </c>
      <c r="AG328" s="31" t="str">
        <f t="shared" si="194"/>
        <v>79100.6165022012i</v>
      </c>
      <c r="AH328" s="31">
        <f t="shared" si="210"/>
        <v>79100.616502201199</v>
      </c>
      <c r="AI328" s="31">
        <f t="shared" si="211"/>
        <v>1.5707963267948966</v>
      </c>
      <c r="AJ328" s="31" t="str">
        <f t="shared" si="195"/>
        <v>-21.6671491889575+27.3883511620377i</v>
      </c>
      <c r="AK328" s="31">
        <f t="shared" si="212"/>
        <v>34.922587724159754</v>
      </c>
      <c r="AL328" s="31">
        <f t="shared" si="213"/>
        <v>2.2400918741434093</v>
      </c>
      <c r="AM328" s="31" t="str">
        <f t="shared" si="196"/>
        <v>1+104.238792426601i</v>
      </c>
      <c r="AN328" s="31">
        <f t="shared" si="214"/>
        <v>104.24358899498812</v>
      </c>
      <c r="AO328" s="31">
        <f t="shared" si="215"/>
        <v>1.5612032635896089</v>
      </c>
      <c r="AP328" s="31" t="str">
        <f t="shared" si="197"/>
        <v>1+17.4021356304842i</v>
      </c>
      <c r="AQ328" s="31">
        <f t="shared" si="216"/>
        <v>17.430844055919028</v>
      </c>
      <c r="AR328" s="31">
        <f t="shared" si="217"/>
        <v>1.5133952419489098</v>
      </c>
      <c r="AS328" s="58" t="str">
        <f t="shared" si="218"/>
        <v>-4.43084607071968+4.01571464440822i</v>
      </c>
      <c r="AT328" s="49">
        <f t="shared" si="219"/>
        <v>15.533776045977948</v>
      </c>
      <c r="AU328" s="61">
        <f t="shared" si="220"/>
        <v>137.81370795461919</v>
      </c>
      <c r="AV328" s="58" t="str">
        <f t="shared" si="198"/>
        <v>9.84866743939395+11.5468362670108i</v>
      </c>
      <c r="AW328" s="64">
        <f t="shared" si="221"/>
        <v>23.623423584564335</v>
      </c>
      <c r="AX328" s="49">
        <f t="shared" si="222"/>
        <v>49.538073161556824</v>
      </c>
      <c r="AY328" s="310"/>
      <c r="BA328" s="31">
        <f t="shared" si="223"/>
        <v>0</v>
      </c>
      <c r="BB328" s="31">
        <f t="shared" si="224"/>
        <v>0</v>
      </c>
    </row>
    <row r="329" spans="14:54" x14ac:dyDescent="0.45">
      <c r="N329" s="10">
        <v>11</v>
      </c>
      <c r="O329" s="50">
        <f t="shared" si="226"/>
        <v>12882.49551693136</v>
      </c>
      <c r="P329" s="48" t="str">
        <f t="shared" si="188"/>
        <v>17.4002386318441</v>
      </c>
      <c r="Q329" s="17" t="str">
        <f t="shared" si="189"/>
        <v>1+6.9321552210601i</v>
      </c>
      <c r="R329" s="17">
        <f t="shared" si="199"/>
        <v>7.0039114792286465</v>
      </c>
      <c r="S329" s="17">
        <f t="shared" si="200"/>
        <v>1.4275293657205084</v>
      </c>
      <c r="T329" s="17" t="str">
        <f t="shared" si="190"/>
        <v>1+0.024282931965537i</v>
      </c>
      <c r="U329" s="17">
        <f t="shared" si="201"/>
        <v>1.0002947869427505</v>
      </c>
      <c r="V329" s="17">
        <f t="shared" si="202"/>
        <v>2.4278160755886721E-2</v>
      </c>
      <c r="W329" s="31" t="str">
        <f t="shared" si="191"/>
        <v>1-0.0599089115158827i</v>
      </c>
      <c r="X329" s="17">
        <f t="shared" si="203"/>
        <v>1.0017929315377594</v>
      </c>
      <c r="Y329" s="17">
        <f t="shared" si="204"/>
        <v>-5.983739288534614E-2</v>
      </c>
      <c r="Z329" s="31" t="str">
        <f t="shared" si="192"/>
        <v>0.999849470575289+0.0837861988613822i</v>
      </c>
      <c r="AA329" s="17">
        <f t="shared" si="205"/>
        <v>1.003353921071386</v>
      </c>
      <c r="AB329" s="17">
        <f t="shared" si="206"/>
        <v>8.3603483558681066E-2</v>
      </c>
      <c r="AC329" s="66" t="str">
        <f t="shared" si="207"/>
        <v>0.0598022956928019-2.48050549946089i</v>
      </c>
      <c r="AD329" s="64">
        <f t="shared" si="208"/>
        <v>7.8933274436438019</v>
      </c>
      <c r="AE329" s="61">
        <f t="shared" si="209"/>
        <v>-88.618928471020311</v>
      </c>
      <c r="AF329" s="31" t="str">
        <f t="shared" si="193"/>
        <v>-9090.90909090909</v>
      </c>
      <c r="AG329" s="31" t="str">
        <f t="shared" si="194"/>
        <v>80943.10655179i</v>
      </c>
      <c r="AH329" s="31">
        <f t="shared" si="210"/>
        <v>80943.106551789999</v>
      </c>
      <c r="AI329" s="31">
        <f t="shared" si="211"/>
        <v>1.5707963267948966</v>
      </c>
      <c r="AJ329" s="31" t="str">
        <f t="shared" si="195"/>
        <v>-22.7354190186863+28.0263078142376i</v>
      </c>
      <c r="AK329" s="31">
        <f t="shared" si="212"/>
        <v>36.088408217232839</v>
      </c>
      <c r="AL329" s="31">
        <f t="shared" si="213"/>
        <v>2.2523396134227704</v>
      </c>
      <c r="AM329" s="31" t="str">
        <f t="shared" si="196"/>
        <v>1+106.666825813949i</v>
      </c>
      <c r="AN329" s="31">
        <f t="shared" si="214"/>
        <v>106.6715132039634</v>
      </c>
      <c r="AO329" s="31">
        <f t="shared" si="215"/>
        <v>1.5614216154249208</v>
      </c>
      <c r="AP329" s="31" t="str">
        <f t="shared" si="197"/>
        <v>1+17.8074834413938i</v>
      </c>
      <c r="AQ329" s="31">
        <f t="shared" si="216"/>
        <v>17.83553942317177</v>
      </c>
      <c r="AR329" s="31">
        <f t="shared" si="217"/>
        <v>1.5146990789113359</v>
      </c>
      <c r="AS329" s="58" t="str">
        <f t="shared" si="218"/>
        <v>-4.34435052604543+4.02302830330062i</v>
      </c>
      <c r="AT329" s="49">
        <f t="shared" si="219"/>
        <v>15.447888489726427</v>
      </c>
      <c r="AU329" s="61">
        <f t="shared" si="220"/>
        <v>137.1991791790677</v>
      </c>
      <c r="AV329" s="58" t="str">
        <f t="shared" si="198"/>
        <v>9.71934169607225+11.016771699616i</v>
      </c>
      <c r="AW329" s="64">
        <f t="shared" si="221"/>
        <v>23.341215933370233</v>
      </c>
      <c r="AX329" s="49">
        <f t="shared" si="222"/>
        <v>48.580250708047423</v>
      </c>
      <c r="AY329" s="310"/>
      <c r="BA329" s="31">
        <f t="shared" si="223"/>
        <v>0</v>
      </c>
      <c r="BB329" s="31">
        <f t="shared" si="224"/>
        <v>0</v>
      </c>
    </row>
    <row r="330" spans="14:54" x14ac:dyDescent="0.45">
      <c r="N330" s="10">
        <v>12</v>
      </c>
      <c r="O330" s="50">
        <f t="shared" si="226"/>
        <v>13182.567385564091</v>
      </c>
      <c r="P330" s="48" t="str">
        <f t="shared" si="188"/>
        <v>17.4002386318441</v>
      </c>
      <c r="Q330" s="17" t="str">
        <f t="shared" si="189"/>
        <v>1+7.09362585911324i</v>
      </c>
      <c r="R330" s="17">
        <f t="shared" si="199"/>
        <v>7.1637649200040094</v>
      </c>
      <c r="S330" s="17">
        <f t="shared" si="200"/>
        <v>1.4307475605783726</v>
      </c>
      <c r="T330" s="17" t="str">
        <f t="shared" si="190"/>
        <v>1+0.0248485541123644i</v>
      </c>
      <c r="U330" s="17">
        <f t="shared" si="201"/>
        <v>1.0003086776797825</v>
      </c>
      <c r="V330" s="17">
        <f t="shared" si="202"/>
        <v>2.4843441754315909E-2</v>
      </c>
      <c r="W330" s="31" t="str">
        <f t="shared" si="191"/>
        <v>1-0.0613043693293705i</v>
      </c>
      <c r="X330" s="17">
        <f t="shared" si="203"/>
        <v>1.0018773506267482</v>
      </c>
      <c r="Y330" s="17">
        <f t="shared" si="204"/>
        <v>-6.1227743489530369E-2</v>
      </c>
      <c r="Z330" s="31" t="str">
        <f t="shared" si="192"/>
        <v>0.999842376342064+0.0857378301446941i</v>
      </c>
      <c r="AA330" s="17">
        <f t="shared" si="205"/>
        <v>1.0035117104684259</v>
      </c>
      <c r="AB330" s="17">
        <f t="shared" si="206"/>
        <v>8.5542084135411187E-2</v>
      </c>
      <c r="AC330" s="66" t="str">
        <f t="shared" si="207"/>
        <v>0.0439573494499946-2.42531810602909i</v>
      </c>
      <c r="AD330" s="64">
        <f t="shared" si="208"/>
        <v>7.6968005703707334</v>
      </c>
      <c r="AE330" s="61">
        <f t="shared" si="209"/>
        <v>-88.961664091449194</v>
      </c>
      <c r="AF330" s="31" t="str">
        <f t="shared" si="193"/>
        <v>-9090.90909090909</v>
      </c>
      <c r="AG330" s="31" t="str">
        <f t="shared" si="194"/>
        <v>82828.5137078811i</v>
      </c>
      <c r="AH330" s="31">
        <f t="shared" si="210"/>
        <v>82828.513707881095</v>
      </c>
      <c r="AI330" s="31">
        <f t="shared" si="211"/>
        <v>1.5707963267948966</v>
      </c>
      <c r="AJ330" s="31" t="str">
        <f t="shared" si="195"/>
        <v>-23.8540348544166+28.6791243858127i</v>
      </c>
      <c r="AK330" s="31">
        <f t="shared" si="212"/>
        <v>37.302910802947252</v>
      </c>
      <c r="AL330" s="31">
        <f t="shared" si="213"/>
        <v>2.2646030174211296</v>
      </c>
      <c r="AM330" s="31" t="str">
        <f t="shared" si="196"/>
        <v>1+109.151415364246i</v>
      </c>
      <c r="AN330" s="31">
        <f t="shared" si="214"/>
        <v>109.1559960607669</v>
      </c>
      <c r="AO330" s="31">
        <f t="shared" si="215"/>
        <v>1.5616349978294681</v>
      </c>
      <c r="AP330" s="31" t="str">
        <f t="shared" si="197"/>
        <v>1+18.2222730157338i</v>
      </c>
      <c r="AQ330" s="31">
        <f t="shared" si="216"/>
        <v>18.24969133601827</v>
      </c>
      <c r="AR330" s="31">
        <f t="shared" si="217"/>
        <v>1.5159734214404454</v>
      </c>
      <c r="AS330" s="58" t="str">
        <f t="shared" si="218"/>
        <v>-4.25733127591684+4.02852357304438i</v>
      </c>
      <c r="AT330" s="49">
        <f t="shared" si="219"/>
        <v>15.359756902814111</v>
      </c>
      <c r="AU330" s="61">
        <f t="shared" si="220"/>
        <v>136.58177824727278</v>
      </c>
      <c r="AV330" s="58" t="str">
        <f t="shared" si="198"/>
        <v>9.58331016364967+10.5024658453129i</v>
      </c>
      <c r="AW330" s="64">
        <f t="shared" si="221"/>
        <v>23.056557473184846</v>
      </c>
      <c r="AX330" s="49">
        <f t="shared" si="222"/>
        <v>47.6201141558236</v>
      </c>
      <c r="AY330" s="310"/>
      <c r="BA330" s="31">
        <f t="shared" si="223"/>
        <v>0</v>
      </c>
      <c r="BB330" s="31">
        <f t="shared" si="224"/>
        <v>0</v>
      </c>
    </row>
    <row r="331" spans="14:54" x14ac:dyDescent="0.45">
      <c r="N331" s="10">
        <v>13</v>
      </c>
      <c r="O331" s="50">
        <f t="shared" si="226"/>
        <v>13489.628825916556</v>
      </c>
      <c r="P331" s="48" t="str">
        <f t="shared" si="188"/>
        <v>17.4002386318441</v>
      </c>
      <c r="Q331" s="17" t="str">
        <f t="shared" si="189"/>
        <v>1+7.25885763149212i</v>
      </c>
      <c r="R331" s="17">
        <f t="shared" si="199"/>
        <v>7.3274152410158511</v>
      </c>
      <c r="S331" s="17">
        <f t="shared" si="200"/>
        <v>1.4338953244693142</v>
      </c>
      <c r="T331" s="17" t="str">
        <f t="shared" si="190"/>
        <v>1+0.0254273512914916i</v>
      </c>
      <c r="U331" s="17">
        <f t="shared" si="201"/>
        <v>1.0003232228603418</v>
      </c>
      <c r="V331" s="17">
        <f t="shared" si="202"/>
        <v>2.5421873396740704E-2</v>
      </c>
      <c r="W331" s="31" t="str">
        <f t="shared" si="191"/>
        <v>1-0.0627323315309361i</v>
      </c>
      <c r="X331" s="17">
        <f t="shared" si="203"/>
        <v>1.0019657406415188</v>
      </c>
      <c r="Y331" s="17">
        <f t="shared" si="204"/>
        <v>-6.2650234161652857E-2</v>
      </c>
      <c r="Z331" s="31" t="str">
        <f t="shared" si="192"/>
        <v>0.999834947767927+0.087734920760423i</v>
      </c>
      <c r="AA331" s="17">
        <f t="shared" si="205"/>
        <v>1.0036769097169322</v>
      </c>
      <c r="AB331" s="17">
        <f t="shared" si="206"/>
        <v>8.7525216588810836E-2</v>
      </c>
      <c r="AC331" s="66" t="str">
        <f t="shared" si="207"/>
        <v>0.0288056205776076-2.37121890265455i</v>
      </c>
      <c r="AD331" s="64">
        <f t="shared" si="208"/>
        <v>7.5000738280089987</v>
      </c>
      <c r="AE331" s="61">
        <f t="shared" si="209"/>
        <v>-89.304003817160634</v>
      </c>
      <c r="AF331" s="31" t="str">
        <f t="shared" si="193"/>
        <v>-9090.90909090909</v>
      </c>
      <c r="AG331" s="31" t="str">
        <f t="shared" si="194"/>
        <v>84757.8376383051i</v>
      </c>
      <c r="AH331" s="31">
        <f t="shared" si="210"/>
        <v>84757.837638305107</v>
      </c>
      <c r="AI331" s="31">
        <f t="shared" si="211"/>
        <v>1.5707963267948966</v>
      </c>
      <c r="AJ331" s="31" t="str">
        <f t="shared" si="195"/>
        <v>-25.0253694303117+29.3471470087502i</v>
      </c>
      <c r="AK331" s="31">
        <f t="shared" si="212"/>
        <v>38.568434667183148</v>
      </c>
      <c r="AL331" s="31">
        <f t="shared" si="213"/>
        <v>2.2768766504242599</v>
      </c>
      <c r="AM331" s="31" t="str">
        <f t="shared" si="196"/>
        <v>1+111.693878439758i</v>
      </c>
      <c r="AN331" s="31">
        <f t="shared" si="214"/>
        <v>111.69835487112348</v>
      </c>
      <c r="AO331" s="31">
        <f t="shared" si="215"/>
        <v>1.5618435238636557</v>
      </c>
      <c r="AP331" s="31" t="str">
        <f t="shared" si="197"/>
        <v>1+18.6467242804271i</v>
      </c>
      <c r="AQ331" s="31">
        <f t="shared" si="216"/>
        <v>18.67351938950635</v>
      </c>
      <c r="AR331" s="31">
        <f t="shared" si="217"/>
        <v>1.5172189286444022</v>
      </c>
      <c r="AS331" s="58" t="str">
        <f t="shared" si="218"/>
        <v>-4.16987580692424+4.03216989070576i</v>
      </c>
      <c r="AT331" s="49">
        <f t="shared" si="219"/>
        <v>15.269367742991093</v>
      </c>
      <c r="AU331" s="61">
        <f t="shared" si="220"/>
        <v>135.96186084471836</v>
      </c>
      <c r="AV331" s="58" t="str">
        <f t="shared" si="198"/>
        <v>9.44104160320603+10.0038374910768i</v>
      </c>
      <c r="AW331" s="64">
        <f t="shared" si="221"/>
        <v>22.769441571000101</v>
      </c>
      <c r="AX331" s="49">
        <f t="shared" si="222"/>
        <v>46.657857027557803</v>
      </c>
      <c r="AY331" s="310"/>
      <c r="BA331" s="31">
        <f t="shared" si="223"/>
        <v>0</v>
      </c>
      <c r="BB331" s="31">
        <f t="shared" si="224"/>
        <v>0</v>
      </c>
    </row>
    <row r="332" spans="14:54" x14ac:dyDescent="0.45">
      <c r="N332" s="10">
        <v>14</v>
      </c>
      <c r="O332" s="50">
        <f t="shared" si="226"/>
        <v>13803.842646028841</v>
      </c>
      <c r="P332" s="48" t="str">
        <f t="shared" si="188"/>
        <v>17.4002386318441</v>
      </c>
      <c r="Q332" s="17" t="str">
        <f t="shared" si="189"/>
        <v>1+7.42793814626955i</v>
      </c>
      <c r="R332" s="17">
        <f t="shared" si="199"/>
        <v>7.494949306353333</v>
      </c>
      <c r="S332" s="17">
        <f t="shared" si="200"/>
        <v>1.4369740767335684</v>
      </c>
      <c r="T332" s="17" t="str">
        <f t="shared" si="190"/>
        <v>1+0.0260196303888442i</v>
      </c>
      <c r="U332" s="17">
        <f t="shared" si="201"/>
        <v>1.0003384533074653</v>
      </c>
      <c r="V332" s="17">
        <f t="shared" si="202"/>
        <v>2.6013760826119496E-2</v>
      </c>
      <c r="W332" s="31" t="str">
        <f t="shared" si="191"/>
        <v>1-0.0641935552450397i</v>
      </c>
      <c r="X332" s="17">
        <f t="shared" si="203"/>
        <v>1.0020582879927684</v>
      </c>
      <c r="Y332" s="17">
        <f t="shared" si="204"/>
        <v>-6.4105596085052438E-2</v>
      </c>
      <c r="Z332" s="31" t="str">
        <f t="shared" si="192"/>
        <v>0.999827169095876+0.089778529592448i</v>
      </c>
      <c r="AA332" s="17">
        <f t="shared" si="205"/>
        <v>1.0038498654868941</v>
      </c>
      <c r="AB332" s="17">
        <f t="shared" si="206"/>
        <v>8.9553874016476173E-2</v>
      </c>
      <c r="AC332" s="66" t="str">
        <f t="shared" si="207"/>
        <v>0.0143185895385128-2.31819200281214i</v>
      </c>
      <c r="AD332" s="64">
        <f t="shared" si="208"/>
        <v>7.3031537486619218</v>
      </c>
      <c r="AE332" s="61">
        <f t="shared" si="209"/>
        <v>-89.646110280976416</v>
      </c>
      <c r="AF332" s="31" t="str">
        <f t="shared" si="193"/>
        <v>-9090.90909090909</v>
      </c>
      <c r="AG332" s="31" t="str">
        <f t="shared" si="194"/>
        <v>86732.1012961474i</v>
      </c>
      <c r="AH332" s="31">
        <f t="shared" si="210"/>
        <v>86732.101296147404</v>
      </c>
      <c r="AI332" s="31">
        <f t="shared" si="211"/>
        <v>1.5707963267948966</v>
      </c>
      <c r="AJ332" s="31" t="str">
        <f t="shared" si="195"/>
        <v>-26.2519073040505+30.0307298774871i</v>
      </c>
      <c r="AK332" s="31">
        <f t="shared" si="212"/>
        <v>39.887433786533023</v>
      </c>
      <c r="AL332" s="31">
        <f t="shared" si="213"/>
        <v>2.2891549906534063</v>
      </c>
      <c r="AM332" s="31" t="str">
        <f t="shared" si="196"/>
        <v>1+114.295563088063i</v>
      </c>
      <c r="AN332" s="31">
        <f t="shared" si="214"/>
        <v>114.29993762735563</v>
      </c>
      <c r="AO332" s="31">
        <f t="shared" si="215"/>
        <v>1.5620473040181668</v>
      </c>
      <c r="AP332" s="31" t="str">
        <f t="shared" si="197"/>
        <v>1+19.0810622851524i</v>
      </c>
      <c r="AQ332" s="31">
        <f t="shared" si="216"/>
        <v>19.107248308688128</v>
      </c>
      <c r="AR332" s="31">
        <f t="shared" si="217"/>
        <v>1.5184362454417266</v>
      </c>
      <c r="AS332" s="58" t="str">
        <f t="shared" si="218"/>
        <v>-4.08207347389+4.03394173032402i</v>
      </c>
      <c r="AT332" s="49">
        <f t="shared" si="219"/>
        <v>15.176709822878005</v>
      </c>
      <c r="AU332" s="61">
        <f t="shared" si="220"/>
        <v>135.33978662778173</v>
      </c>
      <c r="AV332" s="58" t="str">
        <f t="shared" si="198"/>
        <v>9.29300192450863+9.52079043792216i</v>
      </c>
      <c r="AW332" s="64">
        <f t="shared" si="221"/>
        <v>22.479863571539926</v>
      </c>
      <c r="AX332" s="49">
        <f t="shared" si="222"/>
        <v>45.693676346805319</v>
      </c>
      <c r="AY332" s="310"/>
      <c r="BA332" s="31">
        <f t="shared" si="223"/>
        <v>0</v>
      </c>
      <c r="BB332" s="31">
        <f t="shared" si="224"/>
        <v>0</v>
      </c>
    </row>
    <row r="333" spans="14:54" x14ac:dyDescent="0.45">
      <c r="N333" s="10">
        <v>15</v>
      </c>
      <c r="O333" s="50">
        <f t="shared" si="226"/>
        <v>14125.375446227561</v>
      </c>
      <c r="P333" s="48" t="str">
        <f t="shared" si="188"/>
        <v>17.4002386318441</v>
      </c>
      <c r="Q333" s="17" t="str">
        <f t="shared" si="189"/>
        <v>1+7.60095705217254i</v>
      </c>
      <c r="R333" s="17">
        <f t="shared" si="199"/>
        <v>7.6664560331988785</v>
      </c>
      <c r="S333" s="17">
        <f t="shared" si="200"/>
        <v>1.4399852161823539</v>
      </c>
      <c r="T333" s="17" t="str">
        <f t="shared" si="190"/>
        <v>1+0.0266257054386397i</v>
      </c>
      <c r="U333" s="17">
        <f t="shared" si="201"/>
        <v>1.0003544012949137</v>
      </c>
      <c r="V333" s="17">
        <f t="shared" si="202"/>
        <v>2.6619416209201299E-2</v>
      </c>
      <c r="W333" s="31" t="str">
        <f t="shared" si="191"/>
        <v>1-0.0656888152318367i</v>
      </c>
      <c r="X333" s="17">
        <f t="shared" si="203"/>
        <v>1.0021551878060415</v>
      </c>
      <c r="Y333" s="17">
        <f t="shared" si="204"/>
        <v>-6.5594576237414923E-2</v>
      </c>
      <c r="Z333" s="31" t="str">
        <f t="shared" si="192"/>
        <v>0.999819023826307+0.0918697401892225i</v>
      </c>
      <c r="AA333" s="17">
        <f t="shared" si="205"/>
        <v>1.0040309405428824</v>
      </c>
      <c r="AB333" s="17">
        <f t="shared" si="206"/>
        <v>9.1629069541476205E-2</v>
      </c>
      <c r="AC333" s="66" t="str">
        <f t="shared" si="207"/>
        <v>0.000468838230924422-2.26622129205602i</v>
      </c>
      <c r="AD333" s="64">
        <f t="shared" si="208"/>
        <v>7.1060464978931579</v>
      </c>
      <c r="AE333" s="61">
        <f t="shared" si="209"/>
        <v>-89.988146589383277</v>
      </c>
      <c r="AF333" s="31" t="str">
        <f t="shared" si="193"/>
        <v>-9090.90909090909</v>
      </c>
      <c r="AG333" s="31" t="str">
        <f t="shared" si="194"/>
        <v>88752.3514621323i</v>
      </c>
      <c r="AH333" s="31">
        <f t="shared" si="210"/>
        <v>88752.351462132297</v>
      </c>
      <c r="AI333" s="31">
        <f t="shared" si="211"/>
        <v>1.5707963267948966</v>
      </c>
      <c r="AJ333" s="31" t="str">
        <f t="shared" si="195"/>
        <v>-27.5362501269082+30.7302354367089i</v>
      </c>
      <c r="AK333" s="31">
        <f t="shared" si="212"/>
        <v>41.262482245342575</v>
      </c>
      <c r="AL333" s="31">
        <f t="shared" si="213"/>
        <v>2.3014324456666606</v>
      </c>
      <c r="AM333" s="31" t="str">
        <f t="shared" si="196"/>
        <v>1+116.957848756798i</v>
      </c>
      <c r="AN333" s="31">
        <f t="shared" si="214"/>
        <v>116.96212372310121</v>
      </c>
      <c r="AO333" s="31">
        <f t="shared" si="215"/>
        <v>1.5622464462721999</v>
      </c>
      <c r="AP333" s="31" t="str">
        <f t="shared" si="197"/>
        <v>1+19.5255173216691i</v>
      </c>
      <c r="AQ333" s="31">
        <f t="shared" si="216"/>
        <v>19.551108067800147</v>
      </c>
      <c r="AR333" s="31">
        <f t="shared" si="217"/>
        <v>1.5196260028305679</v>
      </c>
      <c r="AS333" s="58" t="str">
        <f t="shared" si="218"/>
        <v>-3.99401513610506+4.03381874680885i</v>
      </c>
      <c r="AT333" s="49">
        <f t="shared" si="219"/>
        <v>15.081774352101826</v>
      </c>
      <c r="AU333" s="61">
        <f t="shared" si="220"/>
        <v>134.71591836006445</v>
      </c>
      <c r="AV333" s="58" t="str">
        <f t="shared" si="198"/>
        <v>9.13965338532225+9.05321335068043i</v>
      </c>
      <c r="AW333" s="64">
        <f t="shared" si="221"/>
        <v>22.187820849994985</v>
      </c>
      <c r="AX333" s="49">
        <f t="shared" si="222"/>
        <v>44.727771770681173</v>
      </c>
      <c r="AY333" s="310"/>
      <c r="BA333" s="31">
        <f t="shared" si="223"/>
        <v>0</v>
      </c>
      <c r="BB333" s="31">
        <f t="shared" si="224"/>
        <v>0</v>
      </c>
    </row>
    <row r="334" spans="14:54" x14ac:dyDescent="0.45">
      <c r="N334" s="10">
        <v>16</v>
      </c>
      <c r="O334" s="50">
        <f t="shared" si="226"/>
        <v>14454.397707459291</v>
      </c>
      <c r="P334" s="48" t="str">
        <f t="shared" si="188"/>
        <v>17.4002386318441</v>
      </c>
      <c r="Q334" s="17" t="str">
        <f t="shared" si="189"/>
        <v>1+7.77800608611513i</v>
      </c>
      <c r="R334" s="17">
        <f t="shared" si="199"/>
        <v>7.8420264393614492</v>
      </c>
      <c r="S334" s="17">
        <f t="shared" si="200"/>
        <v>1.4429301208310275</v>
      </c>
      <c r="T334" s="17" t="str">
        <f t="shared" si="190"/>
        <v>1+0.0272458977898916i</v>
      </c>
      <c r="U334" s="17">
        <f t="shared" si="201"/>
        <v>1.0003711006153553</v>
      </c>
      <c r="V334" s="17">
        <f t="shared" si="202"/>
        <v>2.7239158894144432E-2</v>
      </c>
      <c r="W334" s="31" t="str">
        <f t="shared" si="191"/>
        <v>1-0.0672189042979638i</v>
      </c>
      <c r="X334" s="17">
        <f t="shared" si="203"/>
        <v>1.002256644325703</v>
      </c>
      <c r="Y334" s="17">
        <f t="shared" si="204"/>
        <v>-6.7117937671557229E-2</v>
      </c>
      <c r="Z334" s="31" t="str">
        <f t="shared" si="192"/>
        <v>0.999810494682009+0.0940096613382849i</v>
      </c>
      <c r="AA334" s="17">
        <f t="shared" si="205"/>
        <v>1.0042205144793759</v>
      </c>
      <c r="AB334" s="17">
        <f t="shared" si="206"/>
        <v>9.3751836563018512E-2</v>
      </c>
      <c r="AC334" s="66" t="str">
        <f t="shared" si="207"/>
        <v>-0.0127699825860215-2.21529046766425i</v>
      </c>
      <c r="AD334" s="64">
        <f t="shared" si="208"/>
        <v>6.9087578848860529</v>
      </c>
      <c r="AE334" s="61">
        <f t="shared" si="209"/>
        <v>-90.330276328662649</v>
      </c>
      <c r="AF334" s="31" t="str">
        <f t="shared" si="193"/>
        <v>-9090.90909090909</v>
      </c>
      <c r="AG334" s="31" t="str">
        <f t="shared" si="194"/>
        <v>90819.6592996385i</v>
      </c>
      <c r="AH334" s="31">
        <f t="shared" si="210"/>
        <v>90819.659299638501</v>
      </c>
      <c r="AI334" s="31">
        <f t="shared" si="211"/>
        <v>1.5707963267948966</v>
      </c>
      <c r="AJ334" s="31" t="str">
        <f t="shared" si="195"/>
        <v>-28.8811221622067+31.4460345735219i</v>
      </c>
      <c r="AK334" s="31">
        <f t="shared" si="212"/>
        <v>42.696279788143627</v>
      </c>
      <c r="AL334" s="31">
        <f t="shared" si="213"/>
        <v>2.3137033681457528</v>
      </c>
      <c r="AM334" s="31" t="str">
        <f t="shared" si="196"/>
        <v>1+119.682147025064i</v>
      </c>
      <c r="AN334" s="31">
        <f t="shared" si="214"/>
        <v>119.68632468469001</v>
      </c>
      <c r="AO334" s="31">
        <f t="shared" si="215"/>
        <v>1.5624410561503972</v>
      </c>
      <c r="AP334" s="31" t="str">
        <f t="shared" si="197"/>
        <v>1+19.9803250459205i</v>
      </c>
      <c r="AQ334" s="31">
        <f t="shared" si="216"/>
        <v>20.005334012223791</v>
      </c>
      <c r="AR334" s="31">
        <f t="shared" si="217"/>
        <v>1.5207888181553688</v>
      </c>
      <c r="AS334" s="58" t="str">
        <f t="shared" si="218"/>
        <v>-3.90579278043854+4.03178588815979i</v>
      </c>
      <c r="AT334" s="49">
        <f t="shared" si="219"/>
        <v>14.984554969834377</v>
      </c>
      <c r="AU334" s="61">
        <f t="shared" si="220"/>
        <v>134.0906210264167</v>
      </c>
      <c r="AV334" s="58" t="str">
        <f t="shared" si="198"/>
        <v>8.98145375149443+8.60097967959498i</v>
      </c>
      <c r="AW334" s="64">
        <f t="shared" si="221"/>
        <v>21.893312854720431</v>
      </c>
      <c r="AX334" s="49">
        <f t="shared" si="222"/>
        <v>43.760344697754064</v>
      </c>
      <c r="AY334" s="310"/>
      <c r="BA334" s="31">
        <f t="shared" si="223"/>
        <v>0</v>
      </c>
      <c r="BB334" s="31">
        <f t="shared" si="224"/>
        <v>0</v>
      </c>
    </row>
    <row r="335" spans="14:54" x14ac:dyDescent="0.45">
      <c r="N335" s="10">
        <v>17</v>
      </c>
      <c r="O335" s="50">
        <f t="shared" si="226"/>
        <v>14791.083881682089</v>
      </c>
      <c r="P335" s="48" t="str">
        <f t="shared" si="188"/>
        <v>17.4002386318441</v>
      </c>
      <c r="Q335" s="17" t="str">
        <f t="shared" si="189"/>
        <v>1+7.95917912183867i</v>
      </c>
      <c r="R335" s="17">
        <f t="shared" si="199"/>
        <v>8.0217536919000807</v>
      </c>
      <c r="S335" s="17">
        <f t="shared" si="200"/>
        <v>1.4458101476818797</v>
      </c>
      <c r="T335" s="17" t="str">
        <f t="shared" si="190"/>
        <v>1+0.0278805362767937i</v>
      </c>
      <c r="U335" s="17">
        <f t="shared" si="201"/>
        <v>1.0003885866517479</v>
      </c>
      <c r="V335" s="17">
        <f t="shared" si="202"/>
        <v>2.7873315571382222E-2</v>
      </c>
      <c r="W335" s="31" t="str">
        <f t="shared" si="191"/>
        <v>1-0.068784633716897i</v>
      </c>
      <c r="X335" s="17">
        <f t="shared" si="203"/>
        <v>1.0023628713373056</v>
      </c>
      <c r="Y335" s="17">
        <f t="shared" si="204"/>
        <v>-6.8676459796689932E-2</v>
      </c>
      <c r="Z335" s="31" t="str">
        <f t="shared" si="192"/>
        <v>0.999801563571524+0.0961994276541539i</v>
      </c>
      <c r="AA335" s="17">
        <f t="shared" si="205"/>
        <v>1.0044189844885705</v>
      </c>
      <c r="AB335" s="17">
        <f t="shared" si="206"/>
        <v>9.5923228998288548E-2</v>
      </c>
      <c r="AC335" s="66" t="str">
        <f t="shared" si="207"/>
        <v>-0.0254231856856407-2.16538307555065i</v>
      </c>
      <c r="AD335" s="64">
        <f t="shared" si="208"/>
        <v>6.7112933721629773</v>
      </c>
      <c r="AE335" s="61">
        <f t="shared" si="209"/>
        <v>-90.672663573200524</v>
      </c>
      <c r="AF335" s="31" t="str">
        <f t="shared" si="193"/>
        <v>-9090.90909090909</v>
      </c>
      <c r="AG335" s="31" t="str">
        <f t="shared" si="194"/>
        <v>92935.1209226457i</v>
      </c>
      <c r="AH335" s="31">
        <f t="shared" si="210"/>
        <v>92935.120922645699</v>
      </c>
      <c r="AI335" s="31">
        <f t="shared" si="211"/>
        <v>1.5707963267948966</v>
      </c>
      <c r="AJ335" s="31" t="str">
        <f t="shared" si="195"/>
        <v>-30.289376063843+32.1785068141033i</v>
      </c>
      <c r="AK335" s="31">
        <f t="shared" si="212"/>
        <v>44.191657619082335</v>
      </c>
      <c r="AL335" s="31">
        <f t="shared" si="213"/>
        <v>2.3259620719708454</v>
      </c>
      <c r="AM335" s="31" t="str">
        <f t="shared" si="196"/>
        <v>1+122.469902351862i</v>
      </c>
      <c r="AN335" s="31">
        <f t="shared" si="214"/>
        <v>122.47398491955185</v>
      </c>
      <c r="AO335" s="31">
        <f t="shared" si="215"/>
        <v>1.5626312367784947</v>
      </c>
      <c r="AP335" s="31" t="str">
        <f t="shared" si="197"/>
        <v>1+20.445726602982i</v>
      </c>
      <c r="AQ335" s="31">
        <f t="shared" si="216"/>
        <v>20.470166983292678</v>
      </c>
      <c r="AR335" s="31">
        <f t="shared" si="217"/>
        <v>1.5219252953707563</v>
      </c>
      <c r="AS335" s="58" t="str">
        <f t="shared" si="218"/>
        <v>-3.81749913457659+4.02783347466513i</v>
      </c>
      <c r="AT335" s="49">
        <f t="shared" si="219"/>
        <v>14.885047767429302</v>
      </c>
      <c r="AU335" s="61">
        <f t="shared" si="220"/>
        <v>133.46426093022768</v>
      </c>
      <c r="AV335" s="58" t="str">
        <f t="shared" si="198"/>
        <v>8.81885542652935+8.16394765860415i</v>
      </c>
      <c r="AW335" s="64">
        <f t="shared" si="221"/>
        <v>21.59634113959228</v>
      </c>
      <c r="AX335" s="49">
        <f t="shared" si="222"/>
        <v>42.791597357027165</v>
      </c>
      <c r="AY335" s="310"/>
      <c r="BA335" s="31">
        <f t="shared" si="223"/>
        <v>0</v>
      </c>
      <c r="BB335" s="31">
        <f t="shared" si="224"/>
        <v>0</v>
      </c>
    </row>
    <row r="336" spans="14:54" x14ac:dyDescent="0.45">
      <c r="N336" s="10">
        <v>18</v>
      </c>
      <c r="O336" s="50">
        <f t="shared" si="226"/>
        <v>15135.612484362096</v>
      </c>
      <c r="P336" s="48" t="str">
        <f t="shared" si="188"/>
        <v>17.4002386318441</v>
      </c>
      <c r="Q336" s="17" t="str">
        <f t="shared" si="189"/>
        <v>1+8.1445722196848i</v>
      </c>
      <c r="R336" s="17">
        <f t="shared" si="199"/>
        <v>8.2057331568642535</v>
      </c>
      <c r="S336" s="17">
        <f t="shared" si="200"/>
        <v>1.4486266325530879</v>
      </c>
      <c r="T336" s="17" t="str">
        <f t="shared" si="190"/>
        <v>1+0.0285299573930724i</v>
      </c>
      <c r="U336" s="17">
        <f t="shared" si="201"/>
        <v>1.0004068964520638</v>
      </c>
      <c r="V336" s="17">
        <f t="shared" si="202"/>
        <v>2.8522220437778543E-2</v>
      </c>
      <c r="W336" s="31" t="str">
        <f t="shared" si="191"/>
        <v>1-0.0703868336590991i</v>
      </c>
      <c r="X336" s="17">
        <f t="shared" si="203"/>
        <v>1.0024740926091575</v>
      </c>
      <c r="Y336" s="17">
        <f t="shared" si="204"/>
        <v>-7.0270938659750162E-2</v>
      </c>
      <c r="Z336" s="31" t="str">
        <f t="shared" si="192"/>
        <v>0.999792211550769+0.098440200179915i</v>
      </c>
      <c r="AA336" s="17">
        <f t="shared" si="205"/>
        <v>1.004626766161961</v>
      </c>
      <c r="AB336" s="17">
        <f t="shared" si="206"/>
        <v>9.814432151429614E-2</v>
      </c>
      <c r="AC336" s="66" t="str">
        <f t="shared" si="207"/>
        <v>-0.0375150794940402-2.11648254458536i</v>
      </c>
      <c r="AD336" s="64">
        <f t="shared" si="208"/>
        <v>6.5136580848670897</v>
      </c>
      <c r="AE336" s="61">
        <f t="shared" si="209"/>
        <v>-91.015472895684695</v>
      </c>
      <c r="AF336" s="31" t="str">
        <f t="shared" si="193"/>
        <v>-9090.90909090909</v>
      </c>
      <c r="AG336" s="31" t="str">
        <f t="shared" si="194"/>
        <v>95099.8579769078i</v>
      </c>
      <c r="AH336" s="31">
        <f t="shared" si="210"/>
        <v>95099.857976907806</v>
      </c>
      <c r="AI336" s="31">
        <f t="shared" si="211"/>
        <v>1.5707963267948966</v>
      </c>
      <c r="AJ336" s="31" t="str">
        <f t="shared" si="195"/>
        <v>-31.7639989271505+32.9280405249304i</v>
      </c>
      <c r="AK336" s="31">
        <f t="shared" si="212"/>
        <v>45.751584460600675</v>
      </c>
      <c r="AL336" s="31">
        <f t="shared" si="213"/>
        <v>2.3382028484824766</v>
      </c>
      <c r="AM336" s="31" t="str">
        <f t="shared" si="196"/>
        <v>1+125.322592841969i</v>
      </c>
      <c r="AN336" s="31">
        <f t="shared" si="214"/>
        <v>125.32658248206539</v>
      </c>
      <c r="AO336" s="31">
        <f t="shared" si="215"/>
        <v>1.5628170889377189</v>
      </c>
      <c r="AP336" s="31" t="str">
        <f t="shared" si="197"/>
        <v>1+20.9219687549197i</v>
      </c>
      <c r="AQ336" s="31">
        <f t="shared" si="216"/>
        <v>20.94585344601256</v>
      </c>
      <c r="AR336" s="31">
        <f t="shared" si="217"/>
        <v>1.5230360253025095</v>
      </c>
      <c r="AS336" s="58" t="str">
        <f t="shared" si="218"/>
        <v>-3.72922727379775+4.02195724412276i</v>
      </c>
      <c r="AT336" s="49">
        <f t="shared" si="219"/>
        <v>14.783251300941263</v>
      </c>
      <c r="AU336" s="61">
        <f t="shared" si="220"/>
        <v>132.83720477975365</v>
      </c>
      <c r="AV336" s="58" t="str">
        <f t="shared" si="198"/>
        <v>8.65230455988232+7.74196038404969i</v>
      </c>
      <c r="AW336" s="64">
        <f t="shared" si="221"/>
        <v>21.296909385808348</v>
      </c>
      <c r="AX336" s="49">
        <f t="shared" si="222"/>
        <v>41.82173188406896</v>
      </c>
      <c r="AY336" s="310"/>
      <c r="BA336" s="31">
        <f t="shared" si="223"/>
        <v>0</v>
      </c>
      <c r="BB336" s="31">
        <f t="shared" si="224"/>
        <v>0</v>
      </c>
    </row>
    <row r="337" spans="14:54" x14ac:dyDescent="0.45">
      <c r="N337" s="10">
        <v>19</v>
      </c>
      <c r="O337" s="50">
        <f t="shared" si="226"/>
        <v>15488.166189124853</v>
      </c>
      <c r="P337" s="48" t="str">
        <f t="shared" si="188"/>
        <v>17.4002386318441</v>
      </c>
      <c r="Q337" s="17" t="str">
        <f t="shared" si="189"/>
        <v>1+8.33428367752797i</v>
      </c>
      <c r="R337" s="17">
        <f t="shared" si="199"/>
        <v>8.3940624501792431</v>
      </c>
      <c r="S337" s="17">
        <f t="shared" si="200"/>
        <v>1.4513808899505318</v>
      </c>
      <c r="T337" s="17" t="str">
        <f t="shared" si="190"/>
        <v>1+0.0291945054703995i</v>
      </c>
      <c r="U337" s="17">
        <f t="shared" si="201"/>
        <v>1.0004260688075162</v>
      </c>
      <c r="V337" s="17">
        <f t="shared" si="202"/>
        <v>2.9186215364117418E-2</v>
      </c>
      <c r="W337" s="31" t="str">
        <f t="shared" si="191"/>
        <v>1-0.0720263536321874i</v>
      </c>
      <c r="X337" s="17">
        <f t="shared" si="203"/>
        <v>1.0025905423539307</v>
      </c>
      <c r="Y337" s="17">
        <f t="shared" si="204"/>
        <v>-7.1902187226367806E-2</v>
      </c>
      <c r="Z337" s="31" t="str">
        <f t="shared" si="192"/>
        <v>0.999782418782855+0.100733167002822i</v>
      </c>
      <c r="AA337" s="17">
        <f t="shared" si="205"/>
        <v>1.0048442943270934</v>
      </c>
      <c r="AB337" s="17">
        <f t="shared" si="206"/>
        <v>0.10041620974848395</v>
      </c>
      <c r="AC337" s="66" t="str">
        <f t="shared" si="207"/>
        <v>-0.0490689998565467-2.06857221846126i</v>
      </c>
      <c r="AD337" s="64">
        <f t="shared" si="208"/>
        <v>6.3158568196088058</v>
      </c>
      <c r="AE337" s="61">
        <f t="shared" si="209"/>
        <v>-91.358869378901971</v>
      </c>
      <c r="AF337" s="31" t="str">
        <f t="shared" si="193"/>
        <v>-9090.90909090909</v>
      </c>
      <c r="AG337" s="31" t="str">
        <f t="shared" si="194"/>
        <v>97315.0182346649i</v>
      </c>
      <c r="AH337" s="31">
        <f t="shared" si="210"/>
        <v>97315.018234664894</v>
      </c>
      <c r="AI337" s="31">
        <f t="shared" si="211"/>
        <v>1.5707963267948966</v>
      </c>
      <c r="AJ337" s="31" t="str">
        <f t="shared" si="195"/>
        <v>-33.3081186249284+33.695033118698i</v>
      </c>
      <c r="AK337" s="31">
        <f t="shared" si="212"/>
        <v>47.379172884321825</v>
      </c>
      <c r="AL337" s="31">
        <f t="shared" si="213"/>
        <v>2.3504199828274643</v>
      </c>
      <c r="AM337" s="31" t="str">
        <f t="shared" si="196"/>
        <v>1+128.241731029641i</v>
      </c>
      <c r="AN337" s="31">
        <f t="shared" si="214"/>
        <v>128.24562985723443</v>
      </c>
      <c r="AO337" s="31">
        <f t="shared" si="215"/>
        <v>1.5629987111179584</v>
      </c>
      <c r="AP337" s="31" t="str">
        <f t="shared" si="197"/>
        <v>1+21.4093040116263i</v>
      </c>
      <c r="AQ337" s="31">
        <f t="shared" si="216"/>
        <v>21.432645619760478</v>
      </c>
      <c r="AR337" s="31">
        <f t="shared" si="217"/>
        <v>1.5241215859054631</v>
      </c>
      <c r="AS337" s="58" t="str">
        <f t="shared" si="218"/>
        <v>-3.64107022479094+4.01415836252657i</v>
      </c>
      <c r="AT337" s="49">
        <f t="shared" si="219"/>
        <v>14.679166593398962</v>
      </c>
      <c r="AU337" s="61">
        <f t="shared" si="220"/>
        <v>132.20981876939004</v>
      </c>
      <c r="AV337" s="58" t="str">
        <f t="shared" si="198"/>
        <v>8.48224014356435+7.33484597635406i</v>
      </c>
      <c r="AW337" s="64">
        <f t="shared" si="221"/>
        <v>20.995023413007768</v>
      </c>
      <c r="AX337" s="49">
        <f t="shared" si="222"/>
        <v>40.850949390488054</v>
      </c>
      <c r="AY337" s="310"/>
      <c r="BA337" s="31">
        <f t="shared" si="223"/>
        <v>0</v>
      </c>
      <c r="BB337" s="31">
        <f t="shared" si="224"/>
        <v>0</v>
      </c>
    </row>
    <row r="338" spans="14:54" x14ac:dyDescent="0.45">
      <c r="N338" s="10">
        <v>20</v>
      </c>
      <c r="O338" s="50">
        <f t="shared" si="226"/>
        <v>15848.931924611146</v>
      </c>
      <c r="P338" s="48" t="str">
        <f t="shared" si="188"/>
        <v>17.4002386318441</v>
      </c>
      <c r="Q338" s="17" t="str">
        <f t="shared" si="189"/>
        <v>1+8.52841408289423i</v>
      </c>
      <c r="R338" s="17">
        <f t="shared" si="199"/>
        <v>8.586841489704387</v>
      </c>
      <c r="S338" s="17">
        <f t="shared" si="200"/>
        <v>1.4540742129793438</v>
      </c>
      <c r="T338" s="17" t="str">
        <f t="shared" si="190"/>
        <v>1+0.0298745328609619i</v>
      </c>
      <c r="U338" s="17">
        <f t="shared" si="201"/>
        <v>1.0004461443344468</v>
      </c>
      <c r="V338" s="17">
        <f t="shared" si="202"/>
        <v>2.9865650065971597E-2</v>
      </c>
      <c r="W338" s="31" t="str">
        <f t="shared" si="191"/>
        <v>1-0.0737040629313526i</v>
      </c>
      <c r="X338" s="17">
        <f t="shared" si="203"/>
        <v>1.0027124657111772</v>
      </c>
      <c r="Y338" s="17">
        <f t="shared" si="204"/>
        <v>-7.357103566098426E-2</v>
      </c>
      <c r="Z338" s="31" t="str">
        <f t="shared" si="192"/>
        <v>0.999772164496008+0.103079543884234i</v>
      </c>
      <c r="AA338" s="17">
        <f t="shared" si="205"/>
        <v>1.0050720239208804</v>
      </c>
      <c r="AB338" s="17">
        <f t="shared" si="206"/>
        <v>0.10274001051675459</v>
      </c>
      <c r="AC338" s="66" t="str">
        <f t="shared" si="207"/>
        <v>-0.0601073413794354-2.02163538523942i</v>
      </c>
      <c r="AD338" s="64">
        <f t="shared" si="208"/>
        <v>6.1178940528810504</v>
      </c>
      <c r="AE338" s="61">
        <f t="shared" si="209"/>
        <v>-91.703018628848994</v>
      </c>
      <c r="AF338" s="31" t="str">
        <f t="shared" si="193"/>
        <v>-9090.90909090909</v>
      </c>
      <c r="AG338" s="31" t="str">
        <f t="shared" si="194"/>
        <v>99581.7762032062i</v>
      </c>
      <c r="AH338" s="31">
        <f t="shared" si="210"/>
        <v>99581.776203206202</v>
      </c>
      <c r="AI338" s="31">
        <f t="shared" si="211"/>
        <v>1.5707963267948966</v>
      </c>
      <c r="AJ338" s="31" t="str">
        <f t="shared" si="195"/>
        <v>-34.9250104420792+34.4798912650315i</v>
      </c>
      <c r="AK338" s="31">
        <f t="shared" si="212"/>
        <v>49.077685927799571</v>
      </c>
      <c r="AL338" s="31">
        <f t="shared" si="213"/>
        <v>2.3626077702845993</v>
      </c>
      <c r="AM338" s="31" t="str">
        <f t="shared" si="196"/>
        <v>1+131.228864680585i</v>
      </c>
      <c r="AN338" s="31">
        <f t="shared" si="214"/>
        <v>131.23267476263405</v>
      </c>
      <c r="AO338" s="31">
        <f t="shared" si="215"/>
        <v>1.5631761995697413</v>
      </c>
      <c r="AP338" s="31" t="str">
        <f t="shared" si="197"/>
        <v>1+21.9079907647053i</v>
      </c>
      <c r="AQ338" s="31">
        <f t="shared" si="216"/>
        <v>21.930801612034447</v>
      </c>
      <c r="AR338" s="31">
        <f t="shared" si="217"/>
        <v>1.5251825425182384</v>
      </c>
      <c r="AS338" s="58" t="str">
        <f t="shared" si="218"/>
        <v>-3.55312057007044+4.00444340007841i</v>
      </c>
      <c r="AT338" s="49">
        <f t="shared" si="219"/>
        <v>14.572797126801774</v>
      </c>
      <c r="AU338" s="61">
        <f t="shared" si="220"/>
        <v>131.58246766185167</v>
      </c>
      <c r="AV338" s="58" t="str">
        <f t="shared" si="198"/>
        <v>8.30909310685449+6.94241782599332i</v>
      </c>
      <c r="AW338" s="64">
        <f t="shared" si="221"/>
        <v>20.690691179682826</v>
      </c>
      <c r="AX338" s="49">
        <f t="shared" si="222"/>
        <v>39.879449033002651</v>
      </c>
      <c r="AY338" s="310"/>
      <c r="BA338" s="31">
        <f t="shared" si="223"/>
        <v>0</v>
      </c>
      <c r="BB338" s="31">
        <f t="shared" si="224"/>
        <v>0</v>
      </c>
    </row>
    <row r="339" spans="14:54" x14ac:dyDescent="0.45">
      <c r="N339" s="10">
        <v>21</v>
      </c>
      <c r="O339" s="50">
        <f t="shared" si="226"/>
        <v>16218.100973589309</v>
      </c>
      <c r="P339" s="48" t="str">
        <f t="shared" ref="P339:P402" si="227">COMPLEX(Adc,0)</f>
        <v>17.4002386318441</v>
      </c>
      <c r="Q339" s="17" t="str">
        <f t="shared" ref="Q339:Q402" si="228">IMSUM(COMPLEX(1,0),IMDIV(COMPLEX(0,2*PI()*O339),COMPLEX(wp_lf,0)))</f>
        <v>1+8.72706636629414i</v>
      </c>
      <c r="R339" s="17">
        <f t="shared" si="199"/>
        <v>8.7841725484932507</v>
      </c>
      <c r="S339" s="17">
        <f t="shared" si="200"/>
        <v>1.4567078732922407</v>
      </c>
      <c r="T339" s="17" t="str">
        <f t="shared" ref="T339:T402" si="229">IMSUM(COMPLEX(1,0),IMDIV(COMPLEX(0,2*PI()*O339),COMPLEX(wz_esr,0)))</f>
        <v>1+0.0305704001242833i</v>
      </c>
      <c r="U339" s="17">
        <f t="shared" si="201"/>
        <v>1.000467165560049</v>
      </c>
      <c r="V339" s="17">
        <f t="shared" si="202"/>
        <v>3.0560882277989875E-2</v>
      </c>
      <c r="W339" s="31" t="str">
        <f t="shared" ref="W339:W402" si="230">IMSUB(COMPLEX(1,0),IMDIV(COMPLEX(0,2*PI()*O339),COMPLEX(wz_rhp,0)))</f>
        <v>1-0.0754208511002727i</v>
      </c>
      <c r="X339" s="17">
        <f t="shared" si="203"/>
        <v>1.0028401192516629</v>
      </c>
      <c r="Y339" s="17">
        <f t="shared" si="204"/>
        <v>-7.5278331605607804E-2</v>
      </c>
      <c r="Z339" s="31" t="str">
        <f t="shared" ref="Z339:Z402" si="231">IMSUM(COMPLEX(1,0),IMDIV(COMPLEX(0,2*PI()*O339),COMPLEX(Q*(wsl/2),0)),IMDIV(IMPOWER(COMPLEX(0,2*PI()*O339),2),IMPOWER(COMPLEX(wsl/2,0),2)))</f>
        <v>0.999761426939511+0.105480574904233i</v>
      </c>
      <c r="AA339" s="17">
        <f t="shared" si="205"/>
        <v>1.0053104309009504</v>
      </c>
      <c r="AB339" s="17">
        <f t="shared" si="206"/>
        <v>0.1051168620074934</v>
      </c>
      <c r="AC339" s="66" t="str">
        <f t="shared" si="207"/>
        <v>-0.0706515882855828-1.97565530470202i</v>
      </c>
      <c r="AD339" s="64">
        <f t="shared" si="208"/>
        <v>5.9197739490470944</v>
      </c>
      <c r="AE339" s="61">
        <f t="shared" si="209"/>
        <v>-92.048086788874357</v>
      </c>
      <c r="AF339" s="31" t="str">
        <f t="shared" ref="AF339:AF402" si="232">IF(FB_type=1,COMPLEX(Adc_ea_iso,0),COMPLEX(Adc_ea,0))</f>
        <v>-9090.90909090909</v>
      </c>
      <c r="AG339" s="31" t="str">
        <f t="shared" ref="AG339:AG402" si="233">IF(FB_type=1,COMPLEX(0,2*PI()*O339),COMPLEX(0,2*PI()*O339*wp0_ea))</f>
        <v>101901.333747611i</v>
      </c>
      <c r="AH339" s="31">
        <f t="shared" si="210"/>
        <v>101901.333747611</v>
      </c>
      <c r="AI339" s="31">
        <f t="shared" si="211"/>
        <v>1.5707963267948966</v>
      </c>
      <c r="AJ339" s="31" t="str">
        <f t="shared" ref="AJ339:AJ402" si="234">IF(FB_type=1,IMSUM(IMPRODUCT(COMPLEX(wpA_ea_iso,0),IMPOWER(COMPLEX(0,2*PI()*O339),2)),COMPLEX(0,wpB_ea_iso*2*PI()*O339),COMPLEX(1,0)),IMSUM(COMPLEX(1,0),IMDIV(COMPLEX(0,2*PI()*O339),COMPLEX(wp1_ea,0))))</f>
        <v>-36.6181040229276+35.2830311061092i</v>
      </c>
      <c r="AK339" s="31">
        <f t="shared" si="212"/>
        <v>50.850544011530644</v>
      </c>
      <c r="AL339" s="31">
        <f t="shared" si="213"/>
        <v>2.3747605324661207</v>
      </c>
      <c r="AM339" s="31" t="str">
        <f t="shared" ref="AM339:AM402" si="235">IMSUM(COMPLEX(1,0),IMDIV(COMPLEX(0,2*PI()*O339),COMPLEX(wz1_ea_iso,0)))</f>
        <v>1+134.285577612602i</v>
      </c>
      <c r="AN339" s="31">
        <f t="shared" si="214"/>
        <v>134.28930096902786</v>
      </c>
      <c r="AO339" s="31">
        <f t="shared" si="215"/>
        <v>1.563349648355038</v>
      </c>
      <c r="AP339" s="31" t="str">
        <f t="shared" ref="AP339:AP402" si="236">IF(FB_type=1,IMSUM(COMPLEX(1,0),IMDIV(COMPLEX(0,2*PI()*O339),COMPLEX(wz2_ea_iso,0))),1)</f>
        <v>1+22.4182934244744i</v>
      </c>
      <c r="AQ339" s="31">
        <f t="shared" si="216"/>
        <v>22.440585555324358</v>
      </c>
      <c r="AR339" s="31">
        <f t="shared" si="217"/>
        <v>1.5262194481146925</v>
      </c>
      <c r="AS339" s="58" t="str">
        <f t="shared" si="218"/>
        <v>-3.46547005653035+3.99282427279827i</v>
      </c>
      <c r="AT339" s="49">
        <f t="shared" si="219"/>
        <v>14.464148823895295</v>
      </c>
      <c r="AU339" s="61">
        <f t="shared" si="220"/>
        <v>130.9555138772138</v>
      </c>
      <c r="AV339" s="58" t="str">
        <f t="shared" ref="AV339:AV402" si="237">IMPRODUCT(AC339,AS339)</f>
        <v>8.13328541894689+6.56447492385177i</v>
      </c>
      <c r="AW339" s="64">
        <f t="shared" si="221"/>
        <v>20.383922772942395</v>
      </c>
      <c r="AX339" s="49">
        <f t="shared" si="222"/>
        <v>38.907427088339425</v>
      </c>
      <c r="AY339" s="310"/>
      <c r="BA339" s="31">
        <f t="shared" si="223"/>
        <v>0</v>
      </c>
      <c r="BB339" s="31">
        <f t="shared" si="224"/>
        <v>0</v>
      </c>
    </row>
    <row r="340" spans="14:54" x14ac:dyDescent="0.45">
      <c r="N340" s="10">
        <v>22</v>
      </c>
      <c r="O340" s="50">
        <f t="shared" si="226"/>
        <v>16595.869074375616</v>
      </c>
      <c r="P340" s="48" t="str">
        <f t="shared" si="227"/>
        <v>17.4002386318441</v>
      </c>
      <c r="Q340" s="17" t="str">
        <f t="shared" si="228"/>
        <v>1+8.93034585579788i</v>
      </c>
      <c r="R340" s="17">
        <f t="shared" ref="R340:R403" si="238">IMABS(Q340)</f>
        <v>8.9861603092848483</v>
      </c>
      <c r="S340" s="17">
        <f t="shared" ref="S340:S403" si="239">IMARGUMENT(Q340)</f>
        <v>1.459283121071842</v>
      </c>
      <c r="T340" s="17" t="str">
        <f t="shared" si="229"/>
        <v>1+0.0312824762183979i</v>
      </c>
      <c r="U340" s="17">
        <f t="shared" ref="U340:U403" si="240">IMABS(T340)</f>
        <v>1.0004891770121027</v>
      </c>
      <c r="V340" s="17">
        <f t="shared" ref="V340:V403" si="241">IMARGUMENT(T340)</f>
        <v>3.1272277931644069E-2</v>
      </c>
      <c r="W340" s="31" t="str">
        <f t="shared" si="230"/>
        <v>1-0.0771776284027595i</v>
      </c>
      <c r="X340" s="17">
        <f t="shared" ref="X340:X403" si="242">IMABS(W340)</f>
        <v>1.0029737715044569</v>
      </c>
      <c r="Y340" s="17">
        <f t="shared" ref="Y340:Y403" si="243">IMARGUMENT(W340)</f>
        <v>-7.7024940456634175E-2</v>
      </c>
      <c r="Z340" s="31" t="str">
        <f t="shared" si="231"/>
        <v>0.999750183337566+0.107937533121247i</v>
      </c>
      <c r="AA340" s="17">
        <f t="shared" ref="AA340:AA403" si="244">IMABS(Z340)</f>
        <v>1.0055600131965259</v>
      </c>
      <c r="AB340" s="17">
        <f t="shared" ref="AB340:AB403" si="245">IMARGUMENT(Z340)</f>
        <v>0.10754792396003701</v>
      </c>
      <c r="AC340" s="66" t="str">
        <f t="shared" ref="AC340:AC403" si="246">(IMDIV(IMPRODUCT(P340,T340,W340),IMPRODUCT(Q340,Z340)))</f>
        <v>-0.0807223447311061-1.93061523363733i</v>
      </c>
      <c r="AD340" s="64">
        <f t="shared" ref="AD340:AD403" si="247">20*LOG(IMABS(AC340))</f>
        <v>5.7215003679083809</v>
      </c>
      <c r="AE340" s="61">
        <f t="shared" ref="AE340:AE403" si="248">(180/PI())*IMARGUMENT(AC340)</f>
        <v>-92.394240554567205</v>
      </c>
      <c r="AF340" s="31" t="str">
        <f t="shared" si="232"/>
        <v>-9090.90909090909</v>
      </c>
      <c r="AG340" s="31" t="str">
        <f t="shared" si="233"/>
        <v>104274.920727993i</v>
      </c>
      <c r="AH340" s="31">
        <f t="shared" ref="AH340:AH403" si="249">IMABS(AG340)</f>
        <v>104274.920727993</v>
      </c>
      <c r="AI340" s="31">
        <f t="shared" ref="AI340:AI403" si="250">IMARGUMENT(AG340)</f>
        <v>1.5707963267948966</v>
      </c>
      <c r="AJ340" s="31" t="str">
        <f t="shared" si="234"/>
        <v>-38.3909906459561+36.1048784773054i</v>
      </c>
      <c r="AK340" s="31">
        <f t="shared" ref="AK340:AK403" si="251">IMABS(AJ340)</f>
        <v>52.701332171387087</v>
      </c>
      <c r="AL340" s="31">
        <f t="shared" ref="AL340:AL403" si="252">IMARGUMENT(AJ340)</f>
        <v>2.3868726332924362</v>
      </c>
      <c r="AM340" s="31" t="str">
        <f t="shared" si="235"/>
        <v>1+137.413490535349i</v>
      </c>
      <c r="AN340" s="31">
        <f t="shared" ref="AN340:AN403" si="253">IMABS(AM340)</f>
        <v>137.41712914010557</v>
      </c>
      <c r="AO340" s="31">
        <f t="shared" ref="AO340:AO403" si="254">IMARGUMENT(AM340)</f>
        <v>1.5635191493969214</v>
      </c>
      <c r="AP340" s="31" t="str">
        <f t="shared" si="236"/>
        <v>1+22.9404825601584i</v>
      </c>
      <c r="AQ340" s="31">
        <f t="shared" ref="AQ340:AQ403" si="255">IMABS(AP340)</f>
        <v>22.962267747174533</v>
      </c>
      <c r="AR340" s="31">
        <f t="shared" ref="AR340:AR403" si="256">IMARGUMENT(AP340)</f>
        <v>1.5272328435519968</v>
      </c>
      <c r="AS340" s="58" t="str">
        <f t="shared" ref="AS340:AS403" si="257">IMDIV(IMPRODUCT(AF340,AM340,AP340),IMPRODUCT(AG340,AJ340))</f>
        <v>-3.37820921162057+3.97931815041884i</v>
      </c>
      <c r="AT340" s="49">
        <f t="shared" ref="AT340:AT403" si="258">20*LOG(IMABS(AS340))</f>
        <v>14.353230019879105</v>
      </c>
      <c r="AU340" s="61">
        <f t="shared" ref="AU340:AU403" si="259">(180/PI())*IMARGUMENT(AS340)</f>
        <v>130.32931659468738</v>
      </c>
      <c r="AV340" s="58" t="str">
        <f t="shared" si="237"/>
        <v>7.95522920924237+6.20080227483577i</v>
      </c>
      <c r="AW340" s="64">
        <f t="shared" ref="AW340:AW403" si="260">20*LOG(IMABS(AV340))</f>
        <v>20.074730387787486</v>
      </c>
      <c r="AX340" s="49">
        <f t="shared" ref="AX340:AX403" si="261">(180/PI())*IMARGUMENT(AV340)</f>
        <v>37.935076040120194</v>
      </c>
      <c r="AY340" s="310"/>
      <c r="BA340" s="31">
        <f t="shared" ref="BA340:BA403" si="262">SUM((AW341&lt;0)*(AW340&gt;0))*O340</f>
        <v>0</v>
      </c>
      <c r="BB340" s="31">
        <f t="shared" ref="BB340:BB403" si="263">IF(BA340&gt;0,AX340,0)</f>
        <v>0</v>
      </c>
    </row>
    <row r="341" spans="14:54" x14ac:dyDescent="0.45">
      <c r="N341" s="10">
        <v>23</v>
      </c>
      <c r="O341" s="50">
        <f t="shared" si="226"/>
        <v>16982.436524617482</v>
      </c>
      <c r="P341" s="48" t="str">
        <f t="shared" si="227"/>
        <v>17.4002386318441</v>
      </c>
      <c r="Q341" s="17" t="str">
        <f t="shared" si="228"/>
        <v>1+9.1383603328815i</v>
      </c>
      <c r="R341" s="17">
        <f t="shared" si="238"/>
        <v>9.1929119202558489</v>
      </c>
      <c r="S341" s="17">
        <f t="shared" si="239"/>
        <v>1.4618011850443389</v>
      </c>
      <c r="T341" s="17" t="str">
        <f t="shared" si="229"/>
        <v>1+0.0320111386954761i</v>
      </c>
      <c r="U341" s="17">
        <f t="shared" si="240"/>
        <v>1.0005122253129048</v>
      </c>
      <c r="V341" s="17">
        <f t="shared" si="241"/>
        <v>3.2000211336472267E-2</v>
      </c>
      <c r="W341" s="31" t="str">
        <f t="shared" si="230"/>
        <v>1-0.0789753263053923i</v>
      </c>
      <c r="X341" s="17">
        <f t="shared" si="242"/>
        <v>1.0031137035077544</v>
      </c>
      <c r="Y341" s="17">
        <f t="shared" si="243"/>
        <v>-7.8811745639123756E-2</v>
      </c>
      <c r="Z341" s="31" t="str">
        <f t="shared" si="231"/>
        <v>0.999738409840986+0.110451721247045i</v>
      </c>
      <c r="AA341" s="17">
        <f t="shared" si="244"/>
        <v>1.0058212917003788</v>
      </c>
      <c r="AB341" s="17">
        <f t="shared" si="245"/>
        <v>0.11003437782596495</v>
      </c>
      <c r="AC341" s="66" t="str">
        <f t="shared" si="246"/>
        <v>-0.0903393645380041-1.8864984491759i</v>
      </c>
      <c r="AD341" s="64">
        <f t="shared" si="247"/>
        <v>5.5230768718572154</v>
      </c>
      <c r="AE341" s="61">
        <f t="shared" si="248"/>
        <v>-92.741647189112371</v>
      </c>
      <c r="AF341" s="31" t="str">
        <f t="shared" si="232"/>
        <v>-9090.90909090909</v>
      </c>
      <c r="AG341" s="31" t="str">
        <f t="shared" si="233"/>
        <v>106703.795651587i</v>
      </c>
      <c r="AH341" s="31">
        <f t="shared" si="249"/>
        <v>106703.795651587</v>
      </c>
      <c r="AI341" s="31">
        <f t="shared" si="250"/>
        <v>1.5707963267948966</v>
      </c>
      <c r="AJ341" s="31" t="str">
        <f t="shared" si="234"/>
        <v>-40.247430841387+36.9458691329749i</v>
      </c>
      <c r="AK341" s="31">
        <f t="shared" si="251"/>
        <v>54.63380762241578</v>
      </c>
      <c r="AL341" s="31">
        <f t="shared" si="252"/>
        <v>2.3989384946401455</v>
      </c>
      <c r="AM341" s="31" t="str">
        <f t="shared" si="235"/>
        <v>1+140.614261909661i</v>
      </c>
      <c r="AN341" s="31">
        <f t="shared" si="253"/>
        <v>140.6178176917802</v>
      </c>
      <c r="AO341" s="31">
        <f t="shared" si="254"/>
        <v>1.5636847925281065</v>
      </c>
      <c r="AP341" s="31" t="str">
        <f t="shared" si="236"/>
        <v>1+23.4748350433491i</v>
      </c>
      <c r="AQ341" s="31">
        <f t="shared" si="255"/>
        <v>23.496124793515442</v>
      </c>
      <c r="AR341" s="31">
        <f t="shared" si="256"/>
        <v>1.5282232578152697</v>
      </c>
      <c r="AS341" s="58" t="str">
        <f t="shared" si="257"/>
        <v>-3.29142697050908+3.96394733164713i</v>
      </c>
      <c r="AT341" s="49">
        <f t="shared" si="258"/>
        <v>14.240051424287067</v>
      </c>
      <c r="AU341" s="61">
        <f t="shared" si="259"/>
        <v>129.70423087285096</v>
      </c>
      <c r="AV341" s="58" t="str">
        <f t="shared" si="237"/>
        <v>7.7753259147063+5.85117139243799i</v>
      </c>
      <c r="AW341" s="64">
        <f t="shared" si="260"/>
        <v>19.763128296144284</v>
      </c>
      <c r="AX341" s="49">
        <f t="shared" si="261"/>
        <v>36.962583683738558</v>
      </c>
      <c r="AY341" s="310"/>
      <c r="BA341" s="31">
        <f t="shared" si="262"/>
        <v>0</v>
      </c>
      <c r="BB341" s="31">
        <f t="shared" si="263"/>
        <v>0</v>
      </c>
    </row>
    <row r="342" spans="14:54" x14ac:dyDescent="0.45">
      <c r="N342" s="10">
        <v>24</v>
      </c>
      <c r="O342" s="50">
        <f t="shared" si="226"/>
        <v>17378.008287493791</v>
      </c>
      <c r="P342" s="48" t="str">
        <f t="shared" si="227"/>
        <v>17.4002386318441</v>
      </c>
      <c r="Q342" s="17" t="str">
        <f t="shared" si="228"/>
        <v>1+9.35122008957401i</v>
      </c>
      <c r="R342" s="17">
        <f t="shared" si="238"/>
        <v>9.4045370520644216</v>
      </c>
      <c r="S342" s="17">
        <f t="shared" si="239"/>
        <v>1.464263272522029</v>
      </c>
      <c r="T342" s="17" t="str">
        <f t="shared" si="229"/>
        <v>1+0.0327567739020078i</v>
      </c>
      <c r="U342" s="17">
        <f t="shared" si="240"/>
        <v>1.0005363592775962</v>
      </c>
      <c r="V342" s="17">
        <f t="shared" si="241"/>
        <v>3.2745065364856156E-2</v>
      </c>
      <c r="W342" s="31" t="str">
        <f t="shared" si="230"/>
        <v>1-0.0808148979713934i</v>
      </c>
      <c r="X342" s="17">
        <f t="shared" si="242"/>
        <v>1.003260209384448</v>
      </c>
      <c r="Y342" s="17">
        <f t="shared" si="243"/>
        <v>-8.0639648877870965E-2</v>
      </c>
      <c r="Z342" s="31" t="str">
        <f t="shared" si="231"/>
        <v>0.999726081476608+0.113024472337448i</v>
      </c>
      <c r="AA342" s="17">
        <f t="shared" si="244"/>
        <v>1.0060948113034536</v>
      </c>
      <c r="AB342" s="17">
        <f t="shared" si="245"/>
        <v>0.11257742691145027</v>
      </c>
      <c r="AC342" s="66" t="str">
        <f t="shared" si="246"/>
        <v>-0.0995215803048516-1.843288270293i</v>
      </c>
      <c r="AD342" s="64">
        <f t="shared" si="247"/>
        <v>5.324506732622325</v>
      </c>
      <c r="AE342" s="61">
        <f t="shared" si="248"/>
        <v>-93.090474538827749</v>
      </c>
      <c r="AF342" s="31" t="str">
        <f t="shared" si="232"/>
        <v>-9090.90909090909</v>
      </c>
      <c r="AG342" s="31" t="str">
        <f t="shared" si="233"/>
        <v>109189.246340026i</v>
      </c>
      <c r="AH342" s="31">
        <f t="shared" si="249"/>
        <v>109189.246340026</v>
      </c>
      <c r="AI342" s="31">
        <f t="shared" si="250"/>
        <v>1.5707963267948966</v>
      </c>
      <c r="AJ342" s="31" t="str">
        <f t="shared" si="234"/>
        <v>-42.1913623677712+37.806448977495i</v>
      </c>
      <c r="AK342" s="31">
        <f t="shared" si="251"/>
        <v>56.651907670761737</v>
      </c>
      <c r="AL342" s="31">
        <f t="shared" si="252"/>
        <v>2.4109526115674007</v>
      </c>
      <c r="AM342" s="31" t="str">
        <f t="shared" si="235"/>
        <v>1+143.889588826886i</v>
      </c>
      <c r="AN342" s="31">
        <f t="shared" si="253"/>
        <v>143.89306367149987</v>
      </c>
      <c r="AO342" s="31">
        <f t="shared" si="254"/>
        <v>1.563846665538394</v>
      </c>
      <c r="AP342" s="31" t="str">
        <f t="shared" si="236"/>
        <v>1+24.0216341948057i</v>
      </c>
      <c r="AQ342" s="31">
        <f t="shared" si="255"/>
        <v>24.042439755338027</v>
      </c>
      <c r="AR342" s="31">
        <f t="shared" si="256"/>
        <v>1.5291912082586949</v>
      </c>
      <c r="AS342" s="58" t="str">
        <f t="shared" si="257"/>
        <v>-3.20521031742806+3.9467390882531i</v>
      </c>
      <c r="AT342" s="49">
        <f t="shared" si="258"/>
        <v>14.124626073365945</v>
      </c>
      <c r="AU342" s="61">
        <f t="shared" si="259"/>
        <v>129.08060679383519</v>
      </c>
      <c r="AV342" s="58" t="str">
        <f t="shared" si="237"/>
        <v>7.59396546328368+5.51534087082337i</v>
      </c>
      <c r="AW342" s="64">
        <f t="shared" si="260"/>
        <v>19.449132805988263</v>
      </c>
      <c r="AX342" s="49">
        <f t="shared" si="261"/>
        <v>35.990132255007474</v>
      </c>
      <c r="AY342" s="310"/>
      <c r="BA342" s="31">
        <f t="shared" si="262"/>
        <v>0</v>
      </c>
      <c r="BB342" s="31">
        <f t="shared" si="263"/>
        <v>0</v>
      </c>
    </row>
    <row r="343" spans="14:54" x14ac:dyDescent="0.45">
      <c r="N343" s="10">
        <v>25</v>
      </c>
      <c r="O343" s="50">
        <f t="shared" si="226"/>
        <v>17782.794100389234</v>
      </c>
      <c r="P343" s="48" t="str">
        <f t="shared" si="227"/>
        <v>17.4002386318441</v>
      </c>
      <c r="Q343" s="17" t="str">
        <f t="shared" si="228"/>
        <v>1+9.56903798693604i</v>
      </c>
      <c r="R343" s="17">
        <f t="shared" si="238"/>
        <v>9.6211479562173317</v>
      </c>
      <c r="S343" s="17">
        <f t="shared" si="239"/>
        <v>1.4666705694723843</v>
      </c>
      <c r="T343" s="17" t="str">
        <f t="shared" si="229"/>
        <v>1+0.0335197771836495i</v>
      </c>
      <c r="U343" s="17">
        <f t="shared" si="240"/>
        <v>1.0005616300170828</v>
      </c>
      <c r="V343" s="17">
        <f t="shared" si="241"/>
        <v>3.3507231640366175E-2</v>
      </c>
      <c r="W343" s="31" t="str">
        <f t="shared" si="230"/>
        <v>1-0.0826973187660106i</v>
      </c>
      <c r="X343" s="17">
        <f t="shared" si="242"/>
        <v>1.0034135969434972</v>
      </c>
      <c r="Y343" s="17">
        <f t="shared" si="243"/>
        <v>-8.2509570464551249E-2</v>
      </c>
      <c r="Z343" s="31" t="str">
        <f t="shared" si="231"/>
        <v>0.999713172094316+0.115657150499139i</v>
      </c>
      <c r="AA343" s="17">
        <f t="shared" si="244"/>
        <v>1.0063811419737851</v>
      </c>
      <c r="AB343" s="17">
        <f t="shared" si="245"/>
        <v>0.1151782964988196</v>
      </c>
      <c r="AC343" s="66" t="str">
        <f t="shared" si="246"/>
        <v>-0.108287131864197-1.80096807758752i</v>
      </c>
      <c r="AD343" s="64">
        <f t="shared" si="247"/>
        <v>5.1257929376154179</v>
      </c>
      <c r="AE343" s="61">
        <f t="shared" si="248"/>
        <v>-93.440891048601273</v>
      </c>
      <c r="AF343" s="31" t="str">
        <f t="shared" si="232"/>
        <v>-9090.90909090909</v>
      </c>
      <c r="AG343" s="31" t="str">
        <f t="shared" si="233"/>
        <v>111732.590612165i</v>
      </c>
      <c r="AH343" s="31">
        <f t="shared" si="249"/>
        <v>111732.590612165</v>
      </c>
      <c r="AI343" s="31">
        <f t="shared" si="250"/>
        <v>1.5707963267948966</v>
      </c>
      <c r="AJ343" s="31" t="str">
        <f t="shared" si="234"/>
        <v>-44.2269085645041+38.6870743016905i</v>
      </c>
      <c r="AK343" s="31">
        <f t="shared" si="251"/>
        <v>58.759757991311773</v>
      </c>
      <c r="AL343" s="31">
        <f t="shared" si="252"/>
        <v>2.4229095670254397</v>
      </c>
      <c r="AM343" s="31" t="str">
        <f t="shared" si="235"/>
        <v>1+147.241207908711i</v>
      </c>
      <c r="AN343" s="31">
        <f t="shared" si="253"/>
        <v>147.2446036580501</v>
      </c>
      <c r="AO343" s="31">
        <f t="shared" si="254"/>
        <v>1.564004854221045</v>
      </c>
      <c r="AP343" s="31" t="str">
        <f t="shared" si="236"/>
        <v>1+24.5811699346763i</v>
      </c>
      <c r="AQ343" s="31">
        <f t="shared" si="255"/>
        <v>24.60150229879131</v>
      </c>
      <c r="AR343" s="31">
        <f t="shared" si="256"/>
        <v>1.5301372008430767</v>
      </c>
      <c r="AS343" s="58" t="str">
        <f t="shared" si="257"/>
        <v>-3.11964394418949+3.92772547979514i</v>
      </c>
      <c r="AT343" s="49">
        <f t="shared" si="258"/>
        <v>14.006969273360495</v>
      </c>
      <c r="AU343" s="61">
        <f t="shared" si="259"/>
        <v>128.45878863668199</v>
      </c>
      <c r="AV343" s="58" t="str">
        <f t="shared" si="237"/>
        <v>7.41152550179196+5.19305702996755i</v>
      </c>
      <c r="AW343" s="64">
        <f t="shared" si="260"/>
        <v>19.132762210975905</v>
      </c>
      <c r="AX343" s="49">
        <f t="shared" si="261"/>
        <v>35.017897588080707</v>
      </c>
      <c r="AY343" s="310"/>
      <c r="BA343" s="31">
        <f t="shared" si="262"/>
        <v>0</v>
      </c>
      <c r="BB343" s="31">
        <f t="shared" si="263"/>
        <v>0</v>
      </c>
    </row>
    <row r="344" spans="14:54" x14ac:dyDescent="0.45">
      <c r="N344" s="10">
        <v>26</v>
      </c>
      <c r="O344" s="50">
        <f t="shared" si="226"/>
        <v>18197.008586099837</v>
      </c>
      <c r="P344" s="48" t="str">
        <f t="shared" si="227"/>
        <v>17.4002386318441</v>
      </c>
      <c r="Q344" s="17" t="str">
        <f t="shared" si="228"/>
        <v>1+9.7919295149i</v>
      </c>
      <c r="R344" s="17">
        <f t="shared" si="238"/>
        <v>9.8428595247910415</v>
      </c>
      <c r="S344" s="17">
        <f t="shared" si="239"/>
        <v>1.4690242406114318</v>
      </c>
      <c r="T344" s="17" t="str">
        <f t="shared" si="229"/>
        <v>1+0.0343005530948409i</v>
      </c>
      <c r="U344" s="17">
        <f t="shared" si="240"/>
        <v>1.000588091045767</v>
      </c>
      <c r="V344" s="17">
        <f t="shared" si="241"/>
        <v>3.4287110729702287E-2</v>
      </c>
      <c r="W344" s="31" t="str">
        <f t="shared" si="230"/>
        <v>1-0.0846235867736665i</v>
      </c>
      <c r="X344" s="17">
        <f t="shared" si="242"/>
        <v>1.003574188308189</v>
      </c>
      <c r="Y344" s="17">
        <f t="shared" si="243"/>
        <v>-8.4422449520163145E-2</v>
      </c>
      <c r="Z344" s="31" t="str">
        <f t="shared" si="231"/>
        <v>0.99969965431158+0.11835115161293i</v>
      </c>
      <c r="AA344" s="17">
        <f t="shared" si="244"/>
        <v>1.0066808798814049</v>
      </c>
      <c r="AB344" s="17">
        <f t="shared" si="245"/>
        <v>0.11783823394531362</v>
      </c>
      <c r="AC344" s="66" t="str">
        <f t="shared" si="246"/>
        <v>-0.116653394061106-1.7595213314428i</v>
      </c>
      <c r="AD344" s="64">
        <f t="shared" si="247"/>
        <v>4.9269381958871996</v>
      </c>
      <c r="AE344" s="61">
        <f t="shared" si="248"/>
        <v>-93.7930657769394</v>
      </c>
      <c r="AF344" s="31" t="str">
        <f t="shared" si="232"/>
        <v>-9090.90909090909</v>
      </c>
      <c r="AG344" s="31" t="str">
        <f t="shared" si="233"/>
        <v>114335.176982803i</v>
      </c>
      <c r="AH344" s="31">
        <f t="shared" si="249"/>
        <v>114335.17698280299</v>
      </c>
      <c r="AI344" s="31">
        <f t="shared" si="250"/>
        <v>1.5707963267948966</v>
      </c>
      <c r="AJ344" s="31" t="str">
        <f t="shared" si="234"/>
        <v>-46.35838709798+39.5882120247647i</v>
      </c>
      <c r="AK344" s="31">
        <f t="shared" si="251"/>
        <v>60.961681289510729</v>
      </c>
      <c r="AL344" s="31">
        <f t="shared" si="252"/>
        <v>2.4348040459710591</v>
      </c>
      <c r="AM344" s="31" t="str">
        <f t="shared" si="235"/>
        <v>1+150.670896227938i</v>
      </c>
      <c r="AN344" s="31">
        <f t="shared" si="253"/>
        <v>150.67421468230739</v>
      </c>
      <c r="AO344" s="31">
        <f t="shared" si="254"/>
        <v>1.5641594424181067</v>
      </c>
      <c r="AP344" s="31" t="str">
        <f t="shared" si="236"/>
        <v>1+25.1537389362166i</v>
      </c>
      <c r="AQ344" s="31">
        <f t="shared" si="255"/>
        <v>25.173608848779292</v>
      </c>
      <c r="AR344" s="31">
        <f t="shared" si="256"/>
        <v>1.5310617303697798</v>
      </c>
      <c r="AS344" s="58" t="str">
        <f t="shared" si="257"/>
        <v>-3.03480992860105+3.90694314110792i</v>
      </c>
      <c r="AT344" s="49">
        <f t="shared" si="258"/>
        <v>13.887098535187658</v>
      </c>
      <c r="AU344" s="61">
        <f t="shared" si="259"/>
        <v>127.83911408476025</v>
      </c>
      <c r="AV344" s="58" t="str">
        <f t="shared" si="237"/>
        <v>7.22837067601518+4.88405462843395i</v>
      </c>
      <c r="AW344" s="64">
        <f t="shared" si="260"/>
        <v>18.814036731074857</v>
      </c>
      <c r="AX344" s="49">
        <f t="shared" si="261"/>
        <v>34.046048307820854</v>
      </c>
      <c r="AY344" s="310"/>
      <c r="BA344" s="31">
        <f t="shared" si="262"/>
        <v>0</v>
      </c>
      <c r="BB344" s="31">
        <f t="shared" si="263"/>
        <v>0</v>
      </c>
    </row>
    <row r="345" spans="14:54" x14ac:dyDescent="0.45">
      <c r="N345" s="10">
        <v>27</v>
      </c>
      <c r="O345" s="50">
        <f t="shared" si="226"/>
        <v>18620.871366628675</v>
      </c>
      <c r="P345" s="48" t="str">
        <f t="shared" si="227"/>
        <v>17.4002386318441</v>
      </c>
      <c r="Q345" s="17" t="str">
        <f t="shared" si="228"/>
        <v>1+10.0200128535042i</v>
      </c>
      <c r="R345" s="17">
        <f t="shared" si="238"/>
        <v>10.069789351540049</v>
      </c>
      <c r="S345" s="17">
        <f t="shared" si="239"/>
        <v>1.4713254295193952</v>
      </c>
      <c r="T345" s="17" t="str">
        <f t="shared" si="229"/>
        <v>1+0.0350995156133046i</v>
      </c>
      <c r="U345" s="17">
        <f t="shared" si="240"/>
        <v>1.0006157983943131</v>
      </c>
      <c r="V345" s="17">
        <f t="shared" si="241"/>
        <v>3.5085112338261004E-2</v>
      </c>
      <c r="W345" s="31" t="str">
        <f t="shared" si="230"/>
        <v>1-0.0865947233271552i</v>
      </c>
      <c r="X345" s="17">
        <f t="shared" si="242"/>
        <v>1.0037423205724199</v>
      </c>
      <c r="Y345" s="17">
        <f t="shared" si="243"/>
        <v>-8.6379244251934856E-2</v>
      </c>
      <c r="Z345" s="31" t="str">
        <f t="shared" si="231"/>
        <v>0.999685499455372+0.121107904073868i</v>
      </c>
      <c r="AA345" s="17">
        <f t="shared" si="244"/>
        <v>1.0069946485709356</v>
      </c>
      <c r="AB345" s="17">
        <f t="shared" si="245"/>
        <v>0.12055850875693012</v>
      </c>
      <c r="AC345" s="66" t="str">
        <f t="shared" si="246"/>
        <v>-0.124637003832752-1.71893158867039i</v>
      </c>
      <c r="AD345" s="64">
        <f t="shared" si="247"/>
        <v>4.7279449437026999</v>
      </c>
      <c r="AE345" s="61">
        <f t="shared" si="248"/>
        <v>-94.14716841033831</v>
      </c>
      <c r="AF345" s="31" t="str">
        <f t="shared" si="232"/>
        <v>-9090.90909090909</v>
      </c>
      <c r="AG345" s="31" t="str">
        <f t="shared" si="233"/>
        <v>116998.385377682i</v>
      </c>
      <c r="AH345" s="31">
        <f t="shared" si="249"/>
        <v>116998.385377682</v>
      </c>
      <c r="AI345" s="31">
        <f t="shared" si="250"/>
        <v>1.5707963267948966</v>
      </c>
      <c r="AJ345" s="31" t="str">
        <f t="shared" si="234"/>
        <v>-48.5903191199401+40.5103399418664i</v>
      </c>
      <c r="AK345" s="31">
        <f t="shared" si="251"/>
        <v>63.26220636670201</v>
      </c>
      <c r="AL345" s="31">
        <f t="shared" si="252"/>
        <v>2.446630848801679</v>
      </c>
      <c r="AM345" s="31" t="str">
        <f t="shared" si="235"/>
        <v>1+154.180472250709i</v>
      </c>
      <c r="AN345" s="31">
        <f t="shared" si="253"/>
        <v>154.18371516944208</v>
      </c>
      <c r="AO345" s="31">
        <f t="shared" si="254"/>
        <v>1.5643105120647165</v>
      </c>
      <c r="AP345" s="31" t="str">
        <f t="shared" si="236"/>
        <v>1+25.73964478309i</v>
      </c>
      <c r="AQ345" s="31">
        <f t="shared" si="255"/>
        <v>25.759062746141446</v>
      </c>
      <c r="AR345" s="31">
        <f t="shared" si="256"/>
        <v>1.5319652807110229</v>
      </c>
      <c r="AS345" s="58" t="str">
        <f t="shared" si="257"/>
        <v>-2.95078743522191+3.88443304495489i</v>
      </c>
      <c r="AT345" s="49">
        <f t="shared" si="258"/>
        <v>13.765033501049068</v>
      </c>
      <c r="AU345" s="61">
        <f t="shared" si="259"/>
        <v>127.22191347172654</v>
      </c>
      <c r="AV345" s="58" t="str">
        <f t="shared" si="237"/>
        <v>7.04485196992146+4.58805763754251i</v>
      </c>
      <c r="AW345" s="64">
        <f t="shared" si="260"/>
        <v>18.492978444751767</v>
      </c>
      <c r="AX345" s="49">
        <f t="shared" si="261"/>
        <v>33.074745061388207</v>
      </c>
      <c r="AY345" s="310"/>
      <c r="BA345" s="31">
        <f t="shared" si="262"/>
        <v>0</v>
      </c>
      <c r="BB345" s="31">
        <f t="shared" si="263"/>
        <v>0</v>
      </c>
    </row>
    <row r="346" spans="14:54" x14ac:dyDescent="0.45">
      <c r="N346" s="10">
        <v>28</v>
      </c>
      <c r="O346" s="50">
        <f t="shared" si="226"/>
        <v>19054.607179632505</v>
      </c>
      <c r="P346" s="48" t="str">
        <f t="shared" si="227"/>
        <v>17.4002386318441</v>
      </c>
      <c r="Q346" s="17" t="str">
        <f t="shared" si="228"/>
        <v>1+10.2534089355541i</v>
      </c>
      <c r="R346" s="17">
        <f t="shared" si="238"/>
        <v>10.302057794426348</v>
      </c>
      <c r="S346" s="17">
        <f t="shared" si="239"/>
        <v>1.4735752587766509</v>
      </c>
      <c r="T346" s="17" t="str">
        <f t="shared" si="229"/>
        <v>1+0.0359170883595438i</v>
      </c>
      <c r="U346" s="17">
        <f t="shared" si="240"/>
        <v>1.0006448107276764</v>
      </c>
      <c r="V346" s="17">
        <f t="shared" si="241"/>
        <v>3.5901655509354438E-2</v>
      </c>
      <c r="W346" s="31" t="str">
        <f t="shared" si="230"/>
        <v>1-0.0886117735491693i</v>
      </c>
      <c r="X346" s="17">
        <f t="shared" si="242"/>
        <v>1.0039183464861718</v>
      </c>
      <c r="Y346" s="17">
        <f t="shared" si="243"/>
        <v>-8.83809322037971E-2</v>
      </c>
      <c r="Z346" s="31" t="str">
        <f t="shared" si="231"/>
        <v>0.999670677501342+0.1239288695486i</v>
      </c>
      <c r="AA346" s="17">
        <f t="shared" si="244"/>
        <v>1.0073231001836433</v>
      </c>
      <c r="AB346" s="17">
        <f t="shared" si="245"/>
        <v>0.12334041263512249</v>
      </c>
      <c r="AC346" s="66" t="str">
        <f t="shared" si="246"/>
        <v>-0.132253886573806-1.67918251773306i</v>
      </c>
      <c r="AD346" s="64">
        <f t="shared" si="247"/>
        <v>4.5288153497458534</v>
      </c>
      <c r="AE346" s="61">
        <f t="shared" si="248"/>
        <v>-94.503369276685618</v>
      </c>
      <c r="AF346" s="31" t="str">
        <f t="shared" si="232"/>
        <v>-9090.90909090909</v>
      </c>
      <c r="AG346" s="31" t="str">
        <f t="shared" si="233"/>
        <v>119723.627865146i</v>
      </c>
      <c r="AH346" s="31">
        <f t="shared" si="249"/>
        <v>119723.627865146</v>
      </c>
      <c r="AI346" s="31">
        <f t="shared" si="250"/>
        <v>1.5707963267948966</v>
      </c>
      <c r="AJ346" s="31" t="str">
        <f t="shared" si="234"/>
        <v>-50.9274388574446+41.4539469774231i</v>
      </c>
      <c r="AK346" s="31">
        <f t="shared" si="251"/>
        <v>65.666077609263098</v>
      </c>
      <c r="AL346" s="31">
        <f t="shared" si="252"/>
        <v>2.4583849040422598</v>
      </c>
      <c r="AM346" s="31" t="str">
        <f t="shared" si="235"/>
        <v>1+157.771796800689i</v>
      </c>
      <c r="AN346" s="31">
        <f t="shared" si="253"/>
        <v>157.7749659030795</v>
      </c>
      <c r="AO346" s="31">
        <f t="shared" si="254"/>
        <v>1.5644581432324032</v>
      </c>
      <c r="AP346" s="31" t="str">
        <f t="shared" si="236"/>
        <v>1+26.3391981303321i</v>
      </c>
      <c r="AQ346" s="31">
        <f t="shared" si="255"/>
        <v>26.358174408499728</v>
      </c>
      <c r="AR346" s="31">
        <f t="shared" si="256"/>
        <v>1.5328483250364997</v>
      </c>
      <c r="AS346" s="58" t="str">
        <f t="shared" si="257"/>
        <v>-2.86765244057877+3.86024024248232i</v>
      </c>
      <c r="AT346" s="49">
        <f t="shared" si="258"/>
        <v>13.64079586359267</v>
      </c>
      <c r="AU346" s="61">
        <f t="shared" si="259"/>
        <v>126.60750907008341</v>
      </c>
      <c r="AV346" s="58" t="str">
        <f t="shared" si="237"/>
        <v>6.86130611003534+4.30478006997752i</v>
      </c>
      <c r="AW346" s="64">
        <f t="shared" si="260"/>
        <v>18.169611213338523</v>
      </c>
      <c r="AX346" s="49">
        <f t="shared" si="261"/>
        <v>32.104139793397835</v>
      </c>
      <c r="AY346" s="310"/>
      <c r="BA346" s="31">
        <f t="shared" si="262"/>
        <v>0</v>
      </c>
      <c r="BB346" s="31">
        <f t="shared" si="263"/>
        <v>0</v>
      </c>
    </row>
    <row r="347" spans="14:54" x14ac:dyDescent="0.45">
      <c r="N347" s="10">
        <v>29</v>
      </c>
      <c r="O347" s="50">
        <f t="shared" si="226"/>
        <v>19498.445997580486</v>
      </c>
      <c r="P347" s="48" t="str">
        <f t="shared" si="227"/>
        <v>17.4002386318441</v>
      </c>
      <c r="Q347" s="17" t="str">
        <f t="shared" si="228"/>
        <v>1+10.4922415107413i</v>
      </c>
      <c r="R347" s="17">
        <f t="shared" si="238"/>
        <v>10.539788039601312</v>
      </c>
      <c r="S347" s="17">
        <f t="shared" si="239"/>
        <v>1.4757748301181588</v>
      </c>
      <c r="T347" s="17" t="str">
        <f t="shared" si="229"/>
        <v>1+0.0367537048214496i</v>
      </c>
      <c r="U347" s="17">
        <f t="shared" si="240"/>
        <v>1.0006751894686419</v>
      </c>
      <c r="V347" s="17">
        <f t="shared" si="241"/>
        <v>3.6737168827097745E-2</v>
      </c>
      <c r="W347" s="31" t="str">
        <f t="shared" si="230"/>
        <v>1-0.0906758069064335i</v>
      </c>
      <c r="X347" s="17">
        <f t="shared" si="242"/>
        <v>1.0041026351713915</v>
      </c>
      <c r="Y347" s="17">
        <f t="shared" si="243"/>
        <v>-9.0428510499440673E-2</v>
      </c>
      <c r="Z347" s="31" t="str">
        <f t="shared" si="231"/>
        <v>0.99965515701014+0.126815543750358i</v>
      </c>
      <c r="AA347" s="17">
        <f t="shared" si="244"/>
        <v>1.0076669167307553</v>
      </c>
      <c r="AB347" s="17">
        <f t="shared" si="245"/>
        <v>0.12618525949391715</v>
      </c>
      <c r="AC347" s="66" t="str">
        <f t="shared" si="246"/>
        <v>-0.139519281776641-1.6402579126391i</v>
      </c>
      <c r="AD347" s="64">
        <f t="shared" si="247"/>
        <v>4.329551319964831</v>
      </c>
      <c r="AE347" s="61">
        <f t="shared" si="248"/>
        <v>-94.86183935739119</v>
      </c>
      <c r="AF347" s="31" t="str">
        <f t="shared" si="232"/>
        <v>-9090.90909090909</v>
      </c>
      <c r="AG347" s="31" t="str">
        <f t="shared" si="233"/>
        <v>122512.349404832i</v>
      </c>
      <c r="AH347" s="31">
        <f t="shared" si="249"/>
        <v>122512.349404832</v>
      </c>
      <c r="AI347" s="31">
        <f t="shared" si="250"/>
        <v>1.5707963267948966</v>
      </c>
      <c r="AJ347" s="31" t="str">
        <f t="shared" si="234"/>
        <v>-53.3747036547969+42.419533444375i</v>
      </c>
      <c r="AK347" s="31">
        <f t="shared" si="251"/>
        <v>68.178264922743807</v>
      </c>
      <c r="AL347" s="31">
        <f t="shared" si="252"/>
        <v>2.4700612802213726</v>
      </c>
      <c r="AM347" s="31" t="str">
        <f t="shared" si="235"/>
        <v>1+161.446774045688i</v>
      </c>
      <c r="AN347" s="31">
        <f t="shared" si="253"/>
        <v>161.44987101190085</v>
      </c>
      <c r="AO347" s="31">
        <f t="shared" si="254"/>
        <v>1.5646024141714101</v>
      </c>
      <c r="AP347" s="31" t="str">
        <f t="shared" si="236"/>
        <v>1+26.952716869063i</v>
      </c>
      <c r="AQ347" s="31">
        <f t="shared" si="255"/>
        <v>26.971261494855469</v>
      </c>
      <c r="AR347" s="31">
        <f t="shared" si="256"/>
        <v>1.5337113260363036</v>
      </c>
      <c r="AS347" s="58" t="str">
        <f t="shared" si="257"/>
        <v>-2.78547748461978+3.83441358429788i</v>
      </c>
      <c r="AT347" s="49">
        <f t="shared" si="258"/>
        <v>13.514409278283207</v>
      </c>
      <c r="AU347" s="61">
        <f t="shared" si="259"/>
        <v>125.99621442592898</v>
      </c>
      <c r="AV347" s="58" t="str">
        <f t="shared" si="237"/>
        <v>6.67805504003461+4.03392685530982i</v>
      </c>
      <c r="AW347" s="64">
        <f t="shared" si="260"/>
        <v>17.843960598248042</v>
      </c>
      <c r="AX347" s="49">
        <f t="shared" si="261"/>
        <v>31.1343750685378</v>
      </c>
      <c r="AY347" s="310"/>
      <c r="BA347" s="31">
        <f t="shared" si="262"/>
        <v>0</v>
      </c>
      <c r="BB347" s="31">
        <f t="shared" si="263"/>
        <v>0</v>
      </c>
    </row>
    <row r="348" spans="14:54" x14ac:dyDescent="0.45">
      <c r="N348" s="10">
        <v>30</v>
      </c>
      <c r="O348" s="50">
        <f t="shared" si="226"/>
        <v>19952.623149688792</v>
      </c>
      <c r="P348" s="48" t="str">
        <f t="shared" si="227"/>
        <v>17.4002386318441</v>
      </c>
      <c r="Q348" s="17" t="str">
        <f t="shared" si="228"/>
        <v>1+10.7366372112588i</v>
      </c>
      <c r="R348" s="17">
        <f t="shared" si="238"/>
        <v>10.783106166879149</v>
      </c>
      <c r="S348" s="17">
        <f t="shared" si="239"/>
        <v>1.4779252246046966</v>
      </c>
      <c r="T348" s="17" t="str">
        <f t="shared" si="229"/>
        <v>1+0.0376098085841448i</v>
      </c>
      <c r="U348" s="17">
        <f t="shared" si="240"/>
        <v>1.0007069989271267</v>
      </c>
      <c r="V348" s="17">
        <f t="shared" si="241"/>
        <v>3.7592090622989884E-2</v>
      </c>
      <c r="W348" s="31" t="str">
        <f t="shared" si="230"/>
        <v>1-0.0927879177767564i</v>
      </c>
      <c r="X348" s="17">
        <f t="shared" si="242"/>
        <v>1.0042955728695344</v>
      </c>
      <c r="Y348" s="17">
        <f t="shared" si="243"/>
        <v>-9.252299607693322E-2</v>
      </c>
      <c r="Z348" s="31" t="str">
        <f t="shared" si="231"/>
        <v>0.999638905060723+0.129769457232015i</v>
      </c>
      <c r="AA348" s="17">
        <f t="shared" si="244"/>
        <v>1.0080268114198612</v>
      </c>
      <c r="AB348" s="17">
        <f t="shared" si="245"/>
        <v>0.12909438544495036</v>
      </c>
      <c r="AC348" s="66" t="str">
        <f t="shared" si="246"/>
        <v>-0.146447767939484-1.60214170559516i</v>
      </c>
      <c r="AD348" s="64">
        <f t="shared" si="247"/>
        <v>4.1301545020681445</v>
      </c>
      <c r="AE348" s="61">
        <f t="shared" si="248"/>
        <v>-95.222750297947186</v>
      </c>
      <c r="AF348" s="31" t="str">
        <f t="shared" si="232"/>
        <v>-9090.90909090909</v>
      </c>
      <c r="AG348" s="31" t="str">
        <f t="shared" si="233"/>
        <v>125366.028613816i</v>
      </c>
      <c r="AH348" s="31">
        <f t="shared" si="249"/>
        <v>125366.028613816</v>
      </c>
      <c r="AI348" s="31">
        <f t="shared" si="250"/>
        <v>1.5707963267948966</v>
      </c>
      <c r="AJ348" s="31" t="str">
        <f t="shared" si="234"/>
        <v>-55.9373044887457+43.4076113094479i</v>
      </c>
      <c r="AK348" s="31">
        <f t="shared" si="251"/>
        <v>70.80397413322757</v>
      </c>
      <c r="AL348" s="31">
        <f t="shared" si="252"/>
        <v>2.4816551968828113</v>
      </c>
      <c r="AM348" s="31" t="str">
        <f t="shared" si="235"/>
        <v>1+165.207352507287i</v>
      </c>
      <c r="AN348" s="31">
        <f t="shared" si="253"/>
        <v>165.21037897924873</v>
      </c>
      <c r="AO348" s="31">
        <f t="shared" si="254"/>
        <v>1.564743401352062</v>
      </c>
      <c r="AP348" s="31" t="str">
        <f t="shared" si="236"/>
        <v>1+27.5805262950395i</v>
      </c>
      <c r="AQ348" s="31">
        <f t="shared" si="255"/>
        <v>27.598649074028341</v>
      </c>
      <c r="AR348" s="31">
        <f t="shared" si="256"/>
        <v>1.5345547361401504</v>
      </c>
      <c r="AS348" s="58" t="str">
        <f t="shared" si="257"/>
        <v>-2.70433144982495+3.80700542513799i</v>
      </c>
      <c r="AT348" s="49">
        <f t="shared" si="258"/>
        <v>13.385899269684657</v>
      </c>
      <c r="AU348" s="61">
        <f t="shared" si="259"/>
        <v>125.38833374296804</v>
      </c>
      <c r="AV348" s="58" t="str">
        <f t="shared" si="237"/>
        <v>6.49540546963602+3.77519475447221i</v>
      </c>
      <c r="AW348" s="64">
        <f t="shared" si="260"/>
        <v>17.516053771752802</v>
      </c>
      <c r="AX348" s="49">
        <f t="shared" si="261"/>
        <v>30.165583445020829</v>
      </c>
      <c r="AY348" s="310"/>
      <c r="BA348" s="31">
        <f t="shared" si="262"/>
        <v>0</v>
      </c>
      <c r="BB348" s="31">
        <f t="shared" si="263"/>
        <v>0</v>
      </c>
    </row>
    <row r="349" spans="14:54" x14ac:dyDescent="0.45">
      <c r="N349" s="10">
        <v>31</v>
      </c>
      <c r="O349" s="50">
        <f t="shared" si="226"/>
        <v>20417.379446695286</v>
      </c>
      <c r="P349" s="48" t="str">
        <f t="shared" si="227"/>
        <v>17.4002386318441</v>
      </c>
      <c r="Q349" s="17" t="str">
        <f t="shared" si="228"/>
        <v>1+10.9867256189419i</v>
      </c>
      <c r="R349" s="17">
        <f t="shared" si="238"/>
        <v>11.032141216731876</v>
      </c>
      <c r="S349" s="17">
        <f t="shared" si="239"/>
        <v>1.4800275028092504</v>
      </c>
      <c r="T349" s="17" t="str">
        <f t="shared" si="229"/>
        <v>1+0.0384858535651758i</v>
      </c>
      <c r="U349" s="17">
        <f t="shared" si="240"/>
        <v>1.0007403064355109</v>
      </c>
      <c r="V349" s="17">
        <f t="shared" si="241"/>
        <v>3.8466869186190203E-2</v>
      </c>
      <c r="W349" s="31" t="str">
        <f t="shared" si="230"/>
        <v>1-0.0949492260292773i</v>
      </c>
      <c r="X349" s="17">
        <f t="shared" si="242"/>
        <v>1.0044975637220623</v>
      </c>
      <c r="Y349" s="17">
        <f t="shared" si="243"/>
        <v>-9.4665425913750087E-2</v>
      </c>
      <c r="Z349" s="31" t="str">
        <f t="shared" si="231"/>
        <v>0.999621887180526+0.132792176197597i</v>
      </c>
      <c r="AA349" s="17">
        <f t="shared" si="244"/>
        <v>1.0084035300362897</v>
      </c>
      <c r="AB349" s="17">
        <f t="shared" si="245"/>
        <v>0.13206914874769218</v>
      </c>
      <c r="AC349" s="66" t="str">
        <f t="shared" si="246"/>
        <v>-0.153053286738992-1.56481797850155i</v>
      </c>
      <c r="AD349" s="64">
        <f t="shared" si="247"/>
        <v>3.930626289686975</v>
      </c>
      <c r="AE349" s="61">
        <f t="shared" si="248"/>
        <v>-95.586274416600617</v>
      </c>
      <c r="AF349" s="31" t="str">
        <f t="shared" si="232"/>
        <v>-9090.90909090909</v>
      </c>
      <c r="AG349" s="31" t="str">
        <f t="shared" si="233"/>
        <v>128286.178550586i</v>
      </c>
      <c r="AH349" s="31">
        <f t="shared" si="249"/>
        <v>128286.178550586</v>
      </c>
      <c r="AI349" s="31">
        <f t="shared" si="250"/>
        <v>1.5707963267948966</v>
      </c>
      <c r="AJ349" s="31" t="str">
        <f t="shared" si="234"/>
        <v>-58.6206769792318+44.4187044646049i</v>
      </c>
      <c r="AK349" s="31">
        <f t="shared" si="251"/>
        <v>73.548657879103061</v>
      </c>
      <c r="AL349" s="31">
        <f t="shared" si="252"/>
        <v>2.4931620346876144</v>
      </c>
      <c r="AM349" s="31" t="str">
        <f t="shared" si="235"/>
        <v>1+169.055526093962i</v>
      </c>
      <c r="AN349" s="31">
        <f t="shared" si="253"/>
        <v>169.0584836762304</v>
      </c>
      <c r="AO349" s="31">
        <f t="shared" si="254"/>
        <v>1.5648811795051958</v>
      </c>
      <c r="AP349" s="31" t="str">
        <f t="shared" si="236"/>
        <v>1+28.2229592811289i</v>
      </c>
      <c r="AQ349" s="31">
        <f t="shared" si="255"/>
        <v>28.240669797018978</v>
      </c>
      <c r="AR349" s="31">
        <f t="shared" si="256"/>
        <v>1.5353789977328858</v>
      </c>
      <c r="AS349" s="58" t="str">
        <f t="shared" si="257"/>
        <v>-2.62427936902791+3.77807131517698i</v>
      </c>
      <c r="AT349" s="49">
        <f t="shared" si="258"/>
        <v>13.25529313239066</v>
      </c>
      <c r="AU349" s="61">
        <f t="shared" si="259"/>
        <v>124.78416131837336</v>
      </c>
      <c r="AV349" s="58" t="str">
        <f t="shared" si="237"/>
        <v>6.31364850080098+3.52827330494343i</v>
      </c>
      <c r="AW349" s="64">
        <f t="shared" si="260"/>
        <v>17.185919422077628</v>
      </c>
      <c r="AX349" s="49">
        <f t="shared" si="261"/>
        <v>29.197886901772716</v>
      </c>
      <c r="AY349" s="310"/>
      <c r="BA349" s="31">
        <f t="shared" si="262"/>
        <v>0</v>
      </c>
      <c r="BB349" s="31">
        <f t="shared" si="263"/>
        <v>0</v>
      </c>
    </row>
    <row r="350" spans="14:54" x14ac:dyDescent="0.45">
      <c r="N350" s="10">
        <v>32</v>
      </c>
      <c r="O350" s="50">
        <f t="shared" si="226"/>
        <v>20892.961308540423</v>
      </c>
      <c r="P350" s="48" t="str">
        <f t="shared" si="227"/>
        <v>17.4002386318441</v>
      </c>
      <c r="Q350" s="17" t="str">
        <f t="shared" si="228"/>
        <v>1+11.2426393339747i</v>
      </c>
      <c r="R350" s="17">
        <f t="shared" si="238"/>
        <v>11.287025258846333</v>
      </c>
      <c r="S350" s="17">
        <f t="shared" si="239"/>
        <v>1.4820827050171068</v>
      </c>
      <c r="T350" s="17" t="str">
        <f t="shared" si="229"/>
        <v>1+0.0393823042551879i</v>
      </c>
      <c r="U350" s="17">
        <f t="shared" si="240"/>
        <v>1.0007751824902775</v>
      </c>
      <c r="V350" s="17">
        <f t="shared" si="241"/>
        <v>3.936196297750922E-2</v>
      </c>
      <c r="W350" s="31" t="str">
        <f t="shared" si="230"/>
        <v>1-0.0971608776182414i</v>
      </c>
      <c r="X350" s="17">
        <f t="shared" si="242"/>
        <v>1.0047090305852471</v>
      </c>
      <c r="Y350" s="17">
        <f t="shared" si="243"/>
        <v>-9.6856857241041872E-2</v>
      </c>
      <c r="Z350" s="31" t="str">
        <f t="shared" si="231"/>
        <v>0.999604067272345+0.135885303332713i</v>
      </c>
      <c r="AA350" s="17">
        <f t="shared" si="244"/>
        <v>1.008797852381357</v>
      </c>
      <c r="AB350" s="17">
        <f t="shared" si="245"/>
        <v>0.13511092972203423</v>
      </c>
      <c r="AC350" s="66" t="str">
        <f t="shared" si="246"/>
        <v>-0.159349166467108-1.52827097336861i</v>
      </c>
      <c r="AD350" s="64">
        <f t="shared" si="247"/>
        <v>3.730967826213897</v>
      </c>
      <c r="AE350" s="61">
        <f t="shared" si="248"/>
        <v>-95.95258471082532</v>
      </c>
      <c r="AF350" s="31" t="str">
        <f t="shared" si="232"/>
        <v>-9090.90909090909</v>
      </c>
      <c r="AG350" s="31" t="str">
        <f t="shared" si="233"/>
        <v>131274.347517293i</v>
      </c>
      <c r="AH350" s="31">
        <f t="shared" si="249"/>
        <v>131274.347517293</v>
      </c>
      <c r="AI350" s="31">
        <f t="shared" si="250"/>
        <v>1.5707963267948966</v>
      </c>
      <c r="AJ350" s="31" t="str">
        <f t="shared" si="234"/>
        <v>-61.4305129190755+45.4533490048201i</v>
      </c>
      <c r="AK350" s="31">
        <f t="shared" si="251"/>
        <v>76.4180270175479</v>
      </c>
      <c r="AL350" s="31">
        <f t="shared" si="252"/>
        <v>2.5045773445713584</v>
      </c>
      <c r="AM350" s="31" t="str">
        <f t="shared" si="235"/>
        <v>1+172.993335158289i</v>
      </c>
      <c r="AN350" s="31">
        <f t="shared" si="253"/>
        <v>172.99622541890361</v>
      </c>
      <c r="AO350" s="31">
        <f t="shared" si="254"/>
        <v>1.5650158216616767</v>
      </c>
      <c r="AP350" s="31" t="str">
        <f t="shared" si="236"/>
        <v>1+28.8803564538044i</v>
      </c>
      <c r="AQ350" s="31">
        <f t="shared" si="255"/>
        <v>28.897664073395301</v>
      </c>
      <c r="AR350" s="31">
        <f t="shared" si="256"/>
        <v>1.5361845433662844</v>
      </c>
      <c r="AS350" s="58" t="str">
        <f t="shared" si="257"/>
        <v>-2.54538226263255+3.7476696810739i</v>
      </c>
      <c r="AT350" s="49">
        <f t="shared" si="258"/>
        <v>13.122619827358733</v>
      </c>
      <c r="AU350" s="61">
        <f t="shared" si="259"/>
        <v>124.18398103251064</v>
      </c>
      <c r="AV350" s="58" t="str">
        <f t="shared" si="237"/>
        <v>6.13305933324949+3.29284578823546i</v>
      </c>
      <c r="AW350" s="64">
        <f t="shared" si="260"/>
        <v>16.853587653572617</v>
      </c>
      <c r="AX350" s="49">
        <f t="shared" si="261"/>
        <v>28.231396321685313</v>
      </c>
      <c r="AY350" s="310"/>
      <c r="BA350" s="31">
        <f t="shared" si="262"/>
        <v>0</v>
      </c>
      <c r="BB350" s="31">
        <f t="shared" si="263"/>
        <v>0</v>
      </c>
    </row>
    <row r="351" spans="14:54" x14ac:dyDescent="0.45">
      <c r="N351" s="10">
        <v>33</v>
      </c>
      <c r="O351" s="50">
        <f t="shared" si="226"/>
        <v>21379.620895022348</v>
      </c>
      <c r="P351" s="48" t="str">
        <f t="shared" si="227"/>
        <v>17.4002386318441</v>
      </c>
      <c r="Q351" s="17" t="str">
        <f t="shared" si="228"/>
        <v>1+11.5045140451963i</v>
      </c>
      <c r="R351" s="17">
        <f t="shared" si="238"/>
        <v>11.547893462277825</v>
      </c>
      <c r="S351" s="17">
        <f t="shared" si="239"/>
        <v>1.4840918514382226</v>
      </c>
      <c r="T351" s="17" t="str">
        <f t="shared" si="229"/>
        <v>1+0.0402996359642022i</v>
      </c>
      <c r="U351" s="17">
        <f t="shared" si="240"/>
        <v>1.0008117009002477</v>
      </c>
      <c r="V351" s="17">
        <f t="shared" si="241"/>
        <v>4.0277840847107116E-2</v>
      </c>
      <c r="W351" s="31" t="str">
        <f t="shared" si="230"/>
        <v>1-0.0994240451905941i</v>
      </c>
      <c r="X351" s="17">
        <f t="shared" si="242"/>
        <v>1.0049304158806525</v>
      </c>
      <c r="Y351" s="17">
        <f t="shared" si="243"/>
        <v>-9.9098367745823576E-2</v>
      </c>
      <c r="Z351" s="31" t="str">
        <f t="shared" si="231"/>
        <v>0.999585407537764+0.13905047865431i</v>
      </c>
      <c r="AA351" s="17">
        <f t="shared" si="244"/>
        <v>1.0092105937694225</v>
      </c>
      <c r="AB351" s="17">
        <f t="shared" si="245"/>
        <v>0.13822113062019023</v>
      </c>
      <c r="AC351" s="66" t="str">
        <f t="shared" si="246"/>
        <v>-0.165348144734721-1.4924851017298i</v>
      </c>
      <c r="AD351" s="64">
        <f t="shared" si="247"/>
        <v>3.5311800083341844</v>
      </c>
      <c r="AE351" s="61">
        <f t="shared" si="248"/>
        <v>-96.321854861262082</v>
      </c>
      <c r="AF351" s="31" t="str">
        <f t="shared" si="232"/>
        <v>-9090.90909090909</v>
      </c>
      <c r="AG351" s="31" t="str">
        <f t="shared" si="233"/>
        <v>134332.119880674i</v>
      </c>
      <c r="AH351" s="31">
        <f t="shared" si="249"/>
        <v>134332.119880674</v>
      </c>
      <c r="AI351" s="31">
        <f t="shared" si="250"/>
        <v>1.5707963267948966</v>
      </c>
      <c r="AJ351" s="31" t="str">
        <f t="shared" si="234"/>
        <v>-64.3727723470243+46.5120935123238i</v>
      </c>
      <c r="AK351" s="31">
        <f t="shared" si="251"/>
        <v>79.418062571061071</v>
      </c>
      <c r="AL351" s="31">
        <f t="shared" si="252"/>
        <v>2.5158968559301518</v>
      </c>
      <c r="AM351" s="31" t="str">
        <f t="shared" si="235"/>
        <v>1+177.022867578752i</v>
      </c>
      <c r="AN351" s="31">
        <f t="shared" si="253"/>
        <v>177.02569205006478</v>
      </c>
      <c r="AO351" s="31">
        <f t="shared" si="254"/>
        <v>1.5651473991910199</v>
      </c>
      <c r="AP351" s="31" t="str">
        <f t="shared" si="236"/>
        <v>1+29.5530663737483i</v>
      </c>
      <c r="AQ351" s="31">
        <f t="shared" si="255"/>
        <v>29.569980251788682</v>
      </c>
      <c r="AR351" s="31">
        <f t="shared" si="256"/>
        <v>1.5369717959671416</v>
      </c>
      <c r="AS351" s="58" t="str">
        <f t="shared" si="257"/>
        <v>-2.46769700555038+3.71586149984701i</v>
      </c>
      <c r="AT351" s="49">
        <f t="shared" si="258"/>
        <v>12.987909874421179</v>
      </c>
      <c r="AU351" s="61">
        <f t="shared" si="259"/>
        <v>123.58806589405143</v>
      </c>
      <c r="AV351" s="58" t="str">
        <f t="shared" si="237"/>
        <v>5.95389705024819+3.0685902112763i</v>
      </c>
      <c r="AW351" s="64">
        <f t="shared" si="260"/>
        <v>16.51908988275536</v>
      </c>
      <c r="AX351" s="49">
        <f t="shared" si="261"/>
        <v>27.26621103278935</v>
      </c>
      <c r="AY351" s="310"/>
      <c r="BA351" s="31">
        <f t="shared" si="262"/>
        <v>0</v>
      </c>
      <c r="BB351" s="31">
        <f t="shared" si="263"/>
        <v>0</v>
      </c>
    </row>
    <row r="352" spans="14:54" x14ac:dyDescent="0.45">
      <c r="N352" s="10">
        <v>34</v>
      </c>
      <c r="O352" s="50">
        <f t="shared" si="226"/>
        <v>21877.61623949555</v>
      </c>
      <c r="P352" s="48" t="str">
        <f t="shared" si="227"/>
        <v>17.4002386318441</v>
      </c>
      <c r="Q352" s="17" t="str">
        <f t="shared" si="228"/>
        <v>1+11.7724886020449i</v>
      </c>
      <c r="R352" s="17">
        <f t="shared" si="238"/>
        <v>11.814884167239097</v>
      </c>
      <c r="S352" s="17">
        <f t="shared" si="239"/>
        <v>1.4860559424305824</v>
      </c>
      <c r="T352" s="17" t="str">
        <f t="shared" si="229"/>
        <v>1+0.0412383350736336i</v>
      </c>
      <c r="U352" s="17">
        <f t="shared" si="240"/>
        <v>1.0008499389417203</v>
      </c>
      <c r="V352" s="17">
        <f t="shared" si="241"/>
        <v>4.1214982255905398E-2</v>
      </c>
      <c r="W352" s="31" t="str">
        <f t="shared" si="230"/>
        <v>1-0.10173992870774i</v>
      </c>
      <c r="X352" s="17">
        <f t="shared" si="242"/>
        <v>1.0051621824827355</v>
      </c>
      <c r="Y352" s="17">
        <f t="shared" si="243"/>
        <v>-0.10139105575972686</v>
      </c>
      <c r="Z352" s="31" t="str">
        <f t="shared" si="231"/>
        <v>0.999565868396986+0.14228938038024i</v>
      </c>
      <c r="AA352" s="17">
        <f t="shared" si="244"/>
        <v>1.0096426065857231</v>
      </c>
      <c r="AB352" s="17">
        <f t="shared" si="245"/>
        <v>0.14140117545475125</v>
      </c>
      <c r="AC352" s="66" t="str">
        <f t="shared" si="246"/>
        <v>-0.171062390447302-1.45744495312263i</v>
      </c>
      <c r="AD352" s="64">
        <f t="shared" si="247"/>
        <v>3.3312634892633879</v>
      </c>
      <c r="AE352" s="61">
        <f t="shared" si="248"/>
        <v>-96.69425923279249</v>
      </c>
      <c r="AF352" s="31" t="str">
        <f t="shared" si="232"/>
        <v>-9090.90909090909</v>
      </c>
      <c r="AG352" s="31" t="str">
        <f t="shared" si="233"/>
        <v>137461.116912112i</v>
      </c>
      <c r="AH352" s="31">
        <f t="shared" si="249"/>
        <v>137461.11691211199</v>
      </c>
      <c r="AI352" s="31">
        <f t="shared" si="250"/>
        <v>1.5707963267948966</v>
      </c>
      <c r="AJ352" s="31" t="str">
        <f t="shared" si="234"/>
        <v>-67.4536961898014+47.595499347468i</v>
      </c>
      <c r="AK352" s="31">
        <f t="shared" si="251"/>
        <v>82.555028240567253</v>
      </c>
      <c r="AL352" s="31">
        <f t="shared" si="252"/>
        <v>2.5271164838186473</v>
      </c>
      <c r="AM352" s="31" t="str">
        <f t="shared" si="235"/>
        <v>1+181.146259866781i</v>
      </c>
      <c r="AN352" s="31">
        <f t="shared" si="253"/>
        <v>181.14902004626839</v>
      </c>
      <c r="AO352" s="31">
        <f t="shared" si="254"/>
        <v>1.5652759818391393</v>
      </c>
      <c r="AP352" s="31" t="str">
        <f t="shared" si="236"/>
        <v>1+30.2414457206646i</v>
      </c>
      <c r="AQ352" s="31">
        <f t="shared" si="255"/>
        <v>30.257974804601563</v>
      </c>
      <c r="AR352" s="31">
        <f t="shared" si="256"/>
        <v>1.5377411690416734</v>
      </c>
      <c r="AS352" s="58" t="str">
        <f t="shared" si="257"/>
        <v>-2.39127622383121+3.68270996861661i</v>
      </c>
      <c r="AT352" s="49">
        <f t="shared" si="258"/>
        <v>12.85119524174668</v>
      </c>
      <c r="AU352" s="61">
        <f t="shared" si="259"/>
        <v>122.99667764143088</v>
      </c>
      <c r="AV352" s="58" t="str">
        <f t="shared" si="237"/>
        <v>5.77640448464304+2.85518029338927i</v>
      </c>
      <c r="AW352" s="64">
        <f t="shared" si="260"/>
        <v>16.182458731010062</v>
      </c>
      <c r="AX352" s="49">
        <f t="shared" si="261"/>
        <v>26.302418408638381</v>
      </c>
      <c r="AY352" s="310"/>
      <c r="BA352" s="31">
        <f t="shared" si="262"/>
        <v>0</v>
      </c>
      <c r="BB352" s="31">
        <f t="shared" si="263"/>
        <v>0</v>
      </c>
    </row>
    <row r="353" spans="14:54" x14ac:dyDescent="0.45">
      <c r="N353" s="10">
        <v>35</v>
      </c>
      <c r="O353" s="50">
        <f t="shared" si="226"/>
        <v>22387.211385683382</v>
      </c>
      <c r="P353" s="48" t="str">
        <f t="shared" si="227"/>
        <v>17.4002386318441</v>
      </c>
      <c r="Q353" s="17" t="str">
        <f t="shared" si="228"/>
        <v>1+12.0467050881775i</v>
      </c>
      <c r="R353" s="17">
        <f t="shared" si="238"/>
        <v>12.088138958562714</v>
      </c>
      <c r="S353" s="17">
        <f t="shared" si="239"/>
        <v>1.4879759587333159</v>
      </c>
      <c r="T353" s="17" t="str">
        <f t="shared" si="229"/>
        <v>1+0.0421988992941747i</v>
      </c>
      <c r="U353" s="17">
        <f t="shared" si="240"/>
        <v>1.0008899775208262</v>
      </c>
      <c r="V353" s="17">
        <f t="shared" si="241"/>
        <v>4.21738775006937E-2</v>
      </c>
      <c r="W353" s="31" t="str">
        <f t="shared" si="230"/>
        <v>1-0.104109756081773i</v>
      </c>
      <c r="X353" s="17">
        <f t="shared" si="242"/>
        <v>1.0054048146450296</v>
      </c>
      <c r="Y353" s="17">
        <f t="shared" si="243"/>
        <v>-0.10373604043281243</v>
      </c>
      <c r="Z353" s="31" t="str">
        <f t="shared" si="231"/>
        <v>0.999545408404873+0.145603725819069i</v>
      </c>
      <c r="AA353" s="17">
        <f t="shared" si="244"/>
        <v>1.0100947819069552</v>
      </c>
      <c r="AB353" s="17">
        <f t="shared" si="245"/>
        <v>0.14465250977950006</v>
      </c>
      <c r="AC353" s="66" t="str">
        <f t="shared" si="246"/>
        <v>-0.176503525059902-1.42313530270531i</v>
      </c>
      <c r="AD353" s="64">
        <f t="shared" si="247"/>
        <v>3.1312186817082042</v>
      </c>
      <c r="AE353" s="61">
        <f t="shared" si="248"/>
        <v>-97.069972872398722</v>
      </c>
      <c r="AF353" s="31" t="str">
        <f t="shared" si="232"/>
        <v>-9090.90909090909</v>
      </c>
      <c r="AG353" s="31" t="str">
        <f t="shared" si="233"/>
        <v>140662.997647249i</v>
      </c>
      <c r="AH353" s="31">
        <f t="shared" si="249"/>
        <v>140662.99764724899</v>
      </c>
      <c r="AI353" s="31">
        <f t="shared" si="250"/>
        <v>1.5707963267948966</v>
      </c>
      <c r="AJ353" s="31" t="str">
        <f t="shared" si="234"/>
        <v>-70.6798194999437+48.7041409463672i</v>
      </c>
      <c r="AK353" s="31">
        <f t="shared" si="251"/>
        <v>85.835483512753768</v>
      </c>
      <c r="AL353" s="31">
        <f t="shared" si="252"/>
        <v>2.5382323351518719</v>
      </c>
      <c r="AM353" s="31" t="str">
        <f t="shared" si="235"/>
        <v>1+185.365698299545i</v>
      </c>
      <c r="AN353" s="31">
        <f t="shared" si="253"/>
        <v>185.36839565060149</v>
      </c>
      <c r="AO353" s="31">
        <f t="shared" si="254"/>
        <v>1.5654016377652396</v>
      </c>
      <c r="AP353" s="31" t="str">
        <f t="shared" si="236"/>
        <v>1+30.9458594823948i</v>
      </c>
      <c r="AQ353" s="31">
        <f t="shared" si="255"/>
        <v>30.962012517020334</v>
      </c>
      <c r="AR353" s="31">
        <f t="shared" si="256"/>
        <v>1.5384930668762353</v>
      </c>
      <c r="AS353" s="58" t="str">
        <f t="shared" si="257"/>
        <v>-2.31616822063009+3.6482801731645i</v>
      </c>
      <c r="AT353" s="49">
        <f t="shared" si="258"/>
        <v>12.712509233023061</v>
      </c>
      <c r="AU353" s="61">
        <f t="shared" si="259"/>
        <v>122.41006640112396</v>
      </c>
      <c r="AV353" s="58" t="str">
        <f t="shared" si="237"/>
        <v>5.60080816416317+2.65228645081314i</v>
      </c>
      <c r="AW353" s="64">
        <f t="shared" si="260"/>
        <v>15.843727914731263</v>
      </c>
      <c r="AX353" s="49">
        <f t="shared" si="261"/>
        <v>25.340093528725241</v>
      </c>
      <c r="AY353" s="310"/>
      <c r="BA353" s="31">
        <f t="shared" si="262"/>
        <v>0</v>
      </c>
      <c r="BB353" s="31">
        <f t="shared" si="263"/>
        <v>0</v>
      </c>
    </row>
    <row r="354" spans="14:54" x14ac:dyDescent="0.45">
      <c r="N354" s="10">
        <v>36</v>
      </c>
      <c r="O354" s="50">
        <f t="shared" si="226"/>
        <v>22908.676527677751</v>
      </c>
      <c r="P354" s="48" t="str">
        <f t="shared" si="227"/>
        <v>17.4002386318441</v>
      </c>
      <c r="Q354" s="17" t="str">
        <f t="shared" si="228"/>
        <v>1+12.327308896805i</v>
      </c>
      <c r="R354" s="17">
        <f t="shared" si="238"/>
        <v>12.367802740877126</v>
      </c>
      <c r="S354" s="17">
        <f t="shared" si="239"/>
        <v>1.4898528617084501</v>
      </c>
      <c r="T354" s="17" t="str">
        <f t="shared" si="229"/>
        <v>1+0.0431818379296905i</v>
      </c>
      <c r="U354" s="17">
        <f t="shared" si="240"/>
        <v>1.0009319013434361</v>
      </c>
      <c r="V354" s="17">
        <f t="shared" si="241"/>
        <v>4.3155027942923523E-2</v>
      </c>
      <c r="W354" s="31" t="str">
        <f t="shared" si="230"/>
        <v>1-0.106534783826538i</v>
      </c>
      <c r="X354" s="17">
        <f t="shared" si="242"/>
        <v>1.0056588189664362</v>
      </c>
      <c r="Y354" s="17">
        <f t="shared" si="243"/>
        <v>-0.10613446189088344</v>
      </c>
      <c r="Z354" s="31" t="str">
        <f t="shared" si="231"/>
        <v>0.999523984163039+0.148995272280623i</v>
      </c>
      <c r="AA354" s="17">
        <f t="shared" si="244"/>
        <v>1.0105680511866244</v>
      </c>
      <c r="AB354" s="17">
        <f t="shared" si="245"/>
        <v>0.14797660041945501</v>
      </c>
      <c r="AC354" s="66" t="str">
        <f t="shared" si="246"/>
        <v>-0.181682643120895-1.38954111807301i</v>
      </c>
      <c r="AD354" s="64">
        <f t="shared" si="247"/>
        <v>2.9310457605664637</v>
      </c>
      <c r="AE354" s="61">
        <f t="shared" si="248"/>
        <v>-97.449171503451737</v>
      </c>
      <c r="AF354" s="31" t="str">
        <f t="shared" si="232"/>
        <v>-9090.90909090909</v>
      </c>
      <c r="AG354" s="31" t="str">
        <f t="shared" si="233"/>
        <v>143939.459765635i</v>
      </c>
      <c r="AH354" s="31">
        <f t="shared" si="249"/>
        <v>143939.45976563499</v>
      </c>
      <c r="AI354" s="31">
        <f t="shared" si="250"/>
        <v>1.5707963267948966</v>
      </c>
      <c r="AJ354" s="31" t="str">
        <f t="shared" si="234"/>
        <v>-74.0579853175276+49.8386061254717i</v>
      </c>
      <c r="AK354" s="31">
        <f t="shared" si="251"/>
        <v>89.266297390566393</v>
      </c>
      <c r="AL354" s="31">
        <f t="shared" si="252"/>
        <v>2.5492407139117481</v>
      </c>
      <c r="AM354" s="31" t="str">
        <f t="shared" si="235"/>
        <v>1+189.683420079154i</v>
      </c>
      <c r="AN354" s="31">
        <f t="shared" si="253"/>
        <v>189.68605603186754</v>
      </c>
      <c r="AO354" s="31">
        <f t="shared" si="254"/>
        <v>1.5655244335778746</v>
      </c>
      <c r="AP354" s="31" t="str">
        <f t="shared" si="236"/>
        <v>1+31.6666811484397i</v>
      </c>
      <c r="AQ354" s="31">
        <f t="shared" si="255"/>
        <v>31.682466680436139</v>
      </c>
      <c r="AR354" s="31">
        <f t="shared" si="256"/>
        <v>1.5392278847343819</v>
      </c>
      <c r="AS354" s="58" t="str">
        <f t="shared" si="257"/>
        <v>-2.24241693084187+3.61263875813018i</v>
      </c>
      <c r="AT354" s="49">
        <f t="shared" si="258"/>
        <v>12.571886373117422</v>
      </c>
      <c r="AU354" s="61">
        <f t="shared" si="259"/>
        <v>121.82847040269004</v>
      </c>
      <c r="AV354" s="58" t="str">
        <f t="shared" si="237"/>
        <v>5.4273183341405+2.45957677104978i</v>
      </c>
      <c r="AW354" s="64">
        <f t="shared" si="260"/>
        <v>15.502932133683892</v>
      </c>
      <c r="AX354" s="49">
        <f t="shared" si="261"/>
        <v>24.379298899238254</v>
      </c>
      <c r="AY354" s="310"/>
      <c r="BA354" s="31">
        <f t="shared" si="262"/>
        <v>0</v>
      </c>
      <c r="BB354" s="31">
        <f t="shared" si="263"/>
        <v>0</v>
      </c>
    </row>
    <row r="355" spans="14:54" x14ac:dyDescent="0.45">
      <c r="N355" s="10">
        <v>37</v>
      </c>
      <c r="O355" s="50">
        <f t="shared" si="226"/>
        <v>23442.288153199243</v>
      </c>
      <c r="P355" s="48" t="str">
        <f t="shared" si="227"/>
        <v>17.4002386318441</v>
      </c>
      <c r="Q355" s="17" t="str">
        <f t="shared" si="228"/>
        <v>1+12.6144488077808i</v>
      </c>
      <c r="R355" s="17">
        <f t="shared" si="238"/>
        <v>12.654023815534821</v>
      </c>
      <c r="S355" s="17">
        <f t="shared" si="239"/>
        <v>1.4916875935902281</v>
      </c>
      <c r="T355" s="17" t="str">
        <f t="shared" si="229"/>
        <v>1+0.0441876721472556i</v>
      </c>
      <c r="U355" s="17">
        <f t="shared" si="240"/>
        <v>1.0009757990929617</v>
      </c>
      <c r="V355" s="17">
        <f t="shared" si="241"/>
        <v>4.4158946241156738E-2</v>
      </c>
      <c r="W355" s="31" t="str">
        <f t="shared" si="230"/>
        <v>1-0.109016297723842i</v>
      </c>
      <c r="X355" s="17">
        <f t="shared" si="242"/>
        <v>1.0059247253991788</v>
      </c>
      <c r="Y355" s="17">
        <f t="shared" si="243"/>
        <v>-0.10858748137458306</v>
      </c>
      <c r="Z355" s="31" t="str">
        <f t="shared" si="231"/>
        <v>0.999501550227794+0.152465818007724i</v>
      </c>
      <c r="AA355" s="17">
        <f t="shared" si="244"/>
        <v>1.0110633880071653</v>
      </c>
      <c r="AB355" s="17">
        <f t="shared" si="245"/>
        <v>0.1513749351463794</v>
      </c>
      <c r="AC355" s="66" t="str">
        <f t="shared" si="246"/>
        <v>-0.186610332115628-1.35664756533469i</v>
      </c>
      <c r="AD355" s="64">
        <f t="shared" si="247"/>
        <v>2.7307446653860108</v>
      </c>
      <c r="AE355" s="61">
        <f t="shared" si="248"/>
        <v>-97.832031516055793</v>
      </c>
      <c r="AF355" s="31" t="str">
        <f t="shared" si="232"/>
        <v>-9090.90909090909</v>
      </c>
      <c r="AG355" s="31" t="str">
        <f t="shared" si="233"/>
        <v>147292.240490852i</v>
      </c>
      <c r="AH355" s="31">
        <f t="shared" si="249"/>
        <v>147292.24049085201</v>
      </c>
      <c r="AI355" s="31">
        <f t="shared" si="250"/>
        <v>1.5707963267948966</v>
      </c>
      <c r="AJ355" s="31" t="str">
        <f t="shared" si="234"/>
        <v>-77.5953591851684+50.9994963932359i</v>
      </c>
      <c r="AK355" s="31">
        <f t="shared" si="251"/>
        <v>92.854662777046258</v>
      </c>
      <c r="AL355" s="31">
        <f t="shared" si="252"/>
        <v>2.5601381253671427</v>
      </c>
      <c r="AM355" s="31" t="str">
        <f t="shared" si="235"/>
        <v>1+194.101714518845i</v>
      </c>
      <c r="AN355" s="31">
        <f t="shared" si="253"/>
        <v>194.10429047075496</v>
      </c>
      <c r="AO355" s="31">
        <f t="shared" si="254"/>
        <v>1.5656444343701885</v>
      </c>
      <c r="AP355" s="31" t="str">
        <f t="shared" si="236"/>
        <v>1+32.4042929079874i</v>
      </c>
      <c r="AQ355" s="31">
        <f t="shared" si="255"/>
        <v>32.419719290373912</v>
      </c>
      <c r="AR355" s="31">
        <f t="shared" si="256"/>
        <v>1.539946009050291</v>
      </c>
      <c r="AS355" s="58" t="str">
        <f t="shared" si="257"/>
        <v>-2.17006190345352+3.57585360150172i</v>
      </c>
      <c r="AT355" s="49">
        <f t="shared" si="258"/>
        <v>12.429362292950048</v>
      </c>
      <c r="AU355" s="61">
        <f t="shared" si="259"/>
        <v>121.25211575008355</v>
      </c>
      <c r="AV355" s="58" t="str">
        <f t="shared" si="237"/>
        <v>5.25612905498553+2.27671796977268i</v>
      </c>
      <c r="AW355" s="64">
        <f t="shared" si="260"/>
        <v>15.160106958336064</v>
      </c>
      <c r="AX355" s="49">
        <f t="shared" si="261"/>
        <v>23.420084234027723</v>
      </c>
      <c r="AY355" s="310"/>
      <c r="BA355" s="31">
        <f t="shared" si="262"/>
        <v>0</v>
      </c>
      <c r="BB355" s="31">
        <f t="shared" si="263"/>
        <v>0</v>
      </c>
    </row>
    <row r="356" spans="14:54" x14ac:dyDescent="0.45">
      <c r="N356" s="10">
        <v>38</v>
      </c>
      <c r="O356" s="50">
        <f t="shared" si="226"/>
        <v>23988.329190194923</v>
      </c>
      <c r="P356" s="48" t="str">
        <f t="shared" si="227"/>
        <v>17.4002386318441</v>
      </c>
      <c r="Q356" s="17" t="str">
        <f t="shared" si="228"/>
        <v>1+12.9082770664863i</v>
      </c>
      <c r="R356" s="17">
        <f t="shared" si="238"/>
        <v>12.946953959336389</v>
      </c>
      <c r="S356" s="17">
        <f t="shared" si="239"/>
        <v>1.4934810777410259</v>
      </c>
      <c r="T356" s="17" t="str">
        <f t="shared" si="229"/>
        <v>1+0.045216935253486i</v>
      </c>
      <c r="U356" s="17">
        <f t="shared" si="240"/>
        <v>1.0010217636164152</v>
      </c>
      <c r="V356" s="17">
        <f t="shared" si="241"/>
        <v>4.5186156587146024E-2</v>
      </c>
      <c r="W356" s="31" t="str">
        <f t="shared" si="230"/>
        <v>1-0.111555613505199i</v>
      </c>
      <c r="X356" s="17">
        <f t="shared" si="242"/>
        <v>1.0062030883000317</v>
      </c>
      <c r="Y356" s="17">
        <f t="shared" si="243"/>
        <v>-0.111096281358503</v>
      </c>
      <c r="Z356" s="31" t="str">
        <f t="shared" si="231"/>
        <v>0.999478059013753+0.156017203129657i</v>
      </c>
      <c r="AA356" s="17">
        <f t="shared" si="244"/>
        <v>1.01158180990086</v>
      </c>
      <c r="AB356" s="17">
        <f t="shared" si="245"/>
        <v>0.15484902229587369</v>
      </c>
      <c r="AC356" s="66" t="str">
        <f t="shared" si="246"/>
        <v>-0.191296691622772-1.32444001450758i</v>
      </c>
      <c r="AD356" s="64">
        <f t="shared" si="247"/>
        <v>2.5303151026000608</v>
      </c>
      <c r="AE356" s="61">
        <f t="shared" si="248"/>
        <v>-98.218729953070564</v>
      </c>
      <c r="AF356" s="31" t="str">
        <f t="shared" si="232"/>
        <v>-9090.90909090909</v>
      </c>
      <c r="AG356" s="31" t="str">
        <f t="shared" si="233"/>
        <v>150723.11751162i</v>
      </c>
      <c r="AH356" s="31">
        <f t="shared" si="249"/>
        <v>150723.11751161999</v>
      </c>
      <c r="AI356" s="31">
        <f t="shared" si="250"/>
        <v>1.5707963267948966</v>
      </c>
      <c r="AJ356" s="31" t="str">
        <f t="shared" si="234"/>
        <v>-81.2994443471038+52.1874272690459i</v>
      </c>
      <c r="AK356" s="31">
        <f t="shared" si="251"/>
        <v>96.608111544061259</v>
      </c>
      <c r="AL356" s="31">
        <f t="shared" si="252"/>
        <v>2.5709212793242715</v>
      </c>
      <c r="AM356" s="31" t="str">
        <f t="shared" si="235"/>
        <v>1+198.622924256813i</v>
      </c>
      <c r="AN356" s="31">
        <f t="shared" si="253"/>
        <v>198.62544157365056</v>
      </c>
      <c r="AO356" s="31">
        <f t="shared" si="254"/>
        <v>1.5657617037543572</v>
      </c>
      <c r="AP356" s="31" t="str">
        <f t="shared" si="236"/>
        <v>1+33.1590858525564i</v>
      </c>
      <c r="AQ356" s="31">
        <f t="shared" si="255"/>
        <v>33.174161249038477</v>
      </c>
      <c r="AR356" s="31">
        <f t="shared" si="256"/>
        <v>1.5406478176185776</v>
      </c>
      <c r="AS356" s="58" t="str">
        <f t="shared" si="257"/>
        <v>-2.09913831040963+3.537993495869i</v>
      </c>
      <c r="AT356" s="49">
        <f t="shared" si="258"/>
        <v>12.284973614287862</v>
      </c>
      <c r="AU356" s="61">
        <f t="shared" si="259"/>
        <v>120.6812162482683</v>
      </c>
      <c r="AV356" s="58" t="str">
        <f t="shared" si="237"/>
        <v>5.08741837103644+2.10337632354972i</v>
      </c>
      <c r="AW356" s="64">
        <f t="shared" si="260"/>
        <v>14.815288716887922</v>
      </c>
      <c r="AX356" s="49">
        <f t="shared" si="261"/>
        <v>22.462486295197731</v>
      </c>
      <c r="AY356" s="310"/>
      <c r="BA356" s="31">
        <f t="shared" si="262"/>
        <v>0</v>
      </c>
      <c r="BB356" s="31">
        <f t="shared" si="263"/>
        <v>0</v>
      </c>
    </row>
    <row r="357" spans="14:54" x14ac:dyDescent="0.45">
      <c r="N357" s="10">
        <v>39</v>
      </c>
      <c r="O357" s="50">
        <f t="shared" si="226"/>
        <v>24547.089156850321</v>
      </c>
      <c r="P357" s="48" t="str">
        <f t="shared" si="227"/>
        <v>17.4002386318441</v>
      </c>
      <c r="Q357" s="17" t="str">
        <f t="shared" si="228"/>
        <v>1+13.2089494645538i</v>
      </c>
      <c r="R357" s="17">
        <f t="shared" si="238"/>
        <v>13.246748505091206</v>
      </c>
      <c r="S357" s="17">
        <f t="shared" si="239"/>
        <v>1.4952342189129511</v>
      </c>
      <c r="T357" s="17" t="str">
        <f t="shared" si="229"/>
        <v>1+0.0462701729773047i</v>
      </c>
      <c r="U357" s="17">
        <f t="shared" si="240"/>
        <v>1.0010698921191017</v>
      </c>
      <c r="V357" s="17">
        <f t="shared" si="241"/>
        <v>4.6237194945498855E-2</v>
      </c>
      <c r="W357" s="31" t="str">
        <f t="shared" si="230"/>
        <v>1-0.11415407754945i</v>
      </c>
      <c r="X357" s="17">
        <f t="shared" si="242"/>
        <v>1.0064944875264672</v>
      </c>
      <c r="Y357" s="17">
        <f t="shared" si="243"/>
        <v>-0.1136620656483603</v>
      </c>
      <c r="Z357" s="31" t="str">
        <f t="shared" si="231"/>
        <v>0.999453460692903+0.15965131063782i</v>
      </c>
      <c r="AA357" s="17">
        <f t="shared" si="244"/>
        <v>1.0121243802415758</v>
      </c>
      <c r="AB357" s="17">
        <f t="shared" si="245"/>
        <v>0.15840039032187603</v>
      </c>
      <c r="AC357" s="66" t="str">
        <f t="shared" si="246"/>
        <v>-0.195751351797407-1.29290404428366i</v>
      </c>
      <c r="AD357" s="64">
        <f t="shared" si="247"/>
        <v>2.3297565475602409</v>
      </c>
      <c r="AE357" s="61">
        <f t="shared" si="248"/>
        <v>-98.609444491409917</v>
      </c>
      <c r="AF357" s="31" t="str">
        <f t="shared" si="232"/>
        <v>-9090.90909090909</v>
      </c>
      <c r="AG357" s="31" t="str">
        <f t="shared" si="233"/>
        <v>154233.909924349i</v>
      </c>
      <c r="AH357" s="31">
        <f t="shared" si="249"/>
        <v>154233.90992434899</v>
      </c>
      <c r="AI357" s="31">
        <f t="shared" si="250"/>
        <v>1.5707963267948966</v>
      </c>
      <c r="AJ357" s="31" t="str">
        <f t="shared" si="234"/>
        <v>-85.1780976645783+53.4030286095762i</v>
      </c>
      <c r="AK357" s="31">
        <f t="shared" si="251"/>
        <v>100.53453031884942</v>
      </c>
      <c r="AL357" s="31">
        <f t="shared" si="252"/>
        <v>2.5815870924310915</v>
      </c>
      <c r="AM357" s="31" t="str">
        <f t="shared" si="235"/>
        <v>1+203.249446498307i</v>
      </c>
      <c r="AN357" s="31">
        <f t="shared" si="253"/>
        <v>203.25190651471922</v>
      </c>
      <c r="AO357" s="31">
        <f t="shared" si="254"/>
        <v>1.5658763038952515</v>
      </c>
      <c r="AP357" s="31" t="str">
        <f t="shared" si="236"/>
        <v>1+33.9314601833567i</v>
      </c>
      <c r="AQ357" s="31">
        <f t="shared" si="255"/>
        <v>33.946192572580522</v>
      </c>
      <c r="AR357" s="31">
        <f t="shared" si="256"/>
        <v>1.5413336797805284</v>
      </c>
      <c r="AS357" s="58" t="str">
        <f t="shared" si="257"/>
        <v>-2.0296769805682+3.49912783869484i</v>
      </c>
      <c r="AT357" s="49">
        <f t="shared" si="258"/>
        <v>12.138757835131953</v>
      </c>
      <c r="AU357" s="61">
        <f t="shared" si="259"/>
        <v>120.11597328378443</v>
      </c>
      <c r="AV357" s="58" t="str">
        <f t="shared" si="237"/>
        <v>4.9213485467724+1.93921857222962i</v>
      </c>
      <c r="AW357" s="64">
        <f t="shared" si="260"/>
        <v>14.468514382692184</v>
      </c>
      <c r="AX357" s="49">
        <f t="shared" si="261"/>
        <v>21.506528792374539</v>
      </c>
      <c r="AY357" s="310"/>
      <c r="BA357" s="31">
        <f t="shared" si="262"/>
        <v>0</v>
      </c>
      <c r="BB357" s="31">
        <f t="shared" si="263"/>
        <v>0</v>
      </c>
    </row>
    <row r="358" spans="14:54" x14ac:dyDescent="0.45">
      <c r="N358" s="10">
        <v>40</v>
      </c>
      <c r="O358" s="50">
        <f t="shared" si="226"/>
        <v>25118.86431509586</v>
      </c>
      <c r="P358" s="48" t="str">
        <f t="shared" si="227"/>
        <v>17.4002386318441</v>
      </c>
      <c r="Q358" s="17" t="str">
        <f t="shared" si="228"/>
        <v>1+13.5166254224686i</v>
      </c>
      <c r="R358" s="17">
        <f t="shared" si="238"/>
        <v>13.553566424056971</v>
      </c>
      <c r="S358" s="17">
        <f t="shared" si="239"/>
        <v>1.4969479035142659</v>
      </c>
      <c r="T358" s="17" t="str">
        <f t="shared" si="229"/>
        <v>1+0.0473479437592944i</v>
      </c>
      <c r="U358" s="17">
        <f t="shared" si="240"/>
        <v>1.001120286368343</v>
      </c>
      <c r="V358" s="17">
        <f t="shared" si="241"/>
        <v>4.7312609296878187E-2</v>
      </c>
      <c r="W358" s="31" t="str">
        <f t="shared" si="230"/>
        <v>1-0.116813067596627i</v>
      </c>
      <c r="X358" s="17">
        <f t="shared" si="242"/>
        <v>1.0067995295794163</v>
      </c>
      <c r="Y358" s="17">
        <f t="shared" si="243"/>
        <v>-0.11628605945419297</v>
      </c>
      <c r="Z358" s="31" t="str">
        <f t="shared" si="231"/>
        <v>0.999427703088907+0.16337006738412i</v>
      </c>
      <c r="AA358" s="17">
        <f t="shared" si="244"/>
        <v>1.0126922102093312</v>
      </c>
      <c r="AB358" s="17">
        <f t="shared" si="245"/>
        <v>0.16203058728429673</v>
      </c>
      <c r="AC358" s="66" t="str">
        <f t="shared" si="246"/>
        <v>-0.199983491196282-1.26202544621949i</v>
      </c>
      <c r="AD358" s="64">
        <f t="shared" si="247"/>
        <v>2.1290682463903403</v>
      </c>
      <c r="AE358" s="61">
        <f t="shared" si="248"/>
        <v>-99.004353418210584</v>
      </c>
      <c r="AF358" s="31" t="str">
        <f t="shared" si="232"/>
        <v>-9090.90909090909</v>
      </c>
      <c r="AG358" s="31" t="str">
        <f t="shared" si="233"/>
        <v>157826.479197648i</v>
      </c>
      <c r="AH358" s="31">
        <f t="shared" si="249"/>
        <v>157826.479197648</v>
      </c>
      <c r="AI358" s="31">
        <f t="shared" si="250"/>
        <v>1.5707963267948966</v>
      </c>
      <c r="AJ358" s="31" t="str">
        <f t="shared" si="234"/>
        <v>-89.2395462812991+54.646944942748i</v>
      </c>
      <c r="AK358" s="31">
        <f t="shared" si="251"/>
        <v>104.64217702278491</v>
      </c>
      <c r="AL358" s="31">
        <f t="shared" si="252"/>
        <v>2.5921326895659909</v>
      </c>
      <c r="AM358" s="31" t="str">
        <f t="shared" si="235"/>
        <v>1+207.98373428666i</v>
      </c>
      <c r="AN358" s="31">
        <f t="shared" si="253"/>
        <v>207.98613830691693</v>
      </c>
      <c r="AO358" s="31">
        <f t="shared" si="254"/>
        <v>1.5659882955433355</v>
      </c>
      <c r="AP358" s="31" t="str">
        <f t="shared" si="236"/>
        <v>1+34.7218254234825i</v>
      </c>
      <c r="AQ358" s="31">
        <f t="shared" si="255"/>
        <v>34.736222603196161</v>
      </c>
      <c r="AR358" s="31">
        <f t="shared" si="256"/>
        <v>1.5420039566067896</v>
      </c>
      <c r="AS358" s="58" t="str">
        <f t="shared" si="257"/>
        <v>-1.9617044571361+3.4593263336291i</v>
      </c>
      <c r="AT358" s="49">
        <f t="shared" si="258"/>
        <v>11.99075321633228</v>
      </c>
      <c r="AU358" s="61">
        <f t="shared" si="259"/>
        <v>119.55657575753564</v>
      </c>
      <c r="AV358" s="58" t="str">
        <f t="shared" si="237"/>
        <v>4.75806636585048+1.78391278548157i</v>
      </c>
      <c r="AW358" s="64">
        <f t="shared" si="260"/>
        <v>14.119821462722621</v>
      </c>
      <c r="AX358" s="49">
        <f t="shared" si="261"/>
        <v>20.552222339325091</v>
      </c>
      <c r="AY358" s="310"/>
      <c r="BA358" s="31">
        <f t="shared" si="262"/>
        <v>0</v>
      </c>
      <c r="BB358" s="31">
        <f t="shared" si="263"/>
        <v>0</v>
      </c>
    </row>
    <row r="359" spans="14:54" x14ac:dyDescent="0.45">
      <c r="N359" s="10">
        <v>41</v>
      </c>
      <c r="O359" s="50">
        <f t="shared" si="226"/>
        <v>25703.95782768865</v>
      </c>
      <c r="P359" s="48" t="str">
        <f t="shared" si="227"/>
        <v>17.4002386318441</v>
      </c>
      <c r="Q359" s="17" t="str">
        <f t="shared" si="228"/>
        <v>1+13.831468074096i</v>
      </c>
      <c r="R359" s="17">
        <f t="shared" si="238"/>
        <v>13.867570410303923</v>
      </c>
      <c r="S359" s="17">
        <f t="shared" si="239"/>
        <v>1.4986229998798652</v>
      </c>
      <c r="T359" s="17" t="str">
        <f t="shared" si="229"/>
        <v>1+0.0484508190477891i</v>
      </c>
      <c r="U359" s="17">
        <f t="shared" si="240"/>
        <v>1.0011730529066398</v>
      </c>
      <c r="V359" s="17">
        <f t="shared" si="241"/>
        <v>4.8412959884677219E-2</v>
      </c>
      <c r="W359" s="31" t="str">
        <f t="shared" si="230"/>
        <v>1-0.119533993478446i</v>
      </c>
      <c r="X359" s="17">
        <f t="shared" si="242"/>
        <v>1.0071188487943741</v>
      </c>
      <c r="Y359" s="17">
        <f t="shared" si="243"/>
        <v>-0.11896950943740088</v>
      </c>
      <c r="Z359" s="31" t="str">
        <f t="shared" si="231"/>
        <v>0.999400731566433+0.167175445102604i</v>
      </c>
      <c r="AA359" s="17">
        <f t="shared" si="244"/>
        <v>1.0132864608296981</v>
      </c>
      <c r="AB359" s="17">
        <f t="shared" si="245"/>
        <v>0.16574118026522663</v>
      </c>
      <c r="AC359" s="66" t="str">
        <f t="shared" si="246"/>
        <v>-0.204001853961569-1.23179022839753i</v>
      </c>
      <c r="AD359" s="64">
        <f t="shared" si="247"/>
        <v>1.9282492176830881</v>
      </c>
      <c r="AE359" s="61">
        <f t="shared" si="248"/>
        <v>-99.403635601441934</v>
      </c>
      <c r="AF359" s="31" t="str">
        <f t="shared" si="232"/>
        <v>-9090.90909090909</v>
      </c>
      <c r="AG359" s="31" t="str">
        <f t="shared" si="233"/>
        <v>161502.730159297i</v>
      </c>
      <c r="AH359" s="31">
        <f t="shared" si="249"/>
        <v>161502.730159297</v>
      </c>
      <c r="AI359" s="31">
        <f t="shared" si="250"/>
        <v>1.5707963267948966</v>
      </c>
      <c r="AJ359" s="31" t="str">
        <f t="shared" si="234"/>
        <v>-93.4924050743083+55.9198358094661i</v>
      </c>
      <c r="AK359" s="31">
        <f t="shared" si="251"/>
        <v>108.93969819829772</v>
      </c>
      <c r="AL359" s="31">
        <f t="shared" si="252"/>
        <v>2.6025554043466999</v>
      </c>
      <c r="AM359" s="31" t="str">
        <f t="shared" si="235"/>
        <v>1+212.828297803921i</v>
      </c>
      <c r="AN359" s="31">
        <f t="shared" si="253"/>
        <v>212.83064710260712</v>
      </c>
      <c r="AO359" s="31">
        <f t="shared" si="254"/>
        <v>1.5660977380668204</v>
      </c>
      <c r="AP359" s="31" t="str">
        <f t="shared" si="236"/>
        <v>1+35.5306006350453i</v>
      </c>
      <c r="AQ359" s="31">
        <f t="shared" si="255"/>
        <v>35.544670226168677</v>
      </c>
      <c r="AR359" s="31">
        <f t="shared" si="256"/>
        <v>1.5426590010765397</v>
      </c>
      <c r="AS359" s="58" t="str">
        <f t="shared" si="257"/>
        <v>-1.89524307682186+3.41865870464781i</v>
      </c>
      <c r="AT359" s="49">
        <f t="shared" si="258"/>
        <v>11.840998670017784</v>
      </c>
      <c r="AU359" s="61">
        <f t="shared" si="259"/>
        <v>119.00320006773742</v>
      </c>
      <c r="AV359" s="58" t="str">
        <f t="shared" si="237"/>
        <v>4.59770348799082+1.63712918865723i</v>
      </c>
      <c r="AW359" s="64">
        <f t="shared" si="260"/>
        <v>13.76924788770088</v>
      </c>
      <c r="AX359" s="49">
        <f t="shared" si="261"/>
        <v>19.599564466295494</v>
      </c>
      <c r="AY359" s="310"/>
      <c r="BA359" s="31">
        <f t="shared" si="262"/>
        <v>0</v>
      </c>
      <c r="BB359" s="31">
        <f t="shared" si="263"/>
        <v>0</v>
      </c>
    </row>
    <row r="360" spans="14:54" x14ac:dyDescent="0.45">
      <c r="N360" s="10">
        <v>42</v>
      </c>
      <c r="O360" s="50">
        <f t="shared" si="226"/>
        <v>26302.679918953829</v>
      </c>
      <c r="P360" s="48" t="str">
        <f t="shared" si="227"/>
        <v>17.4002386318441</v>
      </c>
      <c r="Q360" s="17" t="str">
        <f t="shared" si="228"/>
        <v>1+14.1536443531774i</v>
      </c>
      <c r="R360" s="17">
        <f t="shared" si="238"/>
        <v>14.188926967048301</v>
      </c>
      <c r="S360" s="17">
        <f t="shared" si="239"/>
        <v>1.5002603585450764</v>
      </c>
      <c r="T360" s="17" t="str">
        <f t="shared" si="229"/>
        <v>1+0.0495793836018654i</v>
      </c>
      <c r="U360" s="17">
        <f t="shared" si="240"/>
        <v>1.0012283032747031</v>
      </c>
      <c r="V360" s="17">
        <f t="shared" si="241"/>
        <v>4.9538819465099942E-2</v>
      </c>
      <c r="W360" s="31" t="str">
        <f t="shared" si="230"/>
        <v>1-0.122318297865827i</v>
      </c>
      <c r="X360" s="17">
        <f t="shared" si="242"/>
        <v>1.0074531085826244</v>
      </c>
      <c r="Y360" s="17">
        <f t="shared" si="243"/>
        <v>-0.12171368372932548</v>
      </c>
      <c r="Z360" s="31" t="str">
        <f t="shared" si="231"/>
        <v>0.999372488915266+0.17106946145491i</v>
      </c>
      <c r="AA360" s="17">
        <f t="shared" si="244"/>
        <v>1.0139083450900117</v>
      </c>
      <c r="AB360" s="17">
        <f t="shared" si="245"/>
        <v>0.16953375470904228</v>
      </c>
      <c r="AC360" s="66" t="str">
        <f t="shared" si="246"/>
        <v>-0.207814766380564-1.20218461860459i</v>
      </c>
      <c r="AD360" s="64">
        <f t="shared" si="247"/>
        <v>1.7272982540657846</v>
      </c>
      <c r="AE360" s="61">
        <f t="shared" si="248"/>
        <v>-99.807470454520555</v>
      </c>
      <c r="AF360" s="31" t="str">
        <f t="shared" si="232"/>
        <v>-9090.90909090909</v>
      </c>
      <c r="AG360" s="31" t="str">
        <f t="shared" si="233"/>
        <v>165264.612006218i</v>
      </c>
      <c r="AH360" s="31">
        <f t="shared" si="249"/>
        <v>165264.612006218</v>
      </c>
      <c r="AI360" s="31">
        <f t="shared" si="250"/>
        <v>1.5707963267948966</v>
      </c>
      <c r="AJ360" s="31" t="str">
        <f t="shared" si="234"/>
        <v>-97.9456949272977+57.222376113317i</v>
      </c>
      <c r="AK360" s="31">
        <f t="shared" si="251"/>
        <v>113.43614716149865</v>
      </c>
      <c r="AL360" s="31">
        <f t="shared" si="252"/>
        <v>2.6128527788004061</v>
      </c>
      <c r="AM360" s="31" t="str">
        <f t="shared" si="235"/>
        <v>1+217.785705701794i</v>
      </c>
      <c r="AN360" s="31">
        <f t="shared" si="253"/>
        <v>217.78800152448349</v>
      </c>
      <c r="AO360" s="31">
        <f t="shared" si="254"/>
        <v>1.5662046894830874</v>
      </c>
      <c r="AP360" s="31" t="str">
        <f t="shared" si="236"/>
        <v>1+36.3582146413679i</v>
      </c>
      <c r="AQ360" s="31">
        <f t="shared" si="255"/>
        <v>36.371964091973084</v>
      </c>
      <c r="AR360" s="31">
        <f t="shared" si="256"/>
        <v>1.5432991582531916</v>
      </c>
      <c r="AS360" s="58" t="str">
        <f t="shared" si="257"/>
        <v>-1.83031106882745+3.37719442455055i</v>
      </c>
      <c r="AT360" s="49">
        <f t="shared" si="258"/>
        <v>11.689533650385052</v>
      </c>
      <c r="AU360" s="61">
        <f t="shared" si="259"/>
        <v>118.45601014068653</v>
      </c>
      <c r="AV360" s="58" t="str">
        <f t="shared" si="237"/>
        <v>4.44037685840399+1.49854094384637i</v>
      </c>
      <c r="AW360" s="64">
        <f t="shared" si="260"/>
        <v>13.416831904450838</v>
      </c>
      <c r="AX360" s="49">
        <f t="shared" si="261"/>
        <v>18.648539686165954</v>
      </c>
      <c r="AY360" s="310"/>
      <c r="BA360" s="31">
        <f t="shared" si="262"/>
        <v>0</v>
      </c>
      <c r="BB360" s="31">
        <f t="shared" si="263"/>
        <v>0</v>
      </c>
    </row>
    <row r="361" spans="14:54" x14ac:dyDescent="0.45">
      <c r="N361" s="10">
        <v>43</v>
      </c>
      <c r="O361" s="50">
        <f t="shared" si="226"/>
        <v>26915.348039269167</v>
      </c>
      <c r="P361" s="48" t="str">
        <f t="shared" si="227"/>
        <v>17.4002386318441</v>
      </c>
      <c r="Q361" s="17" t="str">
        <f t="shared" si="228"/>
        <v>1+14.4833250818405i</v>
      </c>
      <c r="R361" s="17">
        <f t="shared" si="238"/>
        <v>14.517806495000206</v>
      </c>
      <c r="S361" s="17">
        <f t="shared" si="239"/>
        <v>1.5018608125221058</v>
      </c>
      <c r="T361" s="17" t="str">
        <f t="shared" si="229"/>
        <v>1+0.0507342358013883i</v>
      </c>
      <c r="U361" s="17">
        <f t="shared" si="240"/>
        <v>1.0012861542448048</v>
      </c>
      <c r="V361" s="17">
        <f t="shared" si="241"/>
        <v>5.0690773560557248E-2</v>
      </c>
      <c r="W361" s="31" t="str">
        <f t="shared" si="230"/>
        <v>1-0.125167457033811i</v>
      </c>
      <c r="X361" s="17">
        <f t="shared" si="242"/>
        <v>1.0078030027243969</v>
      </c>
      <c r="Y361" s="17">
        <f t="shared" si="243"/>
        <v>-0.12451987191888118</v>
      </c>
      <c r="Z361" s="31" t="str">
        <f t="shared" si="231"/>
        <v>0.999342915228957+0.175054181100053i</v>
      </c>
      <c r="AA361" s="17">
        <f t="shared" si="244"/>
        <v>1.0145591301343262</v>
      </c>
      <c r="AB361" s="17">
        <f t="shared" si="245"/>
        <v>0.17340991368144967</v>
      </c>
      <c r="AC361" s="66" t="str">
        <f t="shared" si="246"/>
        <v>-0.211430152839411-1.17319506707036i</v>
      </c>
      <c r="AD361" s="64">
        <f t="shared" si="247"/>
        <v>1.5262139236618701</v>
      </c>
      <c r="AE361" s="61">
        <f t="shared" si="248"/>
        <v>-100.21603789446837</v>
      </c>
      <c r="AF361" s="31" t="str">
        <f t="shared" si="232"/>
        <v>-9090.90909090909</v>
      </c>
      <c r="AG361" s="31" t="str">
        <f t="shared" si="233"/>
        <v>169114.119337961i</v>
      </c>
      <c r="AH361" s="31">
        <f t="shared" si="249"/>
        <v>169114.11933796099</v>
      </c>
      <c r="AI361" s="31">
        <f t="shared" si="250"/>
        <v>1.5707963267948966</v>
      </c>
      <c r="AJ361" s="31" t="str">
        <f t="shared" si="234"/>
        <v>-102.608861865109+58.555256478411i</v>
      </c>
      <c r="AK361" s="31">
        <f t="shared" si="251"/>
        <v>118.1410030197201</v>
      </c>
      <c r="AL361" s="31">
        <f t="shared" si="252"/>
        <v>2.6230225622401724</v>
      </c>
      <c r="AM361" s="31" t="str">
        <f t="shared" si="235"/>
        <v>1+222.858586463565i</v>
      </c>
      <c r="AN361" s="31">
        <f t="shared" si="253"/>
        <v>222.86083002748214</v>
      </c>
      <c r="AO361" s="31">
        <f t="shared" si="254"/>
        <v>1.5663092064894006</v>
      </c>
      <c r="AP361" s="31" t="str">
        <f t="shared" si="236"/>
        <v>1+37.2051062543514i</v>
      </c>
      <c r="AQ361" s="31">
        <f t="shared" si="255"/>
        <v>37.218542843555518</v>
      </c>
      <c r="AR361" s="31">
        <f t="shared" si="256"/>
        <v>1.543924765456655</v>
      </c>
      <c r="AS361" s="58" t="str">
        <f t="shared" si="257"/>
        <v>-1.7669226717167+3.33500245909619i</v>
      </c>
      <c r="AT361" s="49">
        <f t="shared" si="258"/>
        <v>11.536398047336123</v>
      </c>
      <c r="AU361" s="61">
        <f t="shared" si="259"/>
        <v>117.91515750676623</v>
      </c>
      <c r="AV361" s="58" t="str">
        <f t="shared" si="237"/>
        <v>4.28618916421565+1.36782488270629i</v>
      </c>
      <c r="AW361" s="64">
        <f t="shared" si="260"/>
        <v>13.062611970997988</v>
      </c>
      <c r="AX361" s="49">
        <f t="shared" si="261"/>
        <v>17.699119612297807</v>
      </c>
      <c r="AY361" s="310"/>
      <c r="BA361" s="31">
        <f t="shared" si="262"/>
        <v>0</v>
      </c>
      <c r="BB361" s="31">
        <f t="shared" si="263"/>
        <v>0</v>
      </c>
    </row>
    <row r="362" spans="14:54" x14ac:dyDescent="0.45">
      <c r="N362" s="10">
        <v>44</v>
      </c>
      <c r="O362" s="50">
        <f t="shared" si="226"/>
        <v>27542.287033381719</v>
      </c>
      <c r="P362" s="48" t="str">
        <f t="shared" si="227"/>
        <v>17.4002386318441</v>
      </c>
      <c r="Q362" s="17" t="str">
        <f t="shared" si="228"/>
        <v>1+14.8206850611715i</v>
      </c>
      <c r="R362" s="17">
        <f t="shared" si="238"/>
        <v>14.854383382773991</v>
      </c>
      <c r="S362" s="17">
        <f t="shared" si="239"/>
        <v>1.5034251775785157</v>
      </c>
      <c r="T362" s="17" t="str">
        <f t="shared" si="229"/>
        <v>1+0.0519159879642802i</v>
      </c>
      <c r="U362" s="17">
        <f t="shared" si="240"/>
        <v>1.0013467280649131</v>
      </c>
      <c r="V362" s="17">
        <f t="shared" si="241"/>
        <v>5.1869420716285537E-2</v>
      </c>
      <c r="W362" s="31" t="str">
        <f t="shared" si="230"/>
        <v>1-0.128082981644301i</v>
      </c>
      <c r="X362" s="17">
        <f t="shared" si="242"/>
        <v>1.0081692567158027</v>
      </c>
      <c r="Y362" s="17">
        <f t="shared" si="243"/>
        <v>-0.12738938500664904</v>
      </c>
      <c r="Z362" s="31" t="str">
        <f t="shared" si="231"/>
        <v>0.999311947777751+0.17913171678913i</v>
      </c>
      <c r="AA362" s="17">
        <f t="shared" si="244"/>
        <v>1.0152401395390076</v>
      </c>
      <c r="AB362" s="17">
        <f t="shared" si="245"/>
        <v>0.17737127704236533</v>
      </c>
      <c r="AC362" s="66" t="str">
        <f t="shared" si="246"/>
        <v>-0.21485555118981-1.14480824880634i</v>
      </c>
      <c r="AD362" s="64">
        <f t="shared" si="247"/>
        <v>1.3249945714769695</v>
      </c>
      <c r="AE362" s="61">
        <f t="shared" si="248"/>
        <v>-100.62951829314498</v>
      </c>
      <c r="AF362" s="31" t="str">
        <f t="shared" si="232"/>
        <v>-9090.90909090909</v>
      </c>
      <c r="AG362" s="31" t="str">
        <f t="shared" si="233"/>
        <v>173053.293214267i</v>
      </c>
      <c r="AH362" s="31">
        <f t="shared" si="249"/>
        <v>173053.293214267</v>
      </c>
      <c r="AI362" s="31">
        <f t="shared" si="250"/>
        <v>1.5707963267948966</v>
      </c>
      <c r="AJ362" s="31" t="str">
        <f t="shared" si="234"/>
        <v>-107.491797090018+59.9191836155603i</v>
      </c>
      <c r="AK362" s="31">
        <f t="shared" si="251"/>
        <v>123.06419059497703</v>
      </c>
      <c r="AL362" s="31">
        <f t="shared" si="252"/>
        <v>2.6330627093963526</v>
      </c>
      <c r="AM362" s="31" t="str">
        <f t="shared" si="235"/>
        <v>1+228.049629797761i</v>
      </c>
      <c r="AN362" s="31">
        <f t="shared" si="253"/>
        <v>228.05182229242513</v>
      </c>
      <c r="AO362" s="31">
        <f t="shared" si="254"/>
        <v>1.5664113444929213</v>
      </c>
      <c r="AP362" s="31" t="str">
        <f t="shared" si="236"/>
        <v>1+38.0717245071387i</v>
      </c>
      <c r="AQ362" s="31">
        <f t="shared" si="255"/>
        <v>38.084855348910871</v>
      </c>
      <c r="AR362" s="31">
        <f t="shared" si="256"/>
        <v>1.5445361524322052</v>
      </c>
      <c r="AS362" s="58" t="str">
        <f t="shared" si="257"/>
        <v>-1.70508826614804+3.29215102780754i</v>
      </c>
      <c r="AT362" s="49">
        <f t="shared" si="258"/>
        <v>11.381632083405869</v>
      </c>
      <c r="AU362" s="61">
        <f t="shared" si="259"/>
        <v>117.38078141890483</v>
      </c>
      <c r="AV362" s="58" t="str">
        <f t="shared" si="237"/>
        <v>4.13522933220086+1.24466218834949i</v>
      </c>
      <c r="AW362" s="64">
        <f t="shared" si="260"/>
        <v>12.706626654882847</v>
      </c>
      <c r="AX362" s="49">
        <f t="shared" si="261"/>
        <v>16.751263125759859</v>
      </c>
      <c r="AY362" s="310"/>
      <c r="BA362" s="31">
        <f t="shared" si="262"/>
        <v>0</v>
      </c>
      <c r="BB362" s="31">
        <f t="shared" si="263"/>
        <v>0</v>
      </c>
    </row>
    <row r="363" spans="14:54" x14ac:dyDescent="0.45">
      <c r="N363" s="10">
        <v>45</v>
      </c>
      <c r="O363" s="50">
        <f t="shared" si="226"/>
        <v>28183.829312644593</v>
      </c>
      <c r="P363" s="48" t="str">
        <f t="shared" si="227"/>
        <v>17.4002386318441</v>
      </c>
      <c r="Q363" s="17" t="str">
        <f t="shared" si="228"/>
        <v>1+15.1659031638968i</v>
      </c>
      <c r="R363" s="17">
        <f t="shared" si="238"/>
        <v>15.198836099408894</v>
      </c>
      <c r="S363" s="17">
        <f t="shared" si="239"/>
        <v>1.5049542525171555</v>
      </c>
      <c r="T363" s="17" t="str">
        <f t="shared" si="229"/>
        <v>1+0.0531252666711798i</v>
      </c>
      <c r="U363" s="17">
        <f t="shared" si="240"/>
        <v>1.0014101527141035</v>
      </c>
      <c r="V363" s="17">
        <f t="shared" si="241"/>
        <v>5.307537276007418E-2</v>
      </c>
      <c r="W363" s="31" t="str">
        <f t="shared" si="230"/>
        <v>1-0.131066417547038i</v>
      </c>
      <c r="X363" s="17">
        <f t="shared" si="242"/>
        <v>1.0085526291714351</v>
      </c>
      <c r="Y363" s="17">
        <f t="shared" si="243"/>
        <v>-0.13032355532266177</v>
      </c>
      <c r="Z363" s="31" t="str">
        <f t="shared" si="231"/>
        <v>0.999279520875534+0.183304230485538i</v>
      </c>
      <c r="AA363" s="17">
        <f t="shared" si="244"/>
        <v>1.0159527556708197</v>
      </c>
      <c r="AB363" s="17">
        <f t="shared" si="245"/>
        <v>0.18141948052733145</v>
      </c>
      <c r="AC363" s="66" t="str">
        <f t="shared" si="246"/>
        <v>-0.218098127548233-1.1170110655834i</v>
      </c>
      <c r="AD363" s="64">
        <f t="shared" si="247"/>
        <v>1.123638320742256</v>
      </c>
      <c r="AE363" s="61">
        <f t="shared" si="248"/>
        <v>-101.04809242106279</v>
      </c>
      <c r="AF363" s="31" t="str">
        <f t="shared" si="232"/>
        <v>-9090.90909090909</v>
      </c>
      <c r="AG363" s="31" t="str">
        <f t="shared" si="233"/>
        <v>177084.222237266i</v>
      </c>
      <c r="AH363" s="31">
        <f t="shared" si="249"/>
        <v>177084.22223726599</v>
      </c>
      <c r="AI363" s="31">
        <f t="shared" si="250"/>
        <v>1.5707963267948966</v>
      </c>
      <c r="AJ363" s="31" t="str">
        <f t="shared" si="234"/>
        <v>-112.604857962303+61.3148806969866i</v>
      </c>
      <c r="AK363" s="31">
        <f t="shared" si="251"/>
        <v>128.21610129619498</v>
      </c>
      <c r="AL363" s="31">
        <f t="shared" si="252"/>
        <v>2.6429713778543769</v>
      </c>
      <c r="AM363" s="31" t="str">
        <f t="shared" si="235"/>
        <v>1+233.361588064269i</v>
      </c>
      <c r="AN363" s="31">
        <f t="shared" si="253"/>
        <v>233.36373065212507</v>
      </c>
      <c r="AO363" s="31">
        <f t="shared" si="254"/>
        <v>1.5665111576400419</v>
      </c>
      <c r="AP363" s="31" t="str">
        <f t="shared" si="236"/>
        <v>1+38.9585288921985i</v>
      </c>
      <c r="AQ363" s="31">
        <f t="shared" si="255"/>
        <v>38.971360939082757</v>
      </c>
      <c r="AR363" s="31">
        <f t="shared" si="256"/>
        <v>1.545133641516</v>
      </c>
      <c r="AS363" s="58" t="str">
        <f t="shared" si="257"/>
        <v>-1.64481452143832+3.24870738223072i</v>
      </c>
      <c r="AT363" s="49">
        <f t="shared" si="258"/>
        <v>11.225276214364824</v>
      </c>
      <c r="AU363" s="61">
        <f t="shared" si="259"/>
        <v>116.85300901054201</v>
      </c>
      <c r="AV363" s="58" t="str">
        <f t="shared" si="237"/>
        <v>3.98757306208404+1.12873902426223i</v>
      </c>
      <c r="AW363" s="64">
        <f t="shared" si="260"/>
        <v>12.348914535107088</v>
      </c>
      <c r="AX363" s="49">
        <f t="shared" si="261"/>
        <v>15.804916589479257</v>
      </c>
      <c r="AY363" s="310"/>
      <c r="BA363" s="31">
        <f t="shared" si="262"/>
        <v>0</v>
      </c>
      <c r="BB363" s="31">
        <f t="shared" si="263"/>
        <v>0</v>
      </c>
    </row>
    <row r="364" spans="14:54" x14ac:dyDescent="0.45">
      <c r="N364" s="10">
        <v>46</v>
      </c>
      <c r="O364" s="50">
        <f t="shared" si="226"/>
        <v>28840.315031266062</v>
      </c>
      <c r="P364" s="48" t="str">
        <f t="shared" si="227"/>
        <v>17.4002386318441</v>
      </c>
      <c r="Q364" s="17" t="str">
        <f t="shared" si="228"/>
        <v>1+15.5191624292241i</v>
      </c>
      <c r="R364" s="17">
        <f t="shared" si="238"/>
        <v>15.551347289049938</v>
      </c>
      <c r="S364" s="17">
        <f t="shared" si="239"/>
        <v>1.5064488194570256</v>
      </c>
      <c r="T364" s="17" t="str">
        <f t="shared" si="229"/>
        <v>1+0.0543627130976644i</v>
      </c>
      <c r="U364" s="17">
        <f t="shared" si="240"/>
        <v>1.001476562169749</v>
      </c>
      <c r="V364" s="17">
        <f t="shared" si="241"/>
        <v>5.4309255064976504E-2</v>
      </c>
      <c r="W364" s="31" t="str">
        <f t="shared" si="230"/>
        <v>1-0.134119346599226i</v>
      </c>
      <c r="X364" s="17">
        <f t="shared" si="242"/>
        <v>1.0089539132845482</v>
      </c>
      <c r="Y364" s="17">
        <f t="shared" si="243"/>
        <v>-0.13332373640494138</v>
      </c>
      <c r="Z364" s="31" t="str">
        <f t="shared" si="231"/>
        <v>0.999245565740496+0.187573934511266i</v>
      </c>
      <c r="AA364" s="17">
        <f t="shared" si="244"/>
        <v>1.0166984221292372</v>
      </c>
      <c r="AB364" s="17">
        <f t="shared" si="245"/>
        <v>0.1855561747319347</v>
      </c>
      <c r="AC364" s="66" t="str">
        <f t="shared" si="246"/>
        <v>-0.221164690547678-1.08979064758322i</v>
      </c>
      <c r="AD364" s="64">
        <f t="shared" si="247"/>
        <v>0.92214307424547326</v>
      </c>
      <c r="AE364" s="61">
        <f t="shared" si="248"/>
        <v>-101.47194138328004</v>
      </c>
      <c r="AF364" s="31" t="str">
        <f t="shared" si="232"/>
        <v>-9090.90909090909</v>
      </c>
      <c r="AG364" s="31" t="str">
        <f t="shared" si="233"/>
        <v>181209.043658881i</v>
      </c>
      <c r="AH364" s="31">
        <f t="shared" si="249"/>
        <v>181209.04365888101</v>
      </c>
      <c r="AI364" s="31">
        <f t="shared" si="250"/>
        <v>1.5707963267948966</v>
      </c>
      <c r="AJ364" s="31" t="str">
        <f t="shared" si="234"/>
        <v>-117.958889969594+62.7430877397567i</v>
      </c>
      <c r="AK364" s="31">
        <f t="shared" si="251"/>
        <v>133.60761498499099</v>
      </c>
      <c r="AL364" s="31">
        <f t="shared" si="252"/>
        <v>2.6527469248522637</v>
      </c>
      <c r="AM364" s="31" t="str">
        <f t="shared" si="235"/>
        <v>1+238.797277733673i</v>
      </c>
      <c r="AN364" s="31">
        <f t="shared" si="253"/>
        <v>238.79937155070775</v>
      </c>
      <c r="AO364" s="31">
        <f t="shared" si="254"/>
        <v>1.5666086988450538</v>
      </c>
      <c r="AP364" s="31" t="str">
        <f t="shared" si="236"/>
        <v>1+39.8659896049538i</v>
      </c>
      <c r="AQ364" s="31">
        <f t="shared" si="255"/>
        <v>39.878529651709634</v>
      </c>
      <c r="AR364" s="31">
        <f t="shared" si="256"/>
        <v>1.5457175477972869</v>
      </c>
      <c r="AS364" s="58" t="str">
        <f t="shared" si="257"/>
        <v>-1.58610455393378+3.20473760220023i</v>
      </c>
      <c r="AT364" s="49">
        <f t="shared" si="258"/>
        <v>11.067371033831643</v>
      </c>
      <c r="AU364" s="61">
        <f t="shared" si="259"/>
        <v>116.33195549005616</v>
      </c>
      <c r="AV364" s="58" t="str">
        <f t="shared" si="237"/>
        <v>3.84328338968311+1.01974710888907i</v>
      </c>
      <c r="AW364" s="64">
        <f t="shared" si="260"/>
        <v>11.989514108077117</v>
      </c>
      <c r="AX364" s="49">
        <f t="shared" si="261"/>
        <v>14.860014106776172</v>
      </c>
      <c r="AY364" s="310"/>
      <c r="BA364" s="31">
        <f t="shared" si="262"/>
        <v>0</v>
      </c>
      <c r="BB364" s="31">
        <f t="shared" si="263"/>
        <v>0</v>
      </c>
    </row>
    <row r="365" spans="14:54" x14ac:dyDescent="0.45">
      <c r="N365" s="10">
        <v>47</v>
      </c>
      <c r="O365" s="50">
        <f t="shared" si="226"/>
        <v>29512.092266663854</v>
      </c>
      <c r="P365" s="48" t="str">
        <f t="shared" si="227"/>
        <v>17.4002386318441</v>
      </c>
      <c r="Q365" s="17" t="str">
        <f t="shared" si="228"/>
        <v>1+15.8806501598918i</v>
      </c>
      <c r="R365" s="17">
        <f t="shared" si="238"/>
        <v>15.9121038678382</v>
      </c>
      <c r="S365" s="17">
        <f t="shared" si="239"/>
        <v>1.5079096441145792</v>
      </c>
      <c r="T365" s="17" t="str">
        <f t="shared" si="229"/>
        <v>1+0.0556289833542093i</v>
      </c>
      <c r="U365" s="17">
        <f t="shared" si="240"/>
        <v>1.0015460966870287</v>
      </c>
      <c r="V365" s="17">
        <f t="shared" si="241"/>
        <v>5.5571706814857694E-2</v>
      </c>
      <c r="W365" s="31" t="str">
        <f t="shared" si="230"/>
        <v>1-0.137243387504262i</v>
      </c>
      <c r="X365" s="17">
        <f t="shared" si="242"/>
        <v>1.0093739383467581</v>
      </c>
      <c r="Y365" s="17">
        <f t="shared" si="243"/>
        <v>-0.13639130283571338</v>
      </c>
      <c r="Z365" s="31" t="str">
        <f t="shared" si="231"/>
        <v>0.999210010349246+0.191943092719909i</v>
      </c>
      <c r="AA365" s="17">
        <f t="shared" si="244"/>
        <v>1.0174786462747136</v>
      </c>
      <c r="AB365" s="17">
        <f t="shared" si="245"/>
        <v>0.18978302399357538</v>
      </c>
      <c r="AC365" s="66" t="str">
        <f t="shared" si="246"/>
        <v>-0.224061705062589-1.06313435475747i</v>
      </c>
      <c r="AD365" s="64">
        <f t="shared" si="247"/>
        <v>0.7205065156884245</v>
      </c>
      <c r="AE365" s="61">
        <f t="shared" si="248"/>
        <v>-101.90124654684863</v>
      </c>
      <c r="AF365" s="31" t="str">
        <f t="shared" si="232"/>
        <v>-9090.90909090909</v>
      </c>
      <c r="AG365" s="31" t="str">
        <f t="shared" si="233"/>
        <v>185429.944514031i</v>
      </c>
      <c r="AH365" s="31">
        <f t="shared" si="249"/>
        <v>185429.944514031</v>
      </c>
      <c r="AI365" s="31">
        <f t="shared" si="250"/>
        <v>1.5707963267948966</v>
      </c>
      <c r="AJ365" s="31" t="str">
        <f t="shared" si="234"/>
        <v>-123.565249731609+64.2045619981496i</v>
      </c>
      <c r="AK365" s="31">
        <f t="shared" si="251"/>
        <v>139.25012288184573</v>
      </c>
      <c r="AL365" s="31">
        <f t="shared" si="252"/>
        <v>2.6623879034925855</v>
      </c>
      <c r="AM365" s="31" t="str">
        <f t="shared" si="235"/>
        <v>1+244.35958088059i</v>
      </c>
      <c r="AN365" s="31">
        <f t="shared" si="253"/>
        <v>244.36162703693392</v>
      </c>
      <c r="AO365" s="31">
        <f t="shared" si="254"/>
        <v>1.5667040198181672</v>
      </c>
      <c r="AP365" s="31" t="str">
        <f t="shared" si="236"/>
        <v>1+40.7945877930868i</v>
      </c>
      <c r="AQ365" s="31">
        <f t="shared" si="255"/>
        <v>40.806842480249152</v>
      </c>
      <c r="AR365" s="31">
        <f t="shared" si="256"/>
        <v>1.5462881792773462</v>
      </c>
      <c r="AS365" s="58" t="str">
        <f t="shared" si="257"/>
        <v>-1.52895809519689+3.16030641043883i</v>
      </c>
      <c r="AT365" s="49">
        <f t="shared" si="258"/>
        <v>10.907957182177256</v>
      </c>
      <c r="AU365" s="61">
        <f t="shared" si="259"/>
        <v>115.81772436851304</v>
      </c>
      <c r="AV365" s="58" t="str">
        <f t="shared" si="237"/>
        <v>3.70241127427685+0.917384235145202i</v>
      </c>
      <c r="AW365" s="64">
        <f t="shared" si="260"/>
        <v>11.628463697865694</v>
      </c>
      <c r="AX365" s="49">
        <f t="shared" si="261"/>
        <v>13.916477821664394</v>
      </c>
      <c r="AY365" s="310"/>
      <c r="BA365" s="31">
        <f t="shared" si="262"/>
        <v>0</v>
      </c>
      <c r="BB365" s="31">
        <f t="shared" si="263"/>
        <v>0</v>
      </c>
    </row>
    <row r="366" spans="14:54" x14ac:dyDescent="0.45">
      <c r="N366" s="10">
        <v>48</v>
      </c>
      <c r="O366" s="50">
        <f t="shared" si="226"/>
        <v>30199.517204020212</v>
      </c>
      <c r="P366" s="48" t="str">
        <f t="shared" si="227"/>
        <v>17.4002386318441</v>
      </c>
      <c r="Q366" s="17" t="str">
        <f t="shared" si="228"/>
        <v>1+16.2505580214795i</v>
      </c>
      <c r="R366" s="17">
        <f t="shared" si="238"/>
        <v>16.281297123063375</v>
      </c>
      <c r="S366" s="17">
        <f t="shared" si="239"/>
        <v>1.5093374760850242</v>
      </c>
      <c r="T366" s="17" t="str">
        <f t="shared" si="229"/>
        <v>1+0.0569247488340652i</v>
      </c>
      <c r="U366" s="17">
        <f t="shared" si="240"/>
        <v>1.0016189030913012</v>
      </c>
      <c r="V366" s="17">
        <f t="shared" si="241"/>
        <v>5.6863381272619064E-2</v>
      </c>
      <c r="W366" s="31" t="str">
        <f t="shared" si="230"/>
        <v>1-0.140440196669984i</v>
      </c>
      <c r="X366" s="17">
        <f t="shared" si="242"/>
        <v>1.0098135713292349</v>
      </c>
      <c r="Y366" s="17">
        <f t="shared" si="243"/>
        <v>-0.13952765003199671</v>
      </c>
      <c r="Z366" s="31" t="str">
        <f t="shared" si="231"/>
        <v>0.999172779284031+0.196414021696977i</v>
      </c>
      <c r="AA366" s="17">
        <f t="shared" si="244"/>
        <v>1.0182950018444339</v>
      </c>
      <c r="AB366" s="17">
        <f t="shared" si="245"/>
        <v>0.19410170516468786</v>
      </c>
      <c r="AC366" s="66" t="str">
        <f t="shared" si="246"/>
        <v>-0.226795305427881-1.03702977792584i</v>
      </c>
      <c r="AD366" s="64">
        <f t="shared" si="247"/>
        <v>0.51872611110779732</v>
      </c>
      <c r="AE366" s="61">
        <f t="shared" si="248"/>
        <v>-102.33618945927647</v>
      </c>
      <c r="AF366" s="31" t="str">
        <f t="shared" si="232"/>
        <v>-9090.90909090909</v>
      </c>
      <c r="AG366" s="31" t="str">
        <f t="shared" si="233"/>
        <v>189749.162780217i</v>
      </c>
      <c r="AH366" s="31">
        <f t="shared" si="249"/>
        <v>189749.16278021701</v>
      </c>
      <c r="AI366" s="31">
        <f t="shared" si="250"/>
        <v>1.5707963267948966</v>
      </c>
      <c r="AJ366" s="31" t="str">
        <f t="shared" si="234"/>
        <v>-129.435829089057+65.7000783651618i</v>
      </c>
      <c r="AK366" s="31">
        <f t="shared" si="251"/>
        <v>145.15555156162637</v>
      </c>
      <c r="AL366" s="31">
        <f t="shared" si="252"/>
        <v>2.6718930584242169</v>
      </c>
      <c r="AM366" s="31" t="str">
        <f t="shared" si="235"/>
        <v>1+250.05144671177i</v>
      </c>
      <c r="AN366" s="31">
        <f t="shared" si="253"/>
        <v>250.05344629228603</v>
      </c>
      <c r="AO366" s="31">
        <f t="shared" si="254"/>
        <v>1.5667971710928907</v>
      </c>
      <c r="AP366" s="31" t="str">
        <f t="shared" si="236"/>
        <v>1+41.7448158116477i</v>
      </c>
      <c r="AQ366" s="31">
        <f t="shared" si="255"/>
        <v>41.756791629007992</v>
      </c>
      <c r="AR366" s="31">
        <f t="shared" si="256"/>
        <v>1.5468458370252165</v>
      </c>
      <c r="AS366" s="58" t="str">
        <f t="shared" si="257"/>
        <v>-1.47337166807471+3.11547700561213i</v>
      </c>
      <c r="AT366" s="49">
        <f t="shared" si="258"/>
        <v>10.747075259949042</v>
      </c>
      <c r="AU366" s="61">
        <f t="shared" si="259"/>
        <v>115.3104077175764</v>
      </c>
      <c r="AV366" s="58" t="str">
        <f t="shared" si="237"/>
        <v>3.5649962047328+0.821354734704398i</v>
      </c>
      <c r="AW366" s="64">
        <f t="shared" si="260"/>
        <v>11.26580137105684</v>
      </c>
      <c r="AX366" s="49">
        <f t="shared" si="261"/>
        <v>12.974218258299921</v>
      </c>
      <c r="AY366" s="310"/>
      <c r="BA366" s="31">
        <f t="shared" si="262"/>
        <v>0</v>
      </c>
      <c r="BB366" s="31">
        <f t="shared" si="263"/>
        <v>0</v>
      </c>
    </row>
    <row r="367" spans="14:54" x14ac:dyDescent="0.45">
      <c r="N367" s="10">
        <v>49</v>
      </c>
      <c r="O367" s="50">
        <f t="shared" si="226"/>
        <v>30902.954325135954</v>
      </c>
      <c r="P367" s="48" t="str">
        <f t="shared" si="227"/>
        <v>17.4002386318441</v>
      </c>
      <c r="Q367" s="17" t="str">
        <f t="shared" si="228"/>
        <v>1+16.6290821440318i</v>
      </c>
      <c r="R367" s="17">
        <f t="shared" si="238"/>
        <v>16.659122814630944</v>
      </c>
      <c r="S367" s="17">
        <f t="shared" si="239"/>
        <v>1.5107330491232149</v>
      </c>
      <c r="T367" s="17" t="str">
        <f t="shared" si="229"/>
        <v>1+0.0582506965692409i</v>
      </c>
      <c r="U367" s="17">
        <f t="shared" si="240"/>
        <v>1.0016951350839245</v>
      </c>
      <c r="V367" s="17">
        <f t="shared" si="241"/>
        <v>5.8184946050920595E-2</v>
      </c>
      <c r="W367" s="31" t="str">
        <f t="shared" si="230"/>
        <v>1-0.143711469086925i</v>
      </c>
      <c r="X367" s="17">
        <f t="shared" si="242"/>
        <v>1.0102737185273711</v>
      </c>
      <c r="Y367" s="17">
        <f t="shared" si="243"/>
        <v>-0.14273419398715195</v>
      </c>
      <c r="Z367" s="31" t="str">
        <f t="shared" si="231"/>
        <v>0.99913379357277+0.200989091988197i</v>
      </c>
      <c r="AA367" s="17">
        <f t="shared" si="244"/>
        <v>1.0191491316570676</v>
      </c>
      <c r="AB367" s="17">
        <f t="shared" si="245"/>
        <v>0.19851390627144597</v>
      </c>
      <c r="AC367" s="66" t="str">
        <f t="shared" si="246"/>
        <v>-0.229371308173473-1.01146473964218i</v>
      </c>
      <c r="AD367" s="64">
        <f t="shared" si="247"/>
        <v>0.31679911040059006</v>
      </c>
      <c r="AE367" s="61">
        <f t="shared" si="248"/>
        <v>-102.77695175745099</v>
      </c>
      <c r="AF367" s="31" t="str">
        <f t="shared" si="232"/>
        <v>-9090.90909090909</v>
      </c>
      <c r="AG367" s="31" t="str">
        <f t="shared" si="233"/>
        <v>194168.988564136i</v>
      </c>
      <c r="AH367" s="31">
        <f t="shared" si="249"/>
        <v>194168.988564136</v>
      </c>
      <c r="AI367" s="31">
        <f t="shared" si="250"/>
        <v>1.5707963267948966</v>
      </c>
      <c r="AJ367" s="31" t="str">
        <f t="shared" si="234"/>
        <v>-135.58308032784+67.2304297833664i</v>
      </c>
      <c r="AK367" s="31">
        <f t="shared" si="251"/>
        <v>151.33638808971779</v>
      </c>
      <c r="AL367" s="31">
        <f t="shared" si="252"/>
        <v>2.6812613210494058</v>
      </c>
      <c r="AM367" s="31" t="str">
        <f t="shared" si="235"/>
        <v>1+255.875893129818i</v>
      </c>
      <c r="AN367" s="31">
        <f t="shared" si="253"/>
        <v>255.87784719467618</v>
      </c>
      <c r="AO367" s="31">
        <f t="shared" si="254"/>
        <v>1.566888202052793</v>
      </c>
      <c r="AP367" s="31" t="str">
        <f t="shared" si="236"/>
        <v>1+42.7171774841099i</v>
      </c>
      <c r="AQ367" s="31">
        <f t="shared" si="255"/>
        <v>42.728880774119808</v>
      </c>
      <c r="AR367" s="31">
        <f t="shared" si="256"/>
        <v>1.5473908153302498</v>
      </c>
      <c r="AS367" s="58" t="str">
        <f t="shared" si="257"/>
        <v>-1.41933876878966+3.07031091376864i</v>
      </c>
      <c r="AT367" s="49">
        <f t="shared" si="258"/>
        <v>10.584765745997391</v>
      </c>
      <c r="AU367" s="61">
        <f t="shared" si="259"/>
        <v>114.81008645439488</v>
      </c>
      <c r="AV367" s="58" t="str">
        <f t="shared" si="237"/>
        <v>3.43106681915415+0.731369887447482i</v>
      </c>
      <c r="AW367" s="64">
        <f t="shared" si="260"/>
        <v>10.901564856397975</v>
      </c>
      <c r="AX367" s="49">
        <f t="shared" si="261"/>
        <v>12.0331346969439</v>
      </c>
      <c r="AY367" s="310"/>
      <c r="BA367" s="31">
        <f t="shared" si="262"/>
        <v>0</v>
      </c>
      <c r="BB367" s="31">
        <f t="shared" si="263"/>
        <v>0</v>
      </c>
    </row>
    <row r="368" spans="14:54" x14ac:dyDescent="0.45">
      <c r="N368" s="10">
        <v>50</v>
      </c>
      <c r="O368" s="50">
        <f t="shared" si="226"/>
        <v>31622.77660168384</v>
      </c>
      <c r="P368" s="48" t="str">
        <f t="shared" si="227"/>
        <v>17.4002386318441</v>
      </c>
      <c r="Q368" s="17" t="str">
        <f t="shared" si="228"/>
        <v>1+17.0164232260487i</v>
      </c>
      <c r="R368" s="17">
        <f t="shared" si="238"/>
        <v>17.045781278897415</v>
      </c>
      <c r="S368" s="17">
        <f t="shared" si="239"/>
        <v>1.5120970814237544</v>
      </c>
      <c r="T368" s="17" t="str">
        <f t="shared" si="229"/>
        <v>1+0.0596075295947767i</v>
      </c>
      <c r="U368" s="17">
        <f t="shared" si="240"/>
        <v>1.0017749535621223</v>
      </c>
      <c r="V368" s="17">
        <f t="shared" si="241"/>
        <v>5.9537083385197025E-2</v>
      </c>
      <c r="W368" s="31" t="str">
        <f t="shared" si="230"/>
        <v>1-0.147058939227023i</v>
      </c>
      <c r="X368" s="17">
        <f t="shared" si="242"/>
        <v>1.0107553272709362</v>
      </c>
      <c r="Y368" s="17">
        <f t="shared" si="243"/>
        <v>-0.14601237095973973</v>
      </c>
      <c r="Z368" s="31" t="str">
        <f t="shared" si="231"/>
        <v>0.999092970521542+0.205670729356393i</v>
      </c>
      <c r="AA368" s="17">
        <f t="shared" si="244"/>
        <v>1.0200427504078196</v>
      </c>
      <c r="AB368" s="17">
        <f t="shared" si="245"/>
        <v>0.20302132505172879</v>
      </c>
      <c r="AC368" s="66" t="str">
        <f t="shared" si="246"/>
        <v>-0.23179522429598-0.986427294856078i</v>
      </c>
      <c r="AD368" s="64">
        <f t="shared" si="247"/>
        <v>0.11472254899850624</v>
      </c>
      <c r="AE368" s="61">
        <f t="shared" si="248"/>
        <v>-103.2237150664498</v>
      </c>
      <c r="AF368" s="31" t="str">
        <f t="shared" si="232"/>
        <v>-9090.90909090909</v>
      </c>
      <c r="AG368" s="31" t="str">
        <f t="shared" si="233"/>
        <v>198691.765315922i</v>
      </c>
      <c r="AH368" s="31">
        <f t="shared" si="249"/>
        <v>198691.76531592201</v>
      </c>
      <c r="AI368" s="31">
        <f t="shared" si="250"/>
        <v>1.5707963267948966</v>
      </c>
      <c r="AJ368" s="31" t="str">
        <f t="shared" si="234"/>
        <v>-142.02004259201+68.7964276653422i</v>
      </c>
      <c r="AK368" s="31">
        <f t="shared" si="251"/>
        <v>157.80570635230205</v>
      </c>
      <c r="AL368" s="31">
        <f t="shared" si="252"/>
        <v>2.6904918043110002</v>
      </c>
      <c r="AM368" s="31" t="str">
        <f t="shared" si="235"/>
        <v>1+261.836008333322i</v>
      </c>
      <c r="AN368" s="31">
        <f t="shared" si="253"/>
        <v>261.83791791856174</v>
      </c>
      <c r="AO368" s="31">
        <f t="shared" si="254"/>
        <v>1.5669771609576562</v>
      </c>
      <c r="AP368" s="31" t="str">
        <f t="shared" si="236"/>
        <v>1+43.7121883695028i</v>
      </c>
      <c r="AQ368" s="31">
        <f t="shared" si="255"/>
        <v>43.723625330602403</v>
      </c>
      <c r="AR368" s="31">
        <f t="shared" si="256"/>
        <v>1.5479234018515404</v>
      </c>
      <c r="AS368" s="58" t="str">
        <f t="shared" si="257"/>
        <v>-1.36685005328679+3.02486785792099i</v>
      </c>
      <c r="AT368" s="49">
        <f t="shared" si="258"/>
        <v>10.42106892043657</v>
      </c>
      <c r="AU368" s="61">
        <f t="shared" si="259"/>
        <v>114.31683065033376</v>
      </c>
      <c r="AV368" s="58" t="str">
        <f t="shared" si="237"/>
        <v>3.30064153306669+0.647148276945078i</v>
      </c>
      <c r="AW368" s="64">
        <f t="shared" si="260"/>
        <v>10.535791469435088</v>
      </c>
      <c r="AX368" s="49">
        <f t="shared" si="261"/>
        <v>11.09311558388395</v>
      </c>
      <c r="AY368" s="310"/>
      <c r="BA368" s="31">
        <f t="shared" si="262"/>
        <v>0</v>
      </c>
      <c r="BB368" s="31">
        <f t="shared" si="263"/>
        <v>0</v>
      </c>
    </row>
    <row r="369" spans="14:54" x14ac:dyDescent="0.45">
      <c r="N369" s="10">
        <v>51</v>
      </c>
      <c r="O369" s="50">
        <f t="shared" si="226"/>
        <v>32359.365692962871</v>
      </c>
      <c r="P369" s="48" t="str">
        <f t="shared" si="227"/>
        <v>17.4002386318441</v>
      </c>
      <c r="Q369" s="17" t="str">
        <f t="shared" si="228"/>
        <v>1+17.4127866408991i</v>
      </c>
      <c r="R369" s="17">
        <f t="shared" si="238"/>
        <v>17.441477534930179</v>
      </c>
      <c r="S369" s="17">
        <f t="shared" si="239"/>
        <v>1.5134302758999743</v>
      </c>
      <c r="T369" s="17" t="str">
        <f t="shared" si="229"/>
        <v>1+0.0609959673215026i</v>
      </c>
      <c r="U369" s="17">
        <f t="shared" si="240"/>
        <v>1.0018585269535243</v>
      </c>
      <c r="V369" s="17">
        <f t="shared" si="241"/>
        <v>6.0920490408744823E-2</v>
      </c>
      <c r="W369" s="31" t="str">
        <f t="shared" si="230"/>
        <v>1-0.150484381963253i</v>
      </c>
      <c r="X369" s="17">
        <f t="shared" si="242"/>
        <v>1.0112593877017222</v>
      </c>
      <c r="Y369" s="17">
        <f t="shared" si="243"/>
        <v>-0.14936363710585612</v>
      </c>
      <c r="Z369" s="31" t="str">
        <f t="shared" si="231"/>
        <v>0.999050223539183+0.210461416067669i</v>
      </c>
      <c r="AA369" s="17">
        <f t="shared" si="244"/>
        <v>1.0209776475549797</v>
      </c>
      <c r="AB369" s="17">
        <f t="shared" si="245"/>
        <v>0.20762566736610902</v>
      </c>
      <c r="AC369" s="66" t="str">
        <f t="shared" si="246"/>
        <v>-0.234072271089597-0.961905731395212i</v>
      </c>
      <c r="AD369" s="64">
        <f t="shared" si="247"/>
        <v>-8.7506750261411637E-2</v>
      </c>
      <c r="AE369" s="61">
        <f t="shared" si="248"/>
        <v>-103.67666088765432</v>
      </c>
      <c r="AF369" s="31" t="str">
        <f t="shared" si="232"/>
        <v>-9090.90909090909</v>
      </c>
      <c r="AG369" s="31" t="str">
        <f t="shared" si="233"/>
        <v>203319.891071675i</v>
      </c>
      <c r="AH369" s="31">
        <f t="shared" si="249"/>
        <v>203319.891071675</v>
      </c>
      <c r="AI369" s="31">
        <f t="shared" si="250"/>
        <v>1.5707963267948966</v>
      </c>
      <c r="AJ369" s="31" t="str">
        <f t="shared" si="234"/>
        <v>-148.760369541549+70.3989023238944i</v>
      </c>
      <c r="AK369" s="31">
        <f t="shared" si="251"/>
        <v>164.57719463688596</v>
      </c>
      <c r="AL369" s="31">
        <f t="shared" si="252"/>
        <v>2.6995837971139665</v>
      </c>
      <c r="AM369" s="31" t="str">
        <f t="shared" si="235"/>
        <v>1+267.934952454253i</v>
      </c>
      <c r="AN369" s="31">
        <f t="shared" si="253"/>
        <v>267.93681857233213</v>
      </c>
      <c r="AO369" s="31">
        <f t="shared" si="254"/>
        <v>1.5670640949690335</v>
      </c>
      <c r="AP369" s="31" t="str">
        <f t="shared" si="236"/>
        <v>1+44.7303760357685i</v>
      </c>
      <c r="AQ369" s="31">
        <f t="shared" si="255"/>
        <v>44.741552725640325</v>
      </c>
      <c r="AR369" s="31">
        <f t="shared" si="256"/>
        <v>1.5484438777642806</v>
      </c>
      <c r="AS369" s="58" t="str">
        <f t="shared" si="257"/>
        <v>-1.31589352617611+2.97920564537131i</v>
      </c>
      <c r="AT369" s="49">
        <f t="shared" si="258"/>
        <v>10.256024792528752</v>
      </c>
      <c r="AU369" s="61">
        <f t="shared" si="259"/>
        <v>113.83069986044671</v>
      </c>
      <c r="AV369" s="58" t="str">
        <f t="shared" si="237"/>
        <v>3.17372917147177+0.568416093279644i</v>
      </c>
      <c r="AW369" s="64">
        <f t="shared" si="260"/>
        <v>10.168518042267326</v>
      </c>
      <c r="AX369" s="49">
        <f t="shared" si="261"/>
        <v>10.154038972792392</v>
      </c>
      <c r="AY369" s="310"/>
      <c r="BA369" s="31">
        <f t="shared" si="262"/>
        <v>0</v>
      </c>
      <c r="BB369" s="31">
        <f t="shared" si="263"/>
        <v>0</v>
      </c>
    </row>
    <row r="370" spans="14:54" x14ac:dyDescent="0.45">
      <c r="N370" s="10">
        <v>52</v>
      </c>
      <c r="O370" s="50">
        <f t="shared" si="226"/>
        <v>33113.11214825909</v>
      </c>
      <c r="P370" s="48" t="str">
        <f t="shared" si="227"/>
        <v>17.4002386318441</v>
      </c>
      <c r="Q370" s="17" t="str">
        <f t="shared" si="228"/>
        <v>1+17.818382545712i</v>
      </c>
      <c r="R370" s="17">
        <f t="shared" si="238"/>
        <v>17.846421393246715</v>
      </c>
      <c r="S370" s="17">
        <f t="shared" si="239"/>
        <v>1.514733320461471</v>
      </c>
      <c r="T370" s="17" t="str">
        <f t="shared" si="229"/>
        <v>1+0.0624167459174794i</v>
      </c>
      <c r="U370" s="17">
        <f t="shared" si="240"/>
        <v>1.0019460315660356</v>
      </c>
      <c r="V370" s="17">
        <f t="shared" si="241"/>
        <v>6.2335879429633048E-2</v>
      </c>
      <c r="W370" s="31" t="str">
        <f t="shared" si="230"/>
        <v>1-0.153989613510697i</v>
      </c>
      <c r="X370" s="17">
        <f t="shared" si="242"/>
        <v>1.0117869346207105</v>
      </c>
      <c r="Y370" s="17">
        <f t="shared" si="243"/>
        <v>-0.15278946805095875</v>
      </c>
      <c r="Z370" s="31" t="str">
        <f t="shared" si="231"/>
        <v>0.999005461953612+0.215363692207529i</v>
      </c>
      <c r="AA370" s="17">
        <f t="shared" si="244"/>
        <v>1.0219556902989526</v>
      </c>
      <c r="AB370" s="17">
        <f t="shared" si="245"/>
        <v>0.21232864547542307</v>
      </c>
      <c r="AC370" s="66" t="str">
        <f t="shared" si="246"/>
        <v>-0.236207383558395-0.93788857029196i</v>
      </c>
      <c r="AD370" s="64">
        <f t="shared" si="247"/>
        <v>-0.28989217501948805</v>
      </c>
      <c r="AE370" s="61">
        <f t="shared" si="248"/>
        <v>-104.13597047556532</v>
      </c>
      <c r="AF370" s="31" t="str">
        <f t="shared" si="232"/>
        <v>-9090.90909090909</v>
      </c>
      <c r="AG370" s="31" t="str">
        <f t="shared" si="233"/>
        <v>208055.819724931i</v>
      </c>
      <c r="AH370" s="31">
        <f t="shared" si="249"/>
        <v>208055.819724931</v>
      </c>
      <c r="AI370" s="31">
        <f t="shared" si="250"/>
        <v>1.5707963267948966</v>
      </c>
      <c r="AJ370" s="31" t="str">
        <f t="shared" si="234"/>
        <v>-155.818358313608+72.0387034122983i</v>
      </c>
      <c r="AK370" s="31">
        <f t="shared" si="251"/>
        <v>171.66518452171081</v>
      </c>
      <c r="AL370" s="31">
        <f t="shared" si="252"/>
        <v>2.7085367584336901</v>
      </c>
      <c r="AM370" s="31" t="str">
        <f t="shared" si="235"/>
        <v>1+274.175959233514i</v>
      </c>
      <c r="AN370" s="31">
        <f t="shared" si="253"/>
        <v>274.17778287384544</v>
      </c>
      <c r="AO370" s="31">
        <f t="shared" si="254"/>
        <v>1.5671490501752297</v>
      </c>
      <c r="AP370" s="31" t="str">
        <f t="shared" si="236"/>
        <v>1+45.7722803394848i</v>
      </c>
      <c r="AQ370" s="31">
        <f t="shared" si="255"/>
        <v>45.783202678235462</v>
      </c>
      <c r="AR370" s="31">
        <f t="shared" si="256"/>
        <v>1.548952517903087</v>
      </c>
      <c r="AS370" s="58" t="str">
        <f t="shared" si="257"/>
        <v>-1.26645473072587+2.93338007224783i</v>
      </c>
      <c r="AT370" s="49">
        <f t="shared" si="258"/>
        <v>10.089673033537679</v>
      </c>
      <c r="AU370" s="61">
        <f t="shared" si="259"/>
        <v>113.35174347068987</v>
      </c>
      <c r="AV370" s="58" t="str">
        <f t="shared" si="237"/>
        <v>3.05032960042335+0.49490738489198i</v>
      </c>
      <c r="AW370" s="64">
        <f t="shared" si="260"/>
        <v>9.7997808585181811</v>
      </c>
      <c r="AX370" s="49">
        <f t="shared" si="261"/>
        <v>9.2157729951245688</v>
      </c>
      <c r="AY370" s="310"/>
      <c r="BA370" s="31">
        <f t="shared" si="262"/>
        <v>0</v>
      </c>
      <c r="BB370" s="31">
        <f t="shared" si="263"/>
        <v>0</v>
      </c>
    </row>
    <row r="371" spans="14:54" x14ac:dyDescent="0.45">
      <c r="N371" s="10">
        <v>53</v>
      </c>
      <c r="O371" s="50">
        <f t="shared" si="226"/>
        <v>33884.41561392029</v>
      </c>
      <c r="P371" s="48" t="str">
        <f t="shared" si="227"/>
        <v>17.4002386318441</v>
      </c>
      <c r="Q371" s="17" t="str">
        <f t="shared" si="228"/>
        <v>1+18.2334259928049i</v>
      </c>
      <c r="R371" s="17">
        <f t="shared" si="238"/>
        <v>18.260827567092718</v>
      </c>
      <c r="S371" s="17">
        <f t="shared" si="239"/>
        <v>1.5160068882899242</v>
      </c>
      <c r="T371" s="17" t="str">
        <f t="shared" si="229"/>
        <v>1+0.0638706186983254i</v>
      </c>
      <c r="U371" s="17">
        <f t="shared" si="240"/>
        <v>1.0020376519537113</v>
      </c>
      <c r="V371" s="17">
        <f t="shared" si="241"/>
        <v>6.3783978209165509E-2</v>
      </c>
      <c r="W371" s="31" t="str">
        <f t="shared" si="230"/>
        <v>1-0.157576492389519i</v>
      </c>
      <c r="X371" s="17">
        <f t="shared" si="242"/>
        <v>1.0123390494067608</v>
      </c>
      <c r="Y371" s="17">
        <f t="shared" si="243"/>
        <v>-0.1562913583969405</v>
      </c>
      <c r="Z371" s="31" t="str">
        <f t="shared" si="231"/>
        <v>0.998958590819504+0.220380157027675i</v>
      </c>
      <c r="AA371" s="17">
        <f t="shared" si="244"/>
        <v>1.0229788266546049</v>
      </c>
      <c r="AB371" s="17">
        <f t="shared" si="245"/>
        <v>0.21713197617848715</v>
      </c>
      <c r="AC371" s="66" t="str">
        <f t="shared" si="246"/>
        <v>-0.238205225432512-0.914364565975904i</v>
      </c>
      <c r="AD371" s="64">
        <f t="shared" si="247"/>
        <v>-0.4924373209756383</v>
      </c>
      <c r="AE371" s="61">
        <f t="shared" si="248"/>
        <v>-104.60182470270757</v>
      </c>
      <c r="AF371" s="31" t="str">
        <f t="shared" si="232"/>
        <v>-9090.90909090909</v>
      </c>
      <c r="AG371" s="31" t="str">
        <f t="shared" si="233"/>
        <v>212902.062327751i</v>
      </c>
      <c r="AH371" s="31">
        <f t="shared" si="249"/>
        <v>212902.06232775099</v>
      </c>
      <c r="AI371" s="31">
        <f t="shared" si="250"/>
        <v>1.5707963267948966</v>
      </c>
      <c r="AJ371" s="31" t="str">
        <f t="shared" si="234"/>
        <v>-163.208979848656+73.7167003747966i</v>
      </c>
      <c r="AK371" s="31">
        <f t="shared" si="251"/>
        <v>179.08468113545209</v>
      </c>
      <c r="AL371" s="31">
        <f t="shared" si="252"/>
        <v>2.7173503111619493</v>
      </c>
      <c r="AM371" s="31" t="str">
        <f t="shared" si="235"/>
        <v>1+280.56233773551i</v>
      </c>
      <c r="AN371" s="31">
        <f t="shared" si="253"/>
        <v>280.56411986498631</v>
      </c>
      <c r="AO371" s="31">
        <f t="shared" si="254"/>
        <v>1.5672320716157115</v>
      </c>
      <c r="AP371" s="31" t="str">
        <f t="shared" si="236"/>
        <v>1+46.8384537121052i</v>
      </c>
      <c r="AQ371" s="31">
        <f t="shared" si="255"/>
        <v>46.84912748537608</v>
      </c>
      <c r="AR371" s="31">
        <f t="shared" si="256"/>
        <v>1.5494495909023482</v>
      </c>
      <c r="AS371" s="58" t="str">
        <f t="shared" si="257"/>
        <v>-1.21851693848527+2.88744484460486i</v>
      </c>
      <c r="AT371" s="49">
        <f t="shared" si="258"/>
        <v>9.9220529145598473</v>
      </c>
      <c r="AU371" s="61">
        <f t="shared" si="259"/>
        <v>112.88000105996099</v>
      </c>
      <c r="AV371" s="58" t="str">
        <f t="shared" si="237"/>
        <v>2.9304343541417+0.426364261459326i</v>
      </c>
      <c r="AW371" s="64">
        <f t="shared" si="260"/>
        <v>9.4296155935842023</v>
      </c>
      <c r="AX371" s="49">
        <f t="shared" si="261"/>
        <v>8.2781763572534288</v>
      </c>
      <c r="AY371" s="310"/>
      <c r="BA371" s="31">
        <f t="shared" si="262"/>
        <v>0</v>
      </c>
      <c r="BB371" s="31">
        <f t="shared" si="263"/>
        <v>0</v>
      </c>
    </row>
    <row r="372" spans="14:54" x14ac:dyDescent="0.45">
      <c r="N372" s="10">
        <v>54</v>
      </c>
      <c r="O372" s="50">
        <f t="shared" si="226"/>
        <v>34673.685045253202</v>
      </c>
      <c r="P372" s="48" t="str">
        <f t="shared" si="227"/>
        <v>17.4002386318441</v>
      </c>
      <c r="Q372" s="17" t="str">
        <f t="shared" si="228"/>
        <v>1+18.6581370437069i</v>
      </c>
      <c r="R372" s="17">
        <f t="shared" si="238"/>
        <v>18.684915786316719</v>
      </c>
      <c r="S372" s="17">
        <f t="shared" si="239"/>
        <v>1.5172516381129324</v>
      </c>
      <c r="T372" s="17" t="str">
        <f t="shared" si="229"/>
        <v>1+0.0653583565266322i</v>
      </c>
      <c r="U372" s="17">
        <f t="shared" si="240"/>
        <v>1.0021335812993508</v>
      </c>
      <c r="V372" s="17">
        <f t="shared" si="241"/>
        <v>6.5265530241590181E-2</v>
      </c>
      <c r="W372" s="31" t="str">
        <f t="shared" si="230"/>
        <v>1-0.161246920410376i</v>
      </c>
      <c r="X372" s="17">
        <f t="shared" si="242"/>
        <v>1.0129168620088373</v>
      </c>
      <c r="Y372" s="17">
        <f t="shared" si="243"/>
        <v>-0.15987082116006152</v>
      </c>
      <c r="Z372" s="31" t="str">
        <f t="shared" si="231"/>
        <v>0.9989095107169+0.225513470324151i</v>
      </c>
      <c r="AA372" s="17">
        <f t="shared" si="244"/>
        <v>1.0240490886174931</v>
      </c>
      <c r="AB372" s="17">
        <f t="shared" si="245"/>
        <v>0.22203737880339094</v>
      </c>
      <c r="AC372" s="66" t="str">
        <f t="shared" si="246"/>
        <v>-0.240070199810921-0.891322706352178i</v>
      </c>
      <c r="AD372" s="64">
        <f t="shared" si="247"/>
        <v>-0.69514598911287773</v>
      </c>
      <c r="AE372" s="61">
        <f t="shared" si="248"/>
        <v>-105.07440391199906</v>
      </c>
      <c r="AF372" s="31" t="str">
        <f t="shared" si="232"/>
        <v>-9090.90909090909</v>
      </c>
      <c r="AG372" s="31" t="str">
        <f t="shared" si="233"/>
        <v>217861.188422107i</v>
      </c>
      <c r="AH372" s="31">
        <f t="shared" si="249"/>
        <v>217861.18842210699</v>
      </c>
      <c r="AI372" s="31">
        <f t="shared" si="250"/>
        <v>1.5707963267948966</v>
      </c>
      <c r="AJ372" s="31" t="str">
        <f t="shared" si="234"/>
        <v>-170.947910645841+75.4337829075894i</v>
      </c>
      <c r="AK372" s="31">
        <f t="shared" si="251"/>
        <v>186.85139485143742</v>
      </c>
      <c r="AL372" s="31">
        <f t="shared" si="252"/>
        <v>2.7260242357392177</v>
      </c>
      <c r="AM372" s="31" t="str">
        <f t="shared" si="235"/>
        <v>1+287.097474102652i</v>
      </c>
      <c r="AN372" s="31">
        <f t="shared" si="253"/>
        <v>287.0992156661577</v>
      </c>
      <c r="AO372" s="31">
        <f t="shared" si="254"/>
        <v>1.567313203304965</v>
      </c>
      <c r="AP372" s="31" t="str">
        <f t="shared" si="236"/>
        <v>1+47.9294614528635i</v>
      </c>
      <c r="AQ372" s="31">
        <f t="shared" si="255"/>
        <v>47.939892314872047</v>
      </c>
      <c r="AR372" s="31">
        <f t="shared" si="256"/>
        <v>1.5499353593336442</v>
      </c>
      <c r="AS372" s="58" t="str">
        <f t="shared" si="257"/>
        <v>-1.17206133724442+2.8414515153414i</v>
      </c>
      <c r="AT372" s="49">
        <f t="shared" si="258"/>
        <v>9.7532032493061411</v>
      </c>
      <c r="AU372" s="61">
        <f t="shared" si="259"/>
        <v>112.41550277418156</v>
      </c>
      <c r="AV372" s="58" t="str">
        <f t="shared" si="237"/>
        <v>2.81402725404552+0.362537050082395i</v>
      </c>
      <c r="AW372" s="64">
        <f t="shared" si="260"/>
        <v>9.0580572601932712</v>
      </c>
      <c r="AX372" s="49">
        <f t="shared" si="261"/>
        <v>7.3410988621824922</v>
      </c>
      <c r="AY372" s="310"/>
      <c r="BA372" s="31">
        <f t="shared" si="262"/>
        <v>0</v>
      </c>
      <c r="BB372" s="31">
        <f t="shared" si="263"/>
        <v>0</v>
      </c>
    </row>
    <row r="373" spans="14:54" x14ac:dyDescent="0.45">
      <c r="N373" s="10">
        <v>55</v>
      </c>
      <c r="O373" s="50">
        <f t="shared" si="226"/>
        <v>35481.33892335758</v>
      </c>
      <c r="P373" s="48" t="str">
        <f t="shared" si="227"/>
        <v>17.4002386318441</v>
      </c>
      <c r="Q373" s="17" t="str">
        <f t="shared" si="228"/>
        <v>1+19.0927408858393i</v>
      </c>
      <c r="R373" s="17">
        <f t="shared" si="238"/>
        <v>19.118910913904056</v>
      </c>
      <c r="S373" s="17">
        <f t="shared" si="239"/>
        <v>1.5184682144756401</v>
      </c>
      <c r="T373" s="17" t="str">
        <f t="shared" si="229"/>
        <v>1+0.0668807482206901i</v>
      </c>
      <c r="U373" s="17">
        <f t="shared" si="240"/>
        <v>1.0022340218145458</v>
      </c>
      <c r="V373" s="17">
        <f t="shared" si="241"/>
        <v>6.6781295034734678E-2</v>
      </c>
      <c r="W373" s="31" t="str">
        <f t="shared" si="230"/>
        <v>1-0.165002843682791i</v>
      </c>
      <c r="X373" s="17">
        <f t="shared" si="242"/>
        <v>1.0135215530137518</v>
      </c>
      <c r="Y373" s="17">
        <f t="shared" si="243"/>
        <v>-0.16352938713513279</v>
      </c>
      <c r="Z373" s="31" t="str">
        <f t="shared" si="231"/>
        <v>0.998858117540323+0.230766353847619i</v>
      </c>
      <c r="AA373" s="17">
        <f t="shared" si="244"/>
        <v>1.0251685954243441</v>
      </c>
      <c r="AB373" s="17">
        <f t="shared" si="245"/>
        <v>0.22704657304588494</v>
      </c>
      <c r="AC373" s="66" t="str">
        <f t="shared" si="246"/>
        <v>-0.24180645945363-0.868752212783607i</v>
      </c>
      <c r="AD373" s="64">
        <f t="shared" si="247"/>
        <v>-0.89802218250226162</v>
      </c>
      <c r="AE373" s="61">
        <f t="shared" si="248"/>
        <v>-105.55388775595381</v>
      </c>
      <c r="AF373" s="31" t="str">
        <f t="shared" si="232"/>
        <v>-9090.90909090909</v>
      </c>
      <c r="AG373" s="31" t="str">
        <f t="shared" si="233"/>
        <v>222935.8274023i</v>
      </c>
      <c r="AH373" s="31">
        <f t="shared" si="249"/>
        <v>222935.8274023</v>
      </c>
      <c r="AI373" s="31">
        <f t="shared" si="250"/>
        <v>1.5707963267948966</v>
      </c>
      <c r="AJ373" s="31" t="str">
        <f t="shared" si="234"/>
        <v>-179.051566014966+77.190861430564i</v>
      </c>
      <c r="AK373" s="31">
        <f t="shared" si="251"/>
        <v>194.981774483679</v>
      </c>
      <c r="AL373" s="31">
        <f t="shared" si="252"/>
        <v>2.7345584636197477</v>
      </c>
      <c r="AM373" s="31" t="str">
        <f t="shared" si="235"/>
        <v>1+293.784833350751i</v>
      </c>
      <c r="AN373" s="31">
        <f t="shared" si="253"/>
        <v>293.78653527166375</v>
      </c>
      <c r="AO373" s="31">
        <f t="shared" si="254"/>
        <v>1.5673924882558112</v>
      </c>
      <c r="AP373" s="31" t="str">
        <f t="shared" si="236"/>
        <v>1+49.045882028506i</v>
      </c>
      <c r="AQ373" s="31">
        <f t="shared" si="255"/>
        <v>49.056075505019031</v>
      </c>
      <c r="AR373" s="31">
        <f t="shared" si="256"/>
        <v>1.5504100798402836</v>
      </c>
      <c r="AS373" s="58" t="str">
        <f t="shared" si="257"/>
        <v>-1.12706721616962+2.79544943611495i</v>
      </c>
      <c r="AT373" s="49">
        <f t="shared" si="258"/>
        <v>9.5831623417727112</v>
      </c>
      <c r="AU373" s="61">
        <f t="shared" si="259"/>
        <v>111.95826970976557</v>
      </c>
      <c r="AV373" s="58" t="str">
        <f t="shared" si="237"/>
        <v>2.70108501645778+0.303184407274615i</v>
      </c>
      <c r="AW373" s="64">
        <f t="shared" si="260"/>
        <v>8.6851401592704374</v>
      </c>
      <c r="AX373" s="49">
        <f t="shared" si="261"/>
        <v>6.4043819538117912</v>
      </c>
      <c r="AY373" s="310"/>
      <c r="BA373" s="31">
        <f t="shared" si="262"/>
        <v>0</v>
      </c>
      <c r="BB373" s="31">
        <f t="shared" si="263"/>
        <v>0</v>
      </c>
    </row>
    <row r="374" spans="14:54" x14ac:dyDescent="0.45">
      <c r="N374" s="10">
        <v>56</v>
      </c>
      <c r="O374" s="50">
        <f t="shared" si="226"/>
        <v>36307.805477010232</v>
      </c>
      <c r="P374" s="48" t="str">
        <f t="shared" si="227"/>
        <v>17.4002386318441</v>
      </c>
      <c r="Q374" s="17" t="str">
        <f t="shared" si="228"/>
        <v>1+19.5374679519116i</v>
      </c>
      <c r="R374" s="17">
        <f t="shared" si="238"/>
        <v>19.563043065228197</v>
      </c>
      <c r="S374" s="17">
        <f t="shared" si="239"/>
        <v>1.5196572480099393</v>
      </c>
      <c r="T374" s="17" t="str">
        <f t="shared" si="229"/>
        <v>1+0.0684386009727256i</v>
      </c>
      <c r="U374" s="17">
        <f t="shared" si="240"/>
        <v>1.0023391851579504</v>
      </c>
      <c r="V374" s="17">
        <f t="shared" si="241"/>
        <v>6.8332048391192279E-2</v>
      </c>
      <c r="W374" s="31" t="str">
        <f t="shared" si="230"/>
        <v>1-0.168846253646996i</v>
      </c>
      <c r="X374" s="17">
        <f t="shared" si="242"/>
        <v>1.0141543557913784</v>
      </c>
      <c r="Y374" s="17">
        <f t="shared" si="243"/>
        <v>-0.16726860418111431</v>
      </c>
      <c r="Z374" s="31" t="str">
        <f t="shared" si="231"/>
        <v>0.998804302277953+0.236141592746449i</v>
      </c>
      <c r="AA374" s="17">
        <f t="shared" si="244"/>
        <v>1.0263395569078384</v>
      </c>
      <c r="AB374" s="17">
        <f t="shared" si="245"/>
        <v>0.23216127664828615</v>
      </c>
      <c r="AC374" s="66" t="str">
        <f t="shared" si="246"/>
        <v>-0.243417916746333-0.846642539993341i</v>
      </c>
      <c r="AD374" s="64">
        <f t="shared" si="247"/>
        <v>-1.1010701026210656</v>
      </c>
      <c r="AE374" s="61">
        <f t="shared" si="248"/>
        <v>-106.04045502207397</v>
      </c>
      <c r="AF374" s="31" t="str">
        <f t="shared" si="232"/>
        <v>-9090.90909090909</v>
      </c>
      <c r="AG374" s="31" t="str">
        <f t="shared" si="233"/>
        <v>228128.669909085i</v>
      </c>
      <c r="AH374" s="31">
        <f t="shared" si="249"/>
        <v>228128.669909085</v>
      </c>
      <c r="AI374" s="31">
        <f t="shared" si="250"/>
        <v>1.5707963267948966</v>
      </c>
      <c r="AJ374" s="31" t="str">
        <f t="shared" si="234"/>
        <v>-187.537134895542+78.988867570011i</v>
      </c>
      <c r="AK374" s="31">
        <f t="shared" si="251"/>
        <v>203.49304205505763</v>
      </c>
      <c r="AL374" s="31">
        <f t="shared" si="252"/>
        <v>2.7429530706130727</v>
      </c>
      <c r="AM374" s="31" t="str">
        <f t="shared" si="235"/>
        <v>1+300.627961206192i</v>
      </c>
      <c r="AN374" s="31">
        <f t="shared" si="253"/>
        <v>300.62962438687197</v>
      </c>
      <c r="AO374" s="31">
        <f t="shared" si="254"/>
        <v>1.5674699685021909</v>
      </c>
      <c r="AP374" s="31" t="str">
        <f t="shared" si="236"/>
        <v>1+50.1883073799987i</v>
      </c>
      <c r="AQ374" s="31">
        <f t="shared" si="255"/>
        <v>50.198268871239286</v>
      </c>
      <c r="AR374" s="31">
        <f t="shared" si="256"/>
        <v>1.5508740032690094</v>
      </c>
      <c r="AS374" s="58" t="str">
        <f t="shared" si="257"/>
        <v>-1.08351214708429+2.74948572336741i</v>
      </c>
      <c r="AT374" s="49">
        <f t="shared" si="258"/>
        <v>9.4119679387152502</v>
      </c>
      <c r="AU374" s="61">
        <f t="shared" si="259"/>
        <v>111.50831430397341</v>
      </c>
      <c r="AV374" s="58" t="str">
        <f t="shared" si="237"/>
        <v>2.59157784611982+0.248073389415202i</v>
      </c>
      <c r="AW374" s="64">
        <f t="shared" si="260"/>
        <v>8.3108978360941954</v>
      </c>
      <c r="AX374" s="49">
        <f t="shared" si="261"/>
        <v>5.4678592818994138</v>
      </c>
      <c r="AY374" s="310"/>
      <c r="BA374" s="31">
        <f t="shared" si="262"/>
        <v>0</v>
      </c>
      <c r="BB374" s="31">
        <f t="shared" si="263"/>
        <v>0</v>
      </c>
    </row>
    <row r="375" spans="14:54" x14ac:dyDescent="0.45">
      <c r="N375" s="10">
        <v>57</v>
      </c>
      <c r="O375" s="50">
        <f t="shared" si="226"/>
        <v>37153.522909717351</v>
      </c>
      <c r="P375" s="48" t="str">
        <f t="shared" si="227"/>
        <v>17.4002386318441</v>
      </c>
      <c r="Q375" s="17" t="str">
        <f t="shared" si="228"/>
        <v>1+19.9925540421009i</v>
      </c>
      <c r="R375" s="17">
        <f t="shared" si="238"/>
        <v>20.01754773008734</v>
      </c>
      <c r="S375" s="17">
        <f t="shared" si="239"/>
        <v>1.5208193557010661</v>
      </c>
      <c r="T375" s="17" t="str">
        <f t="shared" si="229"/>
        <v>1+0.0700327407768889i</v>
      </c>
      <c r="U375" s="17">
        <f t="shared" si="240"/>
        <v>1.0024492928725737</v>
      </c>
      <c r="V375" s="17">
        <f t="shared" si="241"/>
        <v>6.9918582689679099E-2</v>
      </c>
      <c r="W375" s="31" t="str">
        <f t="shared" si="230"/>
        <v>1-0.17277918812983i</v>
      </c>
      <c r="X375" s="17">
        <f t="shared" si="242"/>
        <v>1.014816558719261</v>
      </c>
      <c r="Y375" s="17">
        <f t="shared" si="243"/>
        <v>-0.17109003642315393</v>
      </c>
      <c r="Z375" s="31" t="str">
        <f t="shared" si="231"/>
        <v>0.998747950780406+0.241642037043457i</v>
      </c>
      <c r="AA375" s="17">
        <f t="shared" si="244"/>
        <v>1.0275642769455211</v>
      </c>
      <c r="AB375" s="17">
        <f t="shared" si="245"/>
        <v>0.23738320291252493</v>
      </c>
      <c r="AC375" s="66" t="str">
        <f t="shared" si="246"/>
        <v>-0.244908253360653-0.824983375902286i</v>
      </c>
      <c r="AD375" s="64">
        <f t="shared" si="247"/>
        <v>-1.304294145118003</v>
      </c>
      <c r="AE375" s="61">
        <f t="shared" si="248"/>
        <v>-106.53428344379266</v>
      </c>
      <c r="AF375" s="31" t="str">
        <f t="shared" si="232"/>
        <v>-9090.90909090909</v>
      </c>
      <c r="AG375" s="31" t="str">
        <f t="shared" si="233"/>
        <v>233442.469256296i</v>
      </c>
      <c r="AH375" s="31">
        <f t="shared" si="249"/>
        <v>233442.469256296</v>
      </c>
      <c r="AI375" s="31">
        <f t="shared" si="250"/>
        <v>1.5707963267948966</v>
      </c>
      <c r="AJ375" s="31" t="str">
        <f t="shared" si="234"/>
        <v>-196.422616316845+80.8287546525848i</v>
      </c>
      <c r="AK375" s="31">
        <f t="shared" si="251"/>
        <v>212.4032292114276</v>
      </c>
      <c r="AL375" s="31">
        <f t="shared" si="252"/>
        <v>2.7512082701431426</v>
      </c>
      <c r="AM375" s="31" t="str">
        <f t="shared" si="235"/>
        <v>1+307.630485985947i</v>
      </c>
      <c r="AN375" s="31">
        <f t="shared" si="253"/>
        <v>307.63211130821497</v>
      </c>
      <c r="AO375" s="31">
        <f t="shared" si="254"/>
        <v>1.5675456851214331</v>
      </c>
      <c r="AP375" s="31" t="str">
        <f t="shared" si="236"/>
        <v>1+51.3573432363851i</v>
      </c>
      <c r="AQ375" s="31">
        <f t="shared" si="255"/>
        <v>51.367078019874462</v>
      </c>
      <c r="AR375" s="31">
        <f t="shared" si="256"/>
        <v>1.5513273747989231</v>
      </c>
      <c r="AS375" s="58" t="str">
        <f t="shared" si="257"/>
        <v>-1.04137216099468+2.70360523753429i</v>
      </c>
      <c r="AT375" s="49">
        <f t="shared" si="258"/>
        <v>9.2396571868114705</v>
      </c>
      <c r="AU375" s="61">
        <f t="shared" si="259"/>
        <v>111.06564072979893</v>
      </c>
      <c r="AV375" s="58" t="str">
        <f t="shared" si="237"/>
        <v>2.48547001301576+0.196979484446814i</v>
      </c>
      <c r="AW375" s="64">
        <f t="shared" si="260"/>
        <v>7.9353630416934786</v>
      </c>
      <c r="AX375" s="49">
        <f t="shared" si="261"/>
        <v>4.5313572860062754</v>
      </c>
      <c r="AY375" s="310"/>
      <c r="BA375" s="31">
        <f t="shared" si="262"/>
        <v>0</v>
      </c>
      <c r="BB375" s="31">
        <f t="shared" si="263"/>
        <v>0</v>
      </c>
    </row>
    <row r="376" spans="14:54" x14ac:dyDescent="0.45">
      <c r="N376" s="10">
        <v>58</v>
      </c>
      <c r="O376" s="50">
        <f t="shared" si="226"/>
        <v>38018.939632056143</v>
      </c>
      <c r="P376" s="48" t="str">
        <f t="shared" si="227"/>
        <v>17.4002386318441</v>
      </c>
      <c r="Q376" s="17" t="str">
        <f t="shared" si="228"/>
        <v>1+20.4582404490761i</v>
      </c>
      <c r="R376" s="17">
        <f t="shared" si="238"/>
        <v>20.482665897587978</v>
      </c>
      <c r="S376" s="17">
        <f t="shared" si="239"/>
        <v>1.5219551411514141</v>
      </c>
      <c r="T376" s="17" t="str">
        <f t="shared" si="229"/>
        <v>1+0.071664012867205i</v>
      </c>
      <c r="U376" s="17">
        <f t="shared" si="240"/>
        <v>1.0025645768429239</v>
      </c>
      <c r="V376" s="17">
        <f t="shared" si="241"/>
        <v>7.1541707166118171E-2</v>
      </c>
      <c r="W376" s="31" t="str">
        <f t="shared" si="230"/>
        <v>1-0.176803732425213i</v>
      </c>
      <c r="X376" s="17">
        <f t="shared" si="242"/>
        <v>1.0155095074884757</v>
      </c>
      <c r="Y376" s="17">
        <f t="shared" si="243"/>
        <v>-0.17499526336582125</v>
      </c>
      <c r="Z376" s="31" t="str">
        <f t="shared" si="231"/>
        <v>0.998688943518598+0.247270603147016i</v>
      </c>
      <c r="AA376" s="17">
        <f t="shared" si="244"/>
        <v>1.028845157002249</v>
      </c>
      <c r="AB376" s="17">
        <f t="shared" si="245"/>
        <v>0.24271405804096638</v>
      </c>
      <c r="AC376" s="66" t="str">
        <f t="shared" si="246"/>
        <v>-0.246280929633197-0.803764641414553i</v>
      </c>
      <c r="AD376" s="64">
        <f t="shared" si="247"/>
        <v>-1.5076988949495151</v>
      </c>
      <c r="AE376" s="61">
        <f t="shared" si="248"/>
        <v>-107.03554949631663</v>
      </c>
      <c r="AF376" s="31" t="str">
        <f t="shared" si="232"/>
        <v>-9090.90909090909</v>
      </c>
      <c r="AG376" s="31" t="str">
        <f t="shared" si="233"/>
        <v>238880.042890683i</v>
      </c>
      <c r="AH376" s="31">
        <f t="shared" si="249"/>
        <v>238880.04289068299</v>
      </c>
      <c r="AI376" s="31">
        <f t="shared" si="250"/>
        <v>1.5707963267948966</v>
      </c>
      <c r="AJ376" s="31" t="str">
        <f t="shared" si="234"/>
        <v>-205.726857576268+82.7114982107703i</v>
      </c>
      <c r="AK376" s="31">
        <f t="shared" si="251"/>
        <v>221.73121535876791</v>
      </c>
      <c r="AL376" s="31">
        <f t="shared" si="252"/>
        <v>2.7593244064632052</v>
      </c>
      <c r="AM376" s="31" t="str">
        <f t="shared" si="235"/>
        <v>1+314.796120521342i</v>
      </c>
      <c r="AN376" s="31">
        <f t="shared" si="253"/>
        <v>314.7977088469471</v>
      </c>
      <c r="AO376" s="31">
        <f t="shared" si="254"/>
        <v>1.567619678256017</v>
      </c>
      <c r="AP376" s="31" t="str">
        <f t="shared" si="236"/>
        <v>1+52.5536094359502i</v>
      </c>
      <c r="AQ376" s="31">
        <f t="shared" si="255"/>
        <v>52.563122669285868</v>
      </c>
      <c r="AR376" s="31">
        <f t="shared" si="256"/>
        <v>1.5517704340676748</v>
      </c>
      <c r="AS376" s="58" t="str">
        <f t="shared" si="257"/>
        <v>-1.00062191908641+2.65785057447979i</v>
      </c>
      <c r="AT376" s="49">
        <f t="shared" si="258"/>
        <v>9.0662665943768044</v>
      </c>
      <c r="AU376" s="61">
        <f t="shared" si="259"/>
        <v>110.63024529320496</v>
      </c>
      <c r="AV376" s="58" t="str">
        <f t="shared" si="237"/>
        <v>2.38272041037417+0.149686607677021i</v>
      </c>
      <c r="AW376" s="64">
        <f t="shared" si="260"/>
        <v>7.558567699427301</v>
      </c>
      <c r="AX376" s="49">
        <f t="shared" si="261"/>
        <v>3.5946957968883244</v>
      </c>
      <c r="AY376" s="310"/>
      <c r="BA376" s="31">
        <f t="shared" si="262"/>
        <v>0</v>
      </c>
      <c r="BB376" s="31">
        <f t="shared" si="263"/>
        <v>0</v>
      </c>
    </row>
    <row r="377" spans="14:54" x14ac:dyDescent="0.45">
      <c r="N377" s="10">
        <v>59</v>
      </c>
      <c r="O377" s="50">
        <f t="shared" si="226"/>
        <v>38904.514499428085</v>
      </c>
      <c r="P377" s="48" t="str">
        <f t="shared" si="227"/>
        <v>17.4002386318441</v>
      </c>
      <c r="Q377" s="17" t="str">
        <f t="shared" si="228"/>
        <v>1+20.9347740859343i</v>
      </c>
      <c r="R377" s="17">
        <f t="shared" si="238"/>
        <v>20.958644183942489</v>
      </c>
      <c r="S377" s="17">
        <f t="shared" si="239"/>
        <v>1.5230651948414209</v>
      </c>
      <c r="T377" s="17" t="str">
        <f t="shared" si="229"/>
        <v>1+0.0733332821657287i</v>
      </c>
      <c r="U377" s="17">
        <f t="shared" si="240"/>
        <v>1.0026852797728698</v>
      </c>
      <c r="V377" s="17">
        <f t="shared" si="241"/>
        <v>7.3202248193988365E-2</v>
      </c>
      <c r="W377" s="31" t="str">
        <f t="shared" si="230"/>
        <v>1-0.180922020399802i</v>
      </c>
      <c r="X377" s="17">
        <f t="shared" si="242"/>
        <v>1.0162346074925546</v>
      </c>
      <c r="Y377" s="17">
        <f t="shared" si="243"/>
        <v>-0.17898587891216639</v>
      </c>
      <c r="Z377" s="31" t="str">
        <f t="shared" si="231"/>
        <v>0.998627155330217+0.253030275397377i</v>
      </c>
      <c r="AA377" s="17">
        <f t="shared" si="244"/>
        <v>1.030184699765335</v>
      </c>
      <c r="AB377" s="17">
        <f t="shared" si="245"/>
        <v>0.24815553829889395</v>
      </c>
      <c r="AC377" s="66" t="str">
        <f t="shared" si="246"/>
        <v>-0.247539193686745-0.782976490161996i</v>
      </c>
      <c r="AD377" s="64">
        <f t="shared" si="247"/>
        <v>-1.7112891208106258</v>
      </c>
      <c r="AE377" s="61">
        <f t="shared" si="248"/>
        <v>-107.54442817672953</v>
      </c>
      <c r="AF377" s="31" t="str">
        <f t="shared" si="232"/>
        <v>-9090.90909090909</v>
      </c>
      <c r="AG377" s="31" t="str">
        <f t="shared" si="233"/>
        <v>244444.273885762i</v>
      </c>
      <c r="AH377" s="31">
        <f t="shared" si="249"/>
        <v>244444.273885762</v>
      </c>
      <c r="AI377" s="31">
        <f t="shared" si="250"/>
        <v>1.5707963267948966</v>
      </c>
      <c r="AJ377" s="31" t="str">
        <f t="shared" si="234"/>
        <v>-215.469594216963+84.6380965001233i</v>
      </c>
      <c r="AK377" s="31">
        <f t="shared" si="251"/>
        <v>231.49676760418683</v>
      </c>
      <c r="AL377" s="31">
        <f t="shared" si="252"/>
        <v>2.7673019478617786</v>
      </c>
      <c r="AM377" s="31" t="str">
        <f t="shared" si="235"/>
        <v>1+322.128664126657i</v>
      </c>
      <c r="AN377" s="31">
        <f t="shared" si="253"/>
        <v>322.13021629773351</v>
      </c>
      <c r="AO377" s="31">
        <f t="shared" si="254"/>
        <v>1.5676919871348391</v>
      </c>
      <c r="AP377" s="31" t="str">
        <f t="shared" si="236"/>
        <v>1+53.7777402548676i</v>
      </c>
      <c r="AQ377" s="31">
        <f t="shared" si="255"/>
        <v>53.787036978439403</v>
      </c>
      <c r="AR377" s="31">
        <f t="shared" si="256"/>
        <v>1.5522034152949684</v>
      </c>
      <c r="AS377" s="58" t="str">
        <f t="shared" si="257"/>
        <v>-0.961234877539697+2.6122620681852i</v>
      </c>
      <c r="AT377" s="49">
        <f t="shared" si="258"/>
        <v>8.8918319974809599</v>
      </c>
      <c r="AU377" s="61">
        <f t="shared" si="259"/>
        <v>110.20211683068578</v>
      </c>
      <c r="AV377" s="58" t="str">
        <f t="shared" si="237"/>
        <v>2.28328309206072+0.105987064580295i</v>
      </c>
      <c r="AW377" s="64">
        <f t="shared" si="260"/>
        <v>7.180542876670339</v>
      </c>
      <c r="AX377" s="49">
        <f t="shared" si="261"/>
        <v>2.6576886539562699</v>
      </c>
      <c r="AY377" s="310"/>
      <c r="BA377" s="31">
        <f t="shared" si="262"/>
        <v>0</v>
      </c>
      <c r="BB377" s="31">
        <f t="shared" si="263"/>
        <v>0</v>
      </c>
    </row>
    <row r="378" spans="14:54" x14ac:dyDescent="0.45">
      <c r="N378" s="10">
        <v>60</v>
      </c>
      <c r="O378" s="50">
        <f t="shared" si="226"/>
        <v>39810.717055349742</v>
      </c>
      <c r="P378" s="48" t="str">
        <f t="shared" si="227"/>
        <v>17.4002386318441</v>
      </c>
      <c r="Q378" s="17" t="str">
        <f t="shared" si="228"/>
        <v>1+21.4224076171172i</v>
      </c>
      <c r="R378" s="17">
        <f t="shared" si="238"/>
        <v>21.445734963249013</v>
      </c>
      <c r="S378" s="17">
        <f t="shared" si="239"/>
        <v>1.5241500943873907</v>
      </c>
      <c r="T378" s="17" t="str">
        <f t="shared" si="229"/>
        <v>1+0.0750414337411372i</v>
      </c>
      <c r="U378" s="17">
        <f t="shared" si="240"/>
        <v>1.002811655685117</v>
      </c>
      <c r="V378" s="17">
        <f t="shared" si="241"/>
        <v>7.4901049563423402E-2</v>
      </c>
      <c r="W378" s="31" t="str">
        <f t="shared" si="230"/>
        <v>1-0.185136235624393i</v>
      </c>
      <c r="X378" s="17">
        <f t="shared" si="242"/>
        <v>1.0169933263011959</v>
      </c>
      <c r="Y378" s="17">
        <f t="shared" si="243"/>
        <v>-0.18306349028299265</v>
      </c>
      <c r="Z378" s="31" t="str">
        <f t="shared" si="231"/>
        <v>0.99856245515423+0.258924107649004i</v>
      </c>
      <c r="AA378" s="17">
        <f t="shared" si="244"/>
        <v>1.0315855128710738</v>
      </c>
      <c r="AB378" s="17">
        <f t="shared" si="245"/>
        <v>0.25370932699275467</v>
      </c>
      <c r="AC378" s="66" t="str">
        <f t="shared" si="246"/>
        <v>-0.248686090316941-0.762609308217469i</v>
      </c>
      <c r="AD378" s="64">
        <f t="shared" si="247"/>
        <v>-1.9150697687767926</v>
      </c>
      <c r="AE378" s="61">
        <f t="shared" si="248"/>
        <v>-108.06109276771825</v>
      </c>
      <c r="AF378" s="31" t="str">
        <f t="shared" si="232"/>
        <v>-9090.90909090909</v>
      </c>
      <c r="AG378" s="31" t="str">
        <f t="shared" si="233"/>
        <v>250138.112470457i</v>
      </c>
      <c r="AH378" s="31">
        <f t="shared" si="249"/>
        <v>250138.11247045701</v>
      </c>
      <c r="AI378" s="31">
        <f t="shared" si="250"/>
        <v>1.5707963267948966</v>
      </c>
      <c r="AJ378" s="31" t="str">
        <f t="shared" si="234"/>
        <v>-225.671491889575+86.6095710285584i</v>
      </c>
      <c r="AK378" s="31">
        <f t="shared" si="251"/>
        <v>241.72058258538394</v>
      </c>
      <c r="AL378" s="31">
        <f t="shared" si="252"/>
        <v>2.7751414798921052</v>
      </c>
      <c r="AM378" s="31" t="str">
        <f t="shared" si="235"/>
        <v>1+329.632004613568i</v>
      </c>
      <c r="AN378" s="31">
        <f t="shared" si="253"/>
        <v>329.6335214530817</v>
      </c>
      <c r="AO378" s="31">
        <f t="shared" si="254"/>
        <v>1.5677626500939981</v>
      </c>
      <c r="AP378" s="31" t="str">
        <f t="shared" si="236"/>
        <v>1+55.0303847435005i</v>
      </c>
      <c r="AQ378" s="31">
        <f t="shared" si="255"/>
        <v>55.039469883145607</v>
      </c>
      <c r="AR378" s="31">
        <f t="shared" si="256"/>
        <v>1.5526265474034322</v>
      </c>
      <c r="AS378" s="58" t="str">
        <f t="shared" si="257"/>
        <v>-0.923183445626939+2.5668778037139i</v>
      </c>
      <c r="AT378" s="49">
        <f t="shared" si="258"/>
        <v>8.7163885302942283</v>
      </c>
      <c r="AU378" s="61">
        <f t="shared" si="259"/>
        <v>109.78123710530967</v>
      </c>
      <c r="AV378" s="58" t="str">
        <f t="shared" si="237"/>
        <v>2.18710778790732+0.0656814835004332i</v>
      </c>
      <c r="AW378" s="64">
        <f t="shared" si="260"/>
        <v>6.8013187615174386</v>
      </c>
      <c r="AX378" s="49">
        <f t="shared" si="261"/>
        <v>1.7201443375914314</v>
      </c>
      <c r="AY378" s="310"/>
      <c r="BA378" s="31">
        <f t="shared" si="262"/>
        <v>0</v>
      </c>
      <c r="BB378" s="31">
        <f t="shared" si="263"/>
        <v>0</v>
      </c>
    </row>
    <row r="379" spans="14:54" x14ac:dyDescent="0.45">
      <c r="N379" s="10">
        <v>61</v>
      </c>
      <c r="O379" s="50">
        <f t="shared" si="226"/>
        <v>40738.027780411358</v>
      </c>
      <c r="P379" s="48" t="str">
        <f t="shared" si="227"/>
        <v>17.4002386318441</v>
      </c>
      <c r="Q379" s="17" t="str">
        <f t="shared" si="228"/>
        <v>1+21.9213995923779i</v>
      </c>
      <c r="R379" s="17">
        <f t="shared" si="238"/>
        <v>21.94419650132367</v>
      </c>
      <c r="S379" s="17">
        <f t="shared" si="239"/>
        <v>1.5252104047961401</v>
      </c>
      <c r="T379" s="17" t="str">
        <f t="shared" si="229"/>
        <v>1+0.0767893732780063i</v>
      </c>
      <c r="U379" s="17">
        <f t="shared" si="240"/>
        <v>1.0029439704432292</v>
      </c>
      <c r="V379" s="17">
        <f t="shared" si="241"/>
        <v>7.6638972758508464E-2</v>
      </c>
      <c r="W379" s="31" t="str">
        <f t="shared" si="230"/>
        <v>1-0.18944861253168i</v>
      </c>
      <c r="X379" s="17">
        <f t="shared" si="242"/>
        <v>1.0177871962203979</v>
      </c>
      <c r="Y379" s="17">
        <f t="shared" si="243"/>
        <v>-0.18722971683058581</v>
      </c>
      <c r="Z379" s="31" t="str">
        <f t="shared" si="231"/>
        <v>0.998494705752891+0.264955224889774i</v>
      </c>
      <c r="AA379" s="17">
        <f t="shared" si="244"/>
        <v>1.0330503127209938</v>
      </c>
      <c r="AB379" s="17">
        <f t="shared" si="245"/>
        <v>0.25937709125859132</v>
      </c>
      <c r="AC379" s="66" t="str">
        <f t="shared" si="246"/>
        <v>-0.249724469667759-0.742653713784356i</v>
      </c>
      <c r="AD379" s="64">
        <f t="shared" si="247"/>
        <v>-2.1190459550723291</v>
      </c>
      <c r="AE379" s="61">
        <f t="shared" si="248"/>
        <v>-108.58571458429701</v>
      </c>
      <c r="AF379" s="31" t="str">
        <f t="shared" si="232"/>
        <v>-9090.90909090909</v>
      </c>
      <c r="AG379" s="31" t="str">
        <f t="shared" si="233"/>
        <v>255964.577593354i</v>
      </c>
      <c r="AH379" s="31">
        <f t="shared" si="249"/>
        <v>255964.57759335401</v>
      </c>
      <c r="AI379" s="31">
        <f t="shared" si="250"/>
        <v>1.5707963267948966</v>
      </c>
      <c r="AJ379" s="31" t="str">
        <f t="shared" si="234"/>
        <v>-236.354190186862+88.6269670979662i</v>
      </c>
      <c r="AK379" s="31">
        <f t="shared" si="251"/>
        <v>252.42433027715714</v>
      </c>
      <c r="AL379" s="31">
        <f t="shared" si="252"/>
        <v>2.7828436986545264</v>
      </c>
      <c r="AM379" s="31" t="str">
        <f t="shared" si="235"/>
        <v>1+337.310120352522i</v>
      </c>
      <c r="AN379" s="31">
        <f t="shared" si="253"/>
        <v>337.31160266470658</v>
      </c>
      <c r="AO379" s="31">
        <f t="shared" si="254"/>
        <v>1.5678317045971055</v>
      </c>
      <c r="AP379" s="31" t="str">
        <f t="shared" si="236"/>
        <v>1+56.3122070705378i</v>
      </c>
      <c r="AQ379" s="31">
        <f t="shared" si="255"/>
        <v>56.321085440136258</v>
      </c>
      <c r="AR379" s="31">
        <f t="shared" si="256"/>
        <v>1.5530400541369</v>
      </c>
      <c r="AS379" s="58" t="str">
        <f t="shared" si="257"/>
        <v>-0.886439136665356+2.52173363948511i</v>
      </c>
      <c r="AT379" s="49">
        <f t="shared" si="258"/>
        <v>8.5399705994824373</v>
      </c>
      <c r="AU379" s="61">
        <f t="shared" si="259"/>
        <v>109.36758119954875</v>
      </c>
      <c r="AV379" s="58" t="str">
        <f t="shared" si="237"/>
        <v>2.09414039583506+0.0285787211245582i</v>
      </c>
      <c r="AW379" s="64">
        <f t="shared" si="260"/>
        <v>6.4209246444101122</v>
      </c>
      <c r="AX379" s="49">
        <f t="shared" si="261"/>
        <v>0.7818666152517505</v>
      </c>
      <c r="AY379" s="310"/>
      <c r="BA379" s="31">
        <f t="shared" si="262"/>
        <v>0</v>
      </c>
      <c r="BB379" s="31">
        <f t="shared" si="263"/>
        <v>0</v>
      </c>
    </row>
    <row r="380" spans="14:54" x14ac:dyDescent="0.45">
      <c r="N380" s="10">
        <v>62</v>
      </c>
      <c r="O380" s="50">
        <f t="shared" si="226"/>
        <v>41686.938347033625</v>
      </c>
      <c r="P380" s="48" t="str">
        <f t="shared" si="227"/>
        <v>17.4002386318441</v>
      </c>
      <c r="Q380" s="17" t="str">
        <f t="shared" si="228"/>
        <v>1+22.4320145838665i</v>
      </c>
      <c r="R380" s="17">
        <f t="shared" si="238"/>
        <v>22.454293092653781</v>
      </c>
      <c r="S380" s="17">
        <f t="shared" si="239"/>
        <v>1.5262466787163564</v>
      </c>
      <c r="T380" s="17" t="str">
        <f t="shared" si="229"/>
        <v>1+0.078578027557015i</v>
      </c>
      <c r="U380" s="17">
        <f t="shared" si="240"/>
        <v>1.0030825022971694</v>
      </c>
      <c r="V380" s="17">
        <f t="shared" si="241"/>
        <v>7.841689723216852E-2</v>
      </c>
      <c r="W380" s="31" t="str">
        <f t="shared" si="230"/>
        <v>1-0.19386143760098i</v>
      </c>
      <c r="X380" s="17">
        <f t="shared" si="242"/>
        <v>1.0186178169405435</v>
      </c>
      <c r="Y380" s="17">
        <f t="shared" si="243"/>
        <v>-0.1914861887409568</v>
      </c>
      <c r="Z380" s="31" t="str">
        <f t="shared" si="231"/>
        <v>0.998423763420635+0.271126824897877i</v>
      </c>
      <c r="AA380" s="17">
        <f t="shared" si="244"/>
        <v>1.0345819283856781</v>
      </c>
      <c r="AB380" s="17">
        <f t="shared" si="245"/>
        <v>0.26516047865545639</v>
      </c>
      <c r="AC380" s="66" t="str">
        <f t="shared" si="246"/>
        <v>-0.250656995719112-0.723100556868581i</v>
      </c>
      <c r="AD380" s="64">
        <f t="shared" si="247"/>
        <v>-2.3232229578719132</v>
      </c>
      <c r="AE380" s="61">
        <f t="shared" si="248"/>
        <v>-109.11846270292095</v>
      </c>
      <c r="AF380" s="31" t="str">
        <f t="shared" si="232"/>
        <v>-9090.90909090909</v>
      </c>
      <c r="AG380" s="31" t="str">
        <f t="shared" si="233"/>
        <v>261926.758523383i</v>
      </c>
      <c r="AH380" s="31">
        <f t="shared" si="249"/>
        <v>261926.758523383</v>
      </c>
      <c r="AI380" s="31">
        <f t="shared" si="250"/>
        <v>1.5707963267948966</v>
      </c>
      <c r="AJ380" s="31" t="str">
        <f t="shared" si="234"/>
        <v>-247.540348544167+90.6913543584458i</v>
      </c>
      <c r="AK380" s="31">
        <f t="shared" si="251"/>
        <v>263.63069986770677</v>
      </c>
      <c r="AL380" s="31">
        <f t="shared" si="252"/>
        <v>2.7904094041583347</v>
      </c>
      <c r="AM380" s="31" t="str">
        <f t="shared" si="235"/>
        <v>1+345.167082382114i</v>
      </c>
      <c r="AN380" s="31">
        <f t="shared" si="253"/>
        <v>345.16853095289713</v>
      </c>
      <c r="AO380" s="31">
        <f t="shared" si="254"/>
        <v>1.5678991872551373</v>
      </c>
      <c r="AP380" s="31" t="str">
        <f t="shared" si="236"/>
        <v>1+57.6238868751442i</v>
      </c>
      <c r="AQ380" s="31">
        <f t="shared" si="255"/>
        <v>57.632563179156065</v>
      </c>
      <c r="AR380" s="31">
        <f t="shared" si="256"/>
        <v>1.5534441541761537</v>
      </c>
      <c r="AS380" s="58" t="str">
        <f t="shared" si="257"/>
        <v>-0.850972711500114+2.4768632379057i</v>
      </c>
      <c r="AT380" s="49">
        <f t="shared" si="258"/>
        <v>8.3626118624597456</v>
      </c>
      <c r="AU380" s="61">
        <f t="shared" si="259"/>
        <v>108.96111790338749</v>
      </c>
      <c r="AV380" s="58" t="str">
        <f t="shared" si="237"/>
        <v>2.00432344992049-0.00550425645485608i</v>
      </c>
      <c r="AW380" s="64">
        <f t="shared" si="260"/>
        <v>6.0393889045878186</v>
      </c>
      <c r="AX380" s="49">
        <f t="shared" si="261"/>
        <v>-0.15734479953345673</v>
      </c>
      <c r="AY380" s="310"/>
      <c r="BA380" s="31">
        <f t="shared" si="262"/>
        <v>0</v>
      </c>
      <c r="BB380" s="31">
        <f t="shared" si="263"/>
        <v>0</v>
      </c>
    </row>
    <row r="381" spans="14:54" x14ac:dyDescent="0.45">
      <c r="N381" s="10">
        <v>63</v>
      </c>
      <c r="O381" s="50">
        <f t="shared" si="226"/>
        <v>42657.951880159271</v>
      </c>
      <c r="P381" s="48" t="str">
        <f t="shared" si="227"/>
        <v>17.4002386318441</v>
      </c>
      <c r="Q381" s="17" t="str">
        <f t="shared" si="228"/>
        <v>1+22.9545233264103i</v>
      </c>
      <c r="R381" s="17">
        <f t="shared" si="238"/>
        <v>22.976295200547771</v>
      </c>
      <c r="S381" s="17">
        <f t="shared" si="239"/>
        <v>1.5272594566865871</v>
      </c>
      <c r="T381" s="17" t="str">
        <f t="shared" si="229"/>
        <v>1+0.0804083449463374i</v>
      </c>
      <c r="U381" s="17">
        <f t="shared" si="240"/>
        <v>1.0032275424533605</v>
      </c>
      <c r="V381" s="17">
        <f t="shared" si="241"/>
        <v>8.0235720678000638E-2</v>
      </c>
      <c r="W381" s="31" t="str">
        <f t="shared" si="230"/>
        <v>1-0.198377050570556i</v>
      </c>
      <c r="X381" s="17">
        <f t="shared" si="242"/>
        <v>1.0194868582738441</v>
      </c>
      <c r="Y381" s="17">
        <f t="shared" si="243"/>
        <v>-0.1958345456185096</v>
      </c>
      <c r="Z381" s="31" t="str">
        <f t="shared" si="231"/>
        <v>0.998349477679265+0.277442179937329i</v>
      </c>
      <c r="AA381" s="17">
        <f t="shared" si="244"/>
        <v>1.0361833055935801</v>
      </c>
      <c r="AB381" s="17">
        <f t="shared" si="245"/>
        <v>0.27106111355912643</v>
      </c>
      <c r="AC381" s="66" t="str">
        <f t="shared" si="246"/>
        <v>-0.251486154609706-0.703940918937059i</v>
      </c>
      <c r="AD381" s="64">
        <f t="shared" si="247"/>
        <v>-2.5276062080424455</v>
      </c>
      <c r="AE381" s="61">
        <f t="shared" si="248"/>
        <v>-109.65950367240166</v>
      </c>
      <c r="AF381" s="31" t="str">
        <f t="shared" si="232"/>
        <v>-9090.90909090909</v>
      </c>
      <c r="AG381" s="31" t="str">
        <f t="shared" si="233"/>
        <v>268027.816487791i</v>
      </c>
      <c r="AH381" s="31">
        <f t="shared" si="249"/>
        <v>268027.81648779102</v>
      </c>
      <c r="AI381" s="31">
        <f t="shared" si="250"/>
        <v>1.5707963267948966</v>
      </c>
      <c r="AJ381" s="31" t="str">
        <f t="shared" si="234"/>
        <v>-259.253694303118+92.803827375448i</v>
      </c>
      <c r="AK381" s="31">
        <f t="shared" si="251"/>
        <v>275.36344780189415</v>
      </c>
      <c r="AL381" s="31">
        <f t="shared" si="252"/>
        <v>2.797839493786856</v>
      </c>
      <c r="AM381" s="31" t="str">
        <f t="shared" si="235"/>
        <v>1+353.207056567611i</v>
      </c>
      <c r="AN381" s="31">
        <f t="shared" si="253"/>
        <v>353.20847216503114</v>
      </c>
      <c r="AO381" s="31">
        <f t="shared" si="254"/>
        <v>1.567965133845832</v>
      </c>
      <c r="AP381" s="31" t="str">
        <f t="shared" si="236"/>
        <v>1+58.966119627314i</v>
      </c>
      <c r="AQ381" s="31">
        <f t="shared" si="255"/>
        <v>58.974598463259632</v>
      </c>
      <c r="AR381" s="31">
        <f t="shared" si="256"/>
        <v>1.5538390612521744</v>
      </c>
      <c r="AS381" s="58" t="str">
        <f t="shared" si="257"/>
        <v>-0.816754314286442+2.43229810343456i</v>
      </c>
      <c r="AT381" s="49">
        <f t="shared" si="258"/>
        <v>8.1843452092990425</v>
      </c>
      <c r="AU381" s="61">
        <f t="shared" si="259"/>
        <v>108.56181009634521</v>
      </c>
      <c r="AV381" s="58" t="str">
        <f t="shared" si="237"/>
        <v>1.91759656382137-0.0367425143526331i</v>
      </c>
      <c r="AW381" s="64">
        <f t="shared" si="260"/>
        <v>5.6567390012565744</v>
      </c>
      <c r="AX381" s="49">
        <f t="shared" si="261"/>
        <v>-1.0976935760564597</v>
      </c>
      <c r="AY381" s="310"/>
      <c r="BA381" s="31">
        <f t="shared" si="262"/>
        <v>0</v>
      </c>
      <c r="BB381" s="31">
        <f t="shared" si="263"/>
        <v>0</v>
      </c>
    </row>
    <row r="382" spans="14:54" x14ac:dyDescent="0.45">
      <c r="N382" s="10">
        <v>64</v>
      </c>
      <c r="O382" s="50">
        <f t="shared" si="226"/>
        <v>43651.583224016598</v>
      </c>
      <c r="P382" s="48" t="str">
        <f t="shared" si="227"/>
        <v>17.4002386318441</v>
      </c>
      <c r="Q382" s="17" t="str">
        <f t="shared" si="228"/>
        <v>1+23.4892028610607i</v>
      </c>
      <c r="R382" s="17">
        <f t="shared" si="238"/>
        <v>23.510479600553921</v>
      </c>
      <c r="S382" s="17">
        <f t="shared" si="239"/>
        <v>1.528249267379779</v>
      </c>
      <c r="T382" s="17" t="str">
        <f t="shared" si="229"/>
        <v>1+0.0822812959044805i</v>
      </c>
      <c r="U382" s="17">
        <f t="shared" si="240"/>
        <v>1.0033793956703121</v>
      </c>
      <c r="V382" s="17">
        <f t="shared" si="241"/>
        <v>8.2096359298342803E-2</v>
      </c>
      <c r="W382" s="31" t="str">
        <f t="shared" si="230"/>
        <v>1-0.202997845678174i</v>
      </c>
      <c r="X382" s="17">
        <f t="shared" si="242"/>
        <v>1.0203960629823989</v>
      </c>
      <c r="Y382" s="17">
        <f t="shared" si="243"/>
        <v>-0.20027643494689631</v>
      </c>
      <c r="Z382" s="31" t="str">
        <f t="shared" si="231"/>
        <v>0.998271690958763+0.283904638492964i</v>
      </c>
      <c r="AA382" s="17">
        <f t="shared" si="244"/>
        <v>1.0378575108016943</v>
      </c>
      <c r="AB382" s="17">
        <f t="shared" si="245"/>
        <v>0.27708059335194785</v>
      </c>
      <c r="AC382" s="66" t="str">
        <f t="shared" si="246"/>
        <v>-0.252214262818213-0.685166112565084i</v>
      </c>
      <c r="AD382" s="64">
        <f t="shared" si="247"/>
        <v>-2.7322012787241095</v>
      </c>
      <c r="AE382" s="61">
        <f t="shared" si="248"/>
        <v>-110.20900120606755</v>
      </c>
      <c r="AF382" s="31" t="str">
        <f t="shared" si="232"/>
        <v>-9090.90909090909</v>
      </c>
      <c r="AG382" s="31" t="str">
        <f t="shared" si="233"/>
        <v>274270.986348268i</v>
      </c>
      <c r="AH382" s="31">
        <f t="shared" si="249"/>
        <v>274270.98634826799</v>
      </c>
      <c r="AI382" s="31">
        <f t="shared" si="250"/>
        <v>1.5707963267948966</v>
      </c>
      <c r="AJ382" s="31" t="str">
        <f t="shared" si="234"/>
        <v>-271.519073040505+94.9655062101288i</v>
      </c>
      <c r="AK382" s="31">
        <f t="shared" si="251"/>
        <v>287.64744809318427</v>
      </c>
      <c r="AL382" s="31">
        <f t="shared" si="252"/>
        <v>2.8051349558867735</v>
      </c>
      <c r="AM382" s="31" t="str">
        <f t="shared" si="235"/>
        <v>1+361.434305809747i</v>
      </c>
      <c r="AN382" s="31">
        <f t="shared" si="253"/>
        <v>361.43568918436057</v>
      </c>
      <c r="AO382" s="31">
        <f t="shared" si="254"/>
        <v>1.5680295793326495</v>
      </c>
      <c r="AP382" s="31" t="str">
        <f t="shared" si="236"/>
        <v>1+60.3396169966189i</v>
      </c>
      <c r="AQ382" s="31">
        <f t="shared" si="255"/>
        <v>60.347902857503342</v>
      </c>
      <c r="AR382" s="31">
        <f t="shared" si="256"/>
        <v>1.5542249842569469</v>
      </c>
      <c r="AS382" s="58" t="str">
        <f t="shared" si="257"/>
        <v>-0.783753600426033+2.388067627187i</v>
      </c>
      <c r="AT382" s="49">
        <f t="shared" si="258"/>
        <v>8.0052027480972541</v>
      </c>
      <c r="AU382" s="61">
        <f t="shared" si="259"/>
        <v>108.1696151222161</v>
      </c>
      <c r="AV382" s="58" t="str">
        <f t="shared" si="237"/>
        <v>1.83389684922481-0.0653033085382151i</v>
      </c>
      <c r="AW382" s="64">
        <f t="shared" si="260"/>
        <v>5.2730014693731295</v>
      </c>
      <c r="AX382" s="49">
        <f t="shared" si="261"/>
        <v>-2.0393860838514462</v>
      </c>
      <c r="AY382" s="310"/>
      <c r="BA382" s="31">
        <f t="shared" si="262"/>
        <v>0</v>
      </c>
      <c r="BB382" s="31">
        <f t="shared" si="263"/>
        <v>0</v>
      </c>
    </row>
    <row r="383" spans="14:54" x14ac:dyDescent="0.45">
      <c r="N383" s="10">
        <v>65</v>
      </c>
      <c r="O383" s="50">
        <f t="shared" si="226"/>
        <v>44668.359215096389</v>
      </c>
      <c r="P383" s="48" t="str">
        <f t="shared" si="227"/>
        <v>17.4002386318441</v>
      </c>
      <c r="Q383" s="17" t="str">
        <f t="shared" si="228"/>
        <v>1+24.0363366819846i</v>
      </c>
      <c r="R383" s="17">
        <f t="shared" si="238"/>
        <v>24.057129527225779</v>
      </c>
      <c r="S383" s="17">
        <f t="shared" si="239"/>
        <v>1.5292166278443049</v>
      </c>
      <c r="T383" s="17" t="str">
        <f t="shared" si="229"/>
        <v>1+0.0841978734948343i</v>
      </c>
      <c r="U383" s="17">
        <f t="shared" si="240"/>
        <v>1.0035383808808969</v>
      </c>
      <c r="V383" s="17">
        <f t="shared" si="241"/>
        <v>8.3999748067817043E-2</v>
      </c>
      <c r="W383" s="31" t="str">
        <f t="shared" si="230"/>
        <v>1-0.207726272930566i</v>
      </c>
      <c r="X383" s="17">
        <f t="shared" si="242"/>
        <v>1.0213472496979781</v>
      </c>
      <c r="Y383" s="17">
        <f t="shared" si="243"/>
        <v>-0.20481351041972162</v>
      </c>
      <c r="Z383" s="31" t="str">
        <f t="shared" si="231"/>
        <v>0.998190238263067+0.290517627045852i</v>
      </c>
      <c r="AA383" s="17">
        <f t="shared" si="244"/>
        <v>1.0396077353444573</v>
      </c>
      <c r="AB383" s="17">
        <f t="shared" si="245"/>
        <v>0.28322048440536568</v>
      </c>
      <c r="AC383" s="66" t="str">
        <f t="shared" si="246"/>
        <v>-0.252843475225454-0.666767681072943i</v>
      </c>
      <c r="AD383" s="64">
        <f t="shared" si="247"/>
        <v>-2.9370138736495441</v>
      </c>
      <c r="AE383" s="61">
        <f t="shared" si="248"/>
        <v>-110.76711585464538</v>
      </c>
      <c r="AF383" s="31" t="str">
        <f t="shared" si="232"/>
        <v>-9090.90909090909</v>
      </c>
      <c r="AG383" s="31" t="str">
        <f t="shared" si="233"/>
        <v>280659.578316114i</v>
      </c>
      <c r="AH383" s="31">
        <f t="shared" si="249"/>
        <v>280659.57831611403</v>
      </c>
      <c r="AI383" s="31">
        <f t="shared" si="250"/>
        <v>1.5707963267948966</v>
      </c>
      <c r="AJ383" s="31" t="str">
        <f t="shared" si="234"/>
        <v>-284.362501269083+97.1775370132194i</v>
      </c>
      <c r="AK383" s="31">
        <f t="shared" si="251"/>
        <v>300.50874501079807</v>
      </c>
      <c r="AL383" s="31">
        <f t="shared" si="252"/>
        <v>2.81229686350007</v>
      </c>
      <c r="AM383" s="31" t="str">
        <f t="shared" si="235"/>
        <v>1+369.853192304975i</v>
      </c>
      <c r="AN383" s="31">
        <f t="shared" si="253"/>
        <v>369.85454419025433</v>
      </c>
      <c r="AO383" s="31">
        <f t="shared" si="254"/>
        <v>1.5680925578832972</v>
      </c>
      <c r="AP383" s="31" t="str">
        <f t="shared" si="236"/>
        <v>1+61.745107229545i</v>
      </c>
      <c r="AQ383" s="31">
        <f t="shared" si="255"/>
        <v>61.753204506227938</v>
      </c>
      <c r="AR383" s="31">
        <f t="shared" si="256"/>
        <v>1.5546021273518686</v>
      </c>
      <c r="AS383" s="58" t="str">
        <f t="shared" si="257"/>
        <v>-0.751939856590432+2.3441991372243i</v>
      </c>
      <c r="AT383" s="49">
        <f t="shared" si="258"/>
        <v>7.8252157935888276</v>
      </c>
      <c r="AU383" s="61">
        <f t="shared" si="259"/>
        <v>107.78448515547501</v>
      </c>
      <c r="AV383" s="58" t="str">
        <f t="shared" si="237"/>
        <v>1.75315930920109-0.0913462619911791i</v>
      </c>
      <c r="AW383" s="64">
        <f t="shared" si="260"/>
        <v>4.8882019199392612</v>
      </c>
      <c r="AX383" s="49">
        <f t="shared" si="261"/>
        <v>-2.9826306991703775</v>
      </c>
      <c r="AY383" s="310"/>
      <c r="BA383" s="31">
        <f t="shared" si="262"/>
        <v>0</v>
      </c>
      <c r="BB383" s="31">
        <f t="shared" si="263"/>
        <v>0</v>
      </c>
    </row>
    <row r="384" spans="14:54" x14ac:dyDescent="0.45">
      <c r="N384" s="10">
        <v>66</v>
      </c>
      <c r="O384" s="50">
        <f t="shared" ref="O384:O418" si="264">10^(4+(N384/100))</f>
        <v>45708.818961487581</v>
      </c>
      <c r="P384" s="48" t="str">
        <f t="shared" si="227"/>
        <v>17.4002386318441</v>
      </c>
      <c r="Q384" s="17" t="str">
        <f t="shared" si="228"/>
        <v>1+24.5962148867756i</v>
      </c>
      <c r="R384" s="17">
        <f t="shared" si="238"/>
        <v>24.616534824309483</v>
      </c>
      <c r="S384" s="17">
        <f t="shared" si="239"/>
        <v>1.5301620437414194</v>
      </c>
      <c r="T384" s="17" t="str">
        <f t="shared" si="229"/>
        <v>1+0.0861590939122051i</v>
      </c>
      <c r="U384" s="17">
        <f t="shared" si="240"/>
        <v>1.0037048318423958</v>
      </c>
      <c r="V384" s="17">
        <f t="shared" si="241"/>
        <v>8.5946840991522416E-2</v>
      </c>
      <c r="W384" s="31" t="str">
        <f t="shared" si="230"/>
        <v>1-0.212564839402447i</v>
      </c>
      <c r="X384" s="17">
        <f t="shared" si="242"/>
        <v>1.0223423159344369</v>
      </c>
      <c r="Y384" s="17">
        <f t="shared" si="243"/>
        <v>-0.20944743013462741</v>
      </c>
      <c r="Z384" s="31" t="str">
        <f t="shared" si="231"/>
        <v>0.998104946820087+0.297284651890053i</v>
      </c>
      <c r="AA384" s="17">
        <f t="shared" si="244"/>
        <v>1.0414372996566423</v>
      </c>
      <c r="AB384" s="17">
        <f t="shared" si="245"/>
        <v>0.28948231785241557</v>
      </c>
      <c r="AC384" s="66" t="str">
        <f t="shared" si="246"/>
        <v>-0.253375793080098-0.648737398150539i</v>
      </c>
      <c r="AD384" s="64">
        <f t="shared" si="247"/>
        <v>-3.1420498140914437</v>
      </c>
      <c r="AE384" s="61">
        <f t="shared" si="248"/>
        <v>-111.33400465938296</v>
      </c>
      <c r="AF384" s="31" t="str">
        <f t="shared" si="232"/>
        <v>-9090.90909090909</v>
      </c>
      <c r="AG384" s="31" t="str">
        <f t="shared" si="233"/>
        <v>287196.97970735i</v>
      </c>
      <c r="AH384" s="31">
        <f t="shared" si="249"/>
        <v>287196.97970735002</v>
      </c>
      <c r="AI384" s="31">
        <f t="shared" si="250"/>
        <v>1.5707963267948966</v>
      </c>
      <c r="AJ384" s="31" t="str">
        <f t="shared" si="234"/>
        <v>-297.811221622066+99.441092632731i</v>
      </c>
      <c r="AK384" s="31">
        <f t="shared" si="251"/>
        <v>313.97460825362725</v>
      </c>
      <c r="AL384" s="31">
        <f t="shared" si="252"/>
        <v>2.8193263682544187</v>
      </c>
      <c r="AM384" s="31" t="str">
        <f t="shared" si="235"/>
        <v>1+378.468179858346i</v>
      </c>
      <c r="AN384" s="31">
        <f t="shared" si="253"/>
        <v>378.46950097106816</v>
      </c>
      <c r="AO384" s="31">
        <f t="shared" si="254"/>
        <v>1.5681541028878367</v>
      </c>
      <c r="AP384" s="31" t="str">
        <f t="shared" si="236"/>
        <v>1+63.1833355356169i</v>
      </c>
      <c r="AQ384" s="31">
        <f t="shared" si="255"/>
        <v>63.191248519129196</v>
      </c>
      <c r="AR384" s="31">
        <f t="shared" si="256"/>
        <v>1.5549706900738047</v>
      </c>
      <c r="AS384" s="58" t="str">
        <f t="shared" si="257"/>
        <v>-0.721282112834049+2.30071795371592i</v>
      </c>
      <c r="AT384" s="49">
        <f t="shared" si="258"/>
        <v>7.6444148588001601</v>
      </c>
      <c r="AU384" s="61">
        <f t="shared" si="259"/>
        <v>107.40636755844683</v>
      </c>
      <c r="AV384" s="58" t="str">
        <f t="shared" si="237"/>
        <v>1.67531720654571-0.115023554963907i</v>
      </c>
      <c r="AW384" s="64">
        <f t="shared" si="260"/>
        <v>4.5023650447086965</v>
      </c>
      <c r="AX384" s="49">
        <f t="shared" si="261"/>
        <v>-3.9276371009361415</v>
      </c>
      <c r="AY384" s="310"/>
      <c r="BA384" s="31">
        <f t="shared" si="262"/>
        <v>0</v>
      </c>
      <c r="BB384" s="31">
        <f t="shared" si="263"/>
        <v>0</v>
      </c>
    </row>
    <row r="385" spans="14:54" x14ac:dyDescent="0.45">
      <c r="N385" s="10">
        <v>67</v>
      </c>
      <c r="O385" s="50">
        <f t="shared" si="264"/>
        <v>46773.514128719893</v>
      </c>
      <c r="P385" s="48" t="str">
        <f t="shared" si="227"/>
        <v>17.4002386318441</v>
      </c>
      <c r="Q385" s="17" t="str">
        <f t="shared" si="228"/>
        <v>1+25.1691343302691i</v>
      </c>
      <c r="R385" s="17">
        <f t="shared" si="238"/>
        <v>25.188992098437179</v>
      </c>
      <c r="S385" s="17">
        <f t="shared" si="239"/>
        <v>1.5310860095791057</v>
      </c>
      <c r="T385" s="17" t="str">
        <f t="shared" si="229"/>
        <v>1+0.0881659970216191i</v>
      </c>
      <c r="U385" s="17">
        <f t="shared" si="240"/>
        <v>1.003879097815477</v>
      </c>
      <c r="V385" s="17">
        <f t="shared" si="241"/>
        <v>8.7938611356999166E-2</v>
      </c>
      <c r="W385" s="31" t="str">
        <f t="shared" si="230"/>
        <v>1-0.217516110565808i</v>
      </c>
      <c r="X385" s="17">
        <f t="shared" si="242"/>
        <v>1.023383241193482</v>
      </c>
      <c r="Y385" s="17">
        <f t="shared" si="243"/>
        <v>-0.21417985464427516</v>
      </c>
      <c r="Z385" s="31" t="str">
        <f t="shared" si="231"/>
        <v>0.998015635715238+0.304209300991716i</v>
      </c>
      <c r="AA385" s="17">
        <f t="shared" si="244"/>
        <v>1.0433496575654584</v>
      </c>
      <c r="AB385" s="17">
        <f t="shared" si="245"/>
        <v>0.29586758514841621</v>
      </c>
      <c r="AC385" s="66" t="str">
        <f t="shared" si="246"/>
        <v>-0.253813071889795-0.631067267466328i</v>
      </c>
      <c r="AD385" s="64">
        <f t="shared" si="247"/>
        <v>-3.3473150243319227</v>
      </c>
      <c r="AE385" s="61">
        <f t="shared" si="248"/>
        <v>-111.90982078498641</v>
      </c>
      <c r="AF385" s="31" t="str">
        <f t="shared" si="232"/>
        <v>-9090.90909090909</v>
      </c>
      <c r="AG385" s="31" t="str">
        <f t="shared" si="233"/>
        <v>293886.65673873i</v>
      </c>
      <c r="AH385" s="31">
        <f t="shared" si="249"/>
        <v>293886.65673872997</v>
      </c>
      <c r="AI385" s="31">
        <f t="shared" si="250"/>
        <v>1.5707963267948966</v>
      </c>
      <c r="AJ385" s="31" t="str">
        <f t="shared" si="234"/>
        <v>-311.893760638431+101.757373235815i</v>
      </c>
      <c r="AK385" s="31">
        <f t="shared" si="251"/>
        <v>328.07359072780582</v>
      </c>
      <c r="AL385" s="31">
        <f t="shared" si="252"/>
        <v>2.8262246944256018</v>
      </c>
      <c r="AM385" s="31" t="str">
        <f t="shared" si="235"/>
        <v>1+387.283836250298i</v>
      </c>
      <c r="AN385" s="31">
        <f t="shared" si="253"/>
        <v>387.28512729092461</v>
      </c>
      <c r="AO385" s="31">
        <f t="shared" si="254"/>
        <v>1.5682142469763782</v>
      </c>
      <c r="AP385" s="31" t="str">
        <f t="shared" si="236"/>
        <v>1+64.6550644825205i</v>
      </c>
      <c r="AQ385" s="31">
        <f t="shared" si="255"/>
        <v>64.662797366328689</v>
      </c>
      <c r="AR385" s="31">
        <f t="shared" si="256"/>
        <v>1.5553308674388395</v>
      </c>
      <c r="AS385" s="58" t="str">
        <f t="shared" si="257"/>
        <v>-0.691749246860582+2.25764744820763i</v>
      </c>
      <c r="AT385" s="49">
        <f t="shared" si="258"/>
        <v>7.4628296495385555</v>
      </c>
      <c r="AU385" s="61">
        <f t="shared" si="259"/>
        <v>107.03520522846208</v>
      </c>
      <c r="AV385" s="58" t="str">
        <f t="shared" si="237"/>
        <v>1.60030240736585-0.136480127085538i</v>
      </c>
      <c r="AW385" s="64">
        <f t="shared" si="260"/>
        <v>4.1155146252066102</v>
      </c>
      <c r="AX385" s="49">
        <f t="shared" si="261"/>
        <v>-4.8746155565243541</v>
      </c>
      <c r="AY385" s="310"/>
      <c r="BA385" s="31">
        <f t="shared" si="262"/>
        <v>0</v>
      </c>
      <c r="BB385" s="31">
        <f t="shared" si="263"/>
        <v>0</v>
      </c>
    </row>
    <row r="386" spans="14:54" x14ac:dyDescent="0.45">
      <c r="N386" s="10">
        <v>68</v>
      </c>
      <c r="O386" s="50">
        <f t="shared" si="264"/>
        <v>47863.009232263823</v>
      </c>
      <c r="P386" s="48" t="str">
        <f t="shared" si="227"/>
        <v>17.4002386318441</v>
      </c>
      <c r="Q386" s="17" t="str">
        <f t="shared" si="228"/>
        <v>1+25.7553987819372i</v>
      </c>
      <c r="R386" s="17">
        <f t="shared" si="238"/>
        <v>25.77480487640231</v>
      </c>
      <c r="S386" s="17">
        <f t="shared" si="239"/>
        <v>1.5319890089422694</v>
      </c>
      <c r="T386" s="17" t="str">
        <f t="shared" si="229"/>
        <v>1+0.0902196469096684i</v>
      </c>
      <c r="U386" s="17">
        <f t="shared" si="240"/>
        <v>1.0040615442733105</v>
      </c>
      <c r="V386" s="17">
        <f t="shared" si="241"/>
        <v>8.997605197899558E-2</v>
      </c>
      <c r="W386" s="31" t="str">
        <f t="shared" si="230"/>
        <v>1-0.222582711650157i</v>
      </c>
      <c r="X386" s="17">
        <f t="shared" si="242"/>
        <v>1.0244720901642645</v>
      </c>
      <c r="Y386" s="17">
        <f t="shared" si="243"/>
        <v>-0.21901244485764482</v>
      </c>
      <c r="Z386" s="31" t="str">
        <f t="shared" si="231"/>
        <v>0.997922115507694+0.311295245891448i</v>
      </c>
      <c r="AA386" s="17">
        <f t="shared" si="244"/>
        <v>1.0453484006463916</v>
      </c>
      <c r="AB386" s="17">
        <f t="shared" si="245"/>
        <v>0.3023777334190233</v>
      </c>
      <c r="AC386" s="66" t="str">
        <f t="shared" si="246"/>
        <v>-0.254157029259253-0.613749522255424i</v>
      </c>
      <c r="AD386" s="64">
        <f t="shared" si="247"/>
        <v>-3.5528155155376058</v>
      </c>
      <c r="AE386" s="61">
        <f t="shared" si="248"/>
        <v>-112.49471313200229</v>
      </c>
      <c r="AF386" s="31" t="str">
        <f t="shared" si="232"/>
        <v>-9090.90909090909</v>
      </c>
      <c r="AG386" s="31" t="str">
        <f t="shared" si="233"/>
        <v>300732.156365561i</v>
      </c>
      <c r="AH386" s="31">
        <f t="shared" si="249"/>
        <v>300732.15636556101</v>
      </c>
      <c r="AI386" s="31">
        <f t="shared" si="250"/>
        <v>1.5707963267948966</v>
      </c>
      <c r="AJ386" s="31" t="str">
        <f t="shared" si="234"/>
        <v>-326.639989271504+104.127606945106i</v>
      </c>
      <c r="AK386" s="31">
        <f t="shared" si="251"/>
        <v>342.83558905020749</v>
      </c>
      <c r="AL386" s="31">
        <f t="shared" si="252"/>
        <v>2.8329931331831117</v>
      </c>
      <c r="AM386" s="31" t="str">
        <f t="shared" si="235"/>
        <v>1+396.304835658536i</v>
      </c>
      <c r="AN386" s="31">
        <f t="shared" si="253"/>
        <v>396.30609731158461</v>
      </c>
      <c r="AO386" s="31">
        <f t="shared" si="254"/>
        <v>1.5682730220363721</v>
      </c>
      <c r="AP386" s="31" t="str">
        <f t="shared" si="236"/>
        <v>1+66.1610744004234i</v>
      </c>
      <c r="AQ386" s="31">
        <f t="shared" si="255"/>
        <v>66.168631282642991</v>
      </c>
      <c r="AR386" s="31">
        <f t="shared" si="256"/>
        <v>1.5556828500437647</v>
      </c>
      <c r="AS386" s="58" t="str">
        <f t="shared" si="257"/>
        <v>-0.663310080561256+2.21500910627668i</v>
      </c>
      <c r="AT386" s="49">
        <f t="shared" si="258"/>
        <v>7.2804890615120579</v>
      </c>
      <c r="AU386" s="61">
        <f t="shared" si="259"/>
        <v>106.67093693436651</v>
      </c>
      <c r="AV386" s="58" t="str">
        <f t="shared" si="237"/>
        <v>1.52804570032189-0.155853889181796i</v>
      </c>
      <c r="AW386" s="64">
        <f t="shared" si="260"/>
        <v>3.7276735459744481</v>
      </c>
      <c r="AX386" s="49">
        <f t="shared" si="261"/>
        <v>-5.8237761976357616</v>
      </c>
      <c r="AY386" s="310"/>
      <c r="BA386" s="31">
        <f t="shared" si="262"/>
        <v>0</v>
      </c>
      <c r="BB386" s="31">
        <f t="shared" si="263"/>
        <v>0</v>
      </c>
    </row>
    <row r="387" spans="14:54" x14ac:dyDescent="0.45">
      <c r="N387" s="10">
        <v>69</v>
      </c>
      <c r="O387" s="50">
        <f t="shared" si="264"/>
        <v>48977.881936844598</v>
      </c>
      <c r="P387" s="48" t="str">
        <f t="shared" si="227"/>
        <v>17.4002386318441</v>
      </c>
      <c r="Q387" s="17" t="str">
        <f t="shared" si="228"/>
        <v>1+26.3553190869526i</v>
      </c>
      <c r="R387" s="17">
        <f t="shared" si="238"/>
        <v>26.374283766106107</v>
      </c>
      <c r="S387" s="17">
        <f t="shared" si="239"/>
        <v>1.5328715147192644</v>
      </c>
      <c r="T387" s="17" t="str">
        <f t="shared" si="229"/>
        <v>1+0.0923211324487075i</v>
      </c>
      <c r="U387" s="17">
        <f t="shared" si="240"/>
        <v>1.0042525536420666</v>
      </c>
      <c r="V387" s="17">
        <f t="shared" si="241"/>
        <v>9.2060175436026445E-2</v>
      </c>
      <c r="W387" s="31" t="str">
        <f t="shared" si="230"/>
        <v>1-0.227767329034453i</v>
      </c>
      <c r="X387" s="17">
        <f t="shared" si="242"/>
        <v>1.025611016017032</v>
      </c>
      <c r="Y387" s="17">
        <f t="shared" si="243"/>
        <v>-0.22394685978512421</v>
      </c>
      <c r="Z387" s="31" t="str">
        <f t="shared" si="231"/>
        <v>0.997824187828554+0.318546243651033i</v>
      </c>
      <c r="AA387" s="17">
        <f t="shared" si="244"/>
        <v>1.0474372626367161</v>
      </c>
      <c r="AB387" s="17">
        <f t="shared" si="245"/>
        <v>0.30901416059606812</v>
      </c>
      <c r="AC387" s="66" t="str">
        <f t="shared" si="246"/>
        <v>-0.254409252696018-0.596776624879297i</v>
      </c>
      <c r="AD387" s="64">
        <f t="shared" si="247"/>
        <v>-3.7585573679268141</v>
      </c>
      <c r="AE387" s="61">
        <f t="shared" si="248"/>
        <v>-113.08882592834938</v>
      </c>
      <c r="AF387" s="31" t="str">
        <f t="shared" si="232"/>
        <v>-9090.90909090909</v>
      </c>
      <c r="AG387" s="31" t="str">
        <f t="shared" si="233"/>
        <v>307737.108162358i</v>
      </c>
      <c r="AH387" s="31">
        <f t="shared" si="249"/>
        <v>307737.108162358</v>
      </c>
      <c r="AI387" s="31">
        <f t="shared" si="250"/>
        <v>1.5707963267948966</v>
      </c>
      <c r="AJ387" s="31" t="str">
        <f t="shared" si="234"/>
        <v>-342.081186249281+106.553050489892i</v>
      </c>
      <c r="AK387" s="31">
        <f t="shared" si="251"/>
        <v>358.29190690611023</v>
      </c>
      <c r="AL387" s="31">
        <f t="shared" si="252"/>
        <v>2.8396330370282006</v>
      </c>
      <c r="AM387" s="31" t="str">
        <f t="shared" si="235"/>
        <v>1+405.535961136355i</v>
      </c>
      <c r="AN387" s="31">
        <f t="shared" si="253"/>
        <v>405.53719407076244</v>
      </c>
      <c r="AO387" s="31">
        <f t="shared" si="254"/>
        <v>1.5683304592295078</v>
      </c>
      <c r="AP387" s="31" t="str">
        <f t="shared" si="236"/>
        <v>1+67.7021637957187i</v>
      </c>
      <c r="AQ387" s="31">
        <f t="shared" si="255"/>
        <v>67.709548681277781</v>
      </c>
      <c r="AR387" s="31">
        <f t="shared" si="256"/>
        <v>1.5560268241653543</v>
      </c>
      <c r="AS387" s="58" t="str">
        <f t="shared" si="257"/>
        <v>-0.635933468988867+2.17282259290451i</v>
      </c>
      <c r="AT387" s="49">
        <f t="shared" si="258"/>
        <v>7.0974211798792384</v>
      </c>
      <c r="AU387" s="61">
        <f t="shared" si="259"/>
        <v>106.31349764185275</v>
      </c>
      <c r="AV387" s="58" t="str">
        <f t="shared" si="237"/>
        <v>1.45847709206488-0.173275942830901i</v>
      </c>
      <c r="AW387" s="64">
        <f t="shared" si="260"/>
        <v>3.3388638119524221</v>
      </c>
      <c r="AX387" s="49">
        <f t="shared" si="261"/>
        <v>-6.7753282864966193</v>
      </c>
      <c r="AY387" s="310"/>
      <c r="BA387" s="31">
        <f t="shared" si="262"/>
        <v>0</v>
      </c>
      <c r="BB387" s="31">
        <f t="shared" si="263"/>
        <v>0</v>
      </c>
    </row>
    <row r="388" spans="14:54" x14ac:dyDescent="0.45">
      <c r="N388" s="10">
        <v>70</v>
      </c>
      <c r="O388" s="50">
        <f t="shared" si="264"/>
        <v>50118.723362727294</v>
      </c>
      <c r="P388" s="48" t="str">
        <f t="shared" si="227"/>
        <v>17.4002386318441</v>
      </c>
      <c r="Q388" s="17" t="str">
        <f t="shared" si="228"/>
        <v>1+26.9692133310018i</v>
      </c>
      <c r="R388" s="17">
        <f t="shared" si="238"/>
        <v>26.98774662125545</v>
      </c>
      <c r="S388" s="17">
        <f t="shared" si="239"/>
        <v>1.5337339893247171</v>
      </c>
      <c r="T388" s="17" t="str">
        <f t="shared" si="229"/>
        <v>1+0.0944715678741859i</v>
      </c>
      <c r="U388" s="17">
        <f t="shared" si="240"/>
        <v>1.0044525260740833</v>
      </c>
      <c r="V388" s="17">
        <f t="shared" si="241"/>
        <v>9.4192014297605375E-2</v>
      </c>
      <c r="W388" s="31" t="str">
        <f t="shared" si="230"/>
        <v>1-0.233072711671461i</v>
      </c>
      <c r="X388" s="17">
        <f t="shared" si="242"/>
        <v>1.0268022637907885</v>
      </c>
      <c r="Y388" s="17">
        <f t="shared" si="243"/>
        <v>-0.22898475412087416</v>
      </c>
      <c r="Z388" s="31" t="str">
        <f t="shared" si="231"/>
        <v>0.997721644960082+0.32596613884546i</v>
      </c>
      <c r="AA388" s="17">
        <f t="shared" si="244"/>
        <v>1.0496201238999134</v>
      </c>
      <c r="AB388" s="17">
        <f t="shared" si="245"/>
        <v>0.31577821034274622</v>
      </c>
      <c r="AC388" s="66" t="str">
        <f t="shared" si="246"/>
        <v>-0.254571207403904-0.58014126634761i</v>
      </c>
      <c r="AD388" s="64">
        <f t="shared" si="247"/>
        <v>-3.9645467111116184</v>
      </c>
      <c r="AE388" s="61">
        <f t="shared" si="248"/>
        <v>-113.69229829978111</v>
      </c>
      <c r="AF388" s="31" t="str">
        <f t="shared" si="232"/>
        <v>-9090.90909090909</v>
      </c>
      <c r="AG388" s="31" t="str">
        <f t="shared" si="233"/>
        <v>314905.226247286i</v>
      </c>
      <c r="AH388" s="31">
        <f t="shared" si="249"/>
        <v>314905.22624728602</v>
      </c>
      <c r="AI388" s="31">
        <f t="shared" si="250"/>
        <v>1.5707963267948966</v>
      </c>
      <c r="AJ388" s="31" t="str">
        <f t="shared" si="234"/>
        <v>-358.250104420792+109.034989872444i</v>
      </c>
      <c r="AK388" s="31">
        <f t="shared" si="251"/>
        <v>374.47532139513856</v>
      </c>
      <c r="AL388" s="31">
        <f t="shared" si="252"/>
        <v>2.8461458144315572</v>
      </c>
      <c r="AM388" s="31" t="str">
        <f t="shared" si="235"/>
        <v>1+414.982107148673i</v>
      </c>
      <c r="AN388" s="31">
        <f t="shared" si="253"/>
        <v>414.98331201814938</v>
      </c>
      <c r="AO388" s="31">
        <f t="shared" si="254"/>
        <v>1.5683865890082289</v>
      </c>
      <c r="AP388" s="31" t="str">
        <f t="shared" si="236"/>
        <v>1+69.2791497744029i</v>
      </c>
      <c r="AQ388" s="31">
        <f t="shared" si="255"/>
        <v>69.286366577156784</v>
      </c>
      <c r="AR388" s="31">
        <f t="shared" si="256"/>
        <v>1.5563629718574665</v>
      </c>
      <c r="AS388" s="58" t="str">
        <f t="shared" si="257"/>
        <v>-0.6095883819719+2.13110581994798i</v>
      </c>
      <c r="AT388" s="49">
        <f t="shared" si="258"/>
        <v>6.9136532810352875</v>
      </c>
      <c r="AU388" s="61">
        <f t="shared" si="259"/>
        <v>105.96281882720911</v>
      </c>
      <c r="AV388" s="58" t="str">
        <f t="shared" si="237"/>
        <v>1.39152607952336-0.188870805821675i</v>
      </c>
      <c r="AW388" s="64">
        <f t="shared" si="260"/>
        <v>2.9491065699236572</v>
      </c>
      <c r="AX388" s="49">
        <f t="shared" si="261"/>
        <v>-7.729479472572006</v>
      </c>
      <c r="AY388" s="310"/>
      <c r="BA388" s="31">
        <f t="shared" si="262"/>
        <v>0</v>
      </c>
      <c r="BB388" s="31">
        <f t="shared" si="263"/>
        <v>0</v>
      </c>
    </row>
    <row r="389" spans="14:54" x14ac:dyDescent="0.45">
      <c r="N389" s="10">
        <v>71</v>
      </c>
      <c r="O389" s="50">
        <f t="shared" si="264"/>
        <v>51286.138399136544</v>
      </c>
      <c r="P389" s="48" t="str">
        <f t="shared" si="227"/>
        <v>17.4002386318441</v>
      </c>
      <c r="Q389" s="17" t="str">
        <f t="shared" si="228"/>
        <v>1+27.5974070089389i</v>
      </c>
      <c r="R389" s="17">
        <f t="shared" si="238"/>
        <v>27.615518709903494</v>
      </c>
      <c r="S389" s="17">
        <f t="shared" si="239"/>
        <v>1.5345768849186499</v>
      </c>
      <c r="T389" s="17" t="str">
        <f t="shared" si="229"/>
        <v>1+0.0966720933754303i</v>
      </c>
      <c r="U389" s="17">
        <f t="shared" si="240"/>
        <v>1.0046618802550378</v>
      </c>
      <c r="V389" s="17">
        <f t="shared" si="241"/>
        <v>9.6372621340973991E-2</v>
      </c>
      <c r="W389" s="31" t="str">
        <f t="shared" si="230"/>
        <v>1-0.238501672545279i</v>
      </c>
      <c r="X389" s="17">
        <f t="shared" si="242"/>
        <v>1.0280481738745979</v>
      </c>
      <c r="Y389" s="17">
        <f t="shared" si="243"/>
        <v>-0.23412777565604928</v>
      </c>
      <c r="Z389" s="31" t="str">
        <f t="shared" si="231"/>
        <v>0.997614269395106+0.333558865601375i</v>
      </c>
      <c r="AA389" s="17">
        <f t="shared" si="244"/>
        <v>1.0519010159335371</v>
      </c>
      <c r="AB389" s="17">
        <f t="shared" si="245"/>
        <v>0.32267116677127394</v>
      </c>
      <c r="AC389" s="66" t="str">
        <f t="shared" si="246"/>
        <v>-0.25464424408309-0.563836365790662i</v>
      </c>
      <c r="AD389" s="64">
        <f t="shared" si="247"/>
        <v>-4.1707897024962417</v>
      </c>
      <c r="AE389" s="61">
        <f t="shared" si="248"/>
        <v>-114.30526381915475</v>
      </c>
      <c r="AF389" s="31" t="str">
        <f t="shared" si="232"/>
        <v>-9090.90909090909</v>
      </c>
      <c r="AG389" s="31" t="str">
        <f t="shared" si="233"/>
        <v>322240.311251434i</v>
      </c>
      <c r="AH389" s="31">
        <f t="shared" si="249"/>
        <v>322240.31125143397</v>
      </c>
      <c r="AI389" s="31">
        <f t="shared" si="250"/>
        <v>1.5707963267948966</v>
      </c>
      <c r="AJ389" s="31" t="str">
        <f t="shared" si="234"/>
        <v>-375.181040229279+111.574741049875i</v>
      </c>
      <c r="AK389" s="31">
        <f t="shared" si="251"/>
        <v>391.4201525060642</v>
      </c>
      <c r="AL389" s="31">
        <f t="shared" si="252"/>
        <v>2.8525329246760576</v>
      </c>
      <c r="AM389" s="31" t="str">
        <f t="shared" si="235"/>
        <v>1+424.648282167139i</v>
      </c>
      <c r="AN389" s="31">
        <f t="shared" si="253"/>
        <v>424.64945961051455</v>
      </c>
      <c r="AO389" s="31">
        <f t="shared" si="254"/>
        <v>1.568441441131871</v>
      </c>
      <c r="AP389" s="31" t="str">
        <f t="shared" si="236"/>
        <v>1+70.8928684753154i</v>
      </c>
      <c r="AQ389" s="31">
        <f t="shared" si="255"/>
        <v>70.899921020113752</v>
      </c>
      <c r="AR389" s="31">
        <f t="shared" si="256"/>
        <v>1.5566914710460182</v>
      </c>
      <c r="AS389" s="58" t="str">
        <f t="shared" si="257"/>
        <v>-0.584243978605087+2.08987501513911i</v>
      </c>
      <c r="AT389" s="49">
        <f t="shared" si="258"/>
        <v>6.7292118364420741</v>
      </c>
      <c r="AU389" s="61">
        <f t="shared" si="259"/>
        <v>105.61882877917388</v>
      </c>
      <c r="AV389" s="58" t="str">
        <f t="shared" si="237"/>
        <v>1.32712189978473-0.202756641826465i</v>
      </c>
      <c r="AW389" s="64">
        <f t="shared" si="260"/>
        <v>2.5584221339458306</v>
      </c>
      <c r="AX389" s="49">
        <f t="shared" si="261"/>
        <v>-8.6864350399808483</v>
      </c>
      <c r="AY389" s="310"/>
      <c r="BA389" s="31">
        <f t="shared" si="262"/>
        <v>0</v>
      </c>
      <c r="BB389" s="31">
        <f t="shared" si="263"/>
        <v>0</v>
      </c>
    </row>
    <row r="390" spans="14:54" x14ac:dyDescent="0.45">
      <c r="N390" s="10">
        <v>72</v>
      </c>
      <c r="O390" s="50">
        <f t="shared" si="264"/>
        <v>52480.746024977314</v>
      </c>
      <c r="P390" s="48" t="str">
        <f t="shared" si="227"/>
        <v>17.4002386318441</v>
      </c>
      <c r="Q390" s="17" t="str">
        <f t="shared" si="228"/>
        <v>1+28.2402331973669i</v>
      </c>
      <c r="R390" s="17">
        <f t="shared" si="238"/>
        <v>28.257932886919797</v>
      </c>
      <c r="S390" s="17">
        <f t="shared" si="239"/>
        <v>1.5354006436218921</v>
      </c>
      <c r="T390" s="17" t="str">
        <f t="shared" si="229"/>
        <v>1+0.0989238757001884i</v>
      </c>
      <c r="U390" s="17">
        <f t="shared" si="240"/>
        <v>1.0048810542464945</v>
      </c>
      <c r="V390" s="17">
        <f t="shared" si="241"/>
        <v>9.8603069756055109E-2</v>
      </c>
      <c r="W390" s="31" t="str">
        <f t="shared" si="230"/>
        <v>1-0.244057090162823i</v>
      </c>
      <c r="X390" s="17">
        <f t="shared" si="242"/>
        <v>1.0293511855818422</v>
      </c>
      <c r="Y390" s="17">
        <f t="shared" si="243"/>
        <v>-0.23937756251661763</v>
      </c>
      <c r="Z390" s="31" t="str">
        <f t="shared" si="231"/>
        <v>0.997501833375657+0.341328449683005i</v>
      </c>
      <c r="AA390" s="17">
        <f t="shared" si="244"/>
        <v>1.0542841259123654</v>
      </c>
      <c r="AB390" s="17">
        <f t="shared" si="245"/>
        <v>0.32969424895760097</v>
      </c>
      <c r="AC390" s="66" t="str">
        <f t="shared" si="246"/>
        <v>-0.254629606754718-0.547855069868735i</v>
      </c>
      <c r="AD390" s="64">
        <f t="shared" si="247"/>
        <v>-4.3772925036143668</v>
      </c>
      <c r="AE390" s="61">
        <f t="shared" si="248"/>
        <v>-114.92785003448584</v>
      </c>
      <c r="AF390" s="31" t="str">
        <f t="shared" si="232"/>
        <v>-9090.90909090909</v>
      </c>
      <c r="AG390" s="31" t="str">
        <f t="shared" si="233"/>
        <v>329746.252333961i</v>
      </c>
      <c r="AH390" s="31">
        <f t="shared" si="249"/>
        <v>329746.25233396102</v>
      </c>
      <c r="AI390" s="31">
        <f t="shared" si="250"/>
        <v>1.5707963267948966</v>
      </c>
      <c r="AJ390" s="31" t="str">
        <f t="shared" si="234"/>
        <v>-392.909906459561+114.173650631877i</v>
      </c>
      <c r="AK390" s="31">
        <f t="shared" si="251"/>
        <v>409.16233586764906</v>
      </c>
      <c r="AL390" s="31">
        <f t="shared" si="252"/>
        <v>2.8587958729084386</v>
      </c>
      <c r="AM390" s="31" t="str">
        <f t="shared" si="235"/>
        <v>1+434.539611325694i</v>
      </c>
      <c r="AN390" s="31">
        <f t="shared" si="253"/>
        <v>434.54076196725811</v>
      </c>
      <c r="AO390" s="31">
        <f t="shared" si="254"/>
        <v>1.5684950446824355</v>
      </c>
      <c r="AP390" s="31" t="str">
        <f t="shared" si="236"/>
        <v>1+72.5441755134714i</v>
      </c>
      <c r="AQ390" s="31">
        <f t="shared" si="255"/>
        <v>72.551067538178543</v>
      </c>
      <c r="AR390" s="31">
        <f t="shared" si="256"/>
        <v>1.5570124956218732</v>
      </c>
      <c r="AS390" s="58" t="str">
        <f t="shared" si="257"/>
        <v>-0.55986967488015+2.04914479209429i</v>
      </c>
      <c r="AT390" s="49">
        <f t="shared" si="258"/>
        <v>6.5441225183226344</v>
      </c>
      <c r="AU390" s="61">
        <f t="shared" si="259"/>
        <v>105.28145288868038</v>
      </c>
      <c r="AV390" s="58" t="str">
        <f t="shared" si="237"/>
        <v>1.2651937583926-0.215045492745597i</v>
      </c>
      <c r="AW390" s="64">
        <f t="shared" si="260"/>
        <v>2.1668300147082977</v>
      </c>
      <c r="AX390" s="49">
        <f t="shared" si="261"/>
        <v>-9.6463971458054214</v>
      </c>
      <c r="AY390" s="310"/>
      <c r="BA390" s="31">
        <f t="shared" si="262"/>
        <v>0</v>
      </c>
      <c r="BB390" s="31">
        <f t="shared" si="263"/>
        <v>0</v>
      </c>
    </row>
    <row r="391" spans="14:54" x14ac:dyDescent="0.45">
      <c r="N391" s="10">
        <v>73</v>
      </c>
      <c r="O391" s="50">
        <f t="shared" si="264"/>
        <v>53703.179637025423</v>
      </c>
      <c r="P391" s="48" t="str">
        <f t="shared" si="227"/>
        <v>17.4002386318441</v>
      </c>
      <c r="Q391" s="17" t="str">
        <f t="shared" si="228"/>
        <v>1+28.8980327312399i</v>
      </c>
      <c r="R391" s="17">
        <f t="shared" si="238"/>
        <v>28.915329770483559</v>
      </c>
      <c r="S391" s="17">
        <f t="shared" si="239"/>
        <v>1.5362056977277794</v>
      </c>
      <c r="T391" s="17" t="str">
        <f t="shared" si="229"/>
        <v>1+0.101228108773255i</v>
      </c>
      <c r="U391" s="17">
        <f t="shared" si="240"/>
        <v>1.0051105063652503</v>
      </c>
      <c r="V391" s="17">
        <f t="shared" si="241"/>
        <v>0.1008844533372688</v>
      </c>
      <c r="W391" s="31" t="str">
        <f t="shared" si="230"/>
        <v>1-0.249741910080049i</v>
      </c>
      <c r="X391" s="17">
        <f t="shared" si="242"/>
        <v>1.030713840816369</v>
      </c>
      <c r="Y391" s="17">
        <f t="shared" si="243"/>
        <v>-0.24473574021969932</v>
      </c>
      <c r="Z391" s="31" t="str">
        <f t="shared" si="231"/>
        <v>0.997384098409863+0.349279010626673i</v>
      </c>
      <c r="AA391" s="17">
        <f t="shared" si="244"/>
        <v>1.0567738012579622</v>
      </c>
      <c r="AB391" s="17">
        <f t="shared" si="245"/>
        <v>0.33684860525953053</v>
      </c>
      <c r="AC391" s="66" t="str">
        <f t="shared" si="246"/>
        <v>-0.25452844062646-0.532190752102577i</v>
      </c>
      <c r="AD391" s="64">
        <f t="shared" si="247"/>
        <v>-4.5840612542888293</v>
      </c>
      <c r="AE391" s="61">
        <f t="shared" si="248"/>
        <v>-115.56017797587992</v>
      </c>
      <c r="AF391" s="31" t="str">
        <f t="shared" si="232"/>
        <v>-9090.90909090909</v>
      </c>
      <c r="AG391" s="31" t="str">
        <f t="shared" si="233"/>
        <v>337427.029244184i</v>
      </c>
      <c r="AH391" s="31">
        <f t="shared" si="249"/>
        <v>337427.02924418403</v>
      </c>
      <c r="AI391" s="31">
        <f t="shared" si="250"/>
        <v>1.5707963267948966</v>
      </c>
      <c r="AJ391" s="31" t="str">
        <f t="shared" si="234"/>
        <v>-411.474308413866+116.833096594711i</v>
      </c>
      <c r="AK391" s="31">
        <f t="shared" si="251"/>
        <v>427.73949892963873</v>
      </c>
      <c r="AL391" s="31">
        <f t="shared" si="252"/>
        <v>2.8649362054021719</v>
      </c>
      <c r="AM391" s="31" t="str">
        <f t="shared" si="235"/>
        <v>1+444.661339137986i</v>
      </c>
      <c r="AN391" s="31">
        <f t="shared" si="253"/>
        <v>444.66246358781734</v>
      </c>
      <c r="AO391" s="31">
        <f t="shared" si="254"/>
        <v>1.5685474280800016</v>
      </c>
      <c r="AP391" s="31" t="str">
        <f t="shared" si="236"/>
        <v>1+74.2339464337204i</v>
      </c>
      <c r="AQ391" s="31">
        <f t="shared" si="255"/>
        <v>74.240681591190082</v>
      </c>
      <c r="AR391" s="31">
        <f t="shared" si="256"/>
        <v>1.5573262155316885</v>
      </c>
      <c r="AS391" s="58" t="str">
        <f t="shared" si="257"/>
        <v>-0.536435204740937+2.00892822086043i</v>
      </c>
      <c r="AT391" s="49">
        <f t="shared" si="258"/>
        <v>6.3584102070404143</v>
      </c>
      <c r="AU391" s="61">
        <f t="shared" si="259"/>
        <v>104.95061392636109</v>
      </c>
      <c r="AV391" s="58" t="str">
        <f t="shared" si="237"/>
        <v>1.20567103693965-0.225843512320715i</v>
      </c>
      <c r="AW391" s="64">
        <f t="shared" si="260"/>
        <v>1.7743489527515774</v>
      </c>
      <c r="AX391" s="49">
        <f t="shared" si="261"/>
        <v>-10.609564049518848</v>
      </c>
      <c r="AY391" s="310"/>
      <c r="BA391" s="31">
        <f t="shared" si="262"/>
        <v>0</v>
      </c>
      <c r="BB391" s="31">
        <f t="shared" si="263"/>
        <v>0</v>
      </c>
    </row>
    <row r="392" spans="14:54" x14ac:dyDescent="0.45">
      <c r="N392" s="10">
        <v>74</v>
      </c>
      <c r="O392" s="50">
        <f t="shared" si="264"/>
        <v>54954.087385762505</v>
      </c>
      <c r="P392" s="48" t="str">
        <f t="shared" si="227"/>
        <v>17.4002386318441</v>
      </c>
      <c r="Q392" s="17" t="str">
        <f t="shared" si="228"/>
        <v>1+29.5711543845776i</v>
      </c>
      <c r="R392" s="17">
        <f t="shared" si="238"/>
        <v>29.588057922691089</v>
      </c>
      <c r="S392" s="17">
        <f t="shared" si="239"/>
        <v>1.5369924699101476</v>
      </c>
      <c r="T392" s="17" t="str">
        <f t="shared" si="229"/>
        <v>1+0.103586014329506i</v>
      </c>
      <c r="U392" s="17">
        <f t="shared" si="240"/>
        <v>1.0053507161009398</v>
      </c>
      <c r="V392" s="17">
        <f t="shared" si="241"/>
        <v>0.1032178866607507</v>
      </c>
      <c r="W392" s="31" t="str">
        <f t="shared" si="230"/>
        <v>1-0.255559146463724i</v>
      </c>
      <c r="X392" s="17">
        <f t="shared" si="242"/>
        <v>1.0321387878290724</v>
      </c>
      <c r="Y392" s="17">
        <f t="shared" si="243"/>
        <v>-0.25020391854263191</v>
      </c>
      <c r="Z392" s="31" t="str">
        <f t="shared" si="231"/>
        <v>0.997260814766075+0.357414763925029i</v>
      </c>
      <c r="AA392" s="17">
        <f t="shared" si="244"/>
        <v>1.0593745542250295</v>
      </c>
      <c r="AB392" s="17">
        <f t="shared" si="245"/>
        <v>0.34413530744644227</v>
      </c>
      <c r="AC392" s="66" t="str">
        <f t="shared" si="246"/>
        <v>-0.254341800014048-0.516837012107242i</v>
      </c>
      <c r="AD392" s="64">
        <f t="shared" si="247"/>
        <v>-4.7911020444980155</v>
      </c>
      <c r="AE392" s="61">
        <f t="shared" si="248"/>
        <v>-116.20236164156498</v>
      </c>
      <c r="AF392" s="31" t="str">
        <f t="shared" si="232"/>
        <v>-9090.90909090909</v>
      </c>
      <c r="AG392" s="31" t="str">
        <f t="shared" si="233"/>
        <v>345286.714431686i</v>
      </c>
      <c r="AH392" s="31">
        <f t="shared" si="249"/>
        <v>345286.71443168598</v>
      </c>
      <c r="AI392" s="31">
        <f t="shared" si="250"/>
        <v>1.5707963267948966</v>
      </c>
      <c r="AJ392" s="31" t="str">
        <f t="shared" si="234"/>
        <v>-430.913623677712+119.554489011828i</v>
      </c>
      <c r="AK392" s="31">
        <f t="shared" si="251"/>
        <v>447.19104073531719</v>
      </c>
      <c r="AL392" s="31">
        <f t="shared" si="252"/>
        <v>2.8709555050325264</v>
      </c>
      <c r="AM392" s="31" t="str">
        <f t="shared" si="235"/>
        <v>1+455.018832278076i</v>
      </c>
      <c r="AN392" s="31">
        <f t="shared" si="253"/>
        <v>455.01993113236676</v>
      </c>
      <c r="AO392" s="31">
        <f t="shared" si="254"/>
        <v>1.568598619097789</v>
      </c>
      <c r="AP392" s="31" t="str">
        <f t="shared" si="236"/>
        <v>1+75.9630771749708i</v>
      </c>
      <c r="AQ392" s="31">
        <f t="shared" si="255"/>
        <v>75.969659034976388</v>
      </c>
      <c r="AR392" s="31">
        <f t="shared" si="256"/>
        <v>1.5576327968667607</v>
      </c>
      <c r="AS392" s="58" t="str">
        <f t="shared" si="257"/>
        <v>-0.513910674863934+1.96923689857421i</v>
      </c>
      <c r="AT392" s="49">
        <f t="shared" si="258"/>
        <v>6.172098999998874</v>
      </c>
      <c r="AU392" s="61">
        <f t="shared" si="259"/>
        <v>104.62623230776242</v>
      </c>
      <c r="AV392" s="58" t="str">
        <f t="shared" si="237"/>
        <v>1.14848348088175-0.235251199750754i</v>
      </c>
      <c r="AW392" s="64">
        <f t="shared" si="260"/>
        <v>1.3809969555008288</v>
      </c>
      <c r="AX392" s="49">
        <f t="shared" si="261"/>
        <v>-11.576129333802605</v>
      </c>
      <c r="AY392" s="310"/>
      <c r="BA392" s="31">
        <f t="shared" si="262"/>
        <v>0</v>
      </c>
      <c r="BB392" s="31">
        <f t="shared" si="263"/>
        <v>0</v>
      </c>
    </row>
    <row r="393" spans="14:54" x14ac:dyDescent="0.45">
      <c r="N393" s="10">
        <v>75</v>
      </c>
      <c r="O393" s="50">
        <f t="shared" si="264"/>
        <v>56234.132519034953</v>
      </c>
      <c r="P393" s="48" t="str">
        <f t="shared" si="227"/>
        <v>17.4002386318441</v>
      </c>
      <c r="Q393" s="17" t="str">
        <f t="shared" si="228"/>
        <v>1+30.2599550553906i</v>
      </c>
      <c r="R393" s="17">
        <f t="shared" si="238"/>
        <v>30.276474034376246</v>
      </c>
      <c r="S393" s="17">
        <f t="shared" si="239"/>
        <v>1.5377613734276341</v>
      </c>
      <c r="T393" s="17" t="str">
        <f t="shared" si="229"/>
        <v>1+0.105998842561677i</v>
      </c>
      <c r="U393" s="17">
        <f t="shared" si="240"/>
        <v>1.0056021850734094</v>
      </c>
      <c r="V393" s="17">
        <f t="shared" si="241"/>
        <v>0.10560450524541483</v>
      </c>
      <c r="W393" s="31" t="str">
        <f t="shared" si="230"/>
        <v>1-0.26151188368958i</v>
      </c>
      <c r="X393" s="17">
        <f t="shared" si="242"/>
        <v>1.0336287850630286</v>
      </c>
      <c r="Y393" s="17">
        <f t="shared" si="243"/>
        <v>-0.25578368819931413</v>
      </c>
      <c r="Z393" s="31" t="str">
        <f t="shared" si="231"/>
        <v>0.997131720943158+0.365740023262162i</v>
      </c>
      <c r="AA393" s="17">
        <f t="shared" si="244"/>
        <v>1.0620910664942393</v>
      </c>
      <c r="AB393" s="17">
        <f t="shared" si="245"/>
        <v>0.35155534465083882</v>
      </c>
      <c r="AC393" s="66" t="str">
        <f t="shared" si="246"/>
        <v>-0.254070656331897-0.50178767470935i</v>
      </c>
      <c r="AD393" s="64">
        <f t="shared" si="247"/>
        <v>-4.9984208838389064</v>
      </c>
      <c r="AE393" s="61">
        <f t="shared" si="248"/>
        <v>-116.854507463386</v>
      </c>
      <c r="AF393" s="31" t="str">
        <f t="shared" si="232"/>
        <v>-9090.90909090909</v>
      </c>
      <c r="AG393" s="31" t="str">
        <f t="shared" si="233"/>
        <v>353329.47520559i</v>
      </c>
      <c r="AH393" s="31">
        <f t="shared" si="249"/>
        <v>353329.47520559002</v>
      </c>
      <c r="AI393" s="31">
        <f t="shared" si="250"/>
        <v>1.5707963267948966</v>
      </c>
      <c r="AJ393" s="31" t="str">
        <f t="shared" si="234"/>
        <v>-451.269085645044+122.33927080151i</v>
      </c>
      <c r="AK393" s="31">
        <f t="shared" si="251"/>
        <v>467.55821545467387</v>
      </c>
      <c r="AL393" s="31">
        <f t="shared" si="252"/>
        <v>2.8768553869635713</v>
      </c>
      <c r="AM393" s="31" t="str">
        <f t="shared" si="235"/>
        <v>1+465.617582425926i</v>
      </c>
      <c r="AN393" s="31">
        <f t="shared" si="253"/>
        <v>465.61865626729775</v>
      </c>
      <c r="AO393" s="31">
        <f t="shared" si="254"/>
        <v>1.5686486448768795</v>
      </c>
      <c r="AP393" s="31" t="str">
        <f t="shared" si="236"/>
        <v>1+77.7324845452297i</v>
      </c>
      <c r="AQ393" s="31">
        <f t="shared" si="255"/>
        <v>77.73891659635072</v>
      </c>
      <c r="AR393" s="31">
        <f t="shared" si="256"/>
        <v>1.557932401949909</v>
      </c>
      <c r="AS393" s="58" t="str">
        <f t="shared" si="257"/>
        <v>-0.492266613475724+1.93008101985399i</v>
      </c>
      <c r="AT393" s="49">
        <f t="shared" si="258"/>
        <v>5.9852122218983803</v>
      </c>
      <c r="AU393" s="61">
        <f t="shared" si="259"/>
        <v>104.3082263462819</v>
      </c>
      <c r="AV393" s="58" t="str">
        <f t="shared" si="237"/>
        <v>1.09356136852924-0.24336363217501i</v>
      </c>
      <c r="AW393" s="64">
        <f t="shared" si="260"/>
        <v>0.98679133805946051</v>
      </c>
      <c r="AX393" s="49">
        <f t="shared" si="261"/>
        <v>-12.546281117104101</v>
      </c>
      <c r="AY393" s="310"/>
      <c r="BA393" s="31">
        <f t="shared" si="262"/>
        <v>0</v>
      </c>
      <c r="BB393" s="31">
        <f t="shared" si="263"/>
        <v>0</v>
      </c>
    </row>
    <row r="394" spans="14:54" x14ac:dyDescent="0.45">
      <c r="N394" s="10">
        <v>76</v>
      </c>
      <c r="O394" s="50">
        <f t="shared" si="264"/>
        <v>57543.993733715732</v>
      </c>
      <c r="P394" s="48" t="str">
        <f t="shared" si="227"/>
        <v>17.4002386318441</v>
      </c>
      <c r="Q394" s="17" t="str">
        <f t="shared" si="228"/>
        <v>1+30.9647999549118i</v>
      </c>
      <c r="R394" s="17">
        <f t="shared" si="238"/>
        <v>30.980943114238887</v>
      </c>
      <c r="S394" s="17">
        <f t="shared" si="239"/>
        <v>1.538512812324299</v>
      </c>
      <c r="T394" s="17" t="str">
        <f t="shared" si="229"/>
        <v>1+0.108467872783235i</v>
      </c>
      <c r="U394" s="17">
        <f t="shared" si="240"/>
        <v>1.0058654380314098</v>
      </c>
      <c r="V394" s="17">
        <f t="shared" si="241"/>
        <v>0.10804546569619962</v>
      </c>
      <c r="W394" s="31" t="str">
        <f t="shared" si="230"/>
        <v>1-0.267603277977687i</v>
      </c>
      <c r="X394" s="17">
        <f t="shared" si="242"/>
        <v>1.035186705084838</v>
      </c>
      <c r="Y394" s="17">
        <f t="shared" si="243"/>
        <v>-0.26147661731879013</v>
      </c>
      <c r="Z394" s="31" t="str">
        <f t="shared" si="231"/>
        <v>0.996996543115804+0.374259202800771i</v>
      </c>
      <c r="AA394" s="17">
        <f t="shared" si="244"/>
        <v>1.0649281937604675</v>
      </c>
      <c r="AB394" s="17">
        <f t="shared" si="245"/>
        <v>0.35910961715409728</v>
      </c>
      <c r="AC394" s="66" t="str">
        <f t="shared" si="246"/>
        <v>-0.25371590616401-0.487036788925955i</v>
      </c>
      <c r="AD394" s="64">
        <f t="shared" si="247"/>
        <v>-5.2060236684799923</v>
      </c>
      <c r="AE394" s="61">
        <f t="shared" si="248"/>
        <v>-117.51671375227998</v>
      </c>
      <c r="AF394" s="31" t="str">
        <f t="shared" si="232"/>
        <v>-9090.90909090909</v>
      </c>
      <c r="AG394" s="31" t="str">
        <f t="shared" si="233"/>
        <v>361559.575944117i</v>
      </c>
      <c r="AH394" s="31">
        <f t="shared" si="249"/>
        <v>361559.57594411698</v>
      </c>
      <c r="AI394" s="31">
        <f t="shared" si="250"/>
        <v>1.5707963267948966</v>
      </c>
      <c r="AJ394" s="31" t="str">
        <f t="shared" si="234"/>
        <v>-472.583870979804+125.188918491923i</v>
      </c>
      <c r="AK394" s="31">
        <f t="shared" si="251"/>
        <v>488.88421985520591</v>
      </c>
      <c r="AL394" s="31">
        <f t="shared" si="252"/>
        <v>2.882637494545834</v>
      </c>
      <c r="AM394" s="31" t="str">
        <f t="shared" si="235"/>
        <v>1+476.463209179157i</v>
      </c>
      <c r="AN394" s="31">
        <f t="shared" si="253"/>
        <v>476.46425857696931</v>
      </c>
      <c r="AO394" s="31">
        <f t="shared" si="254"/>
        <v>1.5686975319406011</v>
      </c>
      <c r="AP394" s="31" t="str">
        <f t="shared" si="236"/>
        <v>1+79.5431067077057i</v>
      </c>
      <c r="AQ394" s="31">
        <f t="shared" si="255"/>
        <v>79.549392359171776</v>
      </c>
      <c r="AR394" s="31">
        <f t="shared" si="256"/>
        <v>1.5582251894204433</v>
      </c>
      <c r="AS394" s="58" t="str">
        <f t="shared" si="257"/>
        <v>-0.471474013526772+1.89146944658799i</v>
      </c>
      <c r="AT394" s="49">
        <f t="shared" si="258"/>
        <v>5.7977724362002272</v>
      </c>
      <c r="AU394" s="61">
        <f t="shared" si="259"/>
        <v>103.99651249390759</v>
      </c>
      <c r="AV394" s="58" t="str">
        <f t="shared" si="237"/>
        <v>1.0408356621925-0.250270695012499i</v>
      </c>
      <c r="AW394" s="64">
        <f t="shared" si="260"/>
        <v>0.59174876772027141</v>
      </c>
      <c r="AX394" s="49">
        <f t="shared" si="261"/>
        <v>-13.520201258372346</v>
      </c>
      <c r="AY394" s="310"/>
      <c r="BA394" s="31">
        <f t="shared" si="262"/>
        <v>0</v>
      </c>
      <c r="BB394" s="31">
        <f t="shared" si="263"/>
        <v>0</v>
      </c>
    </row>
    <row r="395" spans="14:54" x14ac:dyDescent="0.45">
      <c r="N395" s="10">
        <v>77</v>
      </c>
      <c r="O395" s="50">
        <f t="shared" si="264"/>
        <v>58884.365535558936</v>
      </c>
      <c r="P395" s="48" t="str">
        <f t="shared" si="227"/>
        <v>17.4002386318441</v>
      </c>
      <c r="Q395" s="17" t="str">
        <f t="shared" si="228"/>
        <v>1+31.6860628012366i</v>
      </c>
      <c r="R395" s="17">
        <f t="shared" si="238"/>
        <v>31.701838682384178</v>
      </c>
      <c r="S395" s="17">
        <f t="shared" si="239"/>
        <v>1.5392471816265891</v>
      </c>
      <c r="T395" s="17" t="str">
        <f t="shared" si="229"/>
        <v>1+0.110994414106685i</v>
      </c>
      <c r="U395" s="17">
        <f t="shared" si="240"/>
        <v>1.0061410238942086</v>
      </c>
      <c r="V395" s="17">
        <f t="shared" si="241"/>
        <v>0.11054194582770986</v>
      </c>
      <c r="W395" s="31" t="str">
        <f t="shared" si="230"/>
        <v>1-0.273836559065925i</v>
      </c>
      <c r="X395" s="17">
        <f t="shared" si="242"/>
        <v>1.0368155385993527</v>
      </c>
      <c r="Y395" s="17">
        <f t="shared" si="243"/>
        <v>-0.26728424772156845</v>
      </c>
      <c r="Z395" s="31" t="str">
        <f t="shared" si="231"/>
        <v>0.996854994553719+0.382976819522611i</v>
      </c>
      <c r="AA395" s="17">
        <f t="shared" si="244"/>
        <v>1.0678909703047168</v>
      </c>
      <c r="AB395" s="17">
        <f t="shared" si="245"/>
        <v>0.36679893002110692</v>
      </c>
      <c r="AC395" s="66" t="str">
        <f t="shared" si="246"/>
        <v>-0.253278379424066-0.472578626781255i</v>
      </c>
      <c r="AD395" s="64">
        <f t="shared" si="247"/>
        <v>-5.4139161455048734</v>
      </c>
      <c r="AE395" s="61">
        <f t="shared" si="248"/>
        <v>-118.18907012441777</v>
      </c>
      <c r="AF395" s="31" t="str">
        <f t="shared" si="232"/>
        <v>-9090.90909090909</v>
      </c>
      <c r="AG395" s="31" t="str">
        <f t="shared" si="233"/>
        <v>369981.380355616i</v>
      </c>
      <c r="AH395" s="31">
        <f t="shared" si="249"/>
        <v>369981.38035561598</v>
      </c>
      <c r="AI395" s="31">
        <f t="shared" si="250"/>
        <v>1.5707963267948966</v>
      </c>
      <c r="AJ395" s="31" t="str">
        <f t="shared" si="234"/>
        <v>-494.903191199405+128.104943003991i</v>
      </c>
      <c r="AK395" s="31">
        <f t="shared" si="251"/>
        <v>511.21428489568888</v>
      </c>
      <c r="AL395" s="31">
        <f t="shared" si="252"/>
        <v>2.8883034954222948</v>
      </c>
      <c r="AM395" s="31" t="str">
        <f t="shared" si="235"/>
        <v>1+487.561463032631i</v>
      </c>
      <c r="AN395" s="31">
        <f t="shared" si="253"/>
        <v>487.56248854328368</v>
      </c>
      <c r="AO395" s="31">
        <f t="shared" si="254"/>
        <v>1.568745306208587</v>
      </c>
      <c r="AP395" s="31" t="str">
        <f t="shared" si="236"/>
        <v>1+81.3959036782354i</v>
      </c>
      <c r="AQ395" s="31">
        <f t="shared" si="255"/>
        <v>81.402046261728429</v>
      </c>
      <c r="AR395" s="31">
        <f t="shared" si="256"/>
        <v>1.5585113143172475</v>
      </c>
      <c r="AS395" s="58" t="str">
        <f t="shared" si="257"/>
        <v>-0.451504370544324+1.85340977682233i</v>
      </c>
      <c r="AT395" s="49">
        <f t="shared" si="258"/>
        <v>5.6098014576533597</v>
      </c>
      <c r="AU395" s="61">
        <f t="shared" si="259"/>
        <v>103.69100556989441</v>
      </c>
      <c r="AV395" s="58" t="str">
        <f t="shared" si="237"/>
        <v>0.990238142467998-0.256057309264708i</v>
      </c>
      <c r="AW395" s="64">
        <f t="shared" si="260"/>
        <v>0.19588531214848245</v>
      </c>
      <c r="AX395" s="49">
        <f t="shared" si="261"/>
        <v>-14.498064554523356</v>
      </c>
      <c r="AY395" s="310"/>
      <c r="BA395" s="31">
        <f t="shared" si="262"/>
        <v>58884.365535558936</v>
      </c>
      <c r="BB395" s="31">
        <f t="shared" si="263"/>
        <v>-14.498064554523356</v>
      </c>
    </row>
    <row r="396" spans="14:54" x14ac:dyDescent="0.45">
      <c r="N396" s="10">
        <v>78</v>
      </c>
      <c r="O396" s="50">
        <f t="shared" si="264"/>
        <v>60255.95860743591</v>
      </c>
      <c r="P396" s="48" t="str">
        <f t="shared" si="227"/>
        <v>17.4002386318441</v>
      </c>
      <c r="Q396" s="17" t="str">
        <f t="shared" si="228"/>
        <v>1+32.4241260174734i</v>
      </c>
      <c r="R396" s="17">
        <f t="shared" si="238"/>
        <v>32.439542968374191</v>
      </c>
      <c r="S396" s="17">
        <f t="shared" si="239"/>
        <v>1.5399648675366646</v>
      </c>
      <c r="T396" s="17" t="str">
        <f t="shared" si="229"/>
        <v>1+0.113579806137679i</v>
      </c>
      <c r="U396" s="17">
        <f t="shared" si="240"/>
        <v>1.0064295168377528</v>
      </c>
      <c r="V396" s="17">
        <f t="shared" si="241"/>
        <v>0.11309514476636534</v>
      </c>
      <c r="W396" s="31" t="str">
        <f t="shared" si="230"/>
        <v>1-0.280215031922437i</v>
      </c>
      <c r="X396" s="17">
        <f t="shared" si="242"/>
        <v>1.0385183985444324</v>
      </c>
      <c r="Y396" s="17">
        <f t="shared" si="243"/>
        <v>-0.27320809098976467</v>
      </c>
      <c r="Z396" s="31" t="str">
        <f t="shared" si="231"/>
        <v>0.996706775013423+0.391897495623459i</v>
      </c>
      <c r="AA396" s="17">
        <f t="shared" si="244"/>
        <v>1.07098461353728</v>
      </c>
      <c r="AB396" s="17">
        <f t="shared" si="245"/>
        <v>0.37462398660093948</v>
      </c>
      <c r="AC396" s="66" t="str">
        <f t="shared" si="246"/>
        <v>-0.252758847611057-0.458407681935606i</v>
      </c>
      <c r="AD396" s="64">
        <f t="shared" si="247"/>
        <v>-5.6221038745559522</v>
      </c>
      <c r="AE396" s="61">
        <f t="shared" si="248"/>
        <v>-118.87165690887883</v>
      </c>
      <c r="AF396" s="31" t="str">
        <f t="shared" si="232"/>
        <v>-9090.90909090909</v>
      </c>
      <c r="AG396" s="31" t="str">
        <f t="shared" si="233"/>
        <v>378599.353792263i</v>
      </c>
      <c r="AH396" s="31">
        <f t="shared" si="249"/>
        <v>378599.35379226302</v>
      </c>
      <c r="AI396" s="31">
        <f t="shared" si="250"/>
        <v>1.5707963267948966</v>
      </c>
      <c r="AJ396" s="31" t="str">
        <f t="shared" si="234"/>
        <v>-518.274388574443+131.08889045251i</v>
      </c>
      <c r="AK396" s="31">
        <f t="shared" si="251"/>
        <v>534.59577163711549</v>
      </c>
      <c r="AL396" s="31">
        <f t="shared" si="252"/>
        <v>2.8938550778396697</v>
      </c>
      <c r="AM396" s="31" t="str">
        <f t="shared" si="235"/>
        <v>1+498.918228427444i</v>
      </c>
      <c r="AN396" s="31">
        <f t="shared" si="253"/>
        <v>498.91923059467166</v>
      </c>
      <c r="AO396" s="31">
        <f t="shared" si="254"/>
        <v>1.5687919930105136</v>
      </c>
      <c r="AP396" s="31" t="str">
        <f t="shared" si="236"/>
        <v>1+83.2918578342978i</v>
      </c>
      <c r="AQ396" s="31">
        <f t="shared" si="255"/>
        <v>83.297860605713481</v>
      </c>
      <c r="AR396" s="31">
        <f t="shared" si="256"/>
        <v>1.5587909281600278</v>
      </c>
      <c r="AS396" s="58" t="str">
        <f t="shared" si="257"/>
        <v>-0.432329715487519+1.81590841249125i</v>
      </c>
      <c r="AT396" s="49">
        <f t="shared" si="258"/>
        <v>5.4213203657496445</v>
      </c>
      <c r="AU396" s="61">
        <f t="shared" si="259"/>
        <v>103.39161897755386</v>
      </c>
      <c r="AV396" s="58" t="str">
        <f t="shared" si="237"/>
        <v>0.941701526652122-0.260803654999999i</v>
      </c>
      <c r="AW396" s="64">
        <f t="shared" si="260"/>
        <v>-0.20078350880630202</v>
      </c>
      <c r="AX396" s="49">
        <f t="shared" si="261"/>
        <v>-15.480037931325</v>
      </c>
      <c r="AY396" s="310"/>
      <c r="BA396" s="31">
        <f t="shared" si="262"/>
        <v>0</v>
      </c>
      <c r="BB396" s="31">
        <f t="shared" si="263"/>
        <v>0</v>
      </c>
    </row>
    <row r="397" spans="14:54" x14ac:dyDescent="0.45">
      <c r="N397" s="10">
        <v>79</v>
      </c>
      <c r="O397" s="50">
        <f t="shared" si="264"/>
        <v>61659.500186148245</v>
      </c>
      <c r="P397" s="48" t="str">
        <f t="shared" si="227"/>
        <v>17.4002386318441</v>
      </c>
      <c r="Q397" s="17" t="str">
        <f t="shared" si="228"/>
        <v>1+33.1793809345085i</v>
      </c>
      <c r="R397" s="17">
        <f t="shared" si="238"/>
        <v>33.194447113895812</v>
      </c>
      <c r="S397" s="17">
        <f t="shared" si="239"/>
        <v>1.5406662476221176</v>
      </c>
      <c r="T397" s="17" t="str">
        <f t="shared" si="229"/>
        <v>1+0.116225419685293i</v>
      </c>
      <c r="U397" s="17">
        <f t="shared" si="240"/>
        <v>1.0067315174270757</v>
      </c>
      <c r="V397" s="17">
        <f t="shared" si="241"/>
        <v>0.1157062830290338</v>
      </c>
      <c r="W397" s="31" t="str">
        <f t="shared" si="230"/>
        <v>1-0.286742078497957i</v>
      </c>
      <c r="X397" s="17">
        <f t="shared" si="242"/>
        <v>1.0402985242618239</v>
      </c>
      <c r="Y397" s="17">
        <f t="shared" si="243"/>
        <v>-0.27924962432785527</v>
      </c>
      <c r="Z397" s="31" t="str">
        <f t="shared" si="231"/>
        <v>0.996551570101401+0.401025960963863i</v>
      </c>
      <c r="AA397" s="17">
        <f t="shared" si="244"/>
        <v>1.0742145284991063</v>
      </c>
      <c r="AB397" s="17">
        <f t="shared" si="245"/>
        <v>0.38258538191324104</v>
      </c>
      <c r="AC397" s="66" t="str">
        <f t="shared" si="246"/>
        <v>-0.252158032164099-0.444518668099711i</v>
      </c>
      <c r="AD397" s="64">
        <f t="shared" si="247"/>
        <v>-5.8305921866972277</v>
      </c>
      <c r="AE397" s="61">
        <f t="shared" si="248"/>
        <v>-119.56454453792421</v>
      </c>
      <c r="AF397" s="31" t="str">
        <f t="shared" si="232"/>
        <v>-9090.90909090909</v>
      </c>
      <c r="AG397" s="31" t="str">
        <f t="shared" si="233"/>
        <v>387418.065617644i</v>
      </c>
      <c r="AH397" s="31">
        <f t="shared" si="249"/>
        <v>387418.065617644</v>
      </c>
      <c r="AI397" s="31">
        <f t="shared" si="250"/>
        <v>1.5707963267948966</v>
      </c>
      <c r="AJ397" s="31" t="str">
        <f t="shared" si="234"/>
        <v>-542.747036547973+134.142342965912i</v>
      </c>
      <c r="AK397" s="31">
        <f t="shared" si="251"/>
        <v>559.07827167400364</v>
      </c>
      <c r="AL397" s="31">
        <f t="shared" si="252"/>
        <v>2.8992939471611288</v>
      </c>
      <c r="AM397" s="31" t="str">
        <f t="shared" si="235"/>
        <v>1+510.539526870931i</v>
      </c>
      <c r="AN397" s="31">
        <f t="shared" si="253"/>
        <v>510.54050622609179</v>
      </c>
      <c r="AO397" s="31">
        <f t="shared" si="254"/>
        <v>1.5688376170995264</v>
      </c>
      <c r="AP397" s="31" t="str">
        <f t="shared" si="236"/>
        <v>1+85.2319744358816i</v>
      </c>
      <c r="AQ397" s="31">
        <f t="shared" si="255"/>
        <v>85.237840577051074</v>
      </c>
      <c r="AR397" s="31">
        <f t="shared" si="256"/>
        <v>1.5590641790287534</v>
      </c>
      <c r="AS397" s="58" t="str">
        <f t="shared" si="257"/>
        <v>-0.413922642925545+1.77897062576718i</v>
      </c>
      <c r="AT397" s="49">
        <f t="shared" si="258"/>
        <v>5.232349518980298</v>
      </c>
      <c r="AU397" s="61">
        <f t="shared" si="259"/>
        <v>103.09826490938191</v>
      </c>
      <c r="AV397" s="58" t="str">
        <f t="shared" si="237"/>
        <v>0.895159572262805-0.264585390341612i</v>
      </c>
      <c r="AW397" s="64">
        <f t="shared" si="260"/>
        <v>-0.59824266771692824</v>
      </c>
      <c r="AX397" s="49">
        <f t="shared" si="261"/>
        <v>-16.466279628542267</v>
      </c>
      <c r="AY397" s="310"/>
      <c r="BA397" s="31">
        <f t="shared" si="262"/>
        <v>0</v>
      </c>
      <c r="BB397" s="31">
        <f t="shared" si="263"/>
        <v>0</v>
      </c>
    </row>
    <row r="398" spans="14:54" x14ac:dyDescent="0.45">
      <c r="N398" s="10">
        <v>80</v>
      </c>
      <c r="O398" s="50">
        <f t="shared" si="264"/>
        <v>63095.734448019342</v>
      </c>
      <c r="P398" s="48" t="str">
        <f t="shared" si="227"/>
        <v>17.4002386318441</v>
      </c>
      <c r="Q398" s="17" t="str">
        <f t="shared" si="228"/>
        <v>1+33.9522279984962i</v>
      </c>
      <c r="R398" s="17">
        <f t="shared" si="238"/>
        <v>33.966951380155813</v>
      </c>
      <c r="S398" s="17">
        <f t="shared" si="239"/>
        <v>1.5413516910021128</v>
      </c>
      <c r="T398" s="17" t="str">
        <f t="shared" si="229"/>
        <v>1+0.11893265748885i</v>
      </c>
      <c r="U398" s="17">
        <f t="shared" si="240"/>
        <v>1.0070476537966613</v>
      </c>
      <c r="V398" s="17">
        <f t="shared" si="241"/>
        <v>0.11837660257599894</v>
      </c>
      <c r="W398" s="31" t="str">
        <f t="shared" si="230"/>
        <v>1-0.293421159518977i</v>
      </c>
      <c r="X398" s="17">
        <f t="shared" si="242"/>
        <v>1.0421592857396902</v>
      </c>
      <c r="Y398" s="17">
        <f t="shared" si="243"/>
        <v>-0.28541028621170045</v>
      </c>
      <c r="Z398" s="31" t="str">
        <f t="shared" si="231"/>
        <v>0.996389050607224+0.410367055576976i</v>
      </c>
      <c r="AA398" s="17">
        <f t="shared" si="244"/>
        <v>1.0775863123076881</v>
      </c>
      <c r="AB398" s="17">
        <f t="shared" si="245"/>
        <v>0.39068359594274815</v>
      </c>
      <c r="AC398" s="66" t="str">
        <f t="shared" si="246"/>
        <v>-0.251476612916929-0.430906517205361i</v>
      </c>
      <c r="AD398" s="64">
        <f t="shared" si="247"/>
        <v>-6.0393861404290305</v>
      </c>
      <c r="AE398" s="61">
        <f t="shared" si="248"/>
        <v>-120.26779292113655</v>
      </c>
      <c r="AF398" s="31" t="str">
        <f t="shared" si="232"/>
        <v>-9090.90909090909</v>
      </c>
      <c r="AG398" s="31" t="str">
        <f t="shared" si="233"/>
        <v>396442.1916295i</v>
      </c>
      <c r="AH398" s="31">
        <f t="shared" si="249"/>
        <v>396442.19162950001</v>
      </c>
      <c r="AI398" s="31">
        <f t="shared" si="250"/>
        <v>1.5707963267948966</v>
      </c>
      <c r="AJ398" s="31" t="str">
        <f t="shared" si="234"/>
        <v>-568.373044887457+137.266919525139i</v>
      </c>
      <c r="AK398" s="31">
        <f t="shared" si="251"/>
        <v>584.71371229907061</v>
      </c>
      <c r="AL398" s="31">
        <f t="shared" si="252"/>
        <v>2.9046218225760234</v>
      </c>
      <c r="AM398" s="31" t="str">
        <f t="shared" si="235"/>
        <v>1+522.431520129355i</v>
      </c>
      <c r="AN398" s="31">
        <f t="shared" si="253"/>
        <v>522.432477191712</v>
      </c>
      <c r="AO398" s="31">
        <f t="shared" si="254"/>
        <v>1.5688822026653615</v>
      </c>
      <c r="AP398" s="31" t="str">
        <f t="shared" si="236"/>
        <v>1+87.2172821584899i</v>
      </c>
      <c r="AQ398" s="31">
        <f t="shared" si="255"/>
        <v>87.22301477886235</v>
      </c>
      <c r="AR398" s="31">
        <f t="shared" si="256"/>
        <v>1.5593312116413376</v>
      </c>
      <c r="AS398" s="58" t="str">
        <f t="shared" si="257"/>
        <v>-0.396256334854788+1.74260062384188i</v>
      </c>
      <c r="AT398" s="49">
        <f t="shared" si="258"/>
        <v>5.0429085697755882</v>
      </c>
      <c r="AU398" s="61">
        <f t="shared" si="259"/>
        <v>102.81085454077986</v>
      </c>
      <c r="AV398" s="58" t="str">
        <f t="shared" si="237"/>
        <v>0.850547166635752-0.267473865377846i</v>
      </c>
      <c r="AW398" s="64">
        <f t="shared" si="260"/>
        <v>-0.99647757065344433</v>
      </c>
      <c r="AX398" s="49">
        <f t="shared" si="261"/>
        <v>-17.456938380356732</v>
      </c>
      <c r="AY398" s="310"/>
      <c r="BA398" s="31">
        <f t="shared" si="262"/>
        <v>0</v>
      </c>
      <c r="BB398" s="31">
        <f t="shared" si="263"/>
        <v>0</v>
      </c>
    </row>
    <row r="399" spans="14:54" x14ac:dyDescent="0.45">
      <c r="N399" s="10">
        <v>81</v>
      </c>
      <c r="O399" s="50">
        <f t="shared" si="264"/>
        <v>64565.422903465682</v>
      </c>
      <c r="P399" s="48" t="str">
        <f t="shared" si="227"/>
        <v>17.4002386318441</v>
      </c>
      <c r="Q399" s="17" t="str">
        <f t="shared" si="228"/>
        <v>1+34.7430769831797i</v>
      </c>
      <c r="R399" s="17">
        <f t="shared" si="238"/>
        <v>34.757465360108625</v>
      </c>
      <c r="S399" s="17">
        <f t="shared" si="239"/>
        <v>1.5420215585299797</v>
      </c>
      <c r="T399" s="17" t="str">
        <f t="shared" si="229"/>
        <v>1+0.121702954961668i</v>
      </c>
      <c r="U399" s="17">
        <f t="shared" si="240"/>
        <v>1.0073785828805384</v>
      </c>
      <c r="V399" s="17">
        <f t="shared" si="241"/>
        <v>0.1211073668359705</v>
      </c>
      <c r="W399" s="31" t="str">
        <f t="shared" si="230"/>
        <v>1-0.300255816322663i</v>
      </c>
      <c r="X399" s="17">
        <f t="shared" si="242"/>
        <v>1.044104187921679</v>
      </c>
      <c r="Y399" s="17">
        <f t="shared" si="243"/>
        <v>-0.29169147182436073</v>
      </c>
      <c r="Z399" s="31" t="str">
        <f t="shared" si="231"/>
        <v>0.996218871805258+0.419925732234807i</v>
      </c>
      <c r="AA399" s="17">
        <f t="shared" si="244"/>
        <v>1.0811057585333084</v>
      </c>
      <c r="AB399" s="17">
        <f t="shared" si="245"/>
        <v>0.39891898686709237</v>
      </c>
      <c r="AC399" s="66" t="str">
        <f t="shared" si="246"/>
        <v>-0.250715236649337-0.417566377302932i</v>
      </c>
      <c r="AD399" s="64">
        <f t="shared" si="247"/>
        <v>-6.2484904748013239</v>
      </c>
      <c r="AE399" s="61">
        <f t="shared" si="248"/>
        <v>-120.98145080492357</v>
      </c>
      <c r="AF399" s="31" t="str">
        <f t="shared" si="232"/>
        <v>-9090.90909090909</v>
      </c>
      <c r="AG399" s="31" t="str">
        <f t="shared" si="233"/>
        <v>405676.516538892i</v>
      </c>
      <c r="AH399" s="31">
        <f t="shared" si="249"/>
        <v>405676.516538892</v>
      </c>
      <c r="AI399" s="31">
        <f t="shared" si="250"/>
        <v>1.5707963267948966</v>
      </c>
      <c r="AJ399" s="31" t="str">
        <f t="shared" si="234"/>
        <v>-595.206769792326+140.464276822042i</v>
      </c>
      <c r="AK399" s="31">
        <f t="shared" si="251"/>
        <v>611.55646662410027</v>
      </c>
      <c r="AL399" s="31">
        <f t="shared" si="252"/>
        <v>2.9098404340016697</v>
      </c>
      <c r="AM399" s="31" t="str">
        <f t="shared" si="235"/>
        <v>1+534.600513494952i</v>
      </c>
      <c r="AN399" s="31">
        <f t="shared" si="253"/>
        <v>534.60144877194853</v>
      </c>
      <c r="AO399" s="31">
        <f t="shared" si="254"/>
        <v>1.5689257733471664</v>
      </c>
      <c r="AP399" s="31" t="str">
        <f t="shared" si="236"/>
        <v>1+89.2488336385562i</v>
      </c>
      <c r="AQ399" s="31">
        <f t="shared" si="255"/>
        <v>89.254435776843493</v>
      </c>
      <c r="AR399" s="31">
        <f t="shared" si="256"/>
        <v>1.5595921674295901</v>
      </c>
      <c r="AS399" s="58" t="str">
        <f t="shared" si="257"/>
        <v>-0.379304580464219+1.70680161198053i</v>
      </c>
      <c r="AT399" s="49">
        <f t="shared" si="258"/>
        <v>4.8530164800179518</v>
      </c>
      <c r="AU399" s="61">
        <f t="shared" si="259"/>
        <v>102.52929821265596</v>
      </c>
      <c r="AV399" s="58" t="str">
        <f t="shared" si="237"/>
        <v>0.807800403542779-0.269536330502316i</v>
      </c>
      <c r="AW399" s="64">
        <f t="shared" si="260"/>
        <v>-1.3954739947833692</v>
      </c>
      <c r="AX399" s="49">
        <f t="shared" si="261"/>
        <v>-18.452152592267591</v>
      </c>
      <c r="AY399" s="310"/>
      <c r="BA399" s="31">
        <f t="shared" si="262"/>
        <v>0</v>
      </c>
      <c r="BB399" s="31">
        <f t="shared" si="263"/>
        <v>0</v>
      </c>
    </row>
    <row r="400" spans="14:54" x14ac:dyDescent="0.45">
      <c r="N400" s="10">
        <v>82</v>
      </c>
      <c r="O400" s="50">
        <f t="shared" si="264"/>
        <v>66069.344800759733</v>
      </c>
      <c r="P400" s="48" t="str">
        <f t="shared" si="227"/>
        <v>17.4002386318441</v>
      </c>
      <c r="Q400" s="17" t="str">
        <f t="shared" si="228"/>
        <v>1+35.5523472071585i</v>
      </c>
      <c r="R400" s="17">
        <f t="shared" si="238"/>
        <v>35.566408195632441</v>
      </c>
      <c r="S400" s="17">
        <f t="shared" si="239"/>
        <v>1.5426762029722949</v>
      </c>
      <c r="T400" s="17" t="str">
        <f t="shared" si="229"/>
        <v>1+0.124537780952135i</v>
      </c>
      <c r="U400" s="17">
        <f t="shared" si="240"/>
        <v>1.0077249916939055</v>
      </c>
      <c r="V400" s="17">
        <f t="shared" si="241"/>
        <v>0.12389986070071501</v>
      </c>
      <c r="W400" s="31" t="str">
        <f t="shared" si="230"/>
        <v>1-0.307249672734519i</v>
      </c>
      <c r="X400" s="17">
        <f t="shared" si="242"/>
        <v>1.0461368750768081</v>
      </c>
      <c r="Y400" s="17">
        <f t="shared" si="243"/>
        <v>-0.29809452827836042</v>
      </c>
      <c r="Z400" s="31" t="str">
        <f t="shared" si="231"/>
        <v>0.996040672723445+0.429707059074242i</v>
      </c>
      <c r="AA400" s="17">
        <f t="shared" si="244"/>
        <v>1.0847788614909526</v>
      </c>
      <c r="AB400" s="17">
        <f t="shared" si="245"/>
        <v>0.40729178424592949</v>
      </c>
      <c r="AC400" s="66" t="str">
        <f t="shared" si="246"/>
        <v>-0.249874525729164-0.404493610154919i</v>
      </c>
      <c r="AD400" s="64">
        <f t="shared" si="247"/>
        <v>-6.457909559589428</v>
      </c>
      <c r="AE400" s="61">
        <f t="shared" si="248"/>
        <v>-121.70555511910783</v>
      </c>
      <c r="AF400" s="31" t="str">
        <f t="shared" si="232"/>
        <v>-9090.90909090909</v>
      </c>
      <c r="AG400" s="31" t="str">
        <f t="shared" si="233"/>
        <v>415125.936507116i</v>
      </c>
      <c r="AH400" s="31">
        <f t="shared" si="249"/>
        <v>415125.93650711601</v>
      </c>
      <c r="AI400" s="31">
        <f t="shared" si="250"/>
        <v>1.5707963267948966</v>
      </c>
      <c r="AJ400" s="31" t="str">
        <f t="shared" si="234"/>
        <v>-623.305129190755+143.736110137779i</v>
      </c>
      <c r="AK400" s="31">
        <f t="shared" si="251"/>
        <v>639.66346889051238</v>
      </c>
      <c r="AL400" s="31">
        <f t="shared" si="252"/>
        <v>2.9149515191717792</v>
      </c>
      <c r="AM400" s="31" t="str">
        <f t="shared" si="235"/>
        <v>1+547.052959129077i</v>
      </c>
      <c r="AN400" s="31">
        <f t="shared" si="253"/>
        <v>547.05387311660593</v>
      </c>
      <c r="AO400" s="31">
        <f t="shared" si="254"/>
        <v>1.5689683522460312</v>
      </c>
      <c r="AP400" s="31" t="str">
        <f t="shared" si="236"/>
        <v>1+91.3277060315654i</v>
      </c>
      <c r="AQ400" s="31">
        <f t="shared" si="255"/>
        <v>91.33318065734943</v>
      </c>
      <c r="AR400" s="31">
        <f t="shared" si="256"/>
        <v>1.5598471846134776</v>
      </c>
      <c r="AS400" s="58" t="str">
        <f t="shared" si="257"/>
        <v>-0.363041792149693+1.67157585471876i</v>
      </c>
      <c r="AT400" s="49">
        <f t="shared" si="258"/>
        <v>4.6626915370259647</v>
      </c>
      <c r="AU400" s="61">
        <f t="shared" si="259"/>
        <v>102.25350560321807</v>
      </c>
      <c r="AV400" s="58" t="str">
        <f t="shared" si="237"/>
        <v>0.766856647756256-0.270836138774431i</v>
      </c>
      <c r="AW400" s="64">
        <f t="shared" si="260"/>
        <v>-1.7952180225634642</v>
      </c>
      <c r="AX400" s="49">
        <f t="shared" si="261"/>
        <v>-19.452049515889744</v>
      </c>
      <c r="AY400" s="310"/>
      <c r="BA400" s="31">
        <f t="shared" si="262"/>
        <v>0</v>
      </c>
      <c r="BB400" s="31">
        <f t="shared" si="263"/>
        <v>0</v>
      </c>
    </row>
    <row r="401" spans="14:54" x14ac:dyDescent="0.45">
      <c r="N401" s="10">
        <v>83</v>
      </c>
      <c r="O401" s="50">
        <f t="shared" si="264"/>
        <v>67608.297539198305</v>
      </c>
      <c r="P401" s="48" t="str">
        <f t="shared" si="227"/>
        <v>17.4002386318441</v>
      </c>
      <c r="Q401" s="17" t="str">
        <f t="shared" si="228"/>
        <v>1+36.3804677562176i</v>
      </c>
      <c r="R401" s="17">
        <f t="shared" si="238"/>
        <v>36.394208799769068</v>
      </c>
      <c r="S401" s="17">
        <f t="shared" si="239"/>
        <v>1.5433159691844909</v>
      </c>
      <c r="T401" s="17" t="str">
        <f t="shared" si="229"/>
        <v>1+0.127438638522515i</v>
      </c>
      <c r="U401" s="17">
        <f t="shared" si="240"/>
        <v>1.0080875986681277</v>
      </c>
      <c r="V401" s="17">
        <f t="shared" si="241"/>
        <v>0.12675539048673057</v>
      </c>
      <c r="W401" s="31" t="str">
        <f t="shared" si="230"/>
        <v>1-0.314406436989788i</v>
      </c>
      <c r="X401" s="17">
        <f t="shared" si="242"/>
        <v>1.0482611352237636</v>
      </c>
      <c r="Y401" s="17">
        <f t="shared" si="243"/>
        <v>-0.3046207496252159</v>
      </c>
      <c r="Z401" s="31" t="str">
        <f t="shared" si="231"/>
        <v>0.995854075377643+0.439716222284244i</v>
      </c>
      <c r="AA401" s="17">
        <f t="shared" si="244"/>
        <v>1.0886118204328792</v>
      </c>
      <c r="AB401" s="17">
        <f t="shared" si="245"/>
        <v>0.41580208220233855</v>
      </c>
      <c r="AC401" s="66" t="str">
        <f t="shared" si="246"/>
        <v>-0.24895508683462-0.391683788494053i</v>
      </c>
      <c r="AD401" s="64">
        <f t="shared" si="247"/>
        <v>-6.6676473425177907</v>
      </c>
      <c r="AE401" s="61">
        <f t="shared" si="248"/>
        <v>-122.44013031257317</v>
      </c>
      <c r="AF401" s="31" t="str">
        <f t="shared" si="232"/>
        <v>-9090.90909090909</v>
      </c>
      <c r="AG401" s="31" t="str">
        <f t="shared" si="233"/>
        <v>424795.461741717i</v>
      </c>
      <c r="AH401" s="31">
        <f t="shared" si="249"/>
        <v>424795.46174171701</v>
      </c>
      <c r="AI401" s="31">
        <f t="shared" si="250"/>
        <v>1.5707963267948966</v>
      </c>
      <c r="AJ401" s="31" t="str">
        <f t="shared" si="234"/>
        <v>-652.727723470246+147.084154241684i</v>
      </c>
      <c r="AK401" s="31">
        <f t="shared" si="251"/>
        <v>669.09433521413212</v>
      </c>
      <c r="AL401" s="31">
        <f t="shared" si="252"/>
        <v>2.9199568209058082</v>
      </c>
      <c r="AM401" s="31" t="str">
        <f t="shared" si="235"/>
        <v>1+559.795459483234i</v>
      </c>
      <c r="AN401" s="31">
        <f t="shared" si="253"/>
        <v>559.79635266590037</v>
      </c>
      <c r="AO401" s="31">
        <f t="shared" si="254"/>
        <v>1.569009961937234</v>
      </c>
      <c r="AP401" s="31" t="str">
        <f t="shared" si="236"/>
        <v>1+93.4550015831777i</v>
      </c>
      <c r="AQ401" s="31">
        <f t="shared" si="255"/>
        <v>93.46035159848131</v>
      </c>
      <c r="AR401" s="31">
        <f t="shared" si="256"/>
        <v>1.5600963982737326</v>
      </c>
      <c r="AS401" s="58" t="str">
        <f t="shared" si="257"/>
        <v>-0.34744301806815+1.6369247350985i</v>
      </c>
      <c r="AT401" s="49">
        <f t="shared" si="258"/>
        <v>4.4719513699147768</v>
      </c>
      <c r="AU401" s="61">
        <f t="shared" si="259"/>
        <v>101.98338588929107</v>
      </c>
      <c r="AV401" s="58" t="str">
        <f t="shared" si="237"/>
        <v>0.727654588456243-0.271432941965444i</v>
      </c>
      <c r="AW401" s="64">
        <f t="shared" si="260"/>
        <v>-2.1956959726030152</v>
      </c>
      <c r="AX401" s="49">
        <f t="shared" si="261"/>
        <v>-20.456744423282132</v>
      </c>
      <c r="AY401" s="310"/>
      <c r="BA401" s="31">
        <f t="shared" si="262"/>
        <v>0</v>
      </c>
      <c r="BB401" s="31">
        <f t="shared" si="263"/>
        <v>0</v>
      </c>
    </row>
    <row r="402" spans="14:54" x14ac:dyDescent="0.45">
      <c r="N402" s="10">
        <v>84</v>
      </c>
      <c r="O402" s="50">
        <f t="shared" si="264"/>
        <v>69183.097091893651</v>
      </c>
      <c r="P402" s="48" t="str">
        <f t="shared" si="227"/>
        <v>17.4002386318441</v>
      </c>
      <c r="Q402" s="17" t="str">
        <f t="shared" si="228"/>
        <v>1+37.2278777108333i</v>
      </c>
      <c r="R402" s="17">
        <f t="shared" si="238"/>
        <v>37.241306084142089</v>
      </c>
      <c r="S402" s="17">
        <f t="shared" si="239"/>
        <v>1.5439411942830275</v>
      </c>
      <c r="T402" s="17" t="str">
        <f t="shared" si="229"/>
        <v>1+0.13040706574589i</v>
      </c>
      <c r="U402" s="17">
        <f t="shared" si="240"/>
        <v>1.0084671550409825</v>
      </c>
      <c r="V402" s="17">
        <f t="shared" si="241"/>
        <v>0.12967528386122532</v>
      </c>
      <c r="W402" s="31" t="str">
        <f t="shared" si="230"/>
        <v>1-0.32172990369961i</v>
      </c>
      <c r="X402" s="17">
        <f t="shared" si="242"/>
        <v>1.050480904602535</v>
      </c>
      <c r="Y402" s="17">
        <f t="shared" si="243"/>
        <v>-0.31127137165438784</v>
      </c>
      <c r="Z402" s="31" t="str">
        <f t="shared" si="231"/>
        <v>0.995658683969863+0.449958528855632i</v>
      </c>
      <c r="AA402" s="17">
        <f t="shared" si="244"/>
        <v>1.09261104362647</v>
      </c>
      <c r="AB402" s="17">
        <f t="shared" si="245"/>
        <v>0.42444983263035935</v>
      </c>
      <c r="AC402" s="66" t="str">
        <f t="shared" si="246"/>
        <v>-0.247957519742752-0.379132692914462i</v>
      </c>
      <c r="AD402" s="64">
        <f t="shared" si="247"/>
        <v>-6.8777072935358046</v>
      </c>
      <c r="AE402" s="61">
        <f t="shared" si="248"/>
        <v>-123.18518768019457</v>
      </c>
      <c r="AF402" s="31" t="str">
        <f t="shared" si="232"/>
        <v>-9090.90909090909</v>
      </c>
      <c r="AG402" s="31" t="str">
        <f t="shared" si="233"/>
        <v>434690.219152965i</v>
      </c>
      <c r="AH402" s="31">
        <f t="shared" si="249"/>
        <v>434690.219152965</v>
      </c>
      <c r="AI402" s="31">
        <f t="shared" si="250"/>
        <v>1.5707963267948966</v>
      </c>
      <c r="AJ402" s="31" t="str">
        <f t="shared" si="234"/>
        <v>-683.536961898015+150.510184311057i</v>
      </c>
      <c r="AK402" s="31">
        <f t="shared" si="251"/>
        <v>699.9114900200716</v>
      </c>
      <c r="AL402" s="31">
        <f t="shared" si="252"/>
        <v>2.9248580845532004</v>
      </c>
      <c r="AM402" s="31" t="str">
        <f t="shared" si="235"/>
        <v>1+572.834770799777i</v>
      </c>
      <c r="AN402" s="31">
        <f t="shared" si="253"/>
        <v>572.83564365115501</v>
      </c>
      <c r="AO402" s="31">
        <f t="shared" si="254"/>
        <v>1.5690506244822069</v>
      </c>
      <c r="AP402" s="31" t="str">
        <f t="shared" si="236"/>
        <v>1+95.6318482136522i</v>
      </c>
      <c r="AQ402" s="31">
        <f t="shared" si="255"/>
        <v>95.637076454474581</v>
      </c>
      <c r="AR402" s="31">
        <f t="shared" si="256"/>
        <v>1.5603399404228413</v>
      </c>
      <c r="AS402" s="58" t="str">
        <f t="shared" si="257"/>
        <v>-0.332483951511671+1.60284881186217i</v>
      </c>
      <c r="AT402" s="49">
        <f t="shared" si="258"/>
        <v>4.2808129662471073</v>
      </c>
      <c r="AU402" s="61">
        <f t="shared" si="259"/>
        <v>101.71884789750331</v>
      </c>
      <c r="AV402" s="58" t="str">
        <f t="shared" si="237"/>
        <v>0.690134282347154-0.271382880024499i</v>
      </c>
      <c r="AW402" s="64">
        <f t="shared" si="260"/>
        <v>-2.5968943272886955</v>
      </c>
      <c r="AX402" s="49">
        <f t="shared" si="261"/>
        <v>-21.466339782691215</v>
      </c>
      <c r="AY402" s="310"/>
      <c r="BA402" s="31">
        <f t="shared" si="262"/>
        <v>0</v>
      </c>
      <c r="BB402" s="31">
        <f t="shared" si="263"/>
        <v>0</v>
      </c>
    </row>
    <row r="403" spans="14:54" x14ac:dyDescent="0.45">
      <c r="N403" s="10">
        <v>85</v>
      </c>
      <c r="O403" s="50">
        <f t="shared" si="264"/>
        <v>70794.578438413781</v>
      </c>
      <c r="P403" s="48" t="str">
        <f t="shared" ref="P403:P466" si="265">COMPLEX(Adc,0)</f>
        <v>17.4002386318441</v>
      </c>
      <c r="Q403" s="17" t="str">
        <f t="shared" ref="Q403:Q466" si="266">IMSUM(COMPLEX(1,0),IMDIV(COMPLEX(0,2*PI()*O403),COMPLEX(wp_lf,0)))</f>
        <v>1+38.0950263789805i</v>
      </c>
      <c r="R403" s="17">
        <f t="shared" si="238"/>
        <v>38.108149191678407</v>
      </c>
      <c r="S403" s="17">
        <f t="shared" si="239"/>
        <v>1.5445522078141722</v>
      </c>
      <c r="T403" s="17" t="str">
        <f t="shared" ref="T403:T466" si="267">IMSUM(COMPLEX(1,0),IMDIV(COMPLEX(0,2*PI()*O403),COMPLEX(wz_esr,0)))</f>
        <v>1+0.133444636521664i</v>
      </c>
      <c r="U403" s="17">
        <f t="shared" si="240"/>
        <v>1.0088644463040608</v>
      </c>
      <c r="V403" s="17">
        <f t="shared" si="241"/>
        <v>0.13266088972951087</v>
      </c>
      <c r="W403" s="31" t="str">
        <f t="shared" ref="W403:W466" si="268">IMSUB(COMPLEX(1,0),IMDIV(COMPLEX(0,2*PI()*O403),COMPLEX(wz_rhp,0)))</f>
        <v>1-0.329223955862972i</v>
      </c>
      <c r="X403" s="17">
        <f t="shared" si="242"/>
        <v>1.0528002721855956</v>
      </c>
      <c r="Y403" s="17">
        <f t="shared" si="243"/>
        <v>-0.31804756648528609</v>
      </c>
      <c r="Z403" s="31" t="str">
        <f t="shared" ref="Z403:Z466" si="269">IMSUM(COMPLEX(1,0),IMDIV(COMPLEX(0,2*PI()*O403),COMPLEX(Q*(wsl/2),0)),IMDIV(IMPOWER(COMPLEX(0,2*PI()*O403),2),IMPOWER(COMPLEX(wsl/2,0),2)))</f>
        <v>0.995454084048732+0.460439409394926i</v>
      </c>
      <c r="AA403" s="17">
        <f t="shared" si="244"/>
        <v>1.0967831523018798</v>
      </c>
      <c r="AB403" s="17">
        <f t="shared" si="245"/>
        <v>0.43323483846548272</v>
      </c>
      <c r="AC403" s="66" t="str">
        <f t="shared" si="246"/>
        <v>-0.246882426165425-0.36683630836429i</v>
      </c>
      <c r="AD403" s="64">
        <f t="shared" si="247"/>
        <v>-7.0880923461794314</v>
      </c>
      <c r="AE403" s="61">
        <f t="shared" si="248"/>
        <v>-123.94072468353139</v>
      </c>
      <c r="AF403" s="31" t="str">
        <f t="shared" ref="AF403:AF466" si="270">IF(FB_type=1,COMPLEX(Adc_ea_iso,0),COMPLEX(Adc_ea,0))</f>
        <v>-9090.90909090909</v>
      </c>
      <c r="AG403" s="31" t="str">
        <f t="shared" ref="AG403:AG466" si="271">IF(FB_type=1,COMPLEX(0,2*PI()*O403),COMPLEX(0,2*PI()*O403*wp0_ea))</f>
        <v>444815.455072214i</v>
      </c>
      <c r="AH403" s="31">
        <f t="shared" si="249"/>
        <v>444815.45507221401</v>
      </c>
      <c r="AI403" s="31">
        <f t="shared" si="250"/>
        <v>1.5707963267948966</v>
      </c>
      <c r="AJ403" s="31" t="str">
        <f t="shared" ref="AJ403:AJ466" si="272">IF(FB_type=1,IMSUM(IMPRODUCT(COMPLEX(wpA_ea_iso,0),IMPOWER(COMPLEX(0,2*PI()*O403),2)),COMPLEX(0,wpB_ea_iso*2*PI()*O403),COMPLEX(1,0)),IMSUM(COMPLEX(1,0),IMDIV(COMPLEX(0,2*PI()*O403),COMPLEX(wp1_ea,0))))</f>
        <v>-715.79819499944+154.016016872389i</v>
      </c>
      <c r="AK403" s="31">
        <f t="shared" si="251"/>
        <v>732.18029843590614</v>
      </c>
      <c r="AL403" s="31">
        <f t="shared" si="252"/>
        <v>2.9296570556062984</v>
      </c>
      <c r="AM403" s="31" t="str">
        <f t="shared" ref="AM403:AM466" si="273">IMSUM(COMPLEX(1,0),IMDIV(COMPLEX(0,2*PI()*O403),COMPLEX(wz1_ea_iso,0)))</f>
        <v>1+586.177806694163i</v>
      </c>
      <c r="AN403" s="31">
        <f t="shared" si="253"/>
        <v>586.17865967704722</v>
      </c>
      <c r="AO403" s="31">
        <f t="shared" si="254"/>
        <v>1.5690903614402314</v>
      </c>
      <c r="AP403" s="31" t="str">
        <f t="shared" ref="AP403:AP466" si="274">IF(FB_type=1,IMSUM(COMPLEX(1,0),IMDIV(COMPLEX(0,2*PI()*O403),COMPLEX(wz2_ea_iso,0))),1)</f>
        <v>1+97.859400115887i</v>
      </c>
      <c r="AQ403" s="31">
        <f t="shared" si="255"/>
        <v>97.864509353704236</v>
      </c>
      <c r="AR403" s="31">
        <f t="shared" si="256"/>
        <v>1.5605779400744473</v>
      </c>
      <c r="AS403" s="58" t="str">
        <f t="shared" si="257"/>
        <v>-0.318140937369666+1.56934787454543i</v>
      </c>
      <c r="AT403" s="49">
        <f t="shared" si="258"/>
        <v>4.0892926888936216</v>
      </c>
      <c r="AU403" s="61">
        <f t="shared" si="259"/>
        <v>101.45980024570343</v>
      </c>
      <c r="AV403" s="58" t="str">
        <f t="shared" ref="AV403:AV466" si="275">IMPRODUCT(AC403,AS403)</f>
        <v>0.654237187317956-0.270738763761086i</v>
      </c>
      <c r="AW403" s="64">
        <f t="shared" si="260"/>
        <v>-2.9987996572858071</v>
      </c>
      <c r="AX403" s="49">
        <f t="shared" si="261"/>
        <v>-22.480924437827994</v>
      </c>
      <c r="AY403" s="310"/>
      <c r="BA403" s="31">
        <f t="shared" si="262"/>
        <v>0</v>
      </c>
      <c r="BB403" s="31">
        <f t="shared" si="263"/>
        <v>0</v>
      </c>
    </row>
    <row r="404" spans="14:54" x14ac:dyDescent="0.45">
      <c r="N404" s="10">
        <v>86</v>
      </c>
      <c r="O404" s="50">
        <f t="shared" si="264"/>
        <v>72443.596007499116</v>
      </c>
      <c r="P404" s="48" t="str">
        <f t="shared" si="265"/>
        <v>17.4002386318441</v>
      </c>
      <c r="Q404" s="17" t="str">
        <f t="shared" si="266"/>
        <v>1+38.9823735343613i</v>
      </c>
      <c r="R404" s="17">
        <f t="shared" ref="R404:R467" si="276">IMABS(Q404)</f>
        <v>38.995197734752828</v>
      </c>
      <c r="S404" s="17">
        <f t="shared" ref="S404:S467" si="277">IMARGUMENT(Q404)</f>
        <v>1.545149331919428</v>
      </c>
      <c r="T404" s="17" t="str">
        <f t="shared" si="267"/>
        <v>1+0.136552961410072i</v>
      </c>
      <c r="U404" s="17">
        <f t="shared" ref="U404:U467" si="278">IMABS(T404)</f>
        <v>1.0092802937092651</v>
      </c>
      <c r="V404" s="17">
        <f t="shared" ref="V404:V467" si="279">IMARGUMENT(T404)</f>
        <v>0.13571357808076159</v>
      </c>
      <c r="W404" s="31" t="str">
        <f t="shared" si="268"/>
        <v>1-0.336892566925528i</v>
      </c>
      <c r="X404" s="17">
        <f t="shared" ref="X404:X467" si="280">IMABS(W404)</f>
        <v>1.0552234842201302</v>
      </c>
      <c r="Y404" s="17">
        <f t="shared" ref="Y404:Y467" si="281">IMARGUMENT(W404)</f>
        <v>-0.32495043695759623</v>
      </c>
      <c r="Z404" s="31" t="str">
        <f t="shared" si="269"/>
        <v>0.995239841630388+0.471164421003717i</v>
      </c>
      <c r="AA404" s="17">
        <f t="shared" ref="AA404:AA467" si="282">IMABS(Z404)</f>
        <v>1.1011349844538805</v>
      </c>
      <c r="AB404" s="17">
        <f t="shared" ref="AB404:AB467" si="283">IMARGUMENT(Z404)</f>
        <v>0.44215674705775004</v>
      </c>
      <c r="AC404" s="66" t="str">
        <f t="shared" ref="AC404:AC467" si="284">(IMDIV(IMPRODUCT(P404,T404,W404),IMPRODUCT(Q404,Z404)))</f>
        <v>-0.245730418609919-0.354790820208952i</v>
      </c>
      <c r="AD404" s="64">
        <f t="shared" ref="AD404:AD467" si="285">20*LOG(IMABS(AC404))</f>
        <v>-7.2988048360758864</v>
      </c>
      <c r="AE404" s="61">
        <f t="shared" ref="AE404:AE467" si="286">(180/PI())*IMARGUMENT(AC404)</f>
        <v>-124.70672426803998</v>
      </c>
      <c r="AF404" s="31" t="str">
        <f t="shared" si="270"/>
        <v>-9090.90909090909</v>
      </c>
      <c r="AG404" s="31" t="str">
        <f t="shared" si="271"/>
        <v>455176.538033572i</v>
      </c>
      <c r="AH404" s="31">
        <f t="shared" ref="AH404:AH467" si="287">IMABS(AG404)</f>
        <v>455176.53803357203</v>
      </c>
      <c r="AI404" s="31">
        <f t="shared" ref="AI404:AI467" si="288">IMARGUMENT(AG404)</f>
        <v>1.5707963267948966</v>
      </c>
      <c r="AJ404" s="31" t="str">
        <f t="shared" si="272"/>
        <v>-749.579853175272+157.60351076451i</v>
      </c>
      <c r="AK404" s="31">
        <f t="shared" ref="AK404:AK467" si="289">IMABS(AJ404)</f>
        <v>765.96920492377581</v>
      </c>
      <c r="AL404" s="31">
        <f t="shared" ref="AL404:AL467" si="290">IMARGUMENT(AJ404)</f>
        <v>2.9343554774755214</v>
      </c>
      <c r="AM404" s="31" t="str">
        <f t="shared" si="273"/>
        <v>1+599.831641820641i</v>
      </c>
      <c r="AN404" s="31">
        <f t="shared" ref="AN404:AN467" si="291">IMABS(AM404)</f>
        <v>599.83247538729154</v>
      </c>
      <c r="AO404" s="31">
        <f t="shared" ref="AO404:AO467" si="292">IMARGUMENT(AM404)</f>
        <v>1.5691291938798664</v>
      </c>
      <c r="AP404" s="31" t="str">
        <f t="shared" si="274"/>
        <v>1+100.138838367386i</v>
      </c>
      <c r="AQ404" s="31">
        <f t="shared" ref="AQ404:AQ467" si="293">IMABS(AP404)</f>
        <v>100.14383131061771</v>
      </c>
      <c r="AR404" s="31">
        <f t="shared" ref="AR404:AR467" si="294">IMARGUMENT(AP404)</f>
        <v>1.5608105233112042</v>
      </c>
      <c r="AS404" s="58" t="str">
        <f t="shared" ref="AS404:AS467" si="295">IMDIV(IMPRODUCT(AF404,AM404,AP404),IMPRODUCT(AG404,AJ404))</f>
        <v>-0.304390975935202+1.53642099642817i</v>
      </c>
      <c r="AT404" s="49">
        <f t="shared" ref="AT404:AT467" si="296">20*LOG(IMABS(AS404))</f>
        <v>3.8974062930307438</v>
      </c>
      <c r="AU404" s="61">
        <f t="shared" ref="AU404:AU467" si="297">(180/PI())*IMARGUMENT(AS404)</f>
        <v>101.20615147497593</v>
      </c>
      <c r="AV404" s="58" t="str">
        <f t="shared" si="275"/>
        <v>0.619906187446645-0.269550250597109i</v>
      </c>
      <c r="AW404" s="64">
        <f t="shared" ref="AW404:AW467" si="298">20*LOG(IMABS(AV404))</f>
        <v>-3.4013985430451403</v>
      </c>
      <c r="AX404" s="49">
        <f t="shared" ref="AX404:AX467" si="299">(180/PI())*IMARGUMENT(AV404)</f>
        <v>-23.500572793063991</v>
      </c>
      <c r="AY404" s="310"/>
      <c r="BA404" s="31">
        <f t="shared" ref="BA404:BA467" si="300">SUM((AW405&lt;0)*(AW404&gt;0))*O404</f>
        <v>0</v>
      </c>
      <c r="BB404" s="31">
        <f t="shared" ref="BB404:BB467" si="301">IF(BA404&gt;0,AX404,0)</f>
        <v>0</v>
      </c>
    </row>
    <row r="405" spans="14:54" x14ac:dyDescent="0.45">
      <c r="N405" s="10">
        <v>87</v>
      </c>
      <c r="O405" s="50">
        <f t="shared" si="264"/>
        <v>74131.024130091857</v>
      </c>
      <c r="P405" s="48" t="str">
        <f t="shared" si="265"/>
        <v>17.4002386318441</v>
      </c>
      <c r="Q405" s="17" t="str">
        <f t="shared" si="266"/>
        <v>1+39.8903896601827i</v>
      </c>
      <c r="R405" s="17">
        <f t="shared" si="276"/>
        <v>39.902922038883446</v>
      </c>
      <c r="S405" s="17">
        <f t="shared" si="277"/>
        <v>1.5457328814976525</v>
      </c>
      <c r="T405" s="17" t="str">
        <f t="shared" si="267"/>
        <v>1+0.139733688486111i</v>
      </c>
      <c r="U405" s="17">
        <f t="shared" si="278"/>
        <v>1.009715555836362</v>
      </c>
      <c r="V405" s="17">
        <f t="shared" si="279"/>
        <v>0.13883473978888275</v>
      </c>
      <c r="W405" s="31" t="str">
        <f t="shared" si="268"/>
        <v>1-0.344739802886369i</v>
      </c>
      <c r="X405" s="17">
        <f t="shared" si="280"/>
        <v>1.0577549487920785</v>
      </c>
      <c r="Y405" s="17">
        <f t="shared" si="281"/>
        <v>-0.33198101082694759</v>
      </c>
      <c r="Z405" s="31" t="str">
        <f t="shared" si="269"/>
        <v>0.995015502277935+0.482139250225124i</v>
      </c>
      <c r="AA405" s="17">
        <f t="shared" si="282"/>
        <v>1.1056735984824166</v>
      </c>
      <c r="AB405" s="17">
        <f t="shared" si="283"/>
        <v>0.45121504368995863</v>
      </c>
      <c r="AC405" s="66" t="str">
        <f t="shared" si="284"/>
        <v>-0.244502129236581-0.342992609835221i</v>
      </c>
      <c r="AD405" s="64">
        <f t="shared" si="285"/>
        <v>-7.5098464366812037</v>
      </c>
      <c r="AE405" s="61">
        <f t="shared" si="286"/>
        <v>-125.48315417982755</v>
      </c>
      <c r="AF405" s="31" t="str">
        <f t="shared" si="270"/>
        <v>-9090.90909090909</v>
      </c>
      <c r="AG405" s="31" t="str">
        <f t="shared" si="271"/>
        <v>465778.961620369i</v>
      </c>
      <c r="AH405" s="31">
        <f t="shared" si="287"/>
        <v>465778.96162036899</v>
      </c>
      <c r="AI405" s="31">
        <f t="shared" si="288"/>
        <v>1.5707963267948966</v>
      </c>
      <c r="AJ405" s="31" t="str">
        <f t="shared" si="272"/>
        <v>-784.953591851681+161.274568124168i</v>
      </c>
      <c r="AK405" s="31">
        <f t="shared" si="289"/>
        <v>801.34987844542184</v>
      </c>
      <c r="AL405" s="31">
        <f t="shared" si="290"/>
        <v>2.9389550894203609</v>
      </c>
      <c r="AM405" s="31" t="str">
        <f t="shared" si="273"/>
        <v>1+613.803515623322i</v>
      </c>
      <c r="AN405" s="31">
        <f t="shared" si="291"/>
        <v>613.80433021570468</v>
      </c>
      <c r="AO405" s="31">
        <f t="shared" si="292"/>
        <v>1.5691671423901168</v>
      </c>
      <c r="AP405" s="31" t="str">
        <f t="shared" si="274"/>
        <v>1+102.471371556481i</v>
      </c>
      <c r="AQ405" s="31">
        <f t="shared" si="293"/>
        <v>102.47625085192365</v>
      </c>
      <c r="AR405" s="31">
        <f t="shared" si="294"/>
        <v>1.5610378133511122</v>
      </c>
      <c r="AS405" s="58" t="str">
        <f t="shared" si="295"/>
        <v>-0.291211724298617+1.50406658532029i</v>
      </c>
      <c r="AT405" s="49">
        <f t="shared" si="296"/>
        <v>3.7051689432097317</v>
      </c>
      <c r="AU405" s="61">
        <f t="shared" si="297"/>
        <v>100.95781017262688</v>
      </c>
      <c r="AV405" s="58" t="str">
        <f t="shared" si="275"/>
        <v>0.587085610114623-0.267864013292607i</v>
      </c>
      <c r="AW405" s="64">
        <f t="shared" si="298"/>
        <v>-3.8046774934714778</v>
      </c>
      <c r="AX405" s="49">
        <f t="shared" si="299"/>
        <v>-24.525344007200683</v>
      </c>
      <c r="AY405" s="310"/>
      <c r="BA405" s="31">
        <f t="shared" si="300"/>
        <v>0</v>
      </c>
      <c r="BB405" s="31">
        <f t="shared" si="301"/>
        <v>0</v>
      </c>
    </row>
    <row r="406" spans="14:54" x14ac:dyDescent="0.45">
      <c r="N406" s="10">
        <v>88</v>
      </c>
      <c r="O406" s="50">
        <f t="shared" si="264"/>
        <v>75857.757502918481</v>
      </c>
      <c r="P406" s="48" t="str">
        <f t="shared" si="265"/>
        <v>17.4002386318441</v>
      </c>
      <c r="Q406" s="17" t="str">
        <f t="shared" si="266"/>
        <v>1+40.8195561986136i</v>
      </c>
      <c r="R406" s="17">
        <f t="shared" si="276"/>
        <v>40.831803392108142</v>
      </c>
      <c r="S406" s="17">
        <f t="shared" si="277"/>
        <v>1.546303164363916</v>
      </c>
      <c r="T406" s="17" t="str">
        <f t="shared" si="267"/>
        <v>1+0.142988504213379i</v>
      </c>
      <c r="U406" s="17">
        <f t="shared" si="278"/>
        <v>1.0101711302235772</v>
      </c>
      <c r="V406" s="17">
        <f t="shared" si="279"/>
        <v>0.14202578636511121</v>
      </c>
      <c r="W406" s="31" t="str">
        <f t="shared" si="268"/>
        <v>1-0.352769824453869i</v>
      </c>
      <c r="X406" s="17">
        <f t="shared" si="280"/>
        <v>1.0603992404020353</v>
      </c>
      <c r="Y406" s="17">
        <f t="shared" si="281"/>
        <v>-0.33914023477488703</v>
      </c>
      <c r="Z406" s="31" t="str">
        <f t="shared" si="269"/>
        <v>0.994780590137531+0.493369716058865i</v>
      </c>
      <c r="AA406" s="17">
        <f t="shared" si="282"/>
        <v>1.1104062766566025</v>
      </c>
      <c r="AB406" s="17">
        <f t="shared" si="283"/>
        <v>0.46040904528605464</v>
      </c>
      <c r="AC406" s="66" t="str">
        <f t="shared" si="284"/>
        <v>-0.243198218681337-0.331438249767989i</v>
      </c>
      <c r="AD406" s="64">
        <f t="shared" si="285"/>
        <v>-7.7212180923735172</v>
      </c>
      <c r="AE406" s="61">
        <f t="shared" si="286"/>
        <v>-126.26996628524428</v>
      </c>
      <c r="AF406" s="31" t="str">
        <f t="shared" si="270"/>
        <v>-9090.90909090909</v>
      </c>
      <c r="AG406" s="31" t="str">
        <f t="shared" si="271"/>
        <v>476628.347377929i</v>
      </c>
      <c r="AH406" s="31">
        <f t="shared" si="287"/>
        <v>476628.34737792902</v>
      </c>
      <c r="AI406" s="31">
        <f t="shared" si="288"/>
        <v>1.5707963267948966</v>
      </c>
      <c r="AJ406" s="31" t="str">
        <f t="shared" si="272"/>
        <v>-821.994443471038+165.031135394566i</v>
      </c>
      <c r="AK406" s="31">
        <f t="shared" si="289"/>
        <v>838.39736446799566</v>
      </c>
      <c r="AL406" s="31">
        <f t="shared" si="290"/>
        <v>2.9434576246296587</v>
      </c>
      <c r="AM406" s="31" t="str">
        <f t="shared" si="273"/>
        <v>1+628.100836174635i</v>
      </c>
      <c r="AN406" s="31">
        <f t="shared" si="291"/>
        <v>628.10163222465485</v>
      </c>
      <c r="AO406" s="31">
        <f t="shared" si="292"/>
        <v>1.5692042270913473</v>
      </c>
      <c r="AP406" s="31" t="str">
        <f t="shared" si="274"/>
        <v>1+104.858236423144i</v>
      </c>
      <c r="AQ406" s="31">
        <f t="shared" si="293"/>
        <v>104.86300465737172</v>
      </c>
      <c r="AR406" s="31">
        <f t="shared" si="294"/>
        <v>1.5612599306123698</v>
      </c>
      <c r="AS406" s="58" t="str">
        <f t="shared" si="295"/>
        <v>-0.278581495558678+1.47228243217362i</v>
      </c>
      <c r="AT406" s="49">
        <f t="shared" si="296"/>
        <v>3.5125952304359394</v>
      </c>
      <c r="AU406" s="61">
        <f t="shared" si="297"/>
        <v>100.71468508651715</v>
      </c>
      <c r="AV406" s="58" t="str">
        <f t="shared" si="275"/>
        <v>0.555721235961236-0.265723901594734i</v>
      </c>
      <c r="AW406" s="64">
        <f t="shared" si="298"/>
        <v>-4.2086228619375756</v>
      </c>
      <c r="AX406" s="49">
        <f t="shared" si="299"/>
        <v>-25.555281198727144</v>
      </c>
      <c r="AY406" s="310"/>
      <c r="BA406" s="31">
        <f t="shared" si="300"/>
        <v>0</v>
      </c>
      <c r="BB406" s="31">
        <f t="shared" si="301"/>
        <v>0</v>
      </c>
    </row>
    <row r="407" spans="14:54" x14ac:dyDescent="0.45">
      <c r="N407" s="10">
        <v>89</v>
      </c>
      <c r="O407" s="50">
        <f t="shared" si="264"/>
        <v>77624.711662869129</v>
      </c>
      <c r="P407" s="48" t="str">
        <f t="shared" si="265"/>
        <v>17.4002386318441</v>
      </c>
      <c r="Q407" s="17" t="str">
        <f t="shared" si="266"/>
        <v>1+41.7703658060516i</v>
      </c>
      <c r="R407" s="17">
        <f t="shared" si="276"/>
        <v>41.782334300172423</v>
      </c>
      <c r="S407" s="17">
        <f t="shared" si="277"/>
        <v>1.5468604814051419</v>
      </c>
      <c r="T407" s="17" t="str">
        <f t="shared" si="267"/>
        <v>1+0.146319134338257i</v>
      </c>
      <c r="U407" s="17">
        <f t="shared" si="278"/>
        <v>1.0106479550632341</v>
      </c>
      <c r="V407" s="17">
        <f t="shared" si="279"/>
        <v>0.14528814965872755</v>
      </c>
      <c r="W407" s="31" t="str">
        <f t="shared" si="268"/>
        <v>1-0.360986889251755i</v>
      </c>
      <c r="X407" s="17">
        <f t="shared" si="280"/>
        <v>1.0631611045423262</v>
      </c>
      <c r="Y407" s="17">
        <f t="shared" si="281"/>
        <v>-0.34642896824419189</v>
      </c>
      <c r="Z407" s="31" t="str">
        <f t="shared" si="269"/>
        <v>0.994534606929031+0.504861773046581i</v>
      </c>
      <c r="AA407" s="17">
        <f t="shared" si="282"/>
        <v>1.115340528387281</v>
      </c>
      <c r="AB407" s="17">
        <f t="shared" si="283"/>
        <v>0.46973789435734775</v>
      </c>
      <c r="AC407" s="66" t="str">
        <f t="shared" si="284"/>
        <v>-0.24181938480626-0.320124498273834i</v>
      </c>
      <c r="AD407" s="64">
        <f t="shared" si="285"/>
        <v>-7.9329199490587641</v>
      </c>
      <c r="AE407" s="61">
        <f t="shared" si="286"/>
        <v>-127.06709589688126</v>
      </c>
      <c r="AF407" s="31" t="str">
        <f t="shared" si="270"/>
        <v>-9090.90909090909</v>
      </c>
      <c r="AG407" s="31" t="str">
        <f t="shared" si="271"/>
        <v>487730.447794191i</v>
      </c>
      <c r="AH407" s="31">
        <f t="shared" si="287"/>
        <v>487730.44779419102</v>
      </c>
      <c r="AI407" s="31">
        <f t="shared" si="288"/>
        <v>1.5707963267948966</v>
      </c>
      <c r="AJ407" s="31" t="str">
        <f t="shared" si="272"/>
        <v>-860.780976645783+168.875204357395i</v>
      </c>
      <c r="AK407" s="31">
        <f t="shared" si="289"/>
        <v>877.19024413294733</v>
      </c>
      <c r="AL407" s="31">
        <f t="shared" si="290"/>
        <v>2.9478648084446295</v>
      </c>
      <c r="AM407" s="31" t="str">
        <f t="shared" si="273"/>
        <v>1+642.731184103185i</v>
      </c>
      <c r="AN407" s="31">
        <f t="shared" si="291"/>
        <v>642.73196203291639</v>
      </c>
      <c r="AO407" s="31">
        <f t="shared" si="292"/>
        <v>1.5692404676459493</v>
      </c>
      <c r="AP407" s="31" t="str">
        <f t="shared" si="274"/>
        <v>1+107.300698514722i</v>
      </c>
      <c r="AQ407" s="31">
        <f t="shared" si="293"/>
        <v>107.3053582154557</v>
      </c>
      <c r="AR407" s="31">
        <f t="shared" si="294"/>
        <v>1.5614769927767713</v>
      </c>
      <c r="AS407" s="58" t="str">
        <f t="shared" si="295"/>
        <v>-0.26647925606849+1.44106575752499i</v>
      </c>
      <c r="AT407" s="49">
        <f t="shared" si="296"/>
        <v>3.3196991892050356</v>
      </c>
      <c r="AU407" s="61">
        <f t="shared" si="297"/>
        <v>100.47668523111905</v>
      </c>
      <c r="AV407" s="58" t="str">
        <f t="shared" si="275"/>
        <v>0.525760302373402-0.26317109680075i</v>
      </c>
      <c r="AW407" s="64">
        <f t="shared" si="298"/>
        <v>-4.613220759853732</v>
      </c>
      <c r="AX407" s="49">
        <f t="shared" si="299"/>
        <v>-26.590410665762185</v>
      </c>
      <c r="AY407" s="310"/>
      <c r="BA407" s="31">
        <f t="shared" si="300"/>
        <v>0</v>
      </c>
      <c r="BB407" s="31">
        <f t="shared" si="301"/>
        <v>0</v>
      </c>
    </row>
    <row r="408" spans="14:54" x14ac:dyDescent="0.45">
      <c r="N408" s="10">
        <v>90</v>
      </c>
      <c r="O408" s="50">
        <f t="shared" si="264"/>
        <v>79432.823472428237</v>
      </c>
      <c r="P408" s="48" t="str">
        <f t="shared" si="265"/>
        <v>17.4002386318441</v>
      </c>
      <c r="Q408" s="17" t="str">
        <f t="shared" si="266"/>
        <v>1+42.7433226143363i</v>
      </c>
      <c r="R408" s="17">
        <f t="shared" si="276"/>
        <v>42.755018747665545</v>
      </c>
      <c r="S408" s="17">
        <f t="shared" si="277"/>
        <v>1.5474051267325779</v>
      </c>
      <c r="T408" s="17" t="str">
        <f t="shared" si="267"/>
        <v>1+0.149727344804925i</v>
      </c>
      <c r="U408" s="17">
        <f t="shared" si="278"/>
        <v>1.0111470109644458</v>
      </c>
      <c r="V408" s="17">
        <f t="shared" si="279"/>
        <v>0.14862328150211632</v>
      </c>
      <c r="W408" s="31" t="str">
        <f t="shared" si="268"/>
        <v>1-0.369395354076551i</v>
      </c>
      <c r="X408" s="17">
        <f t="shared" si="280"/>
        <v>1.0660454622638476</v>
      </c>
      <c r="Y408" s="17">
        <f t="shared" si="281"/>
        <v>-0.35384797711275207</v>
      </c>
      <c r="Z408" s="31" t="str">
        <f t="shared" si="269"/>
        <v>0.994277030889068+0.516621514429005i</v>
      </c>
      <c r="AA408" s="17">
        <f t="shared" si="282"/>
        <v>1.1204840932938314</v>
      </c>
      <c r="AB408" s="17">
        <f t="shared" si="283"/>
        <v>0.47920055323632627</v>
      </c>
      <c r="AC408" s="66" t="str">
        <f t="shared" si="284"/>
        <v>-0.240366371336742-0.309048293428366i</v>
      </c>
      <c r="AD408" s="64">
        <f t="shared" si="285"/>
        <v>-8.1449512824838628</v>
      </c>
      <c r="AE408" s="61">
        <f t="shared" si="286"/>
        <v>-127.87446110980511</v>
      </c>
      <c r="AF408" s="31" t="str">
        <f t="shared" si="270"/>
        <v>-9090.90909090909</v>
      </c>
      <c r="AG408" s="31" t="str">
        <f t="shared" si="271"/>
        <v>499091.149349751i</v>
      </c>
      <c r="AH408" s="31">
        <f t="shared" si="287"/>
        <v>499091.14934975101</v>
      </c>
      <c r="AI408" s="31">
        <f t="shared" si="288"/>
        <v>1.5707963267948966</v>
      </c>
      <c r="AJ408" s="31" t="str">
        <f t="shared" si="272"/>
        <v>-901.395462812987+172.808813188903i</v>
      </c>
      <c r="AK408" s="31">
        <f t="shared" si="289"/>
        <v>917.81080092554828</v>
      </c>
      <c r="AL408" s="31">
        <f t="shared" si="290"/>
        <v>2.952178356718143</v>
      </c>
      <c r="AM408" s="31" t="str">
        <f t="shared" si="273"/>
        <v>1+657.702316613102i</v>
      </c>
      <c r="AN408" s="31">
        <f t="shared" si="291"/>
        <v>657.70307683501142</v>
      </c>
      <c r="AO408" s="31">
        <f t="shared" si="292"/>
        <v>1.5692758832687637</v>
      </c>
      <c r="AP408" s="31" t="str">
        <f t="shared" si="274"/>
        <v>1+109.800052856945i</v>
      </c>
      <c r="AQ408" s="31">
        <f t="shared" si="293"/>
        <v>109.80460649439037</v>
      </c>
      <c r="AR408" s="31">
        <f t="shared" si="294"/>
        <v>1.5616891148516854</v>
      </c>
      <c r="AS408" s="58" t="str">
        <f t="shared" si="295"/>
        <v>-0.254884620920324+1.41041325578665i</v>
      </c>
      <c r="AT408" s="49">
        <f t="shared" si="296"/>
        <v>3.1264943144464414</v>
      </c>
      <c r="AU408" s="61">
        <f t="shared" si="297"/>
        <v>100.24371998567106</v>
      </c>
      <c r="AV408" s="58" t="str">
        <f t="shared" si="275"/>
        <v>0.497151501169769-0.260244259262115i</v>
      </c>
      <c r="AW408" s="64">
        <f t="shared" si="298"/>
        <v>-5.0184569680374205</v>
      </c>
      <c r="AX408" s="49">
        <f t="shared" si="299"/>
        <v>-27.63074112413403</v>
      </c>
      <c r="AY408" s="310"/>
      <c r="BA408" s="31">
        <f t="shared" si="300"/>
        <v>0</v>
      </c>
      <c r="BB408" s="31">
        <f t="shared" si="301"/>
        <v>0</v>
      </c>
    </row>
    <row r="409" spans="14:54" x14ac:dyDescent="0.45">
      <c r="N409" s="10">
        <v>91</v>
      </c>
      <c r="O409" s="50">
        <f t="shared" si="264"/>
        <v>81283.051616410012</v>
      </c>
      <c r="P409" s="48" t="str">
        <f t="shared" si="265"/>
        <v>17.4002386318441</v>
      </c>
      <c r="Q409" s="17" t="str">
        <f t="shared" si="266"/>
        <v>1+43.7389424980458i</v>
      </c>
      <c r="R409" s="17">
        <f t="shared" si="276"/>
        <v>43.750372465241448</v>
      </c>
      <c r="S409" s="17">
        <f t="shared" si="277"/>
        <v>1.5479373878311424</v>
      </c>
      <c r="T409" s="17" t="str">
        <f t="shared" si="267"/>
        <v>1+0.153214942691684i</v>
      </c>
      <c r="U409" s="17">
        <f t="shared" si="278"/>
        <v>1.0116693227848792</v>
      </c>
      <c r="V409" s="17">
        <f t="shared" si="279"/>
        <v>0.15203265329618851</v>
      </c>
      <c r="W409" s="31" t="str">
        <f t="shared" si="268"/>
        <v>1-0.377999677207602i</v>
      </c>
      <c r="X409" s="17">
        <f t="shared" si="280"/>
        <v>1.0690574147205805</v>
      </c>
      <c r="Y409" s="17">
        <f t="shared" si="281"/>
        <v>-0.36139792722164243</v>
      </c>
      <c r="Z409" s="31" t="str">
        <f t="shared" si="269"/>
        <v>0.99400731566433+0.52865517537667i</v>
      </c>
      <c r="AA409" s="17">
        <f t="shared" si="282"/>
        <v>1.1258449440516862</v>
      </c>
      <c r="AB409" s="17">
        <f t="shared" si="283"/>
        <v>0.48879579864985362</v>
      </c>
      <c r="AC409" s="66" t="str">
        <f t="shared" si="284"/>
        <v>-0.238839976339368-0.298206746627782i</v>
      </c>
      <c r="AD409" s="64">
        <f t="shared" si="285"/>
        <v>-8.3573104244923773</v>
      </c>
      <c r="AE409" s="61">
        <f t="shared" si="286"/>
        <v>-128.69196215212168</v>
      </c>
      <c r="AF409" s="31" t="str">
        <f t="shared" si="270"/>
        <v>-9090.90909090909</v>
      </c>
      <c r="AG409" s="31" t="str">
        <f t="shared" si="271"/>
        <v>510716.475638947i</v>
      </c>
      <c r="AH409" s="31">
        <f t="shared" si="287"/>
        <v>510716.47563894698</v>
      </c>
      <c r="AI409" s="31">
        <f t="shared" si="288"/>
        <v>1.5707963267948966</v>
      </c>
      <c r="AJ409" s="31" t="str">
        <f t="shared" si="272"/>
        <v>-943.924050743082+176.834047540559i</v>
      </c>
      <c r="AK409" s="31">
        <f t="shared" si="289"/>
        <v>960.34519519847913</v>
      </c>
      <c r="AL409" s="31">
        <f t="shared" si="290"/>
        <v>2.9563999743038254</v>
      </c>
      <c r="AM409" s="31" t="str">
        <f t="shared" si="273"/>
        <v>1+673.022171597004i</v>
      </c>
      <c r="AN409" s="31">
        <f t="shared" si="291"/>
        <v>673.02291451416943</v>
      </c>
      <c r="AO409" s="31">
        <f t="shared" si="292"/>
        <v>1.5693104927372665</v>
      </c>
      <c r="AP409" s="31" t="str">
        <f t="shared" si="274"/>
        <v>1+112.357624640568i</v>
      </c>
      <c r="AQ409" s="31">
        <f t="shared" si="293"/>
        <v>112.36207462872326</v>
      </c>
      <c r="AR409" s="31">
        <f t="shared" si="294"/>
        <v>1.5618964092306433</v>
      </c>
      <c r="AS409" s="58" t="str">
        <f t="shared" si="295"/>
        <v>-0.243777847860711+1.38032113741065i</v>
      </c>
      <c r="AT409" s="49">
        <f t="shared" si="296"/>
        <v>2.9329935783314292</v>
      </c>
      <c r="AU409" s="61">
        <f t="shared" si="297"/>
        <v>100.0156991848007</v>
      </c>
      <c r="AV409" s="58" t="str">
        <f t="shared" si="275"/>
        <v>0.469844971103904-0.256979668889424i</v>
      </c>
      <c r="AW409" s="64">
        <f t="shared" si="298"/>
        <v>-5.4243168461609494</v>
      </c>
      <c r="AX409" s="49">
        <f t="shared" si="299"/>
        <v>-28.67626296732098</v>
      </c>
      <c r="AY409" s="310"/>
      <c r="BA409" s="31">
        <f t="shared" si="300"/>
        <v>0</v>
      </c>
      <c r="BB409" s="31">
        <f t="shared" si="301"/>
        <v>0</v>
      </c>
    </row>
    <row r="410" spans="14:54" x14ac:dyDescent="0.45">
      <c r="N410" s="10">
        <v>92</v>
      </c>
      <c r="O410" s="50">
        <f t="shared" si="264"/>
        <v>83176.377110267174</v>
      </c>
      <c r="P410" s="48" t="str">
        <f t="shared" si="265"/>
        <v>17.4002386318441</v>
      </c>
      <c r="Q410" s="17" t="str">
        <f t="shared" si="266"/>
        <v>1+44.7577533480212i</v>
      </c>
      <c r="R410" s="17">
        <f t="shared" si="276"/>
        <v>44.768923203069143</v>
      </c>
      <c r="S410" s="17">
        <f t="shared" si="277"/>
        <v>1.5484575457056995</v>
      </c>
      <c r="T410" s="17" t="str">
        <f t="shared" si="267"/>
        <v>1+0.156783777169098i</v>
      </c>
      <c r="U410" s="17">
        <f t="shared" si="278"/>
        <v>1.0122159615336095</v>
      </c>
      <c r="V410" s="17">
        <f t="shared" si="279"/>
        <v>0.15551775553201658</v>
      </c>
      <c r="W410" s="31" t="str">
        <f t="shared" si="268"/>
        <v>1-0.386804420770926i</v>
      </c>
      <c r="X410" s="17">
        <f t="shared" si="280"/>
        <v>1.072202247679015</v>
      </c>
      <c r="Y410" s="17">
        <f t="shared" si="281"/>
        <v>-0.36907937777551203</v>
      </c>
      <c r="Z410" s="31" t="str">
        <f t="shared" si="269"/>
        <v>0.993724889152663+0.5409691362959i</v>
      </c>
      <c r="AA410" s="17">
        <f t="shared" si="282"/>
        <v>1.1314312890079559</v>
      </c>
      <c r="AB410" s="17">
        <f t="shared" si="283"/>
        <v>0.4985222166851393</v>
      </c>
      <c r="AC410" s="66" t="str">
        <f t="shared" si="284"/>
        <v>-0.237241060490339-0.287597135529233i</v>
      </c>
      <c r="AD410" s="64">
        <f t="shared" si="285"/>
        <v>-8.5699946874988182</v>
      </c>
      <c r="AE410" s="61">
        <f t="shared" si="286"/>
        <v>-129.51948075420657</v>
      </c>
      <c r="AF410" s="31" t="str">
        <f t="shared" si="270"/>
        <v>-9090.90909090909</v>
      </c>
      <c r="AG410" s="31" t="str">
        <f t="shared" si="271"/>
        <v>522612.590563659i</v>
      </c>
      <c r="AH410" s="31">
        <f t="shared" si="287"/>
        <v>522612.59056365897</v>
      </c>
      <c r="AI410" s="31">
        <f t="shared" si="288"/>
        <v>1.5707963267948966</v>
      </c>
      <c r="AJ410" s="31" t="str">
        <f t="shared" si="272"/>
        <v>-988.45694927298+180.953041644895i</v>
      </c>
      <c r="AK410" s="31">
        <f t="shared" si="289"/>
        <v>1004.8836469196748</v>
      </c>
      <c r="AL410" s="31">
        <f t="shared" si="290"/>
        <v>2.9605313536686539</v>
      </c>
      <c r="AM410" s="31" t="str">
        <f t="shared" si="273"/>
        <v>1+688.698871844789i</v>
      </c>
      <c r="AN410" s="31">
        <f t="shared" si="291"/>
        <v>688.69959785111337</v>
      </c>
      <c r="AO410" s="31">
        <f t="shared" si="292"/>
        <v>1.5693443144015247</v>
      </c>
      <c r="AP410" s="31" t="str">
        <f t="shared" si="274"/>
        <v>1+114.974769924005i</v>
      </c>
      <c r="AQ410" s="31">
        <f t="shared" si="293"/>
        <v>114.97911862193885</v>
      </c>
      <c r="AR410" s="31">
        <f t="shared" si="294"/>
        <v>1.5620989857525671</v>
      </c>
      <c r="AS410" s="58" t="str">
        <f t="shared" si="295"/>
        <v>-0.233139829814526+1.350785168962i</v>
      </c>
      <c r="AT410" s="49">
        <f t="shared" si="296"/>
        <v>2.7392094469059174</v>
      </c>
      <c r="AU410" s="61">
        <f t="shared" si="297"/>
        <v>99.792533201981399</v>
      </c>
      <c r="AV410" s="58" t="str">
        <f t="shared" si="275"/>
        <v>0.443792285776578-0.253411358746736i</v>
      </c>
      <c r="AW410" s="64">
        <f t="shared" si="298"/>
        <v>-5.8307852405928955</v>
      </c>
      <c r="AX410" s="49">
        <f t="shared" si="299"/>
        <v>-29.726947552225152</v>
      </c>
      <c r="AY410" s="310"/>
      <c r="BA410" s="31">
        <f t="shared" si="300"/>
        <v>0</v>
      </c>
      <c r="BB410" s="31">
        <f t="shared" si="301"/>
        <v>0</v>
      </c>
    </row>
    <row r="411" spans="14:54" x14ac:dyDescent="0.45">
      <c r="N411" s="10">
        <v>93</v>
      </c>
      <c r="O411" s="50">
        <f t="shared" si="264"/>
        <v>85113.803820237721</v>
      </c>
      <c r="P411" s="48" t="str">
        <f t="shared" si="265"/>
        <v>17.4002386318441</v>
      </c>
      <c r="Q411" s="17" t="str">
        <f t="shared" si="266"/>
        <v>1+45.8002953512605i</v>
      </c>
      <c r="R411" s="17">
        <f t="shared" si="276"/>
        <v>45.811211010654304</v>
      </c>
      <c r="S411" s="17">
        <f t="shared" si="277"/>
        <v>1.5489658750243049</v>
      </c>
      <c r="T411" s="17" t="str">
        <f t="shared" si="267"/>
        <v>1+0.160435740480445i</v>
      </c>
      <c r="U411" s="17">
        <f t="shared" si="278"/>
        <v>1.0127880463470669</v>
      </c>
      <c r="V411" s="17">
        <f t="shared" si="279"/>
        <v>0.15908009724429631</v>
      </c>
      <c r="W411" s="31" t="str">
        <f t="shared" si="268"/>
        <v>1-0.395814253158105i</v>
      </c>
      <c r="X411" s="17">
        <f t="shared" si="280"/>
        <v>1.0754854359790784</v>
      </c>
      <c r="Y411" s="17">
        <f t="shared" si="281"/>
        <v>-0.37689277463597837</v>
      </c>
      <c r="Z411" s="31" t="str">
        <f t="shared" si="269"/>
        <v>0.993429152289569+0.553569926211766i</v>
      </c>
      <c r="AA411" s="17">
        <f t="shared" si="282"/>
        <v>1.1372515745537009</v>
      </c>
      <c r="AB411" s="17">
        <f t="shared" si="283"/>
        <v>0.50837819820296304</v>
      </c>
      <c r="AC411" s="66" t="str">
        <f t="shared" si="284"/>
        <v>-0.235570555080355-0.277216896409481i</v>
      </c>
      <c r="AD411" s="64">
        <f t="shared" si="285"/>
        <v>-8.7830002874990907</v>
      </c>
      <c r="AE411" s="61">
        <f t="shared" si="286"/>
        <v>-130.35687954116409</v>
      </c>
      <c r="AF411" s="31" t="str">
        <f t="shared" si="270"/>
        <v>-9090.90909090909</v>
      </c>
      <c r="AG411" s="31" t="str">
        <f t="shared" si="271"/>
        <v>534785.801601483i</v>
      </c>
      <c r="AH411" s="31">
        <f t="shared" si="287"/>
        <v>534785.80160148302</v>
      </c>
      <c r="AI411" s="31">
        <f t="shared" si="288"/>
        <v>1.5707963267948966</v>
      </c>
      <c r="AJ411" s="31" t="str">
        <f t="shared" si="272"/>
        <v>-1035.08861865109+185.167979447109i</v>
      </c>
      <c r="AK411" s="31">
        <f t="shared" si="289"/>
        <v>1051.5206270318936</v>
      </c>
      <c r="AL411" s="31">
        <f t="shared" si="290"/>
        <v>2.9645741736227906</v>
      </c>
      <c r="AM411" s="31" t="str">
        <f t="shared" si="273"/>
        <v>1+704.740729350434i</v>
      </c>
      <c r="AN411" s="31">
        <f t="shared" si="291"/>
        <v>704.74143883085355</v>
      </c>
      <c r="AO411" s="31">
        <f t="shared" si="292"/>
        <v>1.5693773661939223</v>
      </c>
      <c r="AP411" s="31" t="str">
        <f t="shared" si="274"/>
        <v>1+117.652876352326i</v>
      </c>
      <c r="AQ411" s="31">
        <f t="shared" si="293"/>
        <v>117.65712606542671</v>
      </c>
      <c r="AR411" s="31">
        <f t="shared" si="294"/>
        <v>1.5622969517596661</v>
      </c>
      <c r="AS411" s="58" t="str">
        <f t="shared" si="295"/>
        <v>-0.222952086184528+1.32180071114311i</v>
      </c>
      <c r="AT411" s="49">
        <f t="shared" si="296"/>
        <v>2.545153896514659</v>
      </c>
      <c r="AU411" s="61">
        <f t="shared" si="297"/>
        <v>99.574133026181627</v>
      </c>
      <c r="AV411" s="58" t="str">
        <f t="shared" si="275"/>
        <v>0.41894643751375-0.249571241849496i</v>
      </c>
      <c r="AW411" s="64">
        <f t="shared" si="298"/>
        <v>-6.2378463909844397</v>
      </c>
      <c r="AX411" s="49">
        <f t="shared" si="299"/>
        <v>-30.782746514982438</v>
      </c>
      <c r="AY411" s="310"/>
      <c r="BA411" s="31">
        <f t="shared" si="300"/>
        <v>0</v>
      </c>
      <c r="BB411" s="31">
        <f t="shared" si="301"/>
        <v>0</v>
      </c>
    </row>
    <row r="412" spans="14:54" x14ac:dyDescent="0.45">
      <c r="N412" s="10">
        <v>94</v>
      </c>
      <c r="O412" s="50">
        <f t="shared" si="264"/>
        <v>87096.358995608127</v>
      </c>
      <c r="P412" s="48" t="str">
        <f t="shared" si="265"/>
        <v>17.4002386318441</v>
      </c>
      <c r="Q412" s="17" t="str">
        <f t="shared" si="266"/>
        <v>1+46.8671212773337i</v>
      </c>
      <c r="R412" s="17">
        <f t="shared" si="276"/>
        <v>46.877788523183398</v>
      </c>
      <c r="S412" s="17">
        <f t="shared" si="277"/>
        <v>1.5494626442584771</v>
      </c>
      <c r="T412" s="17" t="str">
        <f t="shared" si="267"/>
        <v>1+0.164172768945013i</v>
      </c>
      <c r="U412" s="17">
        <f t="shared" si="278"/>
        <v>1.0133867465400721</v>
      </c>
      <c r="V412" s="17">
        <f t="shared" si="279"/>
        <v>0.16272120539208551</v>
      </c>
      <c r="W412" s="31" t="str">
        <f t="shared" si="268"/>
        <v>1-0.405033951501529i</v>
      </c>
      <c r="X412" s="17">
        <f t="shared" si="280"/>
        <v>1.0789126479326039</v>
      </c>
      <c r="Y412" s="17">
        <f t="shared" si="281"/>
        <v>-0.38483844353150398</v>
      </c>
      <c r="Z412" s="31" t="str">
        <f t="shared" si="269"/>
        <v>0.993119477777513+0.566464226229875i</v>
      </c>
      <c r="AA412" s="17">
        <f t="shared" si="282"/>
        <v>1.1433144872428107</v>
      </c>
      <c r="AB412" s="17">
        <f t="shared" si="283"/>
        <v>0.51836193475348435</v>
      </c>
      <c r="AC412" s="66" t="str">
        <f t="shared" si="284"/>
        <v>-0.233829469698315-0.267063615936697i</v>
      </c>
      <c r="AD412" s="64">
        <f t="shared" si="285"/>
        <v>-8.9963222659803161</v>
      </c>
      <c r="AE412" s="61">
        <f t="shared" si="286"/>
        <v>-131.20400145329236</v>
      </c>
      <c r="AF412" s="31" t="str">
        <f t="shared" si="270"/>
        <v>-9090.90909090909</v>
      </c>
      <c r="AG412" s="31" t="str">
        <f t="shared" si="271"/>
        <v>547242.563150044i</v>
      </c>
      <c r="AH412" s="31">
        <f t="shared" si="287"/>
        <v>547242.56315004395</v>
      </c>
      <c r="AI412" s="31">
        <f t="shared" si="288"/>
        <v>1.5707963267948966</v>
      </c>
      <c r="AJ412" s="31" t="str">
        <f t="shared" si="272"/>
        <v>-1083.91797090018+189.481095763013i</v>
      </c>
      <c r="AK412" s="31">
        <f t="shared" si="289"/>
        <v>1100.3550578299335</v>
      </c>
      <c r="AL412" s="31">
        <f t="shared" si="290"/>
        <v>2.9685300981606142</v>
      </c>
      <c r="AM412" s="31" t="str">
        <f t="shared" si="273"/>
        <v>1+721.156249719128i</v>
      </c>
      <c r="AN412" s="31">
        <f t="shared" si="291"/>
        <v>721.15694304981719</v>
      </c>
      <c r="AO412" s="31">
        <f t="shared" si="292"/>
        <v>1.5694096656386682</v>
      </c>
      <c r="AP412" s="31" t="str">
        <f t="shared" si="274"/>
        <v>1+120.39336389301i</v>
      </c>
      <c r="AQ412" s="31">
        <f t="shared" si="293"/>
        <v>120.397516874206</v>
      </c>
      <c r="AR412" s="31">
        <f t="shared" si="294"/>
        <v>1.5624904121540348</v>
      </c>
      <c r="AS412" s="58" t="str">
        <f t="shared" si="295"/>
        <v>-0.213196753080906+1.29336275481789i</v>
      </c>
      <c r="AT412" s="49">
        <f t="shared" si="296"/>
        <v>2.3508384299863025</v>
      </c>
      <c r="AU412" s="61">
        <f t="shared" si="297"/>
        <v>99.360410332056858</v>
      </c>
      <c r="AV412" s="58" t="str">
        <f t="shared" si="275"/>
        <v>0.395261817733824-0.245489231302869i</v>
      </c>
      <c r="AW412" s="64">
        <f t="shared" si="298"/>
        <v>-6.6454838359940194</v>
      </c>
      <c r="AX412" s="49">
        <f t="shared" si="299"/>
        <v>-31.843591121235512</v>
      </c>
      <c r="AY412" s="310"/>
      <c r="BA412" s="31">
        <f t="shared" si="300"/>
        <v>0</v>
      </c>
      <c r="BB412" s="31">
        <f t="shared" si="301"/>
        <v>0</v>
      </c>
    </row>
    <row r="413" spans="14:54" x14ac:dyDescent="0.45">
      <c r="N413" s="10">
        <v>95</v>
      </c>
      <c r="O413" s="50">
        <f t="shared" si="264"/>
        <v>89125.093813374609</v>
      </c>
      <c r="P413" s="48" t="str">
        <f t="shared" si="265"/>
        <v>17.4002386318441</v>
      </c>
      <c r="Q413" s="17" t="str">
        <f t="shared" si="266"/>
        <v>1+47.9587967714678i</v>
      </c>
      <c r="R413" s="17">
        <f t="shared" si="276"/>
        <v>47.969221254539363</v>
      </c>
      <c r="S413" s="17">
        <f t="shared" si="277"/>
        <v>1.5499481158205366</v>
      </c>
      <c r="T413" s="17" t="str">
        <f t="shared" si="267"/>
        <v>1+0.16799684398476i</v>
      </c>
      <c r="U413" s="17">
        <f t="shared" si="278"/>
        <v>1.0140132837339162</v>
      </c>
      <c r="V413" s="17">
        <f t="shared" si="279"/>
        <v>0.16644262416204061</v>
      </c>
      <c r="W413" s="31" t="str">
        <f t="shared" si="268"/>
        <v>1-0.414468404207298i</v>
      </c>
      <c r="X413" s="17">
        <f t="shared" si="280"/>
        <v>1.082489749644838</v>
      </c>
      <c r="Y413" s="17">
        <f t="shared" si="281"/>
        <v>-0.39291658321001455</v>
      </c>
      <c r="Z413" s="31" t="str">
        <f t="shared" si="269"/>
        <v>0.992795208755335+0.579658873078771i</v>
      </c>
      <c r="AA413" s="17">
        <f t="shared" si="282"/>
        <v>1.1496289556489521</v>
      </c>
      <c r="AB413" s="17">
        <f t="shared" si="283"/>
        <v>0.52847141505006789</v>
      </c>
      <c r="AC413" s="66" t="str">
        <f t="shared" si="284"/>
        <v>-0.23201889953324-0.257135022356462i</v>
      </c>
      <c r="AD413" s="64">
        <f t="shared" si="285"/>
        <v>-9.2099544111339675</v>
      </c>
      <c r="AE413" s="61">
        <f t="shared" si="286"/>
        <v>-132.06066919951368</v>
      </c>
      <c r="AF413" s="31" t="str">
        <f t="shared" si="270"/>
        <v>-9090.90909090909</v>
      </c>
      <c r="AG413" s="31" t="str">
        <f t="shared" si="271"/>
        <v>559989.479949198i</v>
      </c>
      <c r="AH413" s="31">
        <f t="shared" si="287"/>
        <v>559989.47994919796</v>
      </c>
      <c r="AI413" s="31">
        <f t="shared" si="288"/>
        <v>1.5707963267948966</v>
      </c>
      <c r="AJ413" s="31" t="str">
        <f t="shared" si="272"/>
        <v>-1135.04857962303+193.89467746397i</v>
      </c>
      <c r="AK413" s="31">
        <f t="shared" si="289"/>
        <v>1151.4905227804159</v>
      </c>
      <c r="AL413" s="31">
        <f t="shared" si="290"/>
        <v>2.9724007754069723</v>
      </c>
      <c r="AM413" s="31" t="str">
        <f t="shared" si="273"/>
        <v>1+737.954136677053i</v>
      </c>
      <c r="AN413" s="31">
        <f t="shared" si="291"/>
        <v>737.95481422562375</v>
      </c>
      <c r="AO413" s="31">
        <f t="shared" si="292"/>
        <v>1.5694412298610858</v>
      </c>
      <c r="AP413" s="31" t="str">
        <f t="shared" si="274"/>
        <v>1+123.197685588823i</v>
      </c>
      <c r="AQ413" s="31">
        <f t="shared" si="293"/>
        <v>123.20174403977602</v>
      </c>
      <c r="AR413" s="31">
        <f t="shared" si="294"/>
        <v>1.5626794694529769</v>
      </c>
      <c r="AS413" s="58" t="str">
        <f t="shared" si="295"/>
        <v>-0.203856572623935+1.265465955089i</v>
      </c>
      <c r="AT413" s="49">
        <f t="shared" si="296"/>
        <v>2.1562740925531036</v>
      </c>
      <c r="AU413" s="61">
        <f t="shared" si="297"/>
        <v>99.151277544026939</v>
      </c>
      <c r="AV413" s="58" t="str">
        <f t="shared" si="275"/>
        <v>0.372694194295975-0.241193353937363i</v>
      </c>
      <c r="AW413" s="64">
        <f t="shared" si="298"/>
        <v>-7.0536803185808639</v>
      </c>
      <c r="AX413" s="49">
        <f t="shared" si="299"/>
        <v>-32.909391655486736</v>
      </c>
      <c r="AY413" s="310"/>
      <c r="BA413" s="31">
        <f t="shared" si="300"/>
        <v>0</v>
      </c>
      <c r="BB413" s="31">
        <f t="shared" si="301"/>
        <v>0</v>
      </c>
    </row>
    <row r="414" spans="14:54" x14ac:dyDescent="0.45">
      <c r="N414" s="10">
        <v>96</v>
      </c>
      <c r="O414" s="50">
        <f t="shared" si="264"/>
        <v>91201.083935591028</v>
      </c>
      <c r="P414" s="48" t="str">
        <f t="shared" si="265"/>
        <v>17.4002386318441</v>
      </c>
      <c r="Q414" s="17" t="str">
        <f t="shared" si="266"/>
        <v>1+49.0759006544599i</v>
      </c>
      <c r="R414" s="17">
        <f t="shared" si="276"/>
        <v>49.086087897146754</v>
      </c>
      <c r="S414" s="17">
        <f t="shared" si="277"/>
        <v>1.550422546198069</v>
      </c>
      <c r="T414" s="17" t="str">
        <f t="shared" si="267"/>
        <v>1+0.171909993174888i</v>
      </c>
      <c r="U414" s="17">
        <f t="shared" si="278"/>
        <v>1.0146689340634167</v>
      </c>
      <c r="V414" s="17">
        <f t="shared" si="279"/>
        <v>0.17024591418918861</v>
      </c>
      <c r="W414" s="31" t="str">
        <f t="shared" si="268"/>
        <v>1-0.424122613547115i</v>
      </c>
      <c r="X414" s="17">
        <f t="shared" si="280"/>
        <v>1.0862228092440498</v>
      </c>
      <c r="Y414" s="17">
        <f t="shared" si="281"/>
        <v>-0.40112725856339754</v>
      </c>
      <c r="Z414" s="31" t="str">
        <f t="shared" si="269"/>
        <v>0.992455657404964+0.593160862734865i</v>
      </c>
      <c r="AA414" s="17">
        <f t="shared" si="282"/>
        <v>1.1562041519539221</v>
      </c>
      <c r="AB414" s="17">
        <f t="shared" si="283"/>
        <v>0.53870442205624292</v>
      </c>
      <c r="AC414" s="66" t="str">
        <f t="shared" si="284"/>
        <v>-0.230140032231327-0.247428976099643i</v>
      </c>
      <c r="AD414" s="64">
        <f t="shared" si="285"/>
        <v>-9.4238891788227583</v>
      </c>
      <c r="AE414" s="61">
        <f t="shared" si="286"/>
        <v>-132.92668474888191</v>
      </c>
      <c r="AF414" s="31" t="str">
        <f t="shared" si="270"/>
        <v>-9090.90909090909</v>
      </c>
      <c r="AG414" s="31" t="str">
        <f t="shared" si="271"/>
        <v>573033.310582958i</v>
      </c>
      <c r="AH414" s="31">
        <f t="shared" si="287"/>
        <v>573033.31058295805</v>
      </c>
      <c r="AI414" s="31">
        <f t="shared" si="288"/>
        <v>1.5707963267948966</v>
      </c>
      <c r="AJ414" s="31" t="str">
        <f t="shared" si="272"/>
        <v>-1188.58889969595+198.411064689417i</v>
      </c>
      <c r="AK414" s="31">
        <f t="shared" si="289"/>
        <v>1205.0354862291886</v>
      </c>
      <c r="AL414" s="31">
        <f t="shared" si="290"/>
        <v>2.9761878366629224</v>
      </c>
      <c r="AM414" s="31" t="str">
        <f t="shared" si="273"/>
        <v>1+755.143296686222i</v>
      </c>
      <c r="AN414" s="31">
        <f t="shared" si="291"/>
        <v>755.14395881191797</v>
      </c>
      <c r="AO414" s="31">
        <f t="shared" si="292"/>
        <v>1.569472075596692</v>
      </c>
      <c r="AP414" s="31" t="str">
        <f t="shared" si="274"/>
        <v>1+126.067328328251i</v>
      </c>
      <c r="AQ414" s="31">
        <f t="shared" si="293"/>
        <v>126.07129440052179</v>
      </c>
      <c r="AR414" s="31">
        <f t="shared" si="294"/>
        <v>1.5628642238430843</v>
      </c>
      <c r="AS414" s="58" t="str">
        <f t="shared" si="295"/>
        <v>-0.19491488145181+1.23810466348592i</v>
      </c>
      <c r="AT414" s="49">
        <f t="shared" si="296"/>
        <v>1.9614714874833932</v>
      </c>
      <c r="AU414" s="61">
        <f t="shared" si="297"/>
        <v>98.946647894569338</v>
      </c>
      <c r="AV414" s="58" t="str">
        <f t="shared" si="275"/>
        <v>0.351200686290199-0.236709857616201i</v>
      </c>
      <c r="AW414" s="64">
        <f t="shared" si="298"/>
        <v>-7.4624176913393692</v>
      </c>
      <c r="AX414" s="49">
        <f t="shared" si="299"/>
        <v>-33.980036854312551</v>
      </c>
      <c r="AY414" s="310"/>
      <c r="BA414" s="31">
        <f t="shared" si="300"/>
        <v>0</v>
      </c>
      <c r="BB414" s="31">
        <f t="shared" si="301"/>
        <v>0</v>
      </c>
    </row>
    <row r="415" spans="14:54" x14ac:dyDescent="0.45">
      <c r="N415" s="10">
        <v>97</v>
      </c>
      <c r="O415" s="50">
        <f t="shared" si="264"/>
        <v>93325.430079699145</v>
      </c>
      <c r="P415" s="48" t="str">
        <f t="shared" si="265"/>
        <v>17.4002386318441</v>
      </c>
      <c r="Q415" s="17" t="str">
        <f t="shared" si="266"/>
        <v>1+50.2190252295753i</v>
      </c>
      <c r="R415" s="17">
        <f t="shared" si="276"/>
        <v>50.228980628803534</v>
      </c>
      <c r="S415" s="17">
        <f t="shared" si="277"/>
        <v>1.5508861860855563</v>
      </c>
      <c r="T415" s="17" t="str">
        <f t="shared" si="267"/>
        <v>1+0.175914291318895i</v>
      </c>
      <c r="U415" s="17">
        <f t="shared" si="278"/>
        <v>1.0153550304648267</v>
      </c>
      <c r="V415" s="17">
        <f t="shared" si="279"/>
        <v>0.17413265169007633</v>
      </c>
      <c r="W415" s="31" t="str">
        <f t="shared" si="268"/>
        <v>1-0.434001698310561i</v>
      </c>
      <c r="X415" s="17">
        <f t="shared" si="280"/>
        <v>1.0901181010039469</v>
      </c>
      <c r="Y415" s="17">
        <f t="shared" si="281"/>
        <v>-0.40947039375596633</v>
      </c>
      <c r="Z415" s="31" t="str">
        <f t="shared" si="269"/>
        <v>0.992100103492462+0.606977354131794i</v>
      </c>
      <c r="AA415" s="17">
        <f t="shared" si="282"/>
        <v>1.1630494932626845</v>
      </c>
      <c r="AB415" s="17">
        <f t="shared" si="283"/>
        <v>0.54905853073988253</v>
      </c>
      <c r="AC415" s="66" t="str">
        <f t="shared" si="284"/>
        <v>-0.228194154243482-0.237943459827139i</v>
      </c>
      <c r="AD415" s="64">
        <f t="shared" si="285"/>
        <v>-9.6381176137907101</v>
      </c>
      <c r="AE415" s="61">
        <f t="shared" si="286"/>
        <v>-133.80182886540635</v>
      </c>
      <c r="AF415" s="31" t="str">
        <f t="shared" si="270"/>
        <v>-9090.90909090909</v>
      </c>
      <c r="AG415" s="31" t="str">
        <f t="shared" si="271"/>
        <v>586380.971062982i</v>
      </c>
      <c r="AH415" s="31">
        <f t="shared" si="287"/>
        <v>586380.97106298199</v>
      </c>
      <c r="AI415" s="31">
        <f t="shared" si="288"/>
        <v>1.5707963267948966</v>
      </c>
      <c r="AJ415" s="31" t="str">
        <f t="shared" si="272"/>
        <v>-1244.65249731609+203.032652087644i</v>
      </c>
      <c r="AK415" s="31">
        <f t="shared" si="289"/>
        <v>1261.1035234622577</v>
      </c>
      <c r="AL415" s="31">
        <f t="shared" si="290"/>
        <v>2.9798928955453472</v>
      </c>
      <c r="AM415" s="31" t="str">
        <f t="shared" si="273"/>
        <v>1+772.732843666797i</v>
      </c>
      <c r="AN415" s="31">
        <f t="shared" si="291"/>
        <v>772.73349072068459</v>
      </c>
      <c r="AO415" s="31">
        <f t="shared" si="292"/>
        <v>1.5695022192000692</v>
      </c>
      <c r="AP415" s="31" t="str">
        <f t="shared" si="274"/>
        <v>1+129.003813633856i</v>
      </c>
      <c r="AQ415" s="31">
        <f t="shared" si="293"/>
        <v>129.00768943004388</v>
      </c>
      <c r="AR415" s="31">
        <f t="shared" si="294"/>
        <v>1.5630447732330999</v>
      </c>
      <c r="AS415" s="58" t="str">
        <f t="shared" si="295"/>
        <v>-0.186355598555266+1.21127295832439i</v>
      </c>
      <c r="AT415" s="49">
        <f t="shared" si="296"/>
        <v>1.7664407914061706</v>
      </c>
      <c r="AU415" s="61">
        <f t="shared" si="297"/>
        <v>98.746435477053325</v>
      </c>
      <c r="AV415" s="58" t="str">
        <f t="shared" si="275"/>
        <v>0.330739736699616-0.232063312404437i</v>
      </c>
      <c r="AW415" s="64">
        <f t="shared" si="298"/>
        <v>-7.8716768223845444</v>
      </c>
      <c r="AX415" s="49">
        <f t="shared" si="299"/>
        <v>-35.055393388353025</v>
      </c>
      <c r="AY415" s="310"/>
      <c r="BA415" s="31">
        <f t="shared" si="300"/>
        <v>0</v>
      </c>
      <c r="BB415" s="31">
        <f t="shared" si="301"/>
        <v>0</v>
      </c>
    </row>
    <row r="416" spans="14:54" x14ac:dyDescent="0.45">
      <c r="N416" s="10">
        <v>98</v>
      </c>
      <c r="O416" s="50">
        <f t="shared" si="264"/>
        <v>95499.258602143804</v>
      </c>
      <c r="P416" s="48" t="str">
        <f t="shared" si="265"/>
        <v>17.4002386318441</v>
      </c>
      <c r="Q416" s="17" t="str">
        <f t="shared" si="266"/>
        <v>1+51.3887765965948i</v>
      </c>
      <c r="R416" s="17">
        <f t="shared" si="276"/>
        <v>51.398505426663235</v>
      </c>
      <c r="S416" s="17">
        <f t="shared" si="277"/>
        <v>1.5513392805132271</v>
      </c>
      <c r="T416" s="17" t="str">
        <f t="shared" si="267"/>
        <v>1+0.18001186154866i</v>
      </c>
      <c r="U416" s="17">
        <f t="shared" si="278"/>
        <v>1.0160729650464153</v>
      </c>
      <c r="V416" s="17">
        <f t="shared" si="279"/>
        <v>0.17810442750292263</v>
      </c>
      <c r="W416" s="31" t="str">
        <f t="shared" si="268"/>
        <v>1-0.444110896519144i</v>
      </c>
      <c r="X416" s="17">
        <f t="shared" si="280"/>
        <v>1.0941821093433386</v>
      </c>
      <c r="Y416" s="17">
        <f t="shared" si="281"/>
        <v>-0.41794576539188116</v>
      </c>
      <c r="Z416" s="31" t="str">
        <f t="shared" si="269"/>
        <v>0.991727792840309+0.62111567295618i</v>
      </c>
      <c r="AA416" s="17">
        <f t="shared" si="282"/>
        <v>1.1701746426425925</v>
      </c>
      <c r="AB416" s="17">
        <f t="shared" si="283"/>
        <v>0.55953110654703719</v>
      </c>
      <c r="AC416" s="66" t="str">
        <f t="shared" si="284"/>
        <v>-0.22618265659772-0.228676567934132i</v>
      </c>
      <c r="AD416" s="64">
        <f t="shared" si="285"/>
        <v>-9.8526292716491408</v>
      </c>
      <c r="AE416" s="61">
        <f t="shared" si="286"/>
        <v>-134.68586069150814</v>
      </c>
      <c r="AF416" s="31" t="str">
        <f t="shared" si="270"/>
        <v>-9090.90909090909</v>
      </c>
      <c r="AG416" s="31" t="str">
        <f t="shared" si="271"/>
        <v>600039.538495534i</v>
      </c>
      <c r="AH416" s="31">
        <f t="shared" si="287"/>
        <v>600039.53849553398</v>
      </c>
      <c r="AI416" s="31">
        <f t="shared" si="288"/>
        <v>1.5707963267948966</v>
      </c>
      <c r="AJ416" s="31" t="str">
        <f t="shared" si="272"/>
        <v>-1303.35829089057+207.761890085463i</v>
      </c>
      <c r="AK416" s="31">
        <f t="shared" si="289"/>
        <v>1319.813561608257</v>
      </c>
      <c r="AL416" s="31">
        <f t="shared" si="290"/>
        <v>2.9835175472150652</v>
      </c>
      <c r="AM416" s="31" t="str">
        <f t="shared" si="273"/>
        <v>1+790.732103829414i</v>
      </c>
      <c r="AN416" s="31">
        <f t="shared" si="291"/>
        <v>790.7327361545689</v>
      </c>
      <c r="AO416" s="31">
        <f t="shared" si="292"/>
        <v>1.5695316766535354</v>
      </c>
      <c r="AP416" s="31" t="str">
        <f t="shared" si="274"/>
        <v>1+132.008698469017i</v>
      </c>
      <c r="AQ416" s="31">
        <f t="shared" si="293"/>
        <v>132.01248604387334</v>
      </c>
      <c r="AR416" s="31">
        <f t="shared" si="294"/>
        <v>1.5632212133055883</v>
      </c>
      <c r="AS416" s="58" t="str">
        <f t="shared" si="295"/>
        <v>-0.178163212550542+1.18496467330066i</v>
      </c>
      <c r="AT416" s="49">
        <f t="shared" si="296"/>
        <v>1.5711917693133954</v>
      </c>
      <c r="AU416" s="61">
        <f t="shared" si="297"/>
        <v>98.550555293422818</v>
      </c>
      <c r="AV416" s="58" t="str">
        <f t="shared" si="275"/>
        <v>0.311271083336251-0.227276705803415i</v>
      </c>
      <c r="AW416" s="64">
        <f t="shared" si="298"/>
        <v>-8.2814375023357467</v>
      </c>
      <c r="AX416" s="49">
        <f t="shared" si="299"/>
        <v>-36.135305398085258</v>
      </c>
      <c r="AY416" s="310"/>
      <c r="BA416" s="31">
        <f t="shared" si="300"/>
        <v>0</v>
      </c>
      <c r="BB416" s="31">
        <f t="shared" si="301"/>
        <v>0</v>
      </c>
    </row>
    <row r="417" spans="14:54" x14ac:dyDescent="0.45">
      <c r="N417" s="10">
        <v>99</v>
      </c>
      <c r="O417" s="50">
        <f t="shared" si="264"/>
        <v>97723.722095581266</v>
      </c>
      <c r="P417" s="48" t="str">
        <f t="shared" si="265"/>
        <v>17.4002386318441</v>
      </c>
      <c r="Q417" s="17" t="str">
        <f t="shared" si="266"/>
        <v>1+52.5857749731766i</v>
      </c>
      <c r="R417" s="17">
        <f t="shared" si="276"/>
        <v>52.595282388533349</v>
      </c>
      <c r="S417" s="17">
        <f t="shared" si="277"/>
        <v>1.5517820689731752</v>
      </c>
      <c r="T417" s="17" t="str">
        <f t="shared" si="267"/>
        <v>1+0.184204876450157i</v>
      </c>
      <c r="U417" s="17">
        <f t="shared" si="278"/>
        <v>1.0168241915434633</v>
      </c>
      <c r="V417" s="17">
        <f t="shared" si="279"/>
        <v>0.18216284602923666</v>
      </c>
      <c r="W417" s="31" t="str">
        <f t="shared" si="268"/>
        <v>1-0.454455568203562i</v>
      </c>
      <c r="X417" s="17">
        <f t="shared" si="280"/>
        <v>1.0984215326873479</v>
      </c>
      <c r="Y417" s="17">
        <f t="shared" si="281"/>
        <v>-0.42655299575944355</v>
      </c>
      <c r="Z417" s="31" t="str">
        <f t="shared" si="269"/>
        <v>0.991337935727697+0.635583315531802i</v>
      </c>
      <c r="AA417" s="17">
        <f t="shared" si="282"/>
        <v>1.177589509886722</v>
      </c>
      <c r="AB417" s="17">
        <f t="shared" si="283"/>
        <v>0.57011930464546834</v>
      </c>
      <c r="AC417" s="66" t="str">
        <f t="shared" si="284"/>
        <v>-0.224107040030967-0.219626495544618i</v>
      </c>
      <c r="AD417" s="64">
        <f t="shared" si="285"/>
        <v>-10.067412142206676</v>
      </c>
      <c r="AE417" s="61">
        <f t="shared" si="286"/>
        <v>-135.5785173854714</v>
      </c>
      <c r="AF417" s="31" t="str">
        <f t="shared" si="270"/>
        <v>-9090.90909090909</v>
      </c>
      <c r="AG417" s="31" t="str">
        <f t="shared" si="271"/>
        <v>614016.254833857i</v>
      </c>
      <c r="AH417" s="31">
        <f t="shared" si="287"/>
        <v>614016.25483385695</v>
      </c>
      <c r="AI417" s="31">
        <f t="shared" si="288"/>
        <v>1.5707963267948966</v>
      </c>
      <c r="AJ417" s="31" t="str">
        <f t="shared" si="272"/>
        <v>-1364.8308032784+212.601286187459i</v>
      </c>
      <c r="AK417" s="31">
        <f t="shared" si="289"/>
        <v>1381.2901318934137</v>
      </c>
      <c r="AL417" s="31">
        <f t="shared" si="290"/>
        <v>2.9870633676882181</v>
      </c>
      <c r="AM417" s="31" t="str">
        <f t="shared" si="273"/>
        <v>1+809.150620620056i</v>
      </c>
      <c r="AN417" s="31">
        <f t="shared" si="291"/>
        <v>809.1512385517442</v>
      </c>
      <c r="AO417" s="31">
        <f t="shared" si="292"/>
        <v>1.5695604635756182</v>
      </c>
      <c r="AP417" s="31" t="str">
        <f t="shared" si="274"/>
        <v>1+135.083576063448i</v>
      </c>
      <c r="AQ417" s="31">
        <f t="shared" si="293"/>
        <v>135.08727742496455</v>
      </c>
      <c r="AR417" s="31">
        <f t="shared" si="294"/>
        <v>1.563393637567444</v>
      </c>
      <c r="AS417" s="58" t="str">
        <f t="shared" si="295"/>
        <v>-0.17032276849279+1.1591734243852i</v>
      </c>
      <c r="AT417" s="49">
        <f t="shared" si="296"/>
        <v>1.3757337892249122</v>
      </c>
      <c r="AU417" s="61">
        <f t="shared" si="297"/>
        <v>98.358923297030614</v>
      </c>
      <c r="AV417" s="58" t="str">
        <f t="shared" si="275"/>
        <v>0.292755728422975-0.222371532265998i</v>
      </c>
      <c r="AW417" s="64">
        <f t="shared" si="298"/>
        <v>-8.6916783529817607</v>
      </c>
      <c r="AX417" s="49">
        <f t="shared" si="299"/>
        <v>-37.219594088440687</v>
      </c>
      <c r="AY417" s="310"/>
      <c r="BA417" s="31">
        <f t="shared" si="300"/>
        <v>0</v>
      </c>
      <c r="BB417" s="31">
        <f t="shared" si="301"/>
        <v>0</v>
      </c>
    </row>
    <row r="418" spans="14:54" x14ac:dyDescent="0.45">
      <c r="N418" s="10">
        <v>100</v>
      </c>
      <c r="O418" s="50">
        <f t="shared" si="264"/>
        <v>100000</v>
      </c>
      <c r="P418" s="48" t="str">
        <f t="shared" si="265"/>
        <v>17.4002386318441</v>
      </c>
      <c r="Q418" s="17" t="str">
        <f t="shared" si="266"/>
        <v>1+53.8106550237043i</v>
      </c>
      <c r="R418" s="17">
        <f t="shared" si="276"/>
        <v>53.81994606166112</v>
      </c>
      <c r="S418" s="17">
        <f t="shared" si="277"/>
        <v>1.5522147855427941</v>
      </c>
      <c r="T418" s="17" t="str">
        <f t="shared" si="267"/>
        <v>1+0.188495559215388i</v>
      </c>
      <c r="U418" s="17">
        <f t="shared" si="278"/>
        <v>1.0176102278593322</v>
      </c>
      <c r="V418" s="17">
        <f t="shared" si="279"/>
        <v>0.18630952407116516</v>
      </c>
      <c r="W418" s="31" t="str">
        <f t="shared" si="268"/>
        <v>1-0.465041198245673i</v>
      </c>
      <c r="X418" s="17">
        <f t="shared" si="280"/>
        <v>1.1028432871744613</v>
      </c>
      <c r="Y418" s="17">
        <f t="shared" si="281"/>
        <v>-0.43529154619303922</v>
      </c>
      <c r="Z418" s="31" t="str">
        <f t="shared" si="269"/>
        <v>0.990929705215419+0.65038795279426i</v>
      </c>
      <c r="AA418" s="17">
        <f t="shared" si="282"/>
        <v>1.1853042520037738</v>
      </c>
      <c r="AB418" s="17">
        <f t="shared" si="283"/>
        <v>0.58082006998485269</v>
      </c>
      <c r="AC418" s="66" t="str">
        <f t="shared" si="284"/>
        <v>-0.221968919415832-0.210791527035284i</v>
      </c>
      <c r="AD418" s="64">
        <f t="shared" si="285"/>
        <v>-10.28245257474731</v>
      </c>
      <c r="AE418" s="61">
        <f t="shared" si="286"/>
        <v>-136.47951381824774</v>
      </c>
      <c r="AF418" s="31" t="str">
        <f t="shared" si="270"/>
        <v>-9090.90909090909</v>
      </c>
      <c r="AG418" s="31" t="str">
        <f t="shared" si="271"/>
        <v>628318.530717959i</v>
      </c>
      <c r="AH418" s="31">
        <f t="shared" si="287"/>
        <v>628318.53071795905</v>
      </c>
      <c r="AI418" s="31">
        <f t="shared" si="288"/>
        <v>1.5707963267948966</v>
      </c>
      <c r="AJ418" s="31" t="str">
        <f t="shared" si="272"/>
        <v>-1429.2004259201+217.553406305501i</v>
      </c>
      <c r="AK418" s="31">
        <f t="shared" si="289"/>
        <v>1445.6636337839179</v>
      </c>
      <c r="AL418" s="31">
        <f t="shared" si="290"/>
        <v>2.9905319132259147</v>
      </c>
      <c r="AM418" s="31" t="str">
        <f t="shared" si="273"/>
        <v>1+827.998159780126i</v>
      </c>
      <c r="AN418" s="31">
        <f t="shared" si="291"/>
        <v>827.99876364598219</v>
      </c>
      <c r="AO418" s="31">
        <f t="shared" si="292"/>
        <v>1.5695885952293334</v>
      </c>
      <c r="AP418" s="31" t="str">
        <f t="shared" si="274"/>
        <v>1+138.230076757951i</v>
      </c>
      <c r="AQ418" s="31">
        <f t="shared" si="293"/>
        <v>138.2336938684235</v>
      </c>
      <c r="AR418" s="31">
        <f t="shared" si="294"/>
        <v>1.5635621373992601</v>
      </c>
      <c r="AS418" s="58" t="str">
        <f t="shared" si="295"/>
        <v>-0.162819854323095+1.13389263508203i</v>
      </c>
      <c r="AT418" s="49">
        <f t="shared" si="296"/>
        <v>1.1800758365062805</v>
      </c>
      <c r="AU418" s="61">
        <f t="shared" si="297"/>
        <v>98.17145643091196</v>
      </c>
      <c r="AV418" s="58" t="str">
        <f t="shared" si="275"/>
        <v>0.275155907166544-0.217367877218301i</v>
      </c>
      <c r="AW418" s="64">
        <f t="shared" si="298"/>
        <v>-9.1023767382410199</v>
      </c>
      <c r="AX418" s="49">
        <f t="shared" si="299"/>
        <v>-38.308057387335765</v>
      </c>
      <c r="AY418" s="310"/>
      <c r="BA418" s="31">
        <f t="shared" si="300"/>
        <v>0</v>
      </c>
      <c r="BB418" s="31">
        <f t="shared" si="301"/>
        <v>0</v>
      </c>
    </row>
    <row r="419" spans="14:54" x14ac:dyDescent="0.45">
      <c r="N419" s="10">
        <v>1</v>
      </c>
      <c r="O419" s="50">
        <f>10^(5+(N419/100))</f>
        <v>102329.29922807543</v>
      </c>
      <c r="P419" s="48" t="str">
        <f t="shared" si="265"/>
        <v>17.4002386318441</v>
      </c>
      <c r="Q419" s="17" t="str">
        <f t="shared" si="266"/>
        <v>1+55.0640661957937i</v>
      </c>
      <c r="R419" s="17">
        <f t="shared" si="276"/>
        <v>55.073145779179448</v>
      </c>
      <c r="S419" s="17">
        <f t="shared" si="277"/>
        <v>1.5526376590055777</v>
      </c>
      <c r="T419" s="17" t="str">
        <f t="shared" si="267"/>
        <v>1+0.192886184821148i</v>
      </c>
      <c r="U419" s="17">
        <f t="shared" si="278"/>
        <v>1.0184326586941612</v>
      </c>
      <c r="V419" s="17">
        <f t="shared" si="279"/>
        <v>0.19054608955867008</v>
      </c>
      <c r="W419" s="31" t="str">
        <f t="shared" si="268"/>
        <v>1-0.475873399286642i</v>
      </c>
      <c r="X419" s="17">
        <f t="shared" si="280"/>
        <v>1.1074545101938154</v>
      </c>
      <c r="Y419" s="17">
        <f t="shared" si="281"/>
        <v>-0.4441607105962011</v>
      </c>
      <c r="Z419" s="31" t="str">
        <f t="shared" si="269"/>
        <v>0.990502235391829+0.665537434358192i</v>
      </c>
      <c r="AA419" s="17">
        <f t="shared" si="282"/>
        <v>1.1933292734397725</v>
      </c>
      <c r="AB419" s="17">
        <f t="shared" si="283"/>
        <v>0.59163013821669341</v>
      </c>
      <c r="AC419" s="66" t="str">
        <f t="shared" si="284"/>
        <v>-0.219770027420057-0.202170024136348i</v>
      </c>
      <c r="AD419" s="64">
        <f t="shared" si="285"/>
        <v>-10.497735205889235</v>
      </c>
      <c r="AE419" s="61">
        <f t="shared" si="286"/>
        <v>-137.38854233491023</v>
      </c>
      <c r="AF419" s="31" t="str">
        <f t="shared" si="270"/>
        <v>-9090.90909090909</v>
      </c>
      <c r="AG419" s="31" t="str">
        <f t="shared" si="271"/>
        <v>642953.949403827i</v>
      </c>
      <c r="AH419" s="31">
        <f t="shared" si="287"/>
        <v>642953.94940382696</v>
      </c>
      <c r="AI419" s="31">
        <f t="shared" si="288"/>
        <v>1.5707963267948966</v>
      </c>
      <c r="AJ419" s="31" t="str">
        <f t="shared" si="272"/>
        <v>-1496.60369541549+222.620876119227i</v>
      </c>
      <c r="AK419" s="31">
        <f t="shared" si="289"/>
        <v>1513.0706115761395</v>
      </c>
      <c r="AL419" s="31">
        <f t="shared" si="290"/>
        <v>2.9939247197973384</v>
      </c>
      <c r="AM419" s="31" t="str">
        <f t="shared" si="273"/>
        <v>1+847.284714524363i</v>
      </c>
      <c r="AN419" s="31">
        <f t="shared" si="291"/>
        <v>847.28530464456389</v>
      </c>
      <c r="AO419" s="31">
        <f t="shared" si="292"/>
        <v>1.569616086530278</v>
      </c>
      <c r="AP419" s="31" t="str">
        <f t="shared" si="274"/>
        <v>1+141.449868868842i</v>
      </c>
      <c r="AQ419" s="31">
        <f t="shared" si="293"/>
        <v>141.45340364590948</v>
      </c>
      <c r="AR419" s="31">
        <f t="shared" si="294"/>
        <v>1.5637268021035828</v>
      </c>
      <c r="AS419" s="58" t="str">
        <f t="shared" si="295"/>
        <v>-0.155640587033794+1.10911556012014i</v>
      </c>
      <c r="AT419" s="49">
        <f t="shared" si="296"/>
        <v>0.98422652783032849</v>
      </c>
      <c r="AU419" s="61">
        <f t="shared" si="297"/>
        <v>97.98807266177505</v>
      </c>
      <c r="AV419" s="58" t="str">
        <f t="shared" si="275"/>
        <v>0.258435055639578-0.212284495822398i</v>
      </c>
      <c r="AW419" s="64">
        <f t="shared" si="298"/>
        <v>-9.5135086780589084</v>
      </c>
      <c r="AX419" s="49">
        <f t="shared" si="299"/>
        <v>-39.400469673135305</v>
      </c>
      <c r="AY419" s="310"/>
      <c r="BA419" s="31">
        <f t="shared" si="300"/>
        <v>0</v>
      </c>
      <c r="BB419" s="31">
        <f t="shared" si="301"/>
        <v>0</v>
      </c>
    </row>
    <row r="420" spans="14:54" x14ac:dyDescent="0.45">
      <c r="N420" s="10">
        <v>2</v>
      </c>
      <c r="O420" s="50">
        <f t="shared" ref="O420:O483" si="302">10^(5+(N420/100))</f>
        <v>104712.85480508996</v>
      </c>
      <c r="P420" s="48" t="str">
        <f t="shared" si="265"/>
        <v>17.4002386318441</v>
      </c>
      <c r="Q420" s="17" t="str">
        <f t="shared" si="266"/>
        <v>1+56.3466730646393i</v>
      </c>
      <c r="R420" s="17">
        <f t="shared" si="276"/>
        <v>56.355546004393815</v>
      </c>
      <c r="S420" s="17">
        <f t="shared" si="277"/>
        <v>1.5530509129693337</v>
      </c>
      <c r="T420" s="17" t="str">
        <f t="shared" si="267"/>
        <v>1+0.197379081235251i</v>
      </c>
      <c r="U420" s="17">
        <f t="shared" si="278"/>
        <v>1.0192931382626256</v>
      </c>
      <c r="V420" s="17">
        <f t="shared" si="279"/>
        <v>0.19487418016047944</v>
      </c>
      <c r="W420" s="31" t="str">
        <f t="shared" si="268"/>
        <v>1-0.486957914702842i</v>
      </c>
      <c r="X420" s="17">
        <f t="shared" si="280"/>
        <v>1.1122625637374211</v>
      </c>
      <c r="Y420" s="17">
        <f t="shared" si="281"/>
        <v>-0.45315960917190706</v>
      </c>
      <c r="Z420" s="31" t="str">
        <f t="shared" si="269"/>
        <v>0.990054619536116+0.681039792679251i</v>
      </c>
      <c r="AA420" s="17">
        <f t="shared" si="282"/>
        <v>1.2016752260396319</v>
      </c>
      <c r="AB420" s="17">
        <f t="shared" si="283"/>
        <v>0.60254603751245317</v>
      </c>
      <c r="AC420" s="66" t="str">
        <f t="shared" si="284"/>
        <v>-0.217512217339654-0.193760413665385i</v>
      </c>
      <c r="AD420" s="64">
        <f t="shared" si="285"/>
        <v>-10.713242890682801</v>
      </c>
      <c r="AE420" s="61">
        <f t="shared" si="286"/>
        <v>-138.30527258595768</v>
      </c>
      <c r="AF420" s="31" t="str">
        <f t="shared" si="270"/>
        <v>-9090.90909090909</v>
      </c>
      <c r="AG420" s="31" t="str">
        <f t="shared" si="271"/>
        <v>657930.270784171i</v>
      </c>
      <c r="AH420" s="31">
        <f t="shared" si="287"/>
        <v>657930.27078417095</v>
      </c>
      <c r="AI420" s="31">
        <f t="shared" si="288"/>
        <v>1.5707963267948966</v>
      </c>
      <c r="AJ420" s="31" t="str">
        <f t="shared" si="272"/>
        <v>-1567.18358313609+227.806382468207i</v>
      </c>
      <c r="AK420" s="31">
        <f t="shared" si="289"/>
        <v>1583.6540440211445</v>
      </c>
      <c r="AL420" s="31">
        <f t="shared" si="290"/>
        <v>2.9972433026116918</v>
      </c>
      <c r="AM420" s="31" t="str">
        <f t="shared" si="273"/>
        <v>1+867.02051083938i</v>
      </c>
      <c r="AN420" s="31">
        <f t="shared" si="291"/>
        <v>867.0210875268142</v>
      </c>
      <c r="AO420" s="31">
        <f t="shared" si="292"/>
        <v>1.5696429520545374</v>
      </c>
      <c r="AP420" s="31" t="str">
        <f t="shared" si="274"/>
        <v>1+144.744659572517i</v>
      </c>
      <c r="AQ420" s="31">
        <f t="shared" si="293"/>
        <v>144.74811389017765</v>
      </c>
      <c r="AR420" s="31">
        <f t="shared" si="294"/>
        <v>1.5638877189520795</v>
      </c>
      <c r="AS420" s="58" t="str">
        <f t="shared" si="295"/>
        <v>-0.148771598628882+1.08483530764369i</v>
      </c>
      <c r="AT420" s="49">
        <f t="shared" si="296"/>
        <v>0.78819412477620798</v>
      </c>
      <c r="AU420" s="61">
        <f t="shared" si="297"/>
        <v>97.808691009973884</v>
      </c>
      <c r="AV420" s="58" t="str">
        <f t="shared" si="275"/>
        <v>0.24255777826279-0.207138886721932i</v>
      </c>
      <c r="AW420" s="64">
        <f t="shared" si="298"/>
        <v>-9.9250487659065847</v>
      </c>
      <c r="AX420" s="49">
        <f t="shared" si="299"/>
        <v>-40.496581575983761</v>
      </c>
      <c r="AY420" s="310"/>
      <c r="BA420" s="31">
        <f t="shared" si="300"/>
        <v>0</v>
      </c>
      <c r="BB420" s="31">
        <f t="shared" si="301"/>
        <v>0</v>
      </c>
    </row>
    <row r="421" spans="14:54" x14ac:dyDescent="0.45">
      <c r="N421" s="10">
        <v>3</v>
      </c>
      <c r="O421" s="50">
        <f t="shared" si="302"/>
        <v>107151.93052376082</v>
      </c>
      <c r="P421" s="48" t="str">
        <f t="shared" si="265"/>
        <v>17.4002386318441</v>
      </c>
      <c r="Q421" s="17" t="str">
        <f t="shared" si="266"/>
        <v>1+57.6591556853802i</v>
      </c>
      <c r="R421" s="17">
        <f t="shared" si="276"/>
        <v>57.667826683090034</v>
      </c>
      <c r="S421" s="17">
        <f t="shared" si="277"/>
        <v>1.5534547659818596</v>
      </c>
      <c r="T421" s="17" t="str">
        <f t="shared" si="267"/>
        <v>1+0.201976630650847i</v>
      </c>
      <c r="U421" s="17">
        <f t="shared" si="278"/>
        <v>1.0201933931020475</v>
      </c>
      <c r="V421" s="17">
        <f t="shared" si="279"/>
        <v>0.1992954417726002</v>
      </c>
      <c r="W421" s="31" t="str">
        <f t="shared" si="268"/>
        <v>1-0.498300621651069i</v>
      </c>
      <c r="X421" s="17">
        <f t="shared" si="280"/>
        <v>1.1172750375524561</v>
      </c>
      <c r="Y421" s="17">
        <f t="shared" si="281"/>
        <v>-0.46228718240856759</v>
      </c>
      <c r="Z421" s="31" t="str">
        <f t="shared" si="269"/>
        <v>0.98958590819504+0.696903247313016i</v>
      </c>
      <c r="AA421" s="17">
        <f t="shared" si="282"/>
        <v>1.2103530087596879</v>
      </c>
      <c r="AB421" s="17">
        <f t="shared" si="283"/>
        <v>0.61356409131295975</v>
      </c>
      <c r="AC421" s="66" t="str">
        <f t="shared" si="284"/>
        <v>-0.215197465051171-0.185561174958555i</v>
      </c>
      <c r="AD421" s="64">
        <f t="shared" si="285"/>
        <v>-10.928956637623051</v>
      </c>
      <c r="AE421" s="61">
        <f t="shared" si="286"/>
        <v>-139.22935143349571</v>
      </c>
      <c r="AF421" s="31" t="str">
        <f t="shared" si="270"/>
        <v>-9090.90909090909</v>
      </c>
      <c r="AG421" s="31" t="str">
        <f t="shared" si="271"/>
        <v>673255.435502822i</v>
      </c>
      <c r="AH421" s="31">
        <f t="shared" si="287"/>
        <v>673255.43550282205</v>
      </c>
      <c r="AI421" s="31">
        <f t="shared" si="288"/>
        <v>1.5707963267948966</v>
      </c>
      <c r="AJ421" s="31" t="str">
        <f t="shared" si="272"/>
        <v>-1641.08979848655+233.112674776546i</v>
      </c>
      <c r="AK421" s="31">
        <f t="shared" si="289"/>
        <v>1657.563647597914</v>
      </c>
      <c r="AL421" s="31">
        <f t="shared" si="290"/>
        <v>3.000489155714567</v>
      </c>
      <c r="AM421" s="31" t="str">
        <f t="shared" si="273"/>
        <v>1+887.216012905619i</v>
      </c>
      <c r="AN421" s="31">
        <f t="shared" si="291"/>
        <v>887.21657646605286</v>
      </c>
      <c r="AO421" s="31">
        <f t="shared" si="292"/>
        <v>1.569669206046413</v>
      </c>
      <c r="AP421" s="31" t="str">
        <f t="shared" si="274"/>
        <v>1+148.116195810621i</v>
      </c>
      <c r="AQ421" s="31">
        <f t="shared" si="293"/>
        <v>148.11957150022488</v>
      </c>
      <c r="AR421" s="31">
        <f t="shared" si="294"/>
        <v>1.564044973231639</v>
      </c>
      <c r="AS421" s="58" t="str">
        <f t="shared" si="295"/>
        <v>-0.142200021948908+1.06104485996744i</v>
      </c>
      <c r="AT421" s="49">
        <f t="shared" si="296"/>
        <v>0.59198654706231668</v>
      </c>
      <c r="AU421" s="61">
        <f t="shared" si="297"/>
        <v>97.633231575718639</v>
      </c>
      <c r="AV421" s="58" t="str">
        <f t="shared" si="275"/>
        <v>0.227489815152919-0.201947361018596i</v>
      </c>
      <c r="AW421" s="64">
        <f t="shared" si="298"/>
        <v>-10.336970090560744</v>
      </c>
      <c r="AX421" s="49">
        <f t="shared" si="299"/>
        <v>-41.596119857777126</v>
      </c>
      <c r="AY421" s="310"/>
      <c r="BA421" s="31">
        <f t="shared" si="300"/>
        <v>0</v>
      </c>
      <c r="BB421" s="31">
        <f t="shared" si="301"/>
        <v>0</v>
      </c>
    </row>
    <row r="422" spans="14:54" x14ac:dyDescent="0.45">
      <c r="N422" s="10">
        <v>4</v>
      </c>
      <c r="O422" s="50">
        <f t="shared" si="302"/>
        <v>109647.81961431868</v>
      </c>
      <c r="P422" s="48" t="str">
        <f t="shared" si="265"/>
        <v>17.4002386318441</v>
      </c>
      <c r="Q422" s="17" t="str">
        <f t="shared" si="266"/>
        <v>1+59.0022099536746i</v>
      </c>
      <c r="R422" s="17">
        <f t="shared" si="276"/>
        <v>59.010683604051714</v>
      </c>
      <c r="S422" s="17">
        <f t="shared" si="277"/>
        <v>1.5538494316441274</v>
      </c>
      <c r="T422" s="17" t="str">
        <f t="shared" si="267"/>
        <v>1+0.20668127074949i</v>
      </c>
      <c r="U422" s="17">
        <f t="shared" si="278"/>
        <v>1.0211352249720034</v>
      </c>
      <c r="V422" s="17">
        <f t="shared" si="279"/>
        <v>0.20381152687807191</v>
      </c>
      <c r="W422" s="31" t="str">
        <f t="shared" si="268"/>
        <v>1-0.509907534184682i</v>
      </c>
      <c r="X422" s="17">
        <f t="shared" si="280"/>
        <v>1.1224997520793949</v>
      </c>
      <c r="Y422" s="17">
        <f t="shared" si="281"/>
        <v>-0.47154218537229386</v>
      </c>
      <c r="Z422" s="31" t="str">
        <f t="shared" si="269"/>
        <v>0.989095107169003+0.71313620927311i</v>
      </c>
      <c r="AA422" s="17">
        <f t="shared" si="282"/>
        <v>1.2193737671452844</v>
      </c>
      <c r="AB422" s="17">
        <f t="shared" si="283"/>
        <v>0.62468042203611118</v>
      </c>
      <c r="AC422" s="66" t="str">
        <f t="shared" si="284"/>
        <v>-0.212827870034168-0.177570827071598i</v>
      </c>
      <c r="AD422" s="64">
        <f t="shared" si="285"/>
        <v>-11.144855548264356</v>
      </c>
      <c r="AE422" s="61">
        <f t="shared" si="286"/>
        <v>-140.16040293710779</v>
      </c>
      <c r="AF422" s="31" t="str">
        <f t="shared" si="270"/>
        <v>-9090.90909090909</v>
      </c>
      <c r="AG422" s="31" t="str">
        <f t="shared" si="271"/>
        <v>688937.569164965i</v>
      </c>
      <c r="AH422" s="31">
        <f t="shared" si="287"/>
        <v>688937.56916496495</v>
      </c>
      <c r="AI422" s="31">
        <f t="shared" si="288"/>
        <v>1.5707963267948966</v>
      </c>
      <c r="AJ422" s="31" t="str">
        <f t="shared" si="272"/>
        <v>-1718.47910645842+238.542566510662i</v>
      </c>
      <c r="AK422" s="31">
        <f t="shared" si="289"/>
        <v>1734.9561940785777</v>
      </c>
      <c r="AL422" s="31">
        <f t="shared" si="290"/>
        <v>3.0036637516445417</v>
      </c>
      <c r="AM422" s="31" t="str">
        <f t="shared" si="273"/>
        <v>1+907.88192864559i</v>
      </c>
      <c r="AN422" s="31">
        <f t="shared" si="291"/>
        <v>907.88247937783024</v>
      </c>
      <c r="AO422" s="31">
        <f t="shared" si="292"/>
        <v>1.5696948624259739</v>
      </c>
      <c r="AP422" s="31" t="str">
        <f t="shared" si="274"/>
        <v>1+151.566265216292i</v>
      </c>
      <c r="AQ422" s="31">
        <f t="shared" si="293"/>
        <v>151.56956406751115</v>
      </c>
      <c r="AR422" s="31">
        <f t="shared" si="294"/>
        <v>1.5641986482894348</v>
      </c>
      <c r="AS422" s="58" t="str">
        <f t="shared" si="295"/>
        <v>-0.135913476422767+1.03773709296278i</v>
      </c>
      <c r="AT422" s="49">
        <f t="shared" si="296"/>
        <v>0.3956113854078866</v>
      </c>
      <c r="AU422" s="61">
        <f t="shared" si="297"/>
        <v>97.46161556176618</v>
      </c>
      <c r="AV422" s="58" t="str">
        <f t="shared" si="275"/>
        <v>0.213198009576273-0.196725106732151i</v>
      </c>
      <c r="AW422" s="64">
        <f t="shared" si="298"/>
        <v>-10.749244162856478</v>
      </c>
      <c r="AX422" s="49">
        <f t="shared" si="299"/>
        <v>-42.698787375341631</v>
      </c>
      <c r="AY422" s="310"/>
      <c r="BA422" s="31">
        <f t="shared" si="300"/>
        <v>0</v>
      </c>
      <c r="BB422" s="31">
        <f t="shared" si="301"/>
        <v>0</v>
      </c>
    </row>
    <row r="423" spans="14:54" x14ac:dyDescent="0.45">
      <c r="N423" s="10">
        <v>5</v>
      </c>
      <c r="O423" s="50">
        <f t="shared" si="302"/>
        <v>112201.84543019651</v>
      </c>
      <c r="P423" s="48" t="str">
        <f t="shared" si="265"/>
        <v>17.4002386318441</v>
      </c>
      <c r="Q423" s="17" t="str">
        <f t="shared" si="266"/>
        <v>1+60.3765479746729i</v>
      </c>
      <c r="R423" s="17">
        <f t="shared" si="276"/>
        <v>60.384828767977623</v>
      </c>
      <c r="S423" s="17">
        <f t="shared" si="277"/>
        <v>1.554235118721025</v>
      </c>
      <c r="T423" s="17" t="str">
        <f t="shared" si="267"/>
        <v>1+0.211495495993634i</v>
      </c>
      <c r="U423" s="17">
        <f t="shared" si="278"/>
        <v>1.0221205138463827</v>
      </c>
      <c r="V423" s="17">
        <f t="shared" si="279"/>
        <v>0.20842409277154059</v>
      </c>
      <c r="W423" s="31" t="str">
        <f t="shared" si="268"/>
        <v>1-0.521784806442344i</v>
      </c>
      <c r="X423" s="17">
        <f t="shared" si="280"/>
        <v>1.1279447611625644</v>
      </c>
      <c r="Y423" s="17">
        <f t="shared" si="281"/>
        <v>-0.48092318235787102</v>
      </c>
      <c r="Z423" s="31" t="str">
        <f t="shared" si="269"/>
        <v>0.988581175403228+0.729747285490835i</v>
      </c>
      <c r="AA423" s="17">
        <f t="shared" si="282"/>
        <v>1.2287488925906993</v>
      </c>
      <c r="AB423" s="17">
        <f t="shared" si="283"/>
        <v>0.63589095576306498</v>
      </c>
      <c r="AC423" s="66" t="str">
        <f t="shared" si="284"/>
        <v>-0.210405655421767-0.169787915830448i</v>
      </c>
      <c r="AD423" s="64">
        <f t="shared" si="285"/>
        <v>-11.360916762128493</v>
      </c>
      <c r="AE423" s="61">
        <f t="shared" si="286"/>
        <v>-141.09802842394703</v>
      </c>
      <c r="AF423" s="31" t="str">
        <f t="shared" si="270"/>
        <v>-9090.90909090909</v>
      </c>
      <c r="AG423" s="31" t="str">
        <f t="shared" si="271"/>
        <v>704984.986645446i</v>
      </c>
      <c r="AH423" s="31">
        <f t="shared" si="287"/>
        <v>704984.98664544604</v>
      </c>
      <c r="AI423" s="31">
        <f t="shared" si="288"/>
        <v>1.5707963267948966</v>
      </c>
      <c r="AJ423" s="31" t="str">
        <f t="shared" si="272"/>
        <v>-1799.51566014966+244.098936671026i</v>
      </c>
      <c r="AK423" s="31">
        <f t="shared" si="289"/>
        <v>1815.9958430590618</v>
      </c>
      <c r="AL423" s="31">
        <f t="shared" si="290"/>
        <v>3.0067685411459624</v>
      </c>
      <c r="AM423" s="31" t="str">
        <f t="shared" si="273"/>
        <v>1+929.029215401368i</v>
      </c>
      <c r="AN423" s="31">
        <f t="shared" si="291"/>
        <v>929.02975359741913</v>
      </c>
      <c r="AO423" s="31">
        <f t="shared" si="292"/>
        <v>1.5697199347964368</v>
      </c>
      <c r="AP423" s="31" t="str">
        <f t="shared" si="274"/>
        <v>1+155.096697061998i</v>
      </c>
      <c r="AQ423" s="31">
        <f t="shared" si="293"/>
        <v>155.09992082377468</v>
      </c>
      <c r="AR423" s="31">
        <f t="shared" si="294"/>
        <v>1.5643488255769658</v>
      </c>
      <c r="AS423" s="58" t="str">
        <f t="shared" si="295"/>
        <v>-0.129900053802437+1.01490479413946i</v>
      </c>
      <c r="AT423" s="49">
        <f t="shared" si="296"/>
        <v>0.19907591402499031</v>
      </c>
      <c r="AU423" s="61">
        <f t="shared" si="297"/>
        <v>97.293765292822457</v>
      </c>
      <c r="AV423" s="58" t="str">
        <f t="shared" si="275"/>
        <v>0.199650275722893-0.191486249000228i</v>
      </c>
      <c r="AW423" s="64">
        <f t="shared" si="298"/>
        <v>-11.161840848103504</v>
      </c>
      <c r="AX423" s="49">
        <f t="shared" si="299"/>
        <v>-43.80426313112465</v>
      </c>
      <c r="AY423" s="310"/>
      <c r="BA423" s="31">
        <f t="shared" si="300"/>
        <v>0</v>
      </c>
      <c r="BB423" s="31">
        <f t="shared" si="301"/>
        <v>0</v>
      </c>
    </row>
    <row r="424" spans="14:54" x14ac:dyDescent="0.45">
      <c r="N424" s="10">
        <v>6</v>
      </c>
      <c r="O424" s="50">
        <f t="shared" si="302"/>
        <v>114815.36214968823</v>
      </c>
      <c r="P424" s="48" t="str">
        <f t="shared" si="265"/>
        <v>17.4002386318441</v>
      </c>
      <c r="Q424" s="17" t="str">
        <f t="shared" si="266"/>
        <v>1+61.7828984405854i</v>
      </c>
      <c r="R424" s="17">
        <f t="shared" si="276"/>
        <v>61.79099076499493</v>
      </c>
      <c r="S424" s="17">
        <f t="shared" si="277"/>
        <v>1.5546120312497009</v>
      </c>
      <c r="T424" s="17" t="str">
        <f t="shared" si="267"/>
        <v>1+0.216421858949227i</v>
      </c>
      <c r="U424" s="17">
        <f t="shared" si="278"/>
        <v>1.0231512209986553</v>
      </c>
      <c r="V424" s="17">
        <f t="shared" si="279"/>
        <v>0.2131347996421368</v>
      </c>
      <c r="W424" s="31" t="str">
        <f t="shared" si="268"/>
        <v>1-0.533938735911019i</v>
      </c>
      <c r="X424" s="17">
        <f t="shared" si="280"/>
        <v>1.1336183545207166</v>
      </c>
      <c r="Y424" s="17">
        <f t="shared" si="281"/>
        <v>-0.49042854195225249</v>
      </c>
      <c r="Z424" s="31" t="str">
        <f t="shared" si="269"/>
        <v>0.988043022779534+0.746745283378673i</v>
      </c>
      <c r="AA424" s="17">
        <f t="shared" si="282"/>
        <v>1.2384900214017123</v>
      </c>
      <c r="AB424" s="17">
        <f t="shared" si="283"/>
        <v>0.6471914279156965</v>
      </c>
      <c r="AC424" s="66" t="str">
        <f t="shared" si="284"/>
        <v>-0.207933167045108-0.162211000818161i</v>
      </c>
      <c r="AD424" s="64">
        <f t="shared" si="285"/>
        <v>-11.577115407590806</v>
      </c>
      <c r="AE424" s="61">
        <f t="shared" si="286"/>
        <v>-142.04180664724043</v>
      </c>
      <c r="AF424" s="31" t="str">
        <f t="shared" si="270"/>
        <v>-9090.90909090909</v>
      </c>
      <c r="AG424" s="31" t="str">
        <f t="shared" si="271"/>
        <v>721406.196497424i</v>
      </c>
      <c r="AH424" s="31">
        <f t="shared" si="287"/>
        <v>721406.19649742404</v>
      </c>
      <c r="AI424" s="31">
        <f t="shared" si="288"/>
        <v>1.5707963267948966</v>
      </c>
      <c r="AJ424" s="31" t="str">
        <f t="shared" si="272"/>
        <v>-1884.37134895541+249.784731318644i</v>
      </c>
      <c r="AK424" s="31">
        <f t="shared" si="289"/>
        <v>1900.8544901606642</v>
      </c>
      <c r="AL424" s="31">
        <f t="shared" si="290"/>
        <v>3.0098049529341115</v>
      </c>
      <c r="AM424" s="31" t="str">
        <f t="shared" si="273"/>
        <v>1+950.669085744305i</v>
      </c>
      <c r="AN424" s="31">
        <f t="shared" si="291"/>
        <v>950.66961168952525</v>
      </c>
      <c r="AO424" s="31">
        <f t="shared" si="292"/>
        <v>1.5697444364513786</v>
      </c>
      <c r="AP424" s="31" t="str">
        <f t="shared" si="274"/>
        <v>1+158.709363229433i</v>
      </c>
      <c r="AQ424" s="31">
        <f t="shared" si="293"/>
        <v>158.71251361090623</v>
      </c>
      <c r="AR424" s="31">
        <f t="shared" si="294"/>
        <v>1.5644955846931066</v>
      </c>
      <c r="AS424" s="58" t="str">
        <f t="shared" si="295"/>
        <v>-0.124148303930638+0.992540679486271i</v>
      </c>
      <c r="AT424" s="49">
        <f t="shared" si="296"/>
        <v>2.3871027392586277E-3</v>
      </c>
      <c r="AU424" s="61">
        <f t="shared" si="297"/>
        <v>97.129604231876925</v>
      </c>
      <c r="AV424" s="58" t="str">
        <f t="shared" si="275"/>
        <v>0.186815566991782-0.186243906276218i</v>
      </c>
      <c r="AW424" s="64">
        <f t="shared" si="298"/>
        <v>-11.574728304851536</v>
      </c>
      <c r="AX424" s="49">
        <f t="shared" si="299"/>
        <v>-44.912202415363517</v>
      </c>
      <c r="AY424" s="310"/>
      <c r="BA424" s="31">
        <f t="shared" si="300"/>
        <v>0</v>
      </c>
      <c r="BB424" s="31">
        <f t="shared" si="301"/>
        <v>0</v>
      </c>
    </row>
    <row r="425" spans="14:54" x14ac:dyDescent="0.45">
      <c r="N425" s="10">
        <v>7</v>
      </c>
      <c r="O425" s="50">
        <f t="shared" si="302"/>
        <v>117489.75549395311</v>
      </c>
      <c r="P425" s="48" t="str">
        <f t="shared" si="265"/>
        <v>17.4002386318441</v>
      </c>
      <c r="Q425" s="17" t="str">
        <f t="shared" si="266"/>
        <v>1+63.2220070170447i</v>
      </c>
      <c r="R425" s="17">
        <f t="shared" si="276"/>
        <v>63.229915160968304</v>
      </c>
      <c r="S425" s="17">
        <f t="shared" si="277"/>
        <v>1.5549803686455583</v>
      </c>
      <c r="T425" s="17" t="str">
        <f t="shared" si="267"/>
        <v>1+0.221462971639119i</v>
      </c>
      <c r="U425" s="17">
        <f t="shared" si="278"/>
        <v>1.0242293921808869</v>
      </c>
      <c r="V425" s="17">
        <f t="shared" si="279"/>
        <v>0.21794530850812674</v>
      </c>
      <c r="W425" s="31" t="str">
        <f t="shared" si="268"/>
        <v>1-0.546375766764991i</v>
      </c>
      <c r="X425" s="17">
        <f t="shared" si="280"/>
        <v>1.1395290599664547</v>
      </c>
      <c r="Y425" s="17">
        <f t="shared" si="281"/>
        <v>-0.50005643256545873</v>
      </c>
      <c r="Z425" s="31" t="str">
        <f t="shared" si="269"/>
        <v>0.987479507804055+0.764139215500103i</v>
      </c>
      <c r="AA425" s="17">
        <f t="shared" si="282"/>
        <v>1.2486090336843041</v>
      </c>
      <c r="AB425" s="17">
        <f t="shared" si="283"/>
        <v>0.65857738993011239</v>
      </c>
      <c r="AC425" s="66" t="str">
        <f t="shared" si="284"/>
        <v>-0.205412871446519-0.154838642390755i</v>
      </c>
      <c r="AD425" s="64">
        <f t="shared" si="285"/>
        <v>-11.793424559416261</v>
      </c>
      <c r="AE425" s="61">
        <f t="shared" si="286"/>
        <v>-142.99129403700098</v>
      </c>
      <c r="AF425" s="31" t="str">
        <f t="shared" si="270"/>
        <v>-9090.90909090909</v>
      </c>
      <c r="AG425" s="31" t="str">
        <f t="shared" si="271"/>
        <v>738209.905463728i</v>
      </c>
      <c r="AH425" s="31">
        <f t="shared" si="287"/>
        <v>738209.90546372801</v>
      </c>
      <c r="AI425" s="31">
        <f t="shared" si="288"/>
        <v>1.5707963267948966</v>
      </c>
      <c r="AJ425" s="31" t="str">
        <f t="shared" si="272"/>
        <v>-1973.22616316845+255.6029651371i</v>
      </c>
      <c r="AK425" s="31">
        <f t="shared" si="289"/>
        <v>1989.7121316409969</v>
      </c>
      <c r="AL425" s="31">
        <f t="shared" si="290"/>
        <v>3.0127743935091096</v>
      </c>
      <c r="AM425" s="31" t="str">
        <f t="shared" si="273"/>
        <v>1+972.8130134201i</v>
      </c>
      <c r="AN425" s="31">
        <f t="shared" si="291"/>
        <v>972.81352739335182</v>
      </c>
      <c r="AO425" s="31">
        <f t="shared" si="292"/>
        <v>1.569768380381783</v>
      </c>
      <c r="AP425" s="31" t="str">
        <f t="shared" si="274"/>
        <v>1+162.40617920202i</v>
      </c>
      <c r="AQ425" s="31">
        <f t="shared" si="293"/>
        <v>162.40925787343107</v>
      </c>
      <c r="AR425" s="31">
        <f t="shared" si="294"/>
        <v>1.5646390034261812</v>
      </c>
      <c r="AS425" s="58" t="str">
        <f t="shared" si="295"/>
        <v>-0.118647220585904+0.970637409132756i</v>
      </c>
      <c r="AT425" s="49">
        <f t="shared" si="296"/>
        <v>-0.1944483712593309</v>
      </c>
      <c r="AU425" s="61">
        <f t="shared" si="297"/>
        <v>96.969056993680027</v>
      </c>
      <c r="AV425" s="58" t="str">
        <f t="shared" si="275"/>
        <v>0.174663844953495-0.181010242784411i</v>
      </c>
      <c r="AW425" s="64">
        <f t="shared" si="298"/>
        <v>-11.987872930675596</v>
      </c>
      <c r="AX425" s="49">
        <f t="shared" si="299"/>
        <v>-46.022237043320871</v>
      </c>
      <c r="AY425" s="310"/>
      <c r="BA425" s="31">
        <f t="shared" si="300"/>
        <v>0</v>
      </c>
      <c r="BB425" s="31">
        <f t="shared" si="301"/>
        <v>0</v>
      </c>
    </row>
    <row r="426" spans="14:54" x14ac:dyDescent="0.45">
      <c r="N426" s="10">
        <v>8</v>
      </c>
      <c r="O426" s="50">
        <f t="shared" si="302"/>
        <v>120226.44346174144</v>
      </c>
      <c r="P426" s="48" t="str">
        <f t="shared" si="265"/>
        <v>17.4002386318441</v>
      </c>
      <c r="Q426" s="17" t="str">
        <f t="shared" si="266"/>
        <v>1+64.6946367384665i</v>
      </c>
      <c r="R426" s="17">
        <f t="shared" si="276"/>
        <v>64.702364892808518</v>
      </c>
      <c r="S426" s="17">
        <f t="shared" si="277"/>
        <v>1.5553403258059448</v>
      </c>
      <c r="T426" s="17" t="str">
        <f t="shared" si="267"/>
        <v>1+0.226621506927981i</v>
      </c>
      <c r="U426" s="17">
        <f t="shared" si="278"/>
        <v>1.025357160896782</v>
      </c>
      <c r="V426" s="17">
        <f t="shared" si="279"/>
        <v>0.22285727899676497</v>
      </c>
      <c r="W426" s="31" t="str">
        <f t="shared" si="268"/>
        <v>1-0.559102493282639i</v>
      </c>
      <c r="X426" s="17">
        <f t="shared" si="280"/>
        <v>1.1456856453647586</v>
      </c>
      <c r="Y426" s="17">
        <f t="shared" si="281"/>
        <v>-0.50980481848422965</v>
      </c>
      <c r="Z426" s="31" t="str">
        <f t="shared" si="269"/>
        <v>0.986889435185978+0.781938304348168i</v>
      </c>
      <c r="AA426" s="17">
        <f t="shared" si="282"/>
        <v>1.2591180520858982</v>
      </c>
      <c r="AB426" s="17">
        <f t="shared" si="283"/>
        <v>0.6700442169225006</v>
      </c>
      <c r="AC426" s="66" t="str">
        <f t="shared" si="284"/>
        <v>-0.20284735284619-0.147669388819496i</v>
      </c>
      <c r="AD426" s="64">
        <f t="shared" si="285"/>
        <v>-12.009815203592174</v>
      </c>
      <c r="AE426" s="61">
        <f t="shared" si="286"/>
        <v>-143.94602504628577</v>
      </c>
      <c r="AF426" s="31" t="str">
        <f t="shared" si="270"/>
        <v>-9090.90909090909</v>
      </c>
      <c r="AG426" s="31" t="str">
        <f t="shared" si="271"/>
        <v>755405.023093271i</v>
      </c>
      <c r="AH426" s="31">
        <f t="shared" si="287"/>
        <v>755405.02309327095</v>
      </c>
      <c r="AI426" s="31">
        <f t="shared" si="288"/>
        <v>1.5707963267948966</v>
      </c>
      <c r="AJ426" s="31" t="str">
        <f t="shared" si="272"/>
        <v>-2066.26857576268+261.556723030976i</v>
      </c>
      <c r="AK426" s="31">
        <f t="shared" si="289"/>
        <v>2082.7572461876198</v>
      </c>
      <c r="AL426" s="31">
        <f t="shared" si="290"/>
        <v>3.0156782470151025</v>
      </c>
      <c r="AM426" s="31" t="str">
        <f t="shared" si="273"/>
        <v>1+995.472739432312i</v>
      </c>
      <c r="AN426" s="31">
        <f t="shared" si="291"/>
        <v>995.47324170611012</v>
      </c>
      <c r="AO426" s="31">
        <f t="shared" si="292"/>
        <v>1.5697917792829292</v>
      </c>
      <c r="AP426" s="31" t="str">
        <f t="shared" si="274"/>
        <v>1+166.189105080519i</v>
      </c>
      <c r="AQ426" s="31">
        <f t="shared" si="293"/>
        <v>166.19211367409642</v>
      </c>
      <c r="AR426" s="31">
        <f t="shared" si="294"/>
        <v>1.5647791577950869</v>
      </c>
      <c r="AS426" s="58" t="str">
        <f t="shared" si="295"/>
        <v>-0.113386227444405+0.949187601892578i</v>
      </c>
      <c r="AT426" s="49">
        <f t="shared" si="296"/>
        <v>-0.39142411203172378</v>
      </c>
      <c r="AU426" s="61">
        <f t="shared" si="297"/>
        <v>96.812049355561953</v>
      </c>
      <c r="AV426" s="58" t="str">
        <f t="shared" si="275"/>
        <v>0.163166049132834-0.175796517491069i</v>
      </c>
      <c r="AW426" s="64">
        <f t="shared" si="298"/>
        <v>-12.401239315623888</v>
      </c>
      <c r="AX426" s="49">
        <f t="shared" si="299"/>
        <v>-47.133975690723766</v>
      </c>
      <c r="AY426" s="310"/>
      <c r="BA426" s="31">
        <f t="shared" si="300"/>
        <v>0</v>
      </c>
      <c r="BB426" s="31">
        <f t="shared" si="301"/>
        <v>0</v>
      </c>
    </row>
    <row r="427" spans="14:54" x14ac:dyDescent="0.45">
      <c r="N427" s="10">
        <v>9</v>
      </c>
      <c r="O427" s="50">
        <f t="shared" si="302"/>
        <v>123026.87708123829</v>
      </c>
      <c r="P427" s="48" t="str">
        <f t="shared" si="265"/>
        <v>17.4002386318441</v>
      </c>
      <c r="Q427" s="17" t="str">
        <f t="shared" si="266"/>
        <v>1+66.2015684126218i</v>
      </c>
      <c r="R427" s="17">
        <f t="shared" si="276"/>
        <v>66.20912067299372</v>
      </c>
      <c r="S427" s="17">
        <f t="shared" si="277"/>
        <v>1.5556920932115823</v>
      </c>
      <c r="T427" s="17" t="str">
        <f t="shared" si="267"/>
        <v>1+0.231900199939508i</v>
      </c>
      <c r="U427" s="17">
        <f t="shared" si="278"/>
        <v>1.0265367517687731</v>
      </c>
      <c r="V427" s="17">
        <f t="shared" si="279"/>
        <v>0.22787236696286597</v>
      </c>
      <c r="W427" s="31" t="str">
        <f t="shared" si="268"/>
        <v>1-0.572125663342822i</v>
      </c>
      <c r="X427" s="17">
        <f t="shared" si="280"/>
        <v>1.1520971203225292</v>
      </c>
      <c r="Y427" s="17">
        <f t="shared" si="281"/>
        <v>-0.51967145650382218</v>
      </c>
      <c r="Z427" s="31" t="str">
        <f t="shared" si="269"/>
        <v>0.986271553302166+0.800151987235376i</v>
      </c>
      <c r="AA427" s="17">
        <f t="shared" si="282"/>
        <v>1.2700294404185237</v>
      </c>
      <c r="AB427" s="17">
        <f t="shared" si="283"/>
        <v>0.68158711633477909</v>
      </c>
      <c r="AC427" s="66" t="str">
        <f t="shared" si="284"/>
        <v>-0.200239309057942-0.140701763660869i</v>
      </c>
      <c r="AD427" s="64">
        <f t="shared" si="285"/>
        <v>-12.226256210070874</v>
      </c>
      <c r="AE427" s="61">
        <f t="shared" si="286"/>
        <v>-144.90551259582827</v>
      </c>
      <c r="AF427" s="31" t="str">
        <f t="shared" si="270"/>
        <v>-9090.90909090909</v>
      </c>
      <c r="AG427" s="31" t="str">
        <f t="shared" si="271"/>
        <v>773000.666465025i</v>
      </c>
      <c r="AH427" s="31">
        <f t="shared" si="287"/>
        <v>773000.66646502505</v>
      </c>
      <c r="AI427" s="31">
        <f t="shared" si="288"/>
        <v>1.5707963267948966</v>
      </c>
      <c r="AJ427" s="31" t="str">
        <f t="shared" si="272"/>
        <v>-2163.69594216962+267.649161761516i</v>
      </c>
      <c r="AK427" s="31">
        <f t="shared" si="289"/>
        <v>2180.1871947043728</v>
      </c>
      <c r="AL427" s="31">
        <f t="shared" si="290"/>
        <v>3.018517875141467</v>
      </c>
      <c r="AM427" s="31" t="str">
        <f t="shared" si="273"/>
        <v>1+1018.66027826761i</v>
      </c>
      <c r="AN427" s="31">
        <f t="shared" si="291"/>
        <v>1018.6607691082663</v>
      </c>
      <c r="AO427" s="31">
        <f t="shared" si="292"/>
        <v>1.5698146455611217</v>
      </c>
      <c r="AP427" s="31" t="str">
        <f t="shared" si="274"/>
        <v>1+170.060146622305i</v>
      </c>
      <c r="AQ427" s="31">
        <f t="shared" si="293"/>
        <v>170.06308673312935</v>
      </c>
      <c r="AR427" s="31">
        <f t="shared" si="294"/>
        <v>1.5649161220894878</v>
      </c>
      <c r="AS427" s="58" t="str">
        <f t="shared" si="295"/>
        <v>-0.1083551641931+0.928183848747082i</v>
      </c>
      <c r="AT427" s="49">
        <f t="shared" si="296"/>
        <v>-0.58853399386936267</v>
      </c>
      <c r="AU427" s="61">
        <f t="shared" si="297"/>
        <v>96.65850826578135</v>
      </c>
      <c r="AV427" s="58" t="str">
        <f t="shared" si="275"/>
        <v>0.152294067731134-0.170613129848125i</v>
      </c>
      <c r="AW427" s="64">
        <f t="shared" si="298"/>
        <v>-12.814790203940232</v>
      </c>
      <c r="AX427" s="49">
        <f t="shared" si="299"/>
        <v>-48.24700433004697</v>
      </c>
      <c r="AY427" s="310"/>
      <c r="BA427" s="31">
        <f t="shared" si="300"/>
        <v>0</v>
      </c>
      <c r="BB427" s="31">
        <f t="shared" si="301"/>
        <v>0</v>
      </c>
    </row>
    <row r="428" spans="14:54" x14ac:dyDescent="0.45">
      <c r="N428" s="10">
        <v>10</v>
      </c>
      <c r="O428" s="50">
        <f t="shared" si="302"/>
        <v>125892.54117941685</v>
      </c>
      <c r="P428" s="48" t="str">
        <f t="shared" si="265"/>
        <v>17.4002386318441</v>
      </c>
      <c r="Q428" s="17" t="str">
        <f t="shared" si="266"/>
        <v>1+67.7436010346308i</v>
      </c>
      <c r="R428" s="17">
        <f t="shared" si="276"/>
        <v>67.750981403513492</v>
      </c>
      <c r="S428" s="17">
        <f t="shared" si="277"/>
        <v>1.5560358570257835</v>
      </c>
      <c r="T428" s="17" t="str">
        <f t="shared" si="267"/>
        <v>1+0.237301849506604i</v>
      </c>
      <c r="U428" s="17">
        <f t="shared" si="278"/>
        <v>1.027770483998862</v>
      </c>
      <c r="V428" s="17">
        <f t="shared" si="279"/>
        <v>0.23299222193960489</v>
      </c>
      <c r="W428" s="31" t="str">
        <f t="shared" si="268"/>
        <v>1-0.585452182002687i</v>
      </c>
      <c r="X428" s="17">
        <f t="shared" si="280"/>
        <v>1.1587727376028949</v>
      </c>
      <c r="Y428" s="17">
        <f t="shared" si="281"/>
        <v>-0.52965389319266287</v>
      </c>
      <c r="Z428" s="31" t="str">
        <f t="shared" si="269"/>
        <v>0.985624551542303+0.81878992129748i</v>
      </c>
      <c r="AA428" s="17">
        <f t="shared" si="282"/>
        <v>1.2813558021959783</v>
      </c>
      <c r="AB428" s="17">
        <f t="shared" si="283"/>
        <v>0.69320113753829427</v>
      </c>
      <c r="AC428" s="66" t="str">
        <f t="shared" si="284"/>
        <v>-0.197591546361194-0.133934253457855i</v>
      </c>
      <c r="AD428" s="64">
        <f t="shared" si="285"/>
        <v>-12.442714313991011</v>
      </c>
      <c r="AE428" s="61">
        <f t="shared" si="286"/>
        <v>-145.86924861930893</v>
      </c>
      <c r="AF428" s="31" t="str">
        <f t="shared" si="270"/>
        <v>-9090.90909090909</v>
      </c>
      <c r="AG428" s="31" t="str">
        <f t="shared" si="271"/>
        <v>791006.165022013i</v>
      </c>
      <c r="AH428" s="31">
        <f t="shared" si="287"/>
        <v>791006.16502201301</v>
      </c>
      <c r="AI428" s="31">
        <f t="shared" si="288"/>
        <v>1.5707963267948966</v>
      </c>
      <c r="AJ428" s="31" t="str">
        <f t="shared" si="272"/>
        <v>-2265.71491889575+273.883511620377i</v>
      </c>
      <c r="AK428" s="31">
        <f t="shared" si="289"/>
        <v>2282.2086389382293</v>
      </c>
      <c r="AL428" s="31">
        <f t="shared" si="290"/>
        <v>3.0212946170629338</v>
      </c>
      <c r="AM428" s="31" t="str">
        <f t="shared" si="273"/>
        <v>1+1042.38792426601i</v>
      </c>
      <c r="AN428" s="31">
        <f t="shared" si="291"/>
        <v>1042.388403933774</v>
      </c>
      <c r="AO428" s="31">
        <f t="shared" si="292"/>
        <v>1.5698369913402679</v>
      </c>
      <c r="AP428" s="31" t="str">
        <f t="shared" si="274"/>
        <v>1+174.021356304843i</v>
      </c>
      <c r="AQ428" s="31">
        <f t="shared" si="293"/>
        <v>174.02422949169213</v>
      </c>
      <c r="AR428" s="31">
        <f t="shared" si="294"/>
        <v>1.5650499689090995</v>
      </c>
      <c r="AS428" s="58" t="str">
        <f t="shared" si="295"/>
        <v>-0.103544272824513+0.907618725326059i</v>
      </c>
      <c r="AT428" s="49">
        <f t="shared" si="296"/>
        <v>-0.78577215063266881</v>
      </c>
      <c r="AU428" s="61">
        <f t="shared" si="297"/>
        <v>96.508361849584261</v>
      </c>
      <c r="AV428" s="58" t="str">
        <f t="shared" si="275"/>
        <v>0.142020709385157-0.165469662562964i</v>
      </c>
      <c r="AW428" s="64">
        <f t="shared" si="298"/>
        <v>-13.228486464623675</v>
      </c>
      <c r="AX428" s="49">
        <f t="shared" si="299"/>
        <v>-49.360886769724573</v>
      </c>
      <c r="AY428" s="310"/>
      <c r="BA428" s="31">
        <f t="shared" si="300"/>
        <v>0</v>
      </c>
      <c r="BB428" s="31">
        <f t="shared" si="301"/>
        <v>0</v>
      </c>
    </row>
    <row r="429" spans="14:54" x14ac:dyDescent="0.45">
      <c r="N429" s="10">
        <v>11</v>
      </c>
      <c r="O429" s="50">
        <f t="shared" si="302"/>
        <v>128824.95516931375</v>
      </c>
      <c r="P429" s="48" t="str">
        <f t="shared" si="265"/>
        <v>17.4002386318441</v>
      </c>
      <c r="Q429" s="17" t="str">
        <f t="shared" si="266"/>
        <v>1+69.3215522106011i</v>
      </c>
      <c r="R429" s="17">
        <f t="shared" si="276"/>
        <v>69.328764599458239</v>
      </c>
      <c r="S429" s="17">
        <f t="shared" si="277"/>
        <v>1.5563717991914958</v>
      </c>
      <c r="T429" s="17" t="str">
        <f t="shared" si="267"/>
        <v>1+0.242829319655371i</v>
      </c>
      <c r="U429" s="17">
        <f t="shared" si="278"/>
        <v>1.0290607749225942</v>
      </c>
      <c r="V429" s="17">
        <f t="shared" si="279"/>
        <v>0.23821848441529064</v>
      </c>
      <c r="W429" s="31" t="str">
        <f t="shared" si="268"/>
        <v>1-0.599089115158828i</v>
      </c>
      <c r="X429" s="17">
        <f t="shared" si="280"/>
        <v>1.1657219942601182</v>
      </c>
      <c r="Y429" s="17">
        <f t="shared" si="281"/>
        <v>-0.53974946284336411</v>
      </c>
      <c r="Z429" s="31" t="str">
        <f t="shared" si="269"/>
        <v>0.984947057528911+0.837861988613823i</v>
      </c>
      <c r="AA429" s="17">
        <f t="shared" si="282"/>
        <v>1.2931099791196301</v>
      </c>
      <c r="AB429" s="17">
        <f t="shared" si="283"/>
        <v>0.70488118236460162</v>
      </c>
      <c r="AC429" s="66" t="str">
        <f t="shared" si="284"/>
        <v>-0.194906973348216-0.12736529587704i</v>
      </c>
      <c r="AD429" s="64">
        <f t="shared" si="285"/>
        <v>-12.659154105892348</v>
      </c>
      <c r="AE429" s="61">
        <f t="shared" si="286"/>
        <v>-146.83670471091693</v>
      </c>
      <c r="AF429" s="31" t="str">
        <f t="shared" si="270"/>
        <v>-9090.90909090909</v>
      </c>
      <c r="AG429" s="31" t="str">
        <f t="shared" si="271"/>
        <v>809431.065517901i</v>
      </c>
      <c r="AH429" s="31">
        <f t="shared" si="287"/>
        <v>809431.06551790098</v>
      </c>
      <c r="AI429" s="31">
        <f t="shared" si="288"/>
        <v>1.5707963267948966</v>
      </c>
      <c r="AJ429" s="31" t="str">
        <f t="shared" si="272"/>
        <v>-2372.54190186863+280.263078142377i</v>
      </c>
      <c r="AK429" s="31">
        <f t="shared" si="289"/>
        <v>2389.0379798346148</v>
      </c>
      <c r="AL429" s="31">
        <f t="shared" si="290"/>
        <v>3.0240097894156928</v>
      </c>
      <c r="AM429" s="31" t="str">
        <f t="shared" si="273"/>
        <v>1+1066.66825813949i</v>
      </c>
      <c r="AN429" s="31">
        <f t="shared" si="291"/>
        <v>1066.6687268886878</v>
      </c>
      <c r="AO429" s="31">
        <f t="shared" si="292"/>
        <v>1.5698588284683068</v>
      </c>
      <c r="AP429" s="31" t="str">
        <f t="shared" si="274"/>
        <v>1+178.074834413938i</v>
      </c>
      <c r="AQ429" s="31">
        <f t="shared" si="293"/>
        <v>178.0776422001129</v>
      </c>
      <c r="AR429" s="31">
        <f t="shared" si="294"/>
        <v>1.5651807692020832</v>
      </c>
      <c r="AS429" s="58" t="str">
        <f t="shared" si="295"/>
        <v>-0.0989441841393676+0.887484803440636i</v>
      </c>
      <c r="AT429" s="49">
        <f t="shared" si="296"/>
        <v>-0.98313296544371442</v>
      </c>
      <c r="AU429" s="61">
        <f t="shared" si="297"/>
        <v>96.361539413140932</v>
      </c>
      <c r="AV429" s="58" t="str">
        <f t="shared" si="275"/>
        <v>0.132319676037606-0.160374921642928i</v>
      </c>
      <c r="AW429" s="64">
        <f t="shared" si="298"/>
        <v>-13.642287071336055</v>
      </c>
      <c r="AX429" s="49">
        <f t="shared" si="299"/>
        <v>-50.47516529777603</v>
      </c>
      <c r="AY429" s="310"/>
      <c r="BA429" s="31">
        <f t="shared" si="300"/>
        <v>0</v>
      </c>
      <c r="BB429" s="31">
        <f t="shared" si="301"/>
        <v>0</v>
      </c>
    </row>
    <row r="430" spans="14:54" x14ac:dyDescent="0.45">
      <c r="N430" s="10">
        <v>12</v>
      </c>
      <c r="O430" s="50">
        <f t="shared" si="302"/>
        <v>131825.67385564081</v>
      </c>
      <c r="P430" s="48" t="str">
        <f t="shared" si="265"/>
        <v>17.4002386318441</v>
      </c>
      <c r="Q430" s="17" t="str">
        <f t="shared" si="266"/>
        <v>1+70.9362585911323i</v>
      </c>
      <c r="R430" s="17">
        <f t="shared" si="276"/>
        <v>70.943306822476146</v>
      </c>
      <c r="S430" s="17">
        <f t="shared" si="277"/>
        <v>1.5567000975262202</v>
      </c>
      <c r="T430" s="17" t="str">
        <f t="shared" si="267"/>
        <v>1+0.248485541123643i</v>
      </c>
      <c r="U430" s="17">
        <f t="shared" si="278"/>
        <v>1.0304101436551902</v>
      </c>
      <c r="V430" s="17">
        <f t="shared" si="279"/>
        <v>0.24355278292995031</v>
      </c>
      <c r="W430" s="31" t="str">
        <f t="shared" si="268"/>
        <v>1-0.613043693293705i</v>
      </c>
      <c r="X430" s="17">
        <f t="shared" si="280"/>
        <v>1.1729546324931694</v>
      </c>
      <c r="Y430" s="17">
        <f t="shared" si="281"/>
        <v>-0.54995528616161815</v>
      </c>
      <c r="Z430" s="31" t="str">
        <f t="shared" si="269"/>
        <v>0.984237634206355+0.85737830144694i</v>
      </c>
      <c r="AA430" s="17">
        <f t="shared" si="282"/>
        <v>1.3053050495497835</v>
      </c>
      <c r="AB430" s="17">
        <f t="shared" si="283"/>
        <v>0.71662201652300528</v>
      </c>
      <c r="AC430" s="66" t="str">
        <f t="shared" si="284"/>
        <v>-0.192188593778078-0.120993268385467i</v>
      </c>
      <c r="AD430" s="64">
        <f t="shared" si="285"/>
        <v>-12.875538031373976</v>
      </c>
      <c r="AE430" s="61">
        <f t="shared" si="286"/>
        <v>-147.80733287619691</v>
      </c>
      <c r="AF430" s="31" t="str">
        <f t="shared" si="270"/>
        <v>-9090.90909090909</v>
      </c>
      <c r="AG430" s="31" t="str">
        <f t="shared" si="271"/>
        <v>828285.13707881i</v>
      </c>
      <c r="AH430" s="31">
        <f t="shared" si="287"/>
        <v>828285.13707881002</v>
      </c>
      <c r="AI430" s="31">
        <f t="shared" si="288"/>
        <v>1.5707963267948966</v>
      </c>
      <c r="AJ430" s="31" t="str">
        <f t="shared" si="272"/>
        <v>-2484.40348544166+286.791243858127i</v>
      </c>
      <c r="AK430" s="31">
        <f t="shared" si="289"/>
        <v>2500.9018165510538</v>
      </c>
      <c r="AL430" s="31">
        <f t="shared" si="290"/>
        <v>3.0266646863067197</v>
      </c>
      <c r="AM430" s="31" t="str">
        <f t="shared" si="273"/>
        <v>1+1091.51415364246i</v>
      </c>
      <c r="AN430" s="31">
        <f t="shared" si="291"/>
        <v>1091.5146117216277</v>
      </c>
      <c r="AO430" s="31">
        <f t="shared" si="292"/>
        <v>1.5698801685234891</v>
      </c>
      <c r="AP430" s="31" t="str">
        <f t="shared" si="274"/>
        <v>1+182.222730157338i</v>
      </c>
      <c r="AQ430" s="31">
        <f t="shared" si="293"/>
        <v>182.22547403147021</v>
      </c>
      <c r="AR430" s="31">
        <f t="shared" si="294"/>
        <v>1.5653085923025725</v>
      </c>
      <c r="AS430" s="58" t="str">
        <f t="shared" si="295"/>
        <v>-0.0945459044797051+0.867774661721289i</v>
      </c>
      <c r="AT430" s="49">
        <f t="shared" si="296"/>
        <v>-1.1806110607270628</v>
      </c>
      <c r="AU430" s="61">
        <f t="shared" si="297"/>
        <v>96.217971445521513</v>
      </c>
      <c r="AV430" s="58" t="str">
        <f t="shared" si="275"/>
        <v>0.123165536973183-0.155336973957002i</v>
      </c>
      <c r="AW430" s="64">
        <f t="shared" si="298"/>
        <v>-14.056149092101041</v>
      </c>
      <c r="AX430" s="49">
        <f t="shared" si="299"/>
        <v>-51.589361430675325</v>
      </c>
      <c r="AY430" s="310"/>
      <c r="BA430" s="31">
        <f t="shared" si="300"/>
        <v>0</v>
      </c>
      <c r="BB430" s="31">
        <f t="shared" si="301"/>
        <v>0</v>
      </c>
    </row>
    <row r="431" spans="14:54" x14ac:dyDescent="0.45">
      <c r="N431" s="10">
        <v>13</v>
      </c>
      <c r="O431" s="50">
        <f t="shared" si="302"/>
        <v>134896.28825916545</v>
      </c>
      <c r="P431" s="48" t="str">
        <f t="shared" si="265"/>
        <v>17.4002386318441</v>
      </c>
      <c r="Q431" s="17" t="str">
        <f t="shared" si="266"/>
        <v>1+72.5885763149211i</v>
      </c>
      <c r="R431" s="17">
        <f t="shared" si="276"/>
        <v>72.595464124331656</v>
      </c>
      <c r="S431" s="17">
        <f t="shared" si="277"/>
        <v>1.5570209258148457</v>
      </c>
      <c r="T431" s="17" t="str">
        <f t="shared" si="267"/>
        <v>1+0.254273512914915i</v>
      </c>
      <c r="U431" s="17">
        <f t="shared" si="278"/>
        <v>1.031821214828466</v>
      </c>
      <c r="V431" s="17">
        <f t="shared" si="279"/>
        <v>0.24899673098590627</v>
      </c>
      <c r="W431" s="31" t="str">
        <f t="shared" si="268"/>
        <v>1-0.62732331530936i</v>
      </c>
      <c r="X431" s="17">
        <f t="shared" si="280"/>
        <v>1.1804806402185199</v>
      </c>
      <c r="Y431" s="17">
        <f t="shared" si="281"/>
        <v>-0.56026826974188471</v>
      </c>
      <c r="Z431" s="31" t="str">
        <f t="shared" si="269"/>
        <v>0.983494776792653+0.877349207604229i</v>
      </c>
      <c r="AA431" s="17">
        <f t="shared" si="282"/>
        <v>1.3179543270015841</v>
      </c>
      <c r="AB431" s="17">
        <f t="shared" si="283"/>
        <v>0.7284182818554048</v>
      </c>
      <c r="AC431" s="66" t="str">
        <f t="shared" si="284"/>
        <v>-0.18943949848106-0.114816477568817i</v>
      </c>
      <c r="AD431" s="64">
        <f t="shared" si="285"/>
        <v>-13.091826400574575</v>
      </c>
      <c r="AE431" s="61">
        <f t="shared" si="286"/>
        <v>-148.78056638648872</v>
      </c>
      <c r="AF431" s="31" t="str">
        <f t="shared" si="270"/>
        <v>-9090.90909090909</v>
      </c>
      <c r="AG431" s="31" t="str">
        <f t="shared" si="271"/>
        <v>847578.37638305i</v>
      </c>
      <c r="AH431" s="31">
        <f t="shared" si="287"/>
        <v>847578.37638305</v>
      </c>
      <c r="AI431" s="31">
        <f t="shared" si="288"/>
        <v>1.5707963267948966</v>
      </c>
      <c r="AJ431" s="31" t="str">
        <f t="shared" si="272"/>
        <v>-2601.53694303117+293.471470087502i</v>
      </c>
      <c r="AK431" s="31">
        <f t="shared" si="289"/>
        <v>2618.037427102845</v>
      </c>
      <c r="AL431" s="31">
        <f t="shared" si="290"/>
        <v>3.0292605793537102</v>
      </c>
      <c r="AM431" s="31" t="str">
        <f t="shared" si="273"/>
        <v>1+1116.93878439758i</v>
      </c>
      <c r="AN431" s="31">
        <f t="shared" si="291"/>
        <v>1116.9392320495972</v>
      </c>
      <c r="AO431" s="31">
        <f t="shared" si="292"/>
        <v>1.5699010228205166</v>
      </c>
      <c r="AP431" s="31" t="str">
        <f t="shared" si="274"/>
        <v>1+186.467242804271i</v>
      </c>
      <c r="AQ431" s="31">
        <f t="shared" si="293"/>
        <v>186.4699242211112</v>
      </c>
      <c r="AR431" s="31">
        <f t="shared" si="294"/>
        <v>1.5654335059673503</v>
      </c>
      <c r="AS431" s="58" t="str">
        <f t="shared" si="295"/>
        <v>-0.0903408027117332+0.84848089541181i</v>
      </c>
      <c r="AT431" s="49">
        <f t="shared" si="296"/>
        <v>-1.3782012885937143</v>
      </c>
      <c r="AU431" s="61">
        <f t="shared" si="297"/>
        <v>96.077589618861296</v>
      </c>
      <c r="AV431" s="58" t="str">
        <f t="shared" si="275"/>
        <v>0.114533704053707-0.150363182549473i</v>
      </c>
      <c r="AW431" s="64">
        <f t="shared" si="298"/>
        <v>-14.470027689168303</v>
      </c>
      <c r="AX431" s="49">
        <f t="shared" si="299"/>
        <v>-52.702976767627348</v>
      </c>
      <c r="AY431" s="310"/>
      <c r="BA431" s="31">
        <f t="shared" si="300"/>
        <v>0</v>
      </c>
      <c r="BB431" s="31">
        <f t="shared" si="301"/>
        <v>0</v>
      </c>
    </row>
    <row r="432" spans="14:54" x14ac:dyDescent="0.45">
      <c r="N432" s="10">
        <v>14</v>
      </c>
      <c r="O432" s="50">
        <f t="shared" si="302"/>
        <v>138038.42646028858</v>
      </c>
      <c r="P432" s="48" t="str">
        <f t="shared" si="265"/>
        <v>17.4002386318441</v>
      </c>
      <c r="Q432" s="17" t="str">
        <f t="shared" si="266"/>
        <v>1+74.2793814626956i</v>
      </c>
      <c r="R432" s="17">
        <f t="shared" si="276"/>
        <v>74.286112500794175</v>
      </c>
      <c r="S432" s="17">
        <f t="shared" si="277"/>
        <v>1.5573344539004412</v>
      </c>
      <c r="T432" s="17" t="str">
        <f t="shared" si="267"/>
        <v>1+0.260196303888443i</v>
      </c>
      <c r="U432" s="17">
        <f t="shared" si="278"/>
        <v>1.0332967224167542</v>
      </c>
      <c r="V432" s="17">
        <f t="shared" si="279"/>
        <v>0.25455192376676561</v>
      </c>
      <c r="W432" s="31" t="str">
        <f t="shared" si="268"/>
        <v>1-0.641935552450398i</v>
      </c>
      <c r="X432" s="17">
        <f t="shared" si="280"/>
        <v>1.1883102513652728</v>
      </c>
      <c r="Y432" s="17">
        <f t="shared" si="281"/>
        <v>-0.57068510637529424</v>
      </c>
      <c r="Z432" s="31" t="str">
        <f t="shared" si="269"/>
        <v>0.982716909587635+0.897785295924481i</v>
      </c>
      <c r="AA432" s="17">
        <f t="shared" si="282"/>
        <v>1.3310713587060912</v>
      </c>
      <c r="AB432" s="17">
        <f t="shared" si="283"/>
        <v>0.74026450937003463</v>
      </c>
      <c r="AC432" s="66" t="str">
        <f t="shared" si="284"/>
        <v>-0.186662856369549-0.108833149188633i</v>
      </c>
      <c r="AD432" s="64">
        <f t="shared" si="285"/>
        <v>-13.307977407769263</v>
      </c>
      <c r="AE432" s="61">
        <f t="shared" si="286"/>
        <v>-149.75582073653888</v>
      </c>
      <c r="AF432" s="31" t="str">
        <f t="shared" si="270"/>
        <v>-9090.90909090909</v>
      </c>
      <c r="AG432" s="31" t="str">
        <f t="shared" si="271"/>
        <v>867321.012961475i</v>
      </c>
      <c r="AH432" s="31">
        <f t="shared" si="287"/>
        <v>867321.01296147495</v>
      </c>
      <c r="AI432" s="31">
        <f t="shared" si="288"/>
        <v>1.5707963267948966</v>
      </c>
      <c r="AJ432" s="31" t="str">
        <f t="shared" si="272"/>
        <v>-2724.19073040506+300.307298774872i</v>
      </c>
      <c r="AK432" s="31">
        <f t="shared" si="289"/>
        <v>2740.6932716599854</v>
      </c>
      <c r="AL432" s="31">
        <f t="shared" si="290"/>
        <v>3.0317987177531558</v>
      </c>
      <c r="AM432" s="31" t="str">
        <f t="shared" si="273"/>
        <v>1+1142.95563088063i</v>
      </c>
      <c r="AN432" s="31">
        <f t="shared" si="291"/>
        <v>1142.9560683428472</v>
      </c>
      <c r="AO432" s="31">
        <f t="shared" si="292"/>
        <v>1.5699214024165415</v>
      </c>
      <c r="AP432" s="31" t="str">
        <f t="shared" si="274"/>
        <v>1+190.810622851524i</v>
      </c>
      <c r="AQ432" s="31">
        <f t="shared" si="293"/>
        <v>190.81324323271309</v>
      </c>
      <c r="AR432" s="31">
        <f t="shared" si="294"/>
        <v>1.5655555764116933</v>
      </c>
      <c r="AS432" s="58" t="str">
        <f t="shared" si="295"/>
        <v>-0.0863205974746447+0.8295961253683i</v>
      </c>
      <c r="AT432" s="49">
        <f t="shared" si="296"/>
        <v>-1.5758987215597531</v>
      </c>
      <c r="AU432" s="61">
        <f t="shared" si="297"/>
        <v>95.940326786857483</v>
      </c>
      <c r="AV432" s="58" t="str">
        <f t="shared" si="275"/>
        <v>0.106400408166663-0.145460239931347i</v>
      </c>
      <c r="AW432" s="64">
        <f t="shared" si="298"/>
        <v>-14.883876129329041</v>
      </c>
      <c r="AX432" s="49">
        <f t="shared" si="299"/>
        <v>-53.815493949681404</v>
      </c>
      <c r="AY432" s="310"/>
      <c r="BA432" s="31">
        <f t="shared" si="300"/>
        <v>0</v>
      </c>
      <c r="BB432" s="31">
        <f t="shared" si="301"/>
        <v>0</v>
      </c>
    </row>
    <row r="433" spans="14:54" x14ac:dyDescent="0.45">
      <c r="N433" s="10">
        <v>15</v>
      </c>
      <c r="O433" s="50">
        <f t="shared" si="302"/>
        <v>141253.75446227577</v>
      </c>
      <c r="P433" s="48" t="str">
        <f t="shared" si="265"/>
        <v>17.4002386318441</v>
      </c>
      <c r="Q433" s="17" t="str">
        <f t="shared" si="266"/>
        <v>1+76.0095705217255i</v>
      </c>
      <c r="R433" s="17">
        <f t="shared" si="276"/>
        <v>76.016148356103656</v>
      </c>
      <c r="S433" s="17">
        <f t="shared" si="277"/>
        <v>1.5576408477730479</v>
      </c>
      <c r="T433" s="17" t="str">
        <f t="shared" si="267"/>
        <v>1+0.266257054386397i</v>
      </c>
      <c r="U433" s="17">
        <f t="shared" si="278"/>
        <v>1.0348395136495903</v>
      </c>
      <c r="V433" s="17">
        <f t="shared" si="279"/>
        <v>0.2602199346597302</v>
      </c>
      <c r="W433" s="31" t="str">
        <f t="shared" si="268"/>
        <v>1-0.656888152318368i</v>
      </c>
      <c r="X433" s="17">
        <f t="shared" si="280"/>
        <v>1.1964539458985621</v>
      </c>
      <c r="Y433" s="17">
        <f t="shared" si="281"/>
        <v>-0.58120227623111931</v>
      </c>
      <c r="Z433" s="31" t="str">
        <f t="shared" si="269"/>
        <v>0.981902382630668+0.918697401892226i</v>
      </c>
      <c r="AA433" s="17">
        <f t="shared" si="282"/>
        <v>1.3446699242785602</v>
      </c>
      <c r="AB433" s="17">
        <f t="shared" si="283"/>
        <v>0.7521551329872761</v>
      </c>
      <c r="AC433" s="66" t="str">
        <f t="shared" si="284"/>
        <v>-0.183861904623217-0.103041419070697i</v>
      </c>
      <c r="AD433" s="64">
        <f t="shared" si="285"/>
        <v>-13.523947161291165</v>
      </c>
      <c r="AE433" s="61">
        <f t="shared" si="286"/>
        <v>-150.73249470411454</v>
      </c>
      <c r="AF433" s="31" t="str">
        <f t="shared" si="270"/>
        <v>-9090.90909090909</v>
      </c>
      <c r="AG433" s="31" t="str">
        <f t="shared" si="271"/>
        <v>887523.514621324i</v>
      </c>
      <c r="AH433" s="31">
        <f t="shared" si="287"/>
        <v>887523.51462132402</v>
      </c>
      <c r="AI433" s="31">
        <f t="shared" si="288"/>
        <v>1.5707963267948966</v>
      </c>
      <c r="AJ433" s="31" t="str">
        <f t="shared" si="272"/>
        <v>-2852.62501269083+307.30235436709i</v>
      </c>
      <c r="AK433" s="31">
        <f t="shared" si="289"/>
        <v>2869.1295195631924</v>
      </c>
      <c r="AL433" s="31">
        <f t="shared" si="290"/>
        <v>3.0342803283742503</v>
      </c>
      <c r="AM433" s="31" t="str">
        <f t="shared" si="273"/>
        <v>1+1169.57848756798i</v>
      </c>
      <c r="AN433" s="31">
        <f t="shared" si="291"/>
        <v>1169.5789150723449</v>
      </c>
      <c r="AO433" s="31">
        <f t="shared" si="292"/>
        <v>1.5699413181170272</v>
      </c>
      <c r="AP433" s="31" t="str">
        <f t="shared" si="274"/>
        <v>1+195.255173216691i</v>
      </c>
      <c r="AQ433" s="31">
        <f t="shared" si="293"/>
        <v>195.25773395151344</v>
      </c>
      <c r="AR433" s="31">
        <f t="shared" si="294"/>
        <v>1.5656748683444066</v>
      </c>
      <c r="AS433" s="58" t="str">
        <f t="shared" si="295"/>
        <v>-0.082477344708856+0.811113006309918i</v>
      </c>
      <c r="AT433" s="49">
        <f t="shared" si="296"/>
        <v>-1.7736986435937439</v>
      </c>
      <c r="AU433" s="61">
        <f t="shared" si="297"/>
        <v>95.806116981732274</v>
      </c>
      <c r="AV433" s="58" t="str">
        <f t="shared" si="275"/>
        <v>0.098742676883309-0.140634199564821i</v>
      </c>
      <c r="AW433" s="64">
        <f t="shared" si="298"/>
        <v>-15.297645804884926</v>
      </c>
      <c r="AX433" s="49">
        <f t="shared" si="299"/>
        <v>-54.926377722382192</v>
      </c>
      <c r="AY433" s="310"/>
      <c r="BA433" s="31">
        <f t="shared" si="300"/>
        <v>0</v>
      </c>
      <c r="BB433" s="31">
        <f t="shared" si="301"/>
        <v>0</v>
      </c>
    </row>
    <row r="434" spans="14:54" x14ac:dyDescent="0.45">
      <c r="N434" s="10">
        <v>16</v>
      </c>
      <c r="O434" s="50">
        <f t="shared" si="302"/>
        <v>144543.97707459307</v>
      </c>
      <c r="P434" s="48" t="str">
        <f t="shared" si="265"/>
        <v>17.4002386318441</v>
      </c>
      <c r="Q434" s="17" t="str">
        <f t="shared" si="266"/>
        <v>1+77.7800608611514i</v>
      </c>
      <c r="R434" s="17">
        <f t="shared" si="276"/>
        <v>77.786488978256472</v>
      </c>
      <c r="S434" s="17">
        <f t="shared" si="277"/>
        <v>1.5579402696565132</v>
      </c>
      <c r="T434" s="17" t="str">
        <f t="shared" si="267"/>
        <v>1+0.272458977898916i</v>
      </c>
      <c r="U434" s="17">
        <f t="shared" si="278"/>
        <v>1.0364525530084443</v>
      </c>
      <c r="V434" s="17">
        <f t="shared" si="279"/>
        <v>0.26600231157657805</v>
      </c>
      <c r="W434" s="31" t="str">
        <f t="shared" si="268"/>
        <v>1-0.672189042979638i</v>
      </c>
      <c r="X434" s="17">
        <f t="shared" si="280"/>
        <v>1.2049224495800059</v>
      </c>
      <c r="Y434" s="17">
        <f t="shared" si="281"/>
        <v>-0.59181604894817919</v>
      </c>
      <c r="Z434" s="31" t="str">
        <f t="shared" si="269"/>
        <v>0.98104946820087+0.94009661338285i</v>
      </c>
      <c r="AA434" s="17">
        <f t="shared" si="282"/>
        <v>1.3587640345369441</v>
      </c>
      <c r="AB434" s="17">
        <f t="shared" si="283"/>
        <v>0.76408450392275051</v>
      </c>
      <c r="AC434" s="66" t="str">
        <f t="shared" si="284"/>
        <v>-0.18103993812751-0.0974393249095182i</v>
      </c>
      <c r="AD434" s="64">
        <f t="shared" si="285"/>
        <v>-13.739689723887947</v>
      </c>
      <c r="AE434" s="61">
        <f t="shared" si="286"/>
        <v>-151.70997150968896</v>
      </c>
      <c r="AF434" s="31" t="str">
        <f t="shared" si="270"/>
        <v>-9090.90909090909</v>
      </c>
      <c r="AG434" s="31" t="str">
        <f t="shared" si="271"/>
        <v>908196.592996386i</v>
      </c>
      <c r="AH434" s="31">
        <f t="shared" si="287"/>
        <v>908196.592996386</v>
      </c>
      <c r="AI434" s="31">
        <f t="shared" si="288"/>
        <v>1.5707963267948966</v>
      </c>
      <c r="AJ434" s="31" t="str">
        <f t="shared" si="272"/>
        <v>-2987.11221622067+314.46034573522i</v>
      </c>
      <c r="AK434" s="31">
        <f t="shared" si="289"/>
        <v>3003.6186011767004</v>
      </c>
      <c r="AL434" s="31">
        <f t="shared" si="290"/>
        <v>3.0367066158764384</v>
      </c>
      <c r="AM434" s="31" t="str">
        <f t="shared" si="273"/>
        <v>1+1196.82147025064i</v>
      </c>
      <c r="AN434" s="31">
        <f t="shared" si="291"/>
        <v>1196.821888023821</v>
      </c>
      <c r="AO434" s="31">
        <f t="shared" si="292"/>
        <v>1.5699607804814786</v>
      </c>
      <c r="AP434" s="31" t="str">
        <f t="shared" si="274"/>
        <v>1+199.803250459205i</v>
      </c>
      <c r="AQ434" s="31">
        <f t="shared" si="293"/>
        <v>199.80575290532502</v>
      </c>
      <c r="AR434" s="31">
        <f t="shared" si="294"/>
        <v>1.5657914450020636</v>
      </c>
      <c r="AS434" s="58" t="str">
        <f t="shared" si="295"/>
        <v>-0.0788034254745941+0.793024234366177i</v>
      </c>
      <c r="AT434" s="49">
        <f t="shared" si="296"/>
        <v>-1.9715965414857903</v>
      </c>
      <c r="AU434" s="61">
        <f t="shared" si="297"/>
        <v>95.67489540978741</v>
      </c>
      <c r="AV434" s="58" t="str">
        <f t="shared" si="275"/>
        <v>0.0915383133056842-0.135890505744467i</v>
      </c>
      <c r="AW434" s="64">
        <f t="shared" si="298"/>
        <v>-15.711286265373721</v>
      </c>
      <c r="AX434" s="49">
        <f t="shared" si="299"/>
        <v>-56.035076099901602</v>
      </c>
      <c r="AY434" s="310"/>
      <c r="BA434" s="31">
        <f t="shared" si="300"/>
        <v>0</v>
      </c>
      <c r="BB434" s="31">
        <f t="shared" si="301"/>
        <v>0</v>
      </c>
    </row>
    <row r="435" spans="14:54" x14ac:dyDescent="0.45">
      <c r="N435" s="10">
        <v>17</v>
      </c>
      <c r="O435" s="50">
        <f t="shared" si="302"/>
        <v>147910.83881682079</v>
      </c>
      <c r="P435" s="48" t="str">
        <f t="shared" si="265"/>
        <v>17.4002386318441</v>
      </c>
      <c r="Q435" s="17" t="str">
        <f t="shared" si="266"/>
        <v>1+79.5917912183866i</v>
      </c>
      <c r="R435" s="17">
        <f t="shared" si="276"/>
        <v>79.5980730253644</v>
      </c>
      <c r="S435" s="17">
        <f t="shared" si="277"/>
        <v>1.5582328780934063</v>
      </c>
      <c r="T435" s="17" t="str">
        <f t="shared" si="267"/>
        <v>1+0.278805362767937i</v>
      </c>
      <c r="U435" s="17">
        <f t="shared" si="278"/>
        <v>1.0381389263042595</v>
      </c>
      <c r="V435" s="17">
        <f t="shared" si="279"/>
        <v>0.2719005730692563</v>
      </c>
      <c r="W435" s="31" t="str">
        <f t="shared" si="268"/>
        <v>1-0.687846337168969i</v>
      </c>
      <c r="X435" s="17">
        <f t="shared" si="280"/>
        <v>1.2137267334770077</v>
      </c>
      <c r="Y435" s="17">
        <f t="shared" si="281"/>
        <v>-0.60252248666692843</v>
      </c>
      <c r="Z435" s="31" t="str">
        <f t="shared" si="269"/>
        <v>0.980156357152385+0.961994276541538i</v>
      </c>
      <c r="AA435" s="17">
        <f t="shared" si="282"/>
        <v>1.3733679305142199</v>
      </c>
      <c r="AB435" s="17">
        <f t="shared" si="283"/>
        <v>0.77604690562572154</v>
      </c>
      <c r="AC435" s="66" t="str">
        <f t="shared" si="284"/>
        <v>-0.178200298254717-0.0920247990651466i</v>
      </c>
      <c r="AD435" s="64">
        <f t="shared" si="285"/>
        <v>-13.955157163526415</v>
      </c>
      <c r="AE435" s="61">
        <f t="shared" si="286"/>
        <v>-152.68762007350225</v>
      </c>
      <c r="AF435" s="31" t="str">
        <f t="shared" si="270"/>
        <v>-9090.90909090909</v>
      </c>
      <c r="AG435" s="31" t="str">
        <f t="shared" si="271"/>
        <v>929351.209226456i</v>
      </c>
      <c r="AH435" s="31">
        <f t="shared" si="287"/>
        <v>929351.20922645601</v>
      </c>
      <c r="AI435" s="31">
        <f t="shared" si="288"/>
        <v>1.5707963267948966</v>
      </c>
      <c r="AJ435" s="31" t="str">
        <f t="shared" si="272"/>
        <v>-3127.9376063843+321.785068141033i</v>
      </c>
      <c r="AK435" s="31">
        <f t="shared" si="289"/>
        <v>3144.4457857485272</v>
      </c>
      <c r="AL435" s="31">
        <f t="shared" si="290"/>
        <v>3.0390787628485709</v>
      </c>
      <c r="AM435" s="31" t="str">
        <f t="shared" si="273"/>
        <v>1+1224.69902351862i</v>
      </c>
      <c r="AN435" s="31">
        <f t="shared" si="291"/>
        <v>1224.6994317821257</v>
      </c>
      <c r="AO435" s="31">
        <f t="shared" si="292"/>
        <v>1.5699797998290399</v>
      </c>
      <c r="AP435" s="31" t="str">
        <f t="shared" si="274"/>
        <v>1+204.45726602982i</v>
      </c>
      <c r="AQ435" s="31">
        <f t="shared" si="293"/>
        <v>204.45971151400119</v>
      </c>
      <c r="AR435" s="31">
        <f t="shared" si="294"/>
        <v>1.5659053681824693</v>
      </c>
      <c r="AS435" s="58" t="str">
        <f t="shared" si="295"/>
        <v>-0.0752915340695437+0.775322553963704i</v>
      </c>
      <c r="AT435" s="49">
        <f t="shared" si="296"/>
        <v>-2.1695880965291705</v>
      </c>
      <c r="AU435" s="61">
        <f t="shared" si="297"/>
        <v>95.546598445669844</v>
      </c>
      <c r="AV435" s="58" t="str">
        <f t="shared" si="275"/>
        <v>0.084765876066434-0.131234022065885i</v>
      </c>
      <c r="AW435" s="64">
        <f t="shared" si="298"/>
        <v>-16.124745260055565</v>
      </c>
      <c r="AX435" s="49">
        <f t="shared" si="299"/>
        <v>-57.141021627832494</v>
      </c>
      <c r="AY435" s="310"/>
      <c r="BA435" s="31">
        <f t="shared" si="300"/>
        <v>0</v>
      </c>
      <c r="BB435" s="31">
        <f t="shared" si="301"/>
        <v>0</v>
      </c>
    </row>
    <row r="436" spans="14:54" x14ac:dyDescent="0.45">
      <c r="N436" s="10">
        <v>18</v>
      </c>
      <c r="O436" s="50">
        <f t="shared" si="302"/>
        <v>151356.12484362084</v>
      </c>
      <c r="P436" s="48" t="str">
        <f t="shared" si="265"/>
        <v>17.4002386318441</v>
      </c>
      <c r="Q436" s="17" t="str">
        <f t="shared" si="266"/>
        <v>1+81.445722196848i</v>
      </c>
      <c r="R436" s="17">
        <f t="shared" si="276"/>
        <v>81.451861023343952</v>
      </c>
      <c r="S436" s="17">
        <f t="shared" si="277"/>
        <v>1.558518828028054</v>
      </c>
      <c r="T436" s="17" t="str">
        <f t="shared" si="267"/>
        <v>1+0.285299573930724i</v>
      </c>
      <c r="U436" s="17">
        <f t="shared" si="278"/>
        <v>1.0399018448320267</v>
      </c>
      <c r="V436" s="17">
        <f t="shared" si="279"/>
        <v>0.27791620423674346</v>
      </c>
      <c r="W436" s="31" t="str">
        <f t="shared" si="268"/>
        <v>1-0.703868336590991i</v>
      </c>
      <c r="X436" s="17">
        <f t="shared" si="280"/>
        <v>1.2228780132357309</v>
      </c>
      <c r="Y436" s="17">
        <f t="shared" si="281"/>
        <v>-0.61331744802656396</v>
      </c>
      <c r="Z436" s="31" t="str">
        <f t="shared" si="269"/>
        <v>0.979221155076936+0.98440200179915i</v>
      </c>
      <c r="AA436" s="17">
        <f t="shared" si="282"/>
        <v>1.3884960827083317</v>
      </c>
      <c r="AB436" s="17">
        <f t="shared" si="283"/>
        <v>0.78803656918445253</v>
      </c>
      <c r="AC436" s="66" t="str">
        <f t="shared" si="284"/>
        <v>-0.175346361086113-0.0867956624185283i</v>
      </c>
      <c r="AD436" s="64">
        <f t="shared" si="285"/>
        <v>-14.170299614552007</v>
      </c>
      <c r="AE436" s="61">
        <f t="shared" si="286"/>
        <v>-153.66479636651619</v>
      </c>
      <c r="AF436" s="31" t="str">
        <f t="shared" si="270"/>
        <v>-9090.90909090909</v>
      </c>
      <c r="AG436" s="31" t="str">
        <f t="shared" si="271"/>
        <v>950998.579769078i</v>
      </c>
      <c r="AH436" s="31">
        <f t="shared" si="287"/>
        <v>950998.57976907794</v>
      </c>
      <c r="AI436" s="31">
        <f t="shared" si="288"/>
        <v>1.5707963267948966</v>
      </c>
      <c r="AJ436" s="31" t="str">
        <f t="shared" si="272"/>
        <v>-3275.39989271505+329.280405249304i</v>
      </c>
      <c r="AK436" s="31">
        <f t="shared" si="289"/>
        <v>3291.9097865037106</v>
      </c>
      <c r="AL436" s="31">
        <f t="shared" si="290"/>
        <v>3.0413979299677258</v>
      </c>
      <c r="AM436" s="31" t="str">
        <f t="shared" si="273"/>
        <v>1+1253.22592841969i</v>
      </c>
      <c r="AN436" s="31">
        <f t="shared" si="291"/>
        <v>1253.2263273899866</v>
      </c>
      <c r="AO436" s="31">
        <f t="shared" si="292"/>
        <v>1.5699983862439661</v>
      </c>
      <c r="AP436" s="31" t="str">
        <f t="shared" si="274"/>
        <v>1+209.219687549197i</v>
      </c>
      <c r="AQ436" s="31">
        <f t="shared" si="293"/>
        <v>209.22207736800536</v>
      </c>
      <c r="AR436" s="31">
        <f t="shared" si="294"/>
        <v>1.5660166982773669</v>
      </c>
      <c r="AS436" s="58" t="str">
        <f t="shared" si="295"/>
        <v>-0.0719346664521557+0.758000764093177i</v>
      </c>
      <c r="AT436" s="49">
        <f t="shared" si="296"/>
        <v>-2.3676691765075968</v>
      </c>
      <c r="AU436" s="61">
        <f t="shared" si="297"/>
        <v>95.421163625458703</v>
      </c>
      <c r="AV436" s="58" t="str">
        <f t="shared" si="275"/>
        <v>0.0784046604315467-0.126669058658661i</v>
      </c>
      <c r="AW436" s="64">
        <f t="shared" si="298"/>
        <v>-16.537968791059608</v>
      </c>
      <c r="AX436" s="49">
        <f t="shared" si="299"/>
        <v>-58.243632741057461</v>
      </c>
      <c r="AY436" s="310"/>
      <c r="BA436" s="31">
        <f t="shared" si="300"/>
        <v>0</v>
      </c>
      <c r="BB436" s="31">
        <f t="shared" si="301"/>
        <v>0</v>
      </c>
    </row>
    <row r="437" spans="14:54" x14ac:dyDescent="0.45">
      <c r="N437" s="10">
        <v>19</v>
      </c>
      <c r="O437" s="50">
        <f t="shared" si="302"/>
        <v>154881.66189124843</v>
      </c>
      <c r="P437" s="48" t="str">
        <f t="shared" si="265"/>
        <v>17.4002386318441</v>
      </c>
      <c r="Q437" s="17" t="str">
        <f t="shared" si="266"/>
        <v>1+83.3428367752797i</v>
      </c>
      <c r="R437" s="17">
        <f t="shared" si="276"/>
        <v>83.348835875199327</v>
      </c>
      <c r="S437" s="17">
        <f t="shared" si="277"/>
        <v>1.5587982708877384</v>
      </c>
      <c r="T437" s="17" t="str">
        <f t="shared" si="267"/>
        <v>1+0.291945054703995i</v>
      </c>
      <c r="U437" s="17">
        <f t="shared" si="278"/>
        <v>1.0417446495980283</v>
      </c>
      <c r="V437" s="17">
        <f t="shared" si="279"/>
        <v>0.28405065242059185</v>
      </c>
      <c r="W437" s="31" t="str">
        <f t="shared" si="268"/>
        <v>1-0.720263536321874i</v>
      </c>
      <c r="X437" s="17">
        <f t="shared" si="280"/>
        <v>1.2323877481356633</v>
      </c>
      <c r="Y437" s="17">
        <f t="shared" si="281"/>
        <v>-0.62419659314446596</v>
      </c>
      <c r="Z437" s="31" t="str">
        <f t="shared" si="269"/>
        <v>0.978241878285537+1.00733167002822i</v>
      </c>
      <c r="AA437" s="17">
        <f t="shared" si="282"/>
        <v>1.404163190613348</v>
      </c>
      <c r="AB437" s="17">
        <f t="shared" si="283"/>
        <v>0.80004768910472746</v>
      </c>
      <c r="AC437" s="66" t="str">
        <f t="shared" si="284"/>
        <v>-0.172481525181497-0.0817496193402122i</v>
      </c>
      <c r="AD437" s="64">
        <f t="shared" si="285"/>
        <v>-14.385065349008668</v>
      </c>
      <c r="AE437" s="61">
        <f t="shared" si="286"/>
        <v>-154.64084485103842</v>
      </c>
      <c r="AF437" s="31" t="str">
        <f t="shared" si="270"/>
        <v>-9090.90909090909</v>
      </c>
      <c r="AG437" s="31" t="str">
        <f t="shared" si="271"/>
        <v>973150.182346649i</v>
      </c>
      <c r="AH437" s="31">
        <f t="shared" si="287"/>
        <v>973150.182346649</v>
      </c>
      <c r="AI437" s="31">
        <f t="shared" si="288"/>
        <v>1.5707963267948966</v>
      </c>
      <c r="AJ437" s="31" t="str">
        <f t="shared" si="272"/>
        <v>-3429.81186249284+336.95033118698i</v>
      </c>
      <c r="AK437" s="31">
        <f t="shared" si="289"/>
        <v>3446.3233942541756</v>
      </c>
      <c r="AL437" s="31">
        <f t="shared" si="290"/>
        <v>3.0436652561759119</v>
      </c>
      <c r="AM437" s="31" t="str">
        <f t="shared" si="273"/>
        <v>1+1282.41731029641i</v>
      </c>
      <c r="AN437" s="31">
        <f t="shared" si="291"/>
        <v>1282.4177001850369</v>
      </c>
      <c r="AO437" s="31">
        <f t="shared" si="292"/>
        <v>1.5700165495809688</v>
      </c>
      <c r="AP437" s="31" t="str">
        <f t="shared" si="274"/>
        <v>1+214.093040116263i</v>
      </c>
      <c r="AQ437" s="31">
        <f t="shared" si="293"/>
        <v>214.0953755367542</v>
      </c>
      <c r="AR437" s="31">
        <f t="shared" si="294"/>
        <v>1.566125494304401</v>
      </c>
      <c r="AS437" s="58" t="str">
        <f t="shared" si="295"/>
        <v>-0.0687261089754163+0.741051723995181i</v>
      </c>
      <c r="AT437" s="49">
        <f t="shared" si="296"/>
        <v>-2.5658358279812612</v>
      </c>
      <c r="AU437" s="61">
        <f t="shared" si="297"/>
        <v>95.298529638679199</v>
      </c>
      <c r="AV437" s="58" t="str">
        <f t="shared" si="275"/>
        <v>0.0724346804438836-0.122199398345592i</v>
      </c>
      <c r="AW437" s="64">
        <f t="shared" si="298"/>
        <v>-16.950901176989952</v>
      </c>
      <c r="AX437" s="49">
        <f t="shared" si="299"/>
        <v>-59.342315212359154</v>
      </c>
      <c r="AY437" s="310"/>
      <c r="BA437" s="31">
        <f t="shared" si="300"/>
        <v>0</v>
      </c>
      <c r="BB437" s="31">
        <f t="shared" si="301"/>
        <v>0</v>
      </c>
    </row>
    <row r="438" spans="14:54" x14ac:dyDescent="0.45">
      <c r="N438" s="10">
        <v>20</v>
      </c>
      <c r="O438" s="50">
        <f t="shared" si="302"/>
        <v>158489.31924611164</v>
      </c>
      <c r="P438" s="48" t="str">
        <f t="shared" si="265"/>
        <v>17.4002386318441</v>
      </c>
      <c r="Q438" s="17" t="str">
        <f t="shared" si="266"/>
        <v>1+85.2841408289424i</v>
      </c>
      <c r="R438" s="17">
        <f t="shared" si="276"/>
        <v>85.290003382171818</v>
      </c>
      <c r="S438" s="17">
        <f t="shared" si="277"/>
        <v>1.5590713546620925</v>
      </c>
      <c r="T438" s="17" t="str">
        <f t="shared" si="267"/>
        <v>1+0.298745328609619i</v>
      </c>
      <c r="U438" s="17">
        <f t="shared" si="278"/>
        <v>1.0436708156148036</v>
      </c>
      <c r="V438" s="17">
        <f t="shared" si="279"/>
        <v>0.29030532268752124</v>
      </c>
      <c r="W438" s="31" t="str">
        <f t="shared" si="268"/>
        <v>1-0.737040629313527i</v>
      </c>
      <c r="X438" s="17">
        <f t="shared" si="280"/>
        <v>1.2422676399467547</v>
      </c>
      <c r="Y438" s="17">
        <f t="shared" si="281"/>
        <v>-0.63515538958761086</v>
      </c>
      <c r="Z438" s="31" t="str">
        <f t="shared" si="269"/>
        <v>0.97721644960082+1.03079543884234i</v>
      </c>
      <c r="AA438" s="17">
        <f t="shared" si="282"/>
        <v>1.4203841825747723</v>
      </c>
      <c r="AB438" s="17">
        <f t="shared" si="283"/>
        <v>0.81207443936339696</v>
      </c>
      <c r="AC438" s="66" t="str">
        <f t="shared" si="284"/>
        <v>-0.169609199008835-0.0768842538149298i</v>
      </c>
      <c r="AD438" s="64">
        <f t="shared" si="285"/>
        <v>-14.599400857818846</v>
      </c>
      <c r="AE438" s="61">
        <f t="shared" si="286"/>
        <v>-155.61510000603619</v>
      </c>
      <c r="AF438" s="31" t="str">
        <f t="shared" si="270"/>
        <v>-9090.90909090909</v>
      </c>
      <c r="AG438" s="31" t="str">
        <f t="shared" si="271"/>
        <v>995817.762032063i</v>
      </c>
      <c r="AH438" s="31">
        <f t="shared" si="287"/>
        <v>995817.76203206298</v>
      </c>
      <c r="AI438" s="31">
        <f t="shared" si="288"/>
        <v>1.5707963267948966</v>
      </c>
      <c r="AJ438" s="31" t="str">
        <f t="shared" si="272"/>
        <v>-3591.50104420793+344.798912650316i</v>
      </c>
      <c r="AK438" s="31">
        <f t="shared" si="289"/>
        <v>3608.0141408691147</v>
      </c>
      <c r="AL438" s="31">
        <f t="shared" si="290"/>
        <v>3.0458818588729488</v>
      </c>
      <c r="AM438" s="31" t="str">
        <f t="shared" si="273"/>
        <v>1+1312.28864680585i</v>
      </c>
      <c r="AN438" s="31">
        <f t="shared" si="291"/>
        <v>1312.2890278195307</v>
      </c>
      <c r="AO438" s="31">
        <f t="shared" si="292"/>
        <v>1.5700342994704417</v>
      </c>
      <c r="AP438" s="31" t="str">
        <f t="shared" si="274"/>
        <v>1+219.079907647054i</v>
      </c>
      <c r="AQ438" s="31">
        <f t="shared" si="293"/>
        <v>219.08218990744481</v>
      </c>
      <c r="AR438" s="31">
        <f t="shared" si="294"/>
        <v>1.5662318139383571</v>
      </c>
      <c r="AS438" s="58" t="str">
        <f t="shared" si="295"/>
        <v>-0.0656594274342388+0.724468358302217i</v>
      </c>
      <c r="AT438" s="49">
        <f t="shared" si="296"/>
        <v>-2.7640842688602678</v>
      </c>
      <c r="AU438" s="61">
        <f t="shared" si="297"/>
        <v>95.178636319340328</v>
      </c>
      <c r="AV438" s="58" t="str">
        <f t="shared" si="275"/>
        <v>0.0668366520350931-0.117828321874688i</v>
      </c>
      <c r="AW438" s="64">
        <f t="shared" si="298"/>
        <v>-17.363485126679102</v>
      </c>
      <c r="AX438" s="49">
        <f t="shared" si="299"/>
        <v>-60.436463686695909</v>
      </c>
      <c r="AY438" s="310"/>
      <c r="BA438" s="31">
        <f t="shared" si="300"/>
        <v>0</v>
      </c>
      <c r="BB438" s="31">
        <f t="shared" si="301"/>
        <v>0</v>
      </c>
    </row>
    <row r="439" spans="14:54" x14ac:dyDescent="0.45">
      <c r="N439" s="10">
        <v>21</v>
      </c>
      <c r="O439" s="50">
        <f t="shared" si="302"/>
        <v>162181.00973589328</v>
      </c>
      <c r="P439" s="48" t="str">
        <f t="shared" si="265"/>
        <v>17.4002386318441</v>
      </c>
      <c r="Q439" s="17" t="str">
        <f t="shared" si="266"/>
        <v>1+87.2706636629414i</v>
      </c>
      <c r="R439" s="17">
        <f t="shared" si="276"/>
        <v>87.276392777029017</v>
      </c>
      <c r="S439" s="17">
        <f t="shared" si="277"/>
        <v>1.5593382239807332</v>
      </c>
      <c r="T439" s="17" t="str">
        <f t="shared" si="267"/>
        <v>1+0.305704001242833i</v>
      </c>
      <c r="U439" s="17">
        <f t="shared" si="278"/>
        <v>1.0456839562582367</v>
      </c>
      <c r="V439" s="17">
        <f t="shared" si="279"/>
        <v>0.29668157309843018</v>
      </c>
      <c r="W439" s="31" t="str">
        <f t="shared" si="268"/>
        <v>1-0.754208511002727i</v>
      </c>
      <c r="X439" s="17">
        <f t="shared" si="280"/>
        <v>1.2525296316131409</v>
      </c>
      <c r="Y439" s="17">
        <f t="shared" si="281"/>
        <v>-0.6461891193374123</v>
      </c>
      <c r="Z439" s="31" t="str">
        <f t="shared" si="269"/>
        <v>0.976142693951062+1.05480574904233i</v>
      </c>
      <c r="AA439" s="17">
        <f t="shared" si="282"/>
        <v>1.4371742160109844</v>
      </c>
      <c r="AB439" s="17">
        <f t="shared" si="283"/>
        <v>0.82411098963558327</v>
      </c>
      <c r="AC439" s="66" t="str">
        <f t="shared" si="284"/>
        <v>-0.166732788151466-0.0721970267513681i</v>
      </c>
      <c r="AD439" s="64">
        <f t="shared" si="285"/>
        <v>-14.813250941421732</v>
      </c>
      <c r="AE439" s="61">
        <f t="shared" si="286"/>
        <v>-156.586887931457</v>
      </c>
      <c r="AF439" s="31" t="str">
        <f t="shared" si="270"/>
        <v>-9090.90909090909</v>
      </c>
      <c r="AG439" s="31" t="str">
        <f t="shared" si="271"/>
        <v>1019013.33747611i</v>
      </c>
      <c r="AH439" s="31">
        <f t="shared" si="287"/>
        <v>1019013.33747611</v>
      </c>
      <c r="AI439" s="31">
        <f t="shared" si="288"/>
        <v>1.5707963267948966</v>
      </c>
      <c r="AJ439" s="31" t="str">
        <f t="shared" si="272"/>
        <v>-3760.81040229276+352.830311061092i</v>
      </c>
      <c r="AK439" s="31">
        <f t="shared" si="289"/>
        <v>3777.32499401321</v>
      </c>
      <c r="AL439" s="31">
        <f t="shared" si="290"/>
        <v>3.0480488341239553</v>
      </c>
      <c r="AM439" s="31" t="str">
        <f t="shared" si="273"/>
        <v>1+1342.85577612602i</v>
      </c>
      <c r="AN439" s="31">
        <f t="shared" si="291"/>
        <v>1342.8561484667728</v>
      </c>
      <c r="AO439" s="31">
        <f t="shared" si="292"/>
        <v>1.5700516453235664</v>
      </c>
      <c r="AP439" s="31" t="str">
        <f t="shared" si="274"/>
        <v>1+224.182934244744i</v>
      </c>
      <c r="AQ439" s="31">
        <f t="shared" si="293"/>
        <v>224.18516455506864</v>
      </c>
      <c r="AR439" s="31">
        <f t="shared" si="294"/>
        <v>1.5663357135416922</v>
      </c>
      <c r="AS439" s="58" t="str">
        <f t="shared" si="295"/>
        <v>-0.0627284564281181+0.708243661671594i</v>
      </c>
      <c r="AT439" s="49">
        <f t="shared" si="296"/>
        <v>-2.9624108812611452</v>
      </c>
      <c r="AU439" s="61">
        <f t="shared" si="297"/>
        <v>95.061424636088674</v>
      </c>
      <c r="AV439" s="58" t="str">
        <f t="shared" si="275"/>
        <v>0.0615919770248889-0.113558632354296i</v>
      </c>
      <c r="AW439" s="64">
        <f t="shared" si="298"/>
        <v>-17.775661822682849</v>
      </c>
      <c r="AX439" s="49">
        <f t="shared" si="299"/>
        <v>-61.525463295368397</v>
      </c>
      <c r="AY439" s="310"/>
      <c r="BA439" s="31">
        <f t="shared" si="300"/>
        <v>0</v>
      </c>
      <c r="BB439" s="31">
        <f t="shared" si="301"/>
        <v>0</v>
      </c>
    </row>
    <row r="440" spans="14:54" x14ac:dyDescent="0.45">
      <c r="N440" s="10">
        <v>22</v>
      </c>
      <c r="O440" s="50">
        <f t="shared" si="302"/>
        <v>165958.69074375604</v>
      </c>
      <c r="P440" s="48" t="str">
        <f t="shared" si="265"/>
        <v>17.4002386318441</v>
      </c>
      <c r="Q440" s="17" t="str">
        <f t="shared" si="266"/>
        <v>1+89.3034585579789i</v>
      </c>
      <c r="R440" s="17">
        <f t="shared" si="276"/>
        <v>89.309057269778933</v>
      </c>
      <c r="S440" s="17">
        <f t="shared" si="277"/>
        <v>1.559599020189169</v>
      </c>
      <c r="T440" s="17" t="str">
        <f t="shared" si="267"/>
        <v>1+0.312824762183979i</v>
      </c>
      <c r="U440" s="17">
        <f t="shared" si="278"/>
        <v>1.0477878276805199</v>
      </c>
      <c r="V440" s="17">
        <f t="shared" si="279"/>
        <v>0.30318070976438583</v>
      </c>
      <c r="W440" s="31" t="str">
        <f t="shared" si="268"/>
        <v>1-0.771776284027595i</v>
      </c>
      <c r="X440" s="17">
        <f t="shared" si="280"/>
        <v>1.2631859057903723</v>
      </c>
      <c r="Y440" s="17">
        <f t="shared" si="281"/>
        <v>-0.65729288674076203</v>
      </c>
      <c r="Z440" s="31" t="str">
        <f t="shared" si="269"/>
        <v>0.97501833375657+1.07937533121247i</v>
      </c>
      <c r="AA440" s="17">
        <f t="shared" si="282"/>
        <v>1.4545486780412225</v>
      </c>
      <c r="AB440" s="17">
        <f t="shared" si="283"/>
        <v>0.8361515215920422</v>
      </c>
      <c r="AC440" s="66" t="str">
        <f t="shared" si="284"/>
        <v>-0.16385568241325-0.0676852744927483i</v>
      </c>
      <c r="AD440" s="64">
        <f t="shared" si="285"/>
        <v>-15.026558809372332</v>
      </c>
      <c r="AE440" s="61">
        <f t="shared" si="286"/>
        <v>-157.55552802517983</v>
      </c>
      <c r="AF440" s="31" t="str">
        <f t="shared" si="270"/>
        <v>-9090.90909090909</v>
      </c>
      <c r="AG440" s="31" t="str">
        <f t="shared" si="271"/>
        <v>1042749.20727993i</v>
      </c>
      <c r="AH440" s="31">
        <f t="shared" si="287"/>
        <v>1042749.20727993</v>
      </c>
      <c r="AI440" s="31">
        <f t="shared" si="288"/>
        <v>1.5707963267948966</v>
      </c>
      <c r="AJ440" s="31" t="str">
        <f t="shared" si="272"/>
        <v>-3938.09906459561+361.048784773054i</v>
      </c>
      <c r="AK440" s="31">
        <f t="shared" si="289"/>
        <v>3954.6150846264318</v>
      </c>
      <c r="AL440" s="31">
        <f t="shared" si="290"/>
        <v>3.05016725687996</v>
      </c>
      <c r="AM440" s="31" t="str">
        <f t="shared" si="273"/>
        <v>1+1374.13490535349i</v>
      </c>
      <c r="AN440" s="31">
        <f t="shared" si="291"/>
        <v>1374.1352692187349</v>
      </c>
      <c r="AO440" s="31">
        <f t="shared" si="292"/>
        <v>1.5700685963373022</v>
      </c>
      <c r="AP440" s="31" t="str">
        <f t="shared" si="274"/>
        <v>1+229.404825601584i</v>
      </c>
      <c r="AQ440" s="31">
        <f t="shared" si="293"/>
        <v>229.4070051443355</v>
      </c>
      <c r="AR440" s="31">
        <f t="shared" si="294"/>
        <v>1.5664372481943736</v>
      </c>
      <c r="AS440" s="58" t="str">
        <f t="shared" si="295"/>
        <v>-0.0599272890394308+0.692370702942718i</v>
      </c>
      <c r="AT440" s="49">
        <f t="shared" si="296"/>
        <v>-3.1608122046356142</v>
      </c>
      <c r="AU440" s="61">
        <f t="shared" si="297"/>
        <v>94.946836681563639</v>
      </c>
      <c r="AV440" s="58" t="str">
        <f t="shared" si="275"/>
        <v>0.056682727920147-0.109392679005381i</v>
      </c>
      <c r="AW440" s="64">
        <f t="shared" si="298"/>
        <v>-18.187371014007915</v>
      </c>
      <c r="AX440" s="49">
        <f t="shared" si="299"/>
        <v>-62.608691343616286</v>
      </c>
      <c r="AY440" s="310"/>
      <c r="BA440" s="31">
        <f t="shared" si="300"/>
        <v>0</v>
      </c>
      <c r="BB440" s="31">
        <f t="shared" si="301"/>
        <v>0</v>
      </c>
    </row>
    <row r="441" spans="14:54" x14ac:dyDescent="0.45">
      <c r="N441" s="10">
        <v>23</v>
      </c>
      <c r="O441" s="50">
        <f t="shared" si="302"/>
        <v>169824.36524617471</v>
      </c>
      <c r="P441" s="48" t="str">
        <f t="shared" si="265"/>
        <v>17.4002386318441</v>
      </c>
      <c r="Q441" s="17" t="str">
        <f t="shared" si="266"/>
        <v>1+91.3836033288142i</v>
      </c>
      <c r="R441" s="17">
        <f t="shared" si="276"/>
        <v>91.38907460609316</v>
      </c>
      <c r="S441" s="17">
        <f t="shared" si="277"/>
        <v>1.5598538814230161</v>
      </c>
      <c r="T441" s="17" t="str">
        <f t="shared" si="267"/>
        <v>1+0.320111386954758i</v>
      </c>
      <c r="U441" s="17">
        <f t="shared" si="278"/>
        <v>1.0499863332720569</v>
      </c>
      <c r="V441" s="17">
        <f t="shared" si="279"/>
        <v>0.30980398169142975</v>
      </c>
      <c r="W441" s="31" t="str">
        <f t="shared" si="268"/>
        <v>1-0.789753263053916i</v>
      </c>
      <c r="X441" s="17">
        <f t="shared" si="280"/>
        <v>1.2742488832658665</v>
      </c>
      <c r="Y441" s="17">
        <f t="shared" si="281"/>
        <v>-0.66846162743107862</v>
      </c>
      <c r="Z441" s="31" t="str">
        <f t="shared" si="269"/>
        <v>0.973840984098625+1.10451721247044i</v>
      </c>
      <c r="AA441" s="17">
        <f t="shared" si="282"/>
        <v>1.4725231865589246</v>
      </c>
      <c r="AB441" s="17">
        <f t="shared" si="283"/>
        <v>0.84819024516252262</v>
      </c>
      <c r="AC441" s="66" t="str">
        <f t="shared" si="284"/>
        <v>-0.160981242943234-0.0633462085297506i</v>
      </c>
      <c r="AD441" s="64">
        <f t="shared" si="285"/>
        <v>-15.239266188312117</v>
      </c>
      <c r="AE441" s="61">
        <f t="shared" si="286"/>
        <v>-158.5203347255981</v>
      </c>
      <c r="AF441" s="31" t="str">
        <f t="shared" si="270"/>
        <v>-9090.90909090909</v>
      </c>
      <c r="AG441" s="31" t="str">
        <f t="shared" si="271"/>
        <v>1067037.95651586i</v>
      </c>
      <c r="AH441" s="31">
        <f t="shared" si="287"/>
        <v>1067037.95651586</v>
      </c>
      <c r="AI441" s="31">
        <f t="shared" si="288"/>
        <v>1.5707963267948966</v>
      </c>
      <c r="AJ441" s="31" t="str">
        <f t="shared" si="272"/>
        <v>-4123.74308413862+369.45869132975i</v>
      </c>
      <c r="AK441" s="31">
        <f t="shared" si="289"/>
        <v>4140.260468687954</v>
      </c>
      <c r="AL441" s="31">
        <f t="shared" si="290"/>
        <v>3.0522381812102513</v>
      </c>
      <c r="AM441" s="31" t="str">
        <f t="shared" si="273"/>
        <v>1+1406.1426190966i</v>
      </c>
      <c r="AN441" s="31">
        <f t="shared" si="291"/>
        <v>1406.1429746792628</v>
      </c>
      <c r="AO441" s="31">
        <f t="shared" si="292"/>
        <v>1.5700851614992617</v>
      </c>
      <c r="AP441" s="31" t="str">
        <f t="shared" si="274"/>
        <v>1+234.748350433489i</v>
      </c>
      <c r="AQ441" s="31">
        <f t="shared" si="293"/>
        <v>234.75048036424585</v>
      </c>
      <c r="AR441" s="31">
        <f t="shared" si="294"/>
        <v>1.5665364717230392</v>
      </c>
      <c r="AS441" s="58" t="str">
        <f t="shared" si="295"/>
        <v>-0.0572502668265819+0.676842628850268i</v>
      </c>
      <c r="AT441" s="49">
        <f t="shared" si="296"/>
        <v>-3.3592849291636813</v>
      </c>
      <c r="AU441" s="61">
        <f t="shared" si="297"/>
        <v>94.834815661035137</v>
      </c>
      <c r="AV441" s="58" t="str">
        <f t="shared" si="275"/>
        <v>0.0520916334215486-0.105332380328502i</v>
      </c>
      <c r="AW441" s="64">
        <f t="shared" si="298"/>
        <v>-18.598551117475775</v>
      </c>
      <c r="AX441" s="49">
        <f t="shared" si="299"/>
        <v>-63.685519064563046</v>
      </c>
      <c r="AY441" s="310"/>
      <c r="BA441" s="31">
        <f t="shared" si="300"/>
        <v>0</v>
      </c>
      <c r="BB441" s="31">
        <f t="shared" si="301"/>
        <v>0</v>
      </c>
    </row>
    <row r="442" spans="14:54" x14ac:dyDescent="0.45">
      <c r="N442" s="10">
        <v>24</v>
      </c>
      <c r="O442" s="50">
        <f t="shared" si="302"/>
        <v>173780.0828749378</v>
      </c>
      <c r="P442" s="48" t="str">
        <f t="shared" si="265"/>
        <v>17.4002386318441</v>
      </c>
      <c r="Q442" s="17" t="str">
        <f t="shared" si="266"/>
        <v>1+93.5122008957401i</v>
      </c>
      <c r="R442" s="17">
        <f t="shared" si="276"/>
        <v>93.517547638746677</v>
      </c>
      <c r="S442" s="17">
        <f t="shared" si="277"/>
        <v>1.5601029426805637</v>
      </c>
      <c r="T442" s="17" t="str">
        <f t="shared" si="267"/>
        <v>1+0.327567739020078i</v>
      </c>
      <c r="U442" s="17">
        <f t="shared" si="278"/>
        <v>1.0522835281646892</v>
      </c>
      <c r="V442" s="17">
        <f t="shared" si="279"/>
        <v>0.31655257541753656</v>
      </c>
      <c r="W442" s="31" t="str">
        <f t="shared" si="268"/>
        <v>1-0.808148979713934i</v>
      </c>
      <c r="X442" s="17">
        <f t="shared" si="280"/>
        <v>1.2857312212949767</v>
      </c>
      <c r="Y442" s="17">
        <f t="shared" si="281"/>
        <v>-0.67969011819399416</v>
      </c>
      <c r="Z442" s="31" t="str">
        <f t="shared" si="269"/>
        <v>0.972608147660753+1.13024472337448i</v>
      </c>
      <c r="AA442" s="17">
        <f t="shared" si="282"/>
        <v>1.4911135917870024</v>
      </c>
      <c r="AB442" s="17">
        <f t="shared" si="283"/>
        <v>0.86022141466128932</v>
      </c>
      <c r="AC442" s="66" t="str">
        <f t="shared" si="284"/>
        <v>-0.15811278950067-0.0591769164032528i</v>
      </c>
      <c r="AD442" s="64">
        <f t="shared" si="285"/>
        <v>-15.451313437640726</v>
      </c>
      <c r="AE442" s="61">
        <f t="shared" si="286"/>
        <v>-159.48061931224393</v>
      </c>
      <c r="AF442" s="31" t="str">
        <f t="shared" si="270"/>
        <v>-9090.90909090909</v>
      </c>
      <c r="AG442" s="31" t="str">
        <f t="shared" si="271"/>
        <v>1091892.46340026i</v>
      </c>
      <c r="AH442" s="31">
        <f t="shared" si="287"/>
        <v>1091892.4634002601</v>
      </c>
      <c r="AI442" s="31">
        <f t="shared" si="288"/>
        <v>1.5707963267948966</v>
      </c>
      <c r="AJ442" s="31" t="str">
        <f t="shared" si="272"/>
        <v>-4318.13623677712+378.064489774951i</v>
      </c>
      <c r="AK442" s="31">
        <f t="shared" si="289"/>
        <v>4334.6549248811561</v>
      </c>
      <c r="AL442" s="31">
        <f t="shared" si="290"/>
        <v>3.0542626405451996</v>
      </c>
      <c r="AM442" s="31" t="str">
        <f t="shared" si="273"/>
        <v>1+1438.89588826886i</v>
      </c>
      <c r="AN442" s="31">
        <f t="shared" si="291"/>
        <v>1438.8962357574753</v>
      </c>
      <c r="AO442" s="31">
        <f t="shared" si="292"/>
        <v>1.5701013495924769</v>
      </c>
      <c r="AP442" s="31" t="str">
        <f t="shared" si="274"/>
        <v>1+240.216341948057i</v>
      </c>
      <c r="AQ442" s="31">
        <f t="shared" si="293"/>
        <v>240.21842339609563</v>
      </c>
      <c r="AR442" s="31">
        <f t="shared" si="294"/>
        <v>1.5666334367294974</v>
      </c>
      <c r="AS442" s="58" t="str">
        <f t="shared" si="295"/>
        <v>-0.0546919701301391+0.661652667322947i</v>
      </c>
      <c r="AT442" s="49">
        <f t="shared" si="296"/>
        <v>-3.5578258894049206</v>
      </c>
      <c r="AU442" s="61">
        <f t="shared" si="297"/>
        <v>94.725305880396874</v>
      </c>
      <c r="AV442" s="58" t="str">
        <f t="shared" si="275"/>
        <v>0.0478020645427229-0.10137924676667i</v>
      </c>
      <c r="AW442" s="64">
        <f t="shared" si="298"/>
        <v>-19.009139327045613</v>
      </c>
      <c r="AX442" s="49">
        <f t="shared" si="299"/>
        <v>-64.755313431847171</v>
      </c>
      <c r="AY442" s="310"/>
      <c r="BA442" s="31">
        <f t="shared" si="300"/>
        <v>0</v>
      </c>
      <c r="BB442" s="31">
        <f t="shared" si="301"/>
        <v>0</v>
      </c>
    </row>
    <row r="443" spans="14:54" x14ac:dyDescent="0.45">
      <c r="N443" s="10">
        <v>25</v>
      </c>
      <c r="O443" s="50">
        <f t="shared" si="302"/>
        <v>177827.94100389251</v>
      </c>
      <c r="P443" s="48" t="str">
        <f t="shared" si="265"/>
        <v>17.4002386318441</v>
      </c>
      <c r="Q443" s="17" t="str">
        <f t="shared" si="266"/>
        <v>1+95.6903798693613i</v>
      </c>
      <c r="R443" s="17">
        <f t="shared" si="276"/>
        <v>95.695604912360878</v>
      </c>
      <c r="S443" s="17">
        <f t="shared" si="277"/>
        <v>1.5603463358937191</v>
      </c>
      <c r="T443" s="17" t="str">
        <f t="shared" si="267"/>
        <v>1+0.335197771836498i</v>
      </c>
      <c r="U443" s="17">
        <f t="shared" si="278"/>
        <v>1.0546836237678829</v>
      </c>
      <c r="V443" s="17">
        <f t="shared" si="279"/>
        <v>0.3234276094465604</v>
      </c>
      <c r="W443" s="31" t="str">
        <f t="shared" si="268"/>
        <v>1-0.826973187660113i</v>
      </c>
      <c r="X443" s="17">
        <f t="shared" si="280"/>
        <v>1.2976458118873302</v>
      </c>
      <c r="Y443" s="17">
        <f t="shared" si="281"/>
        <v>-0.69097298774287996</v>
      </c>
      <c r="Z443" s="31" t="str">
        <f t="shared" si="269"/>
        <v>0.971317209431579+1.15657150499141i</v>
      </c>
      <c r="AA443" s="17">
        <f t="shared" si="282"/>
        <v>1.5103359783492032</v>
      </c>
      <c r="AB443" s="17">
        <f t="shared" si="283"/>
        <v>0.87223934467269693</v>
      </c>
      <c r="AC443" s="66" t="str">
        <f t="shared" si="284"/>
        <v>-0.155253587978714-0.0551743637705208i</v>
      </c>
      <c r="AD443" s="64">
        <f t="shared" si="285"/>
        <v>-15.662639672143809</v>
      </c>
      <c r="AE443" s="61">
        <f t="shared" si="286"/>
        <v>-160.43569175633286</v>
      </c>
      <c r="AF443" s="31" t="str">
        <f t="shared" si="270"/>
        <v>-9090.90909090909</v>
      </c>
      <c r="AG443" s="31" t="str">
        <f t="shared" si="271"/>
        <v>1117325.90612166i</v>
      </c>
      <c r="AH443" s="31">
        <f t="shared" si="287"/>
        <v>1117325.90612166</v>
      </c>
      <c r="AI443" s="31">
        <f t="shared" si="288"/>
        <v>1.5707963267948966</v>
      </c>
      <c r="AJ443" s="31" t="str">
        <f t="shared" si="272"/>
        <v>-4521.69085645048+386.870743016906i</v>
      </c>
      <c r="AK443" s="31">
        <f t="shared" si="289"/>
        <v>4538.2107898499298</v>
      </c>
      <c r="AL443" s="31">
        <f t="shared" si="290"/>
        <v>3.0562416479283043</v>
      </c>
      <c r="AM443" s="31" t="str">
        <f t="shared" si="273"/>
        <v>1+1472.41207908712i</v>
      </c>
      <c r="AN443" s="31">
        <f t="shared" si="291"/>
        <v>1472.4124186659305</v>
      </c>
      <c r="AO443" s="31">
        <f t="shared" si="292"/>
        <v>1.5701171692000551</v>
      </c>
      <c r="AP443" s="31" t="str">
        <f t="shared" si="274"/>
        <v>1+245.811699346765i</v>
      </c>
      <c r="AQ443" s="31">
        <f t="shared" si="293"/>
        <v>245.81373341565845</v>
      </c>
      <c r="AR443" s="31">
        <f t="shared" si="294"/>
        <v>1.5667281946185807</v>
      </c>
      <c r="AS443" s="58" t="str">
        <f t="shared" si="295"/>
        <v>-0.0522472086892832+0.646794130396305i</v>
      </c>
      <c r="AT443" s="49">
        <f t="shared" si="296"/>
        <v>-3.7564320581962103</v>
      </c>
      <c r="AU443" s="61">
        <f t="shared" si="297"/>
        <v>94.618252733587553</v>
      </c>
      <c r="AV443" s="58" t="str">
        <f t="shared" si="275"/>
        <v>0.0437980212460072-0.0975344029293817i</v>
      </c>
      <c r="AW443" s="64">
        <f t="shared" si="298"/>
        <v>-19.419071730340022</v>
      </c>
      <c r="AX443" s="49">
        <f t="shared" si="299"/>
        <v>-65.817439022745333</v>
      </c>
      <c r="AY443" s="310"/>
      <c r="BA443" s="31">
        <f t="shared" si="300"/>
        <v>0</v>
      </c>
      <c r="BB443" s="31">
        <f t="shared" si="301"/>
        <v>0</v>
      </c>
    </row>
    <row r="444" spans="14:54" x14ac:dyDescent="0.45">
      <c r="N444" s="10">
        <v>26</v>
      </c>
      <c r="O444" s="50">
        <f t="shared" si="302"/>
        <v>181970.08586099857</v>
      </c>
      <c r="P444" s="48" t="str">
        <f t="shared" si="265"/>
        <v>17.4002386318441</v>
      </c>
      <c r="Q444" s="17" t="str">
        <f t="shared" si="266"/>
        <v>1+97.919295149i</v>
      </c>
      <c r="R444" s="17">
        <f t="shared" si="276"/>
        <v>97.924401261774264</v>
      </c>
      <c r="S444" s="17">
        <f t="shared" si="277"/>
        <v>1.5605841899973698</v>
      </c>
      <c r="T444" s="17" t="str">
        <f t="shared" si="267"/>
        <v>1+0.343005530948409i</v>
      </c>
      <c r="U444" s="17">
        <f t="shared" si="278"/>
        <v>1.0571909923288223</v>
      </c>
      <c r="V444" s="17">
        <f t="shared" si="279"/>
        <v>0.33043012848585013</v>
      </c>
      <c r="W444" s="31" t="str">
        <f t="shared" si="268"/>
        <v>1-0.846235867736665i</v>
      </c>
      <c r="X444" s="17">
        <f t="shared" si="280"/>
        <v>1.3100057800803881</v>
      </c>
      <c r="Y444" s="17">
        <f t="shared" si="281"/>
        <v>-0.70230472836029134</v>
      </c>
      <c r="Z444" s="31" t="str">
        <f t="shared" si="269"/>
        <v>0.969965431158042+1.1835115161293i</v>
      </c>
      <c r="AA444" s="17">
        <f t="shared" si="282"/>
        <v>1.5302066678891058</v>
      </c>
      <c r="AB444" s="17">
        <f t="shared" si="283"/>
        <v>0.88423842559761157</v>
      </c>
      <c r="AC444" s="66" t="str">
        <f t="shared" si="284"/>
        <v>-0.152406838300753-0.0513353975950906i</v>
      </c>
      <c r="AD444" s="64">
        <f t="shared" si="285"/>
        <v>-15.873182890774419</v>
      </c>
      <c r="AE444" s="61">
        <f t="shared" si="286"/>
        <v>-161.38486261264879</v>
      </c>
      <c r="AF444" s="31" t="str">
        <f t="shared" si="270"/>
        <v>-9090.90909090909</v>
      </c>
      <c r="AG444" s="31" t="str">
        <f t="shared" si="271"/>
        <v>1143351.76982803i</v>
      </c>
      <c r="AH444" s="31">
        <f t="shared" si="287"/>
        <v>1143351.7698280299</v>
      </c>
      <c r="AI444" s="31">
        <f t="shared" si="288"/>
        <v>1.5707963267948966</v>
      </c>
      <c r="AJ444" s="31" t="str">
        <f t="shared" si="272"/>
        <v>-4734.838709798+395.882120247648i</v>
      </c>
      <c r="AK444" s="31">
        <f t="shared" si="289"/>
        <v>4751.3598328197968</v>
      </c>
      <c r="AL444" s="31">
        <f t="shared" si="290"/>
        <v>3.0581761962764067</v>
      </c>
      <c r="AM444" s="31" t="str">
        <f t="shared" si="273"/>
        <v>1+1506.70896227938i</v>
      </c>
      <c r="AN444" s="31">
        <f t="shared" si="291"/>
        <v>1506.709294128435</v>
      </c>
      <c r="AO444" s="31">
        <f t="shared" si="292"/>
        <v>1.5701326287097299</v>
      </c>
      <c r="AP444" s="31" t="str">
        <f t="shared" si="274"/>
        <v>1+251.537389362166i</v>
      </c>
      <c r="AQ444" s="31">
        <f t="shared" si="293"/>
        <v>251.53937713036882</v>
      </c>
      <c r="AR444" s="31">
        <f t="shared" si="294"/>
        <v>1.5668207956253657</v>
      </c>
      <c r="AS444" s="58" t="str">
        <f t="shared" si="295"/>
        <v>-0.0499110125650004+0.632260416765982i</v>
      </c>
      <c r="AT444" s="49">
        <f t="shared" si="296"/>
        <v>-3.9551005407918307</v>
      </c>
      <c r="AU444" s="61">
        <f t="shared" si="297"/>
        <v>94.51360268950242</v>
      </c>
      <c r="AV444" s="58" t="str">
        <f t="shared" si="275"/>
        <v>0.0400641194997402-0.0937986094276219i</v>
      </c>
      <c r="AW444" s="64">
        <f t="shared" si="298"/>
        <v>-19.828283431566248</v>
      </c>
      <c r="AX444" s="49">
        <f t="shared" si="299"/>
        <v>-66.871259923146425</v>
      </c>
      <c r="AY444" s="310"/>
      <c r="BA444" s="31">
        <f t="shared" si="300"/>
        <v>0</v>
      </c>
      <c r="BB444" s="31">
        <f t="shared" si="301"/>
        <v>0</v>
      </c>
    </row>
    <row r="445" spans="14:54" x14ac:dyDescent="0.45">
      <c r="N445" s="10">
        <v>27</v>
      </c>
      <c r="O445" s="50">
        <f t="shared" si="302"/>
        <v>186208.71366628664</v>
      </c>
      <c r="P445" s="48" t="str">
        <f t="shared" si="265"/>
        <v>17.4002386318441</v>
      </c>
      <c r="Q445" s="17" t="str">
        <f t="shared" si="266"/>
        <v>1+100.200128535042i</v>
      </c>
      <c r="R445" s="17">
        <f t="shared" si="276"/>
        <v>100.20511842435464</v>
      </c>
      <c r="S445" s="17">
        <f t="shared" si="277"/>
        <v>1.5608166309971965</v>
      </c>
      <c r="T445" s="17" t="str">
        <f t="shared" si="267"/>
        <v>1+0.350995156133046i</v>
      </c>
      <c r="U445" s="17">
        <f t="shared" si="278"/>
        <v>1.0598101715066057</v>
      </c>
      <c r="V445" s="17">
        <f t="shared" si="279"/>
        <v>0.33756109749603763</v>
      </c>
      <c r="W445" s="31" t="str">
        <f t="shared" si="268"/>
        <v>1-0.865947233271552i</v>
      </c>
      <c r="X445" s="17">
        <f t="shared" si="280"/>
        <v>1.3228244822389159</v>
      </c>
      <c r="Y445" s="17">
        <f t="shared" si="281"/>
        <v>-0.71367970835223493</v>
      </c>
      <c r="Z445" s="31" t="str">
        <f t="shared" si="269"/>
        <v>0.968549945537186+1.21107904073868i</v>
      </c>
      <c r="AA445" s="17">
        <f t="shared" si="282"/>
        <v>1.5507422222653922</v>
      </c>
      <c r="AB445" s="17">
        <f t="shared" si="283"/>
        <v>0.8962131387655512</v>
      </c>
      <c r="AC445" s="66" t="str">
        <f t="shared" si="284"/>
        <v>-0.149575662797364-0.0476567504080127i</v>
      </c>
      <c r="AD445" s="64">
        <f t="shared" si="285"/>
        <v>-16.08288011073358</v>
      </c>
      <c r="AE445" s="61">
        <f t="shared" si="286"/>
        <v>-162.32744494378935</v>
      </c>
      <c r="AF445" s="31" t="str">
        <f t="shared" si="270"/>
        <v>-9090.90909090909</v>
      </c>
      <c r="AG445" s="31" t="str">
        <f t="shared" si="271"/>
        <v>1169983.85377682i</v>
      </c>
      <c r="AH445" s="31">
        <f t="shared" si="287"/>
        <v>1169983.85377682</v>
      </c>
      <c r="AI445" s="31">
        <f t="shared" si="288"/>
        <v>1.5707963267948966</v>
      </c>
      <c r="AJ445" s="31" t="str">
        <f t="shared" si="272"/>
        <v>-4958.03191199401+405.103399418665i</v>
      </c>
      <c r="AK445" s="31">
        <f t="shared" si="289"/>
        <v>4974.5541714380333</v>
      </c>
      <c r="AL445" s="31">
        <f t="shared" si="290"/>
        <v>3.0600672586469826</v>
      </c>
      <c r="AM445" s="31" t="str">
        <f t="shared" si="273"/>
        <v>1+1541.80472250709i</v>
      </c>
      <c r="AN445" s="31">
        <f t="shared" si="291"/>
        <v>1541.8050468023396</v>
      </c>
      <c r="AO445" s="31">
        <f t="shared" si="292"/>
        <v>1.5701477363183085</v>
      </c>
      <c r="AP445" s="31" t="str">
        <f t="shared" si="274"/>
        <v>1+257.3964478309i</v>
      </c>
      <c r="AQ445" s="31">
        <f t="shared" si="293"/>
        <v>257.39839035231984</v>
      </c>
      <c r="AR445" s="31">
        <f t="shared" si="294"/>
        <v>1.5669112888417753</v>
      </c>
      <c r="AS445" s="58" t="str">
        <f t="shared" si="295"/>
        <v>-0.0476786233658596+0.618045014006711i</v>
      </c>
      <c r="AT445" s="49">
        <f t="shared" si="296"/>
        <v>-4.1538285692356469</v>
      </c>
      <c r="AU445" s="61">
        <f t="shared" si="297"/>
        <v>94.411303278457368</v>
      </c>
      <c r="AV445" s="58" t="str">
        <f t="shared" si="275"/>
        <v>0.0365855786646489-0.0901722843551155i</v>
      </c>
      <c r="AW445" s="64">
        <f t="shared" si="298"/>
        <v>-20.236708679969226</v>
      </c>
      <c r="AX445" s="49">
        <f t="shared" si="299"/>
        <v>-67.916141665331978</v>
      </c>
      <c r="AY445" s="310"/>
      <c r="BA445" s="31">
        <f t="shared" si="300"/>
        <v>0</v>
      </c>
      <c r="BB445" s="31">
        <f t="shared" si="301"/>
        <v>0</v>
      </c>
    </row>
    <row r="446" spans="14:54" x14ac:dyDescent="0.45">
      <c r="N446" s="10">
        <v>28</v>
      </c>
      <c r="O446" s="50">
        <f t="shared" si="302"/>
        <v>190546.07179632492</v>
      </c>
      <c r="P446" s="48" t="str">
        <f t="shared" si="265"/>
        <v>17.4002386318441</v>
      </c>
      <c r="Q446" s="17" t="str">
        <f t="shared" si="266"/>
        <v>1+102.534089355541i</v>
      </c>
      <c r="R446" s="17">
        <f t="shared" si="276"/>
        <v>102.53896566657022</v>
      </c>
      <c r="S446" s="17">
        <f t="shared" si="277"/>
        <v>1.5610437820359682</v>
      </c>
      <c r="T446" s="17" t="str">
        <f t="shared" si="267"/>
        <v>1+0.359170883595438i</v>
      </c>
      <c r="U446" s="17">
        <f t="shared" si="278"/>
        <v>1.062545868950008</v>
      </c>
      <c r="V446" s="17">
        <f t="shared" si="279"/>
        <v>0.3448213955635348</v>
      </c>
      <c r="W446" s="31" t="str">
        <f t="shared" si="268"/>
        <v>1-0.886117735491693i</v>
      </c>
      <c r="X446" s="17">
        <f t="shared" si="280"/>
        <v>1.3361155044205295</v>
      </c>
      <c r="Y446" s="17">
        <f t="shared" si="281"/>
        <v>-0.72509218525338315</v>
      </c>
      <c r="Z446" s="31" t="str">
        <f t="shared" si="269"/>
        <v>0.967067750134231+1.239288695486i</v>
      </c>
      <c r="AA446" s="17">
        <f t="shared" si="282"/>
        <v>1.5719594473487777</v>
      </c>
      <c r="AB446" s="17">
        <f t="shared" si="283"/>
        <v>0.90815807102240165</v>
      </c>
      <c r="AC446" s="66" t="str">
        <f t="shared" si="284"/>
        <v>-0.146763095164319-0.0441350455764876i</v>
      </c>
      <c r="AD446" s="64">
        <f t="shared" si="285"/>
        <v>-16.291667505963094</v>
      </c>
      <c r="AE446" s="61">
        <f t="shared" si="286"/>
        <v>-163.2627562674619</v>
      </c>
      <c r="AF446" s="31" t="str">
        <f t="shared" si="270"/>
        <v>-9090.90909090909</v>
      </c>
      <c r="AG446" s="31" t="str">
        <f t="shared" si="271"/>
        <v>1197236.27865146i</v>
      </c>
      <c r="AH446" s="31">
        <f t="shared" si="287"/>
        <v>1197236.2786514601</v>
      </c>
      <c r="AI446" s="31">
        <f t="shared" si="288"/>
        <v>1.5707963267948966</v>
      </c>
      <c r="AJ446" s="31" t="str">
        <f t="shared" si="272"/>
        <v>-5191.74388574446+414.539469774231i</v>
      </c>
      <c r="AK446" s="31">
        <f t="shared" si="289"/>
        <v>5208.2672307750963</v>
      </c>
      <c r="AL446" s="31">
        <f t="shared" si="290"/>
        <v>3.0619157885115573</v>
      </c>
      <c r="AM446" s="31" t="str">
        <f t="shared" si="273"/>
        <v>1+1577.71796800689i</v>
      </c>
      <c r="AN446" s="31">
        <f t="shared" si="291"/>
        <v>1577.7182849202802</v>
      </c>
      <c r="AO446" s="31">
        <f t="shared" si="292"/>
        <v>1.5701625000360171</v>
      </c>
      <c r="AP446" s="31" t="str">
        <f t="shared" si="274"/>
        <v>1+263.391981303321i</v>
      </c>
      <c r="AQ446" s="31">
        <f t="shared" si="293"/>
        <v>263.39387960787735</v>
      </c>
      <c r="AR446" s="31">
        <f t="shared" si="294"/>
        <v>1.5669997222425796</v>
      </c>
      <c r="AS446" s="58" t="str">
        <f t="shared" si="295"/>
        <v>-0.0455454857715933+0.604141500480828i</v>
      </c>
      <c r="AT446" s="49">
        <f t="shared" si="296"/>
        <v>-4.3526134969570602</v>
      </c>
      <c r="AU446" s="61">
        <f t="shared" si="297"/>
        <v>94.311303078262029</v>
      </c>
      <c r="AV446" s="58" t="str">
        <f t="shared" si="275"/>
        <v>0.0333482091209704-0.0866555244374497i</v>
      </c>
      <c r="AW446" s="64">
        <f t="shared" si="298"/>
        <v>-20.644281002920156</v>
      </c>
      <c r="AX446" s="49">
        <f t="shared" si="299"/>
        <v>-68.95145318919991</v>
      </c>
      <c r="AY446" s="310"/>
      <c r="BA446" s="31">
        <f t="shared" si="300"/>
        <v>0</v>
      </c>
      <c r="BB446" s="31">
        <f t="shared" si="301"/>
        <v>0</v>
      </c>
    </row>
    <row r="447" spans="14:54" x14ac:dyDescent="0.45">
      <c r="N447" s="10">
        <v>29</v>
      </c>
      <c r="O447" s="50">
        <f t="shared" si="302"/>
        <v>194984.45997580473</v>
      </c>
      <c r="P447" s="48" t="str">
        <f t="shared" si="265"/>
        <v>17.4002386318441</v>
      </c>
      <c r="Q447" s="17" t="str">
        <f t="shared" si="266"/>
        <v>1+104.922415107413i</v>
      </c>
      <c r="R447" s="17">
        <f t="shared" si="276"/>
        <v>104.92718042515146</v>
      </c>
      <c r="S447" s="17">
        <f t="shared" si="277"/>
        <v>1.5612657634583547</v>
      </c>
      <c r="T447" s="17" t="str">
        <f t="shared" si="267"/>
        <v>1+0.367537048214496i</v>
      </c>
      <c r="U447" s="17">
        <f t="shared" si="278"/>
        <v>1.065402966867572</v>
      </c>
      <c r="V447" s="17">
        <f t="shared" si="279"/>
        <v>0.352211809608521</v>
      </c>
      <c r="W447" s="31" t="str">
        <f t="shared" si="268"/>
        <v>1-0.906758069064335i</v>
      </c>
      <c r="X447" s="17">
        <f t="shared" si="280"/>
        <v>1.3498926608487363</v>
      </c>
      <c r="Y447" s="17">
        <f t="shared" si="281"/>
        <v>-0.73653631971318756</v>
      </c>
      <c r="Z447" s="31" t="str">
        <f t="shared" si="269"/>
        <v>0.965515701014008+1.26815543750358i</v>
      </c>
      <c r="AA447" s="17">
        <f t="shared" si="282"/>
        <v>1.5938753974431212</v>
      </c>
      <c r="AB447" s="17">
        <f t="shared" si="283"/>
        <v>0.92006792870988696</v>
      </c>
      <c r="AC447" s="66" t="str">
        <f t="shared" si="284"/>
        <v>-0.143972070093177-0.0407668035054512i</v>
      </c>
      <c r="AD447" s="64">
        <f t="shared" si="285"/>
        <v>-16.499480549141239</v>
      </c>
      <c r="AE447" s="61">
        <f t="shared" si="286"/>
        <v>-164.19012051728453</v>
      </c>
      <c r="AF447" s="31" t="str">
        <f t="shared" si="270"/>
        <v>-9090.90909090909</v>
      </c>
      <c r="AG447" s="31" t="str">
        <f t="shared" si="271"/>
        <v>1225123.49404832i</v>
      </c>
      <c r="AH447" s="31">
        <f t="shared" si="287"/>
        <v>1225123.49404832</v>
      </c>
      <c r="AI447" s="31">
        <f t="shared" si="288"/>
        <v>1.5707963267948966</v>
      </c>
      <c r="AJ447" s="31" t="str">
        <f t="shared" si="272"/>
        <v>-5436.47036547969+424.19533444375i</v>
      </c>
      <c r="AK447" s="31">
        <f t="shared" si="289"/>
        <v>5452.9947475220188</v>
      </c>
      <c r="AL447" s="31">
        <f t="shared" si="290"/>
        <v>3.0637227200343529</v>
      </c>
      <c r="AM447" s="31" t="str">
        <f t="shared" si="273"/>
        <v>1+1614.46774045688i</v>
      </c>
      <c r="AN447" s="31">
        <f t="shared" si="291"/>
        <v>1614.4680501564419</v>
      </c>
      <c r="AO447" s="31">
        <f t="shared" si="292"/>
        <v>1.5701769276907487</v>
      </c>
      <c r="AP447" s="31" t="str">
        <f t="shared" si="274"/>
        <v>1+269.52716869063i</v>
      </c>
      <c r="AQ447" s="31">
        <f t="shared" si="293"/>
        <v>269.52902378480002</v>
      </c>
      <c r="AR447" s="31">
        <f t="shared" si="294"/>
        <v>1.5670861427108016</v>
      </c>
      <c r="AS447" s="58" t="str">
        <f t="shared" si="295"/>
        <v>-0.043507239349181+0.590543546958488i</v>
      </c>
      <c r="AT447" s="49">
        <f t="shared" si="296"/>
        <v>-4.5514527935850611</v>
      </c>
      <c r="AU447" s="61">
        <f t="shared" si="297"/>
        <v>94.213551699953769</v>
      </c>
      <c r="AV447" s="58" t="str">
        <f t="shared" si="275"/>
        <v>0.0303384000534098-0.0832481258581681i</v>
      </c>
      <c r="AW447" s="64">
        <f t="shared" si="298"/>
        <v>-21.050933342726296</v>
      </c>
      <c r="AX447" s="49">
        <f t="shared" si="299"/>
        <v>-69.976568817330744</v>
      </c>
      <c r="AY447" s="310"/>
      <c r="BA447" s="31">
        <f t="shared" si="300"/>
        <v>0</v>
      </c>
      <c r="BB447" s="31">
        <f t="shared" si="301"/>
        <v>0</v>
      </c>
    </row>
    <row r="448" spans="14:54" x14ac:dyDescent="0.45">
      <c r="N448" s="10">
        <v>30</v>
      </c>
      <c r="O448" s="50">
        <f t="shared" si="302"/>
        <v>199526.23149688813</v>
      </c>
      <c r="P448" s="48" t="str">
        <f t="shared" si="265"/>
        <v>17.4002386318441</v>
      </c>
      <c r="Q448" s="17" t="str">
        <f t="shared" si="266"/>
        <v>1+107.366372112588i</v>
      </c>
      <c r="R448" s="17">
        <f t="shared" si="276"/>
        <v>107.37102896321107</v>
      </c>
      <c r="S448" s="17">
        <f t="shared" si="277"/>
        <v>1.5614826928742878</v>
      </c>
      <c r="T448" s="17" t="str">
        <f t="shared" si="267"/>
        <v>1+0.376098085841448i</v>
      </c>
      <c r="U448" s="17">
        <f t="shared" si="278"/>
        <v>1.0683865265780925</v>
      </c>
      <c r="V448" s="17">
        <f t="shared" si="279"/>
        <v>0.3597330279435203</v>
      </c>
      <c r="W448" s="31" t="str">
        <f t="shared" si="268"/>
        <v>1-0.927879177767564i</v>
      </c>
      <c r="X448" s="17">
        <f t="shared" si="280"/>
        <v>1.3641699925356117</v>
      </c>
      <c r="Y448" s="17">
        <f t="shared" si="281"/>
        <v>-0.74800618998515311</v>
      </c>
      <c r="Z448" s="31" t="str">
        <f t="shared" si="269"/>
        <v>0.963890506072245+1.29769457232015i</v>
      </c>
      <c r="AA448" s="17">
        <f t="shared" si="282"/>
        <v>1.616507380349804</v>
      </c>
      <c r="AB448" s="17">
        <f t="shared" si="283"/>
        <v>0.93193755095983877</v>
      </c>
      <c r="AC448" s="66" t="str">
        <f t="shared" si="284"/>
        <v>-0.141205413655808-0.0375484486885683i</v>
      </c>
      <c r="AD448" s="64">
        <f t="shared" si="285"/>
        <v>-16.706254156271637</v>
      </c>
      <c r="AE448" s="61">
        <f t="shared" si="286"/>
        <v>-165.10887000736065</v>
      </c>
      <c r="AF448" s="31" t="str">
        <f t="shared" si="270"/>
        <v>-9090.90909090909</v>
      </c>
      <c r="AG448" s="31" t="str">
        <f t="shared" si="271"/>
        <v>1253660.28613816i</v>
      </c>
      <c r="AH448" s="31">
        <f t="shared" si="287"/>
        <v>1253660.2861381599</v>
      </c>
      <c r="AI448" s="31">
        <f t="shared" si="288"/>
        <v>1.5707963267948966</v>
      </c>
      <c r="AJ448" s="31" t="str">
        <f t="shared" si="272"/>
        <v>-5692.73044887457+434.076113094481i</v>
      </c>
      <c r="AK448" s="31">
        <f t="shared" si="289"/>
        <v>5709.2558215149975</v>
      </c>
      <c r="AL448" s="31">
        <f t="shared" si="290"/>
        <v>3.0654889683553432</v>
      </c>
      <c r="AM448" s="31" t="str">
        <f t="shared" si="273"/>
        <v>1+1652.07352507287i</v>
      </c>
      <c r="AN448" s="31">
        <f t="shared" si="291"/>
        <v>1652.0738277228106</v>
      </c>
      <c r="AO448" s="31">
        <f t="shared" si="292"/>
        <v>1.5701910269322126</v>
      </c>
      <c r="AP448" s="31" t="str">
        <f t="shared" si="274"/>
        <v>1+275.805262950395i</v>
      </c>
      <c r="AQ448" s="31">
        <f t="shared" si="293"/>
        <v>275.8070758177472</v>
      </c>
      <c r="AR448" s="31">
        <f t="shared" si="294"/>
        <v>1.5671705960625517</v>
      </c>
      <c r="AS448" s="58" t="str">
        <f t="shared" si="295"/>
        <v>-0.0415597106557228+0.577244917970668i</v>
      </c>
      <c r="AT448" s="49">
        <f t="shared" si="296"/>
        <v>-4.7503440399722416</v>
      </c>
      <c r="AU448" s="61">
        <f t="shared" si="297"/>
        <v>94.117999773240172</v>
      </c>
      <c r="AV448" s="58" t="str">
        <f t="shared" si="275"/>
        <v>0.0275431073177155-0.079949604759693i</v>
      </c>
      <c r="AW448" s="64">
        <f t="shared" si="298"/>
        <v>-21.456598196243878</v>
      </c>
      <c r="AX448" s="49">
        <f t="shared" si="299"/>
        <v>-70.99087023412045</v>
      </c>
      <c r="AY448" s="310"/>
      <c r="BA448" s="31">
        <f t="shared" si="300"/>
        <v>0</v>
      </c>
      <c r="BB448" s="31">
        <f t="shared" si="301"/>
        <v>0</v>
      </c>
    </row>
    <row r="449" spans="14:54" x14ac:dyDescent="0.45">
      <c r="N449" s="10">
        <v>31</v>
      </c>
      <c r="O449" s="50">
        <f t="shared" si="302"/>
        <v>204173.79446695308</v>
      </c>
      <c r="P449" s="48" t="str">
        <f t="shared" si="265"/>
        <v>17.4002386318441</v>
      </c>
      <c r="Q449" s="17" t="str">
        <f t="shared" si="266"/>
        <v>1+109.867256189419i</v>
      </c>
      <c r="R449" s="17">
        <f t="shared" si="276"/>
        <v>109.87180704162205</v>
      </c>
      <c r="S449" s="17">
        <f t="shared" si="277"/>
        <v>1.5616946852209015</v>
      </c>
      <c r="T449" s="17" t="str">
        <f t="shared" si="267"/>
        <v>1+0.384858535651758i</v>
      </c>
      <c r="U449" s="17">
        <f t="shared" si="278"/>
        <v>1.0715017930288384</v>
      </c>
      <c r="V449" s="17">
        <f t="shared" si="279"/>
        <v>0.36738563370004496</v>
      </c>
      <c r="W449" s="31" t="str">
        <f t="shared" si="268"/>
        <v>1-0.949492260292773i</v>
      </c>
      <c r="X449" s="17">
        <f t="shared" si="280"/>
        <v>1.3789617660964639</v>
      </c>
      <c r="Y449" s="17">
        <f t="shared" si="281"/>
        <v>-0.75949580693451857</v>
      </c>
      <c r="Z449" s="31" t="str">
        <f t="shared" si="269"/>
        <v>0.962188718052578+1.32792176197597i</v>
      </c>
      <c r="AA449" s="17">
        <f t="shared" si="282"/>
        <v>1.6398729630910525</v>
      </c>
      <c r="AB449" s="17">
        <f t="shared" si="283"/>
        <v>0.94376192223394184</v>
      </c>
      <c r="AC449" s="66" t="str">
        <f t="shared" si="284"/>
        <v>-0.138465834513325-0.034476317517518i</v>
      </c>
      <c r="AD449" s="64">
        <f t="shared" si="285"/>
        <v>-16.91192283295419</v>
      </c>
      <c r="AE449" s="61">
        <f t="shared" si="286"/>
        <v>-166.01834739080687</v>
      </c>
      <c r="AF449" s="31" t="str">
        <f t="shared" si="270"/>
        <v>-9090.90909090909</v>
      </c>
      <c r="AG449" s="31" t="str">
        <f t="shared" si="271"/>
        <v>1282861.78550586i</v>
      </c>
      <c r="AH449" s="31">
        <f t="shared" si="287"/>
        <v>1282861.7855058601</v>
      </c>
      <c r="AI449" s="31">
        <f t="shared" si="288"/>
        <v>1.5707963267948966</v>
      </c>
      <c r="AJ449" s="31" t="str">
        <f t="shared" si="272"/>
        <v>-5961.06769792318+444.18704464605i</v>
      </c>
      <c r="AK449" s="31">
        <f t="shared" si="289"/>
        <v>5977.5940168143361</v>
      </c>
      <c r="AL449" s="31">
        <f t="shared" si="290"/>
        <v>3.0672154298769088</v>
      </c>
      <c r="AM449" s="31" t="str">
        <f t="shared" si="273"/>
        <v>1+1690.55526093962i</v>
      </c>
      <c r="AN449" s="31">
        <f t="shared" si="291"/>
        <v>1690.5555567004083</v>
      </c>
      <c r="AO449" s="31">
        <f t="shared" si="292"/>
        <v>1.5702048052359907</v>
      </c>
      <c r="AP449" s="31" t="str">
        <f t="shared" si="274"/>
        <v>1+282.229592811289i</v>
      </c>
      <c r="AQ449" s="31">
        <f t="shared" si="293"/>
        <v>282.23136441300426</v>
      </c>
      <c r="AR449" s="31">
        <f t="shared" si="294"/>
        <v>1.5672531270712931</v>
      </c>
      <c r="AS449" s="58" t="str">
        <f t="shared" si="295"/>
        <v>-0.039698905622085+0.564239472914895i</v>
      </c>
      <c r="AT449" s="49">
        <f t="shared" si="296"/>
        <v>-4.9492849234191727</v>
      </c>
      <c r="AU449" s="61">
        <f t="shared" si="297"/>
        <v>94.024598931697895</v>
      </c>
      <c r="AV449" s="58" t="str">
        <f t="shared" si="275"/>
        <v>0.0249498413203586-0.0767592174071946i</v>
      </c>
      <c r="AW449" s="64">
        <f t="shared" si="298"/>
        <v>-21.861207756373361</v>
      </c>
      <c r="AX449" s="49">
        <f t="shared" si="299"/>
        <v>-71.993748459109028</v>
      </c>
      <c r="AY449" s="310"/>
      <c r="BA449" s="31">
        <f t="shared" si="300"/>
        <v>0</v>
      </c>
      <c r="BB449" s="31">
        <f t="shared" si="301"/>
        <v>0</v>
      </c>
    </row>
    <row r="450" spans="14:54" x14ac:dyDescent="0.45">
      <c r="N450" s="10">
        <v>32</v>
      </c>
      <c r="O450" s="50">
        <f t="shared" si="302"/>
        <v>208929.61308540447</v>
      </c>
      <c r="P450" s="48" t="str">
        <f t="shared" si="265"/>
        <v>17.4002386318441</v>
      </c>
      <c r="Q450" s="17" t="str">
        <f t="shared" si="266"/>
        <v>1+112.426393339747i</v>
      </c>
      <c r="R450" s="17">
        <f t="shared" si="276"/>
        <v>112.43084060605216</v>
      </c>
      <c r="S450" s="17">
        <f t="shared" si="277"/>
        <v>1.5619018528230837</v>
      </c>
      <c r="T450" s="17" t="str">
        <f t="shared" si="267"/>
        <v>1+0.393823042551879i</v>
      </c>
      <c r="U450" s="17">
        <f t="shared" si="278"/>
        <v>1.0747541992682881</v>
      </c>
      <c r="V450" s="17">
        <f t="shared" si="279"/>
        <v>0.37517009814353791</v>
      </c>
      <c r="W450" s="31" t="str">
        <f t="shared" si="268"/>
        <v>1-0.971608776182414i</v>
      </c>
      <c r="X450" s="17">
        <f t="shared" si="280"/>
        <v>1.3942824727990697</v>
      </c>
      <c r="Y450" s="17">
        <f t="shared" si="281"/>
        <v>-0.77099912947381943</v>
      </c>
      <c r="Z450" s="31" t="str">
        <f t="shared" si="269"/>
        <v>0.960406727234452+1.35885303332713i</v>
      </c>
      <c r="AA450" s="17">
        <f t="shared" si="282"/>
        <v>1.6639899783050178</v>
      </c>
      <c r="AB450" s="17">
        <f t="shared" si="283"/>
        <v>0.95553618404818663</v>
      </c>
      <c r="AC450" s="66" t="str">
        <f t="shared" si="284"/>
        <v>-0.135755916007945-0.0315466667523541i</v>
      </c>
      <c r="AD450" s="64">
        <f t="shared" si="285"/>
        <v>-17.116420821461354</v>
      </c>
      <c r="AE450" s="61">
        <f t="shared" si="286"/>
        <v>-166.91790760239974</v>
      </c>
      <c r="AF450" s="31" t="str">
        <f t="shared" si="270"/>
        <v>-9090.90909090909</v>
      </c>
      <c r="AG450" s="31" t="str">
        <f t="shared" si="271"/>
        <v>1312743.47517293i</v>
      </c>
      <c r="AH450" s="31">
        <f t="shared" si="287"/>
        <v>1312743.4751729299</v>
      </c>
      <c r="AI450" s="31">
        <f t="shared" si="288"/>
        <v>1.5707963267948966</v>
      </c>
      <c r="AJ450" s="31" t="str">
        <f t="shared" si="272"/>
        <v>-6242.05129190755+454.533490048202i</v>
      </c>
      <c r="AK450" s="31">
        <f t="shared" si="289"/>
        <v>6258.5785146772841</v>
      </c>
      <c r="AL450" s="31">
        <f t="shared" si="290"/>
        <v>3.0689029825534209</v>
      </c>
      <c r="AM450" s="31" t="str">
        <f t="shared" si="273"/>
        <v>1+1729.93335158289i</v>
      </c>
      <c r="AN450" s="31">
        <f t="shared" si="291"/>
        <v>1729.9336406113421</v>
      </c>
      <c r="AO450" s="31">
        <f t="shared" si="292"/>
        <v>1.5702182699075016</v>
      </c>
      <c r="AP450" s="31" t="str">
        <f t="shared" si="274"/>
        <v>1+288.803564538044i</v>
      </c>
      <c r="AQ450" s="31">
        <f t="shared" si="293"/>
        <v>288.80529581342535</v>
      </c>
      <c r="AR450" s="31">
        <f t="shared" si="294"/>
        <v>1.5673337794915589</v>
      </c>
      <c r="AS450" s="58" t="str">
        <f t="shared" si="295"/>
        <v>-0.0379210022109152+0.55152116693203i</v>
      </c>
      <c r="AT450" s="49">
        <f t="shared" si="296"/>
        <v>-5.148273233095658</v>
      </c>
      <c r="AU450" s="61">
        <f t="shared" si="297"/>
        <v>93.933301797766603</v>
      </c>
      <c r="AV450" s="58" t="str">
        <f t="shared" si="275"/>
        <v>0.0225466548511563-0.0736759799949655i</v>
      </c>
      <c r="AW450" s="64">
        <f t="shared" si="298"/>
        <v>-22.264694054557008</v>
      </c>
      <c r="AX450" s="49">
        <f t="shared" si="299"/>
        <v>-72.984605804633148</v>
      </c>
      <c r="AY450" s="310"/>
      <c r="BA450" s="31">
        <f t="shared" si="300"/>
        <v>0</v>
      </c>
      <c r="BB450" s="31">
        <f t="shared" si="301"/>
        <v>0</v>
      </c>
    </row>
    <row r="451" spans="14:54" x14ac:dyDescent="0.45">
      <c r="N451" s="10">
        <v>33</v>
      </c>
      <c r="O451" s="50">
        <f t="shared" si="302"/>
        <v>213796.20895022334</v>
      </c>
      <c r="P451" s="48" t="str">
        <f t="shared" si="265"/>
        <v>17.4002386318441</v>
      </c>
      <c r="Q451" s="17" t="str">
        <f t="shared" si="266"/>
        <v>1+115.045140451963i</v>
      </c>
      <c r="R451" s="17">
        <f t="shared" si="276"/>
        <v>115.04948648999651</v>
      </c>
      <c r="S451" s="17">
        <f t="shared" si="277"/>
        <v>1.562104305452668</v>
      </c>
      <c r="T451" s="17" t="str">
        <f t="shared" si="267"/>
        <v>1+0.402996359642022i</v>
      </c>
      <c r="U451" s="17">
        <f t="shared" si="278"/>
        <v>1.0781493708594936</v>
      </c>
      <c r="V451" s="17">
        <f t="shared" si="279"/>
        <v>0.38308677389937695</v>
      </c>
      <c r="W451" s="31" t="str">
        <f t="shared" si="268"/>
        <v>1-0.994240451905941i</v>
      </c>
      <c r="X451" s="17">
        <f t="shared" si="280"/>
        <v>1.4101468278892555</v>
      </c>
      <c r="Y451" s="17">
        <f t="shared" si="281"/>
        <v>-0.78251008033051606</v>
      </c>
      <c r="Z451" s="31" t="str">
        <f t="shared" si="269"/>
        <v>0.958540753776429+1.3905047865431i</v>
      </c>
      <c r="AA451" s="17">
        <f t="shared" si="282"/>
        <v>1.6888765313218006</v>
      </c>
      <c r="AB451" s="17">
        <f t="shared" si="283"/>
        <v>0.96725564582978463</v>
      </c>
      <c r="AC451" s="66" t="str">
        <f t="shared" si="284"/>
        <v>-0.133078109184213-0.0287556825513851i</v>
      </c>
      <c r="AD451" s="64">
        <f t="shared" si="285"/>
        <v>-17.319682247770164</v>
      </c>
      <c r="AE451" s="61">
        <f t="shared" si="286"/>
        <v>-167.80691977556475</v>
      </c>
      <c r="AF451" s="31" t="str">
        <f t="shared" si="270"/>
        <v>-9090.90909090909</v>
      </c>
      <c r="AG451" s="31" t="str">
        <f t="shared" si="271"/>
        <v>1343321.19880674i</v>
      </c>
      <c r="AH451" s="31">
        <f t="shared" si="287"/>
        <v>1343321.1988067401</v>
      </c>
      <c r="AI451" s="31">
        <f t="shared" si="288"/>
        <v>1.5707963267948966</v>
      </c>
      <c r="AJ451" s="31" t="str">
        <f t="shared" si="272"/>
        <v>-6536.27723470243+465.120935123238i</v>
      </c>
      <c r="AK451" s="31">
        <f t="shared" si="289"/>
        <v>6552.805320866717</v>
      </c>
      <c r="AL451" s="31">
        <f t="shared" si="290"/>
        <v>3.0705524861830589</v>
      </c>
      <c r="AM451" s="31" t="str">
        <f t="shared" si="273"/>
        <v>1+1770.22867578752i</v>
      </c>
      <c r="AN451" s="31">
        <f t="shared" si="291"/>
        <v>1770.2289582368819</v>
      </c>
      <c r="AO451" s="31">
        <f t="shared" si="292"/>
        <v>1.5702314280858725</v>
      </c>
      <c r="AP451" s="31" t="str">
        <f t="shared" si="274"/>
        <v>1+295.530663737483i</v>
      </c>
      <c r="AQ451" s="31">
        <f t="shared" si="293"/>
        <v>295.53235560445364</v>
      </c>
      <c r="AR451" s="31">
        <f t="shared" si="294"/>
        <v>1.5674125960821308</v>
      </c>
      <c r="AS451" s="58" t="str">
        <f t="shared" si="295"/>
        <v>-0.0362223433424918+0.53908405157181i</v>
      </c>
      <c r="AT451" s="49">
        <f t="shared" si="296"/>
        <v>-5.3473068556483314</v>
      </c>
      <c r="AU451" s="61">
        <f t="shared" si="297"/>
        <v>93.844061967578952</v>
      </c>
      <c r="AV451" s="58" t="str">
        <f t="shared" si="275"/>
        <v>0.0203221308177537-0.0706986880681173i</v>
      </c>
      <c r="AW451" s="64">
        <f t="shared" si="298"/>
        <v>-22.666989103418494</v>
      </c>
      <c r="AX451" s="49">
        <f t="shared" si="299"/>
        <v>-73.962857807985756</v>
      </c>
      <c r="AY451" s="310"/>
      <c r="BA451" s="31">
        <f t="shared" si="300"/>
        <v>0</v>
      </c>
      <c r="BB451" s="31">
        <f t="shared" si="301"/>
        <v>0</v>
      </c>
    </row>
    <row r="452" spans="14:54" x14ac:dyDescent="0.45">
      <c r="N452" s="10">
        <v>34</v>
      </c>
      <c r="O452" s="50">
        <f t="shared" si="302"/>
        <v>218776.16239495538</v>
      </c>
      <c r="P452" s="48" t="str">
        <f t="shared" si="265"/>
        <v>17.4002386318441</v>
      </c>
      <c r="Q452" s="17" t="str">
        <f t="shared" si="266"/>
        <v>1+117.724886020449i</v>
      </c>
      <c r="R452" s="17">
        <f t="shared" si="276"/>
        <v>117.72913313418947</v>
      </c>
      <c r="S452" s="17">
        <f t="shared" si="277"/>
        <v>1.5623021503862966</v>
      </c>
      <c r="T452" s="17" t="str">
        <f t="shared" si="267"/>
        <v>1+0.412383350736336i</v>
      </c>
      <c r="U452" s="17">
        <f t="shared" si="278"/>
        <v>1.0816931302197161</v>
      </c>
      <c r="V452" s="17">
        <f t="shared" si="279"/>
        <v>0.39113588811566019</v>
      </c>
      <c r="W452" s="31" t="str">
        <f t="shared" si="268"/>
        <v>1-1.0173992870774i</v>
      </c>
      <c r="X452" s="17">
        <f t="shared" si="280"/>
        <v>1.4265697702340399</v>
      </c>
      <c r="Y452" s="17">
        <f t="shared" si="281"/>
        <v>-0.79402256204719723</v>
      </c>
      <c r="Z452" s="31" t="str">
        <f t="shared" si="269"/>
        <v>0.956586839698627+1.4228938038024i</v>
      </c>
      <c r="AA452" s="17">
        <f t="shared" si="282"/>
        <v>1.71455100792711</v>
      </c>
      <c r="AB452" s="17">
        <f t="shared" si="283"/>
        <v>0.97891579486369862</v>
      </c>
      <c r="AC452" s="66" t="str">
        <f t="shared" si="284"/>
        <v>-0.130434726773461-0.0260994899562455i</v>
      </c>
      <c r="AD452" s="64">
        <f t="shared" si="285"/>
        <v>-17.52164126775493</v>
      </c>
      <c r="AE452" s="61">
        <f t="shared" si="286"/>
        <v>-168.68476912407218</v>
      </c>
      <c r="AF452" s="31" t="str">
        <f t="shared" si="270"/>
        <v>-9090.90909090909</v>
      </c>
      <c r="AG452" s="31" t="str">
        <f t="shared" si="271"/>
        <v>1374611.16912112i</v>
      </c>
      <c r="AH452" s="31">
        <f t="shared" si="287"/>
        <v>1374611.1691211199</v>
      </c>
      <c r="AI452" s="31">
        <f t="shared" si="288"/>
        <v>1.5707963267948966</v>
      </c>
      <c r="AJ452" s="31" t="str">
        <f t="shared" si="272"/>
        <v>-6844.36961898014+475.954993474681i</v>
      </c>
      <c r="AK452" s="31">
        <f t="shared" si="289"/>
        <v>6860.8985298597618</v>
      </c>
      <c r="AL452" s="31">
        <f t="shared" si="290"/>
        <v>3.0721647827012832</v>
      </c>
      <c r="AM452" s="31" t="str">
        <f t="shared" si="273"/>
        <v>1+1811.46259866781i</v>
      </c>
      <c r="AN452" s="31">
        <f t="shared" si="291"/>
        <v>1811.4628746878407</v>
      </c>
      <c r="AO452" s="31">
        <f t="shared" si="292"/>
        <v>1.5702442867477255</v>
      </c>
      <c r="AP452" s="31" t="str">
        <f t="shared" si="274"/>
        <v>1+302.414457206646i</v>
      </c>
      <c r="AQ452" s="31">
        <f t="shared" si="293"/>
        <v>302.41611056223564</v>
      </c>
      <c r="AR452" s="31">
        <f t="shared" si="294"/>
        <v>1.5674896186286893</v>
      </c>
      <c r="AS452" s="58" t="str">
        <f t="shared" si="295"/>
        <v>-0.0345994300816157+0.526922275263363i</v>
      </c>
      <c r="AT452" s="49">
        <f t="shared" si="296"/>
        <v>-5.5463837709903157</v>
      </c>
      <c r="AU452" s="61">
        <f t="shared" si="297"/>
        <v>93.756833995660585</v>
      </c>
      <c r="AV452" s="58" t="str">
        <f t="shared" si="275"/>
        <v>0.0182653698401712-0.0678259355269202i</v>
      </c>
      <c r="AW452" s="64">
        <f t="shared" si="298"/>
        <v>-23.06802503874524</v>
      </c>
      <c r="AX452" s="49">
        <f t="shared" si="299"/>
        <v>-74.927935128411576</v>
      </c>
      <c r="AY452" s="310"/>
      <c r="BA452" s="31">
        <f t="shared" si="300"/>
        <v>0</v>
      </c>
      <c r="BB452" s="31">
        <f t="shared" si="301"/>
        <v>0</v>
      </c>
    </row>
    <row r="453" spans="14:54" x14ac:dyDescent="0.45">
      <c r="N453" s="10">
        <v>35</v>
      </c>
      <c r="O453" s="50">
        <f t="shared" si="302"/>
        <v>223872.11385683404</v>
      </c>
      <c r="P453" s="48" t="str">
        <f t="shared" si="265"/>
        <v>17.4002386318441</v>
      </c>
      <c r="Q453" s="17" t="str">
        <f t="shared" si="266"/>
        <v>1+120.467050881776i</v>
      </c>
      <c r="R453" s="17">
        <f t="shared" si="276"/>
        <v>120.47120132277426</v>
      </c>
      <c r="S453" s="17">
        <f t="shared" si="277"/>
        <v>1.5624954924619832</v>
      </c>
      <c r="T453" s="17" t="str">
        <f t="shared" si="267"/>
        <v>1+0.42198899294175i</v>
      </c>
      <c r="U453" s="17">
        <f t="shared" si="278"/>
        <v>1.0853915008714563</v>
      </c>
      <c r="V453" s="17">
        <f t="shared" si="279"/>
        <v>0.39931753559121108</v>
      </c>
      <c r="W453" s="31" t="str">
        <f t="shared" si="268"/>
        <v>1-1.04109756081774i</v>
      </c>
      <c r="X453" s="17">
        <f t="shared" si="280"/>
        <v>1.4435664623219286</v>
      </c>
      <c r="Y453" s="17">
        <f t="shared" si="281"/>
        <v>-0.80553047311184978</v>
      </c>
      <c r="Z453" s="31" t="str">
        <f t="shared" si="269"/>
        <v>0.954540840487322+1.4560372581907i</v>
      </c>
      <c r="AA453" s="17">
        <f t="shared" si="282"/>
        <v>1.7410320828168948</v>
      </c>
      <c r="AB453" s="17">
        <f t="shared" si="283"/>
        <v>0.99051230529494227</v>
      </c>
      <c r="AC453" s="66" t="str">
        <f t="shared" si="284"/>
        <v>-0.127827938162965-0.023574162726767i</v>
      </c>
      <c r="AD453" s="64">
        <f t="shared" si="285"/>
        <v>-17.722232211801753</v>
      </c>
      <c r="AE453" s="61">
        <f t="shared" si="286"/>
        <v>-169.5508587790047</v>
      </c>
      <c r="AF453" s="31" t="str">
        <f t="shared" si="270"/>
        <v>-9090.90909090909</v>
      </c>
      <c r="AG453" s="31" t="str">
        <f t="shared" si="271"/>
        <v>1406629.9764725i</v>
      </c>
      <c r="AH453" s="31">
        <f t="shared" si="287"/>
        <v>1406629.9764725</v>
      </c>
      <c r="AI453" s="31">
        <f t="shared" si="288"/>
        <v>1.5707963267948966</v>
      </c>
      <c r="AJ453" s="31" t="str">
        <f t="shared" si="272"/>
        <v>-7166.98194999448+487.041409463673i</v>
      </c>
      <c r="AK453" s="31">
        <f t="shared" si="289"/>
        <v>7183.5116486352981</v>
      </c>
      <c r="AL453" s="31">
        <f t="shared" si="290"/>
        <v>3.0737406964753733</v>
      </c>
      <c r="AM453" s="31" t="str">
        <f t="shared" si="273"/>
        <v>1+1853.65698299546i</v>
      </c>
      <c r="AN453" s="31">
        <f t="shared" si="291"/>
        <v>1853.6572527325088</v>
      </c>
      <c r="AO453" s="31">
        <f t="shared" si="292"/>
        <v>1.5702568527108764</v>
      </c>
      <c r="AP453" s="31" t="str">
        <f t="shared" si="274"/>
        <v>1+309.45859482395i</v>
      </c>
      <c r="AQ453" s="31">
        <f t="shared" si="293"/>
        <v>309.46021054477046</v>
      </c>
      <c r="AR453" s="31">
        <f t="shared" si="294"/>
        <v>1.5675648879659503</v>
      </c>
      <c r="AS453" s="58" t="str">
        <f t="shared" si="295"/>
        <v>-0.0330489150786721+0.515030083606174i</v>
      </c>
      <c r="AT453" s="49">
        <f t="shared" si="296"/>
        <v>-5.7455020482644734</v>
      </c>
      <c r="AU453" s="61">
        <f t="shared" si="297"/>
        <v>93.671573379534522</v>
      </c>
      <c r="AV453" s="58" t="str">
        <f t="shared" si="275"/>
        <v>0.0163659776731419-0.065056133177269i</v>
      </c>
      <c r="AW453" s="64">
        <f t="shared" si="298"/>
        <v>-23.467734260066226</v>
      </c>
      <c r="AX453" s="49">
        <f t="shared" si="299"/>
        <v>-75.879285399470206</v>
      </c>
      <c r="AY453" s="310"/>
      <c r="BA453" s="31">
        <f t="shared" si="300"/>
        <v>0</v>
      </c>
      <c r="BB453" s="31">
        <f t="shared" si="301"/>
        <v>0</v>
      </c>
    </row>
    <row r="454" spans="14:54" x14ac:dyDescent="0.45">
      <c r="N454" s="10">
        <v>36</v>
      </c>
      <c r="O454" s="50">
        <f t="shared" si="302"/>
        <v>229086.76527677779</v>
      </c>
      <c r="P454" s="48" t="str">
        <f t="shared" si="265"/>
        <v>17.4002386318441</v>
      </c>
      <c r="Q454" s="17" t="str">
        <f t="shared" si="266"/>
        <v>1+123.27308896805i</v>
      </c>
      <c r="R454" s="17">
        <f t="shared" si="276"/>
        <v>123.27714493662144</v>
      </c>
      <c r="S454" s="17">
        <f t="shared" si="277"/>
        <v>1.5626844341344033</v>
      </c>
      <c r="T454" s="17" t="str">
        <f t="shared" si="267"/>
        <v>1+0.431818379296905i</v>
      </c>
      <c r="U454" s="17">
        <f t="shared" si="278"/>
        <v>1.0892507115896715</v>
      </c>
      <c r="V454" s="17">
        <f t="shared" si="279"/>
        <v>0.40763167190028277</v>
      </c>
      <c r="W454" s="31" t="str">
        <f t="shared" si="268"/>
        <v>1-1.06534783826538i</v>
      </c>
      <c r="X454" s="17">
        <f t="shared" si="280"/>
        <v>1.4611522906585466</v>
      </c>
      <c r="Y454" s="17">
        <f t="shared" si="281"/>
        <v>-0.81702772411433422</v>
      </c>
      <c r="Z454" s="31" t="str">
        <f t="shared" si="269"/>
        <v>0.952398416303875+1.48995272280623i</v>
      </c>
      <c r="AA454" s="17">
        <f t="shared" si="282"/>
        <v>1.7683387287439665</v>
      </c>
      <c r="AB454" s="17">
        <f t="shared" si="283"/>
        <v>1.0020410461623104</v>
      </c>
      <c r="AC454" s="66" t="str">
        <f t="shared" si="284"/>
        <v>-0.125259765359031-0.0211757334207216i</v>
      </c>
      <c r="AD454" s="64">
        <f t="shared" si="285"/>
        <v>-17.921389727175676</v>
      </c>
      <c r="AE454" s="61">
        <f t="shared" si="286"/>
        <v>-170.40461157184734</v>
      </c>
      <c r="AF454" s="31" t="str">
        <f t="shared" si="270"/>
        <v>-9090.90909090909</v>
      </c>
      <c r="AG454" s="31" t="str">
        <f t="shared" si="271"/>
        <v>1439394.59765635i</v>
      </c>
      <c r="AH454" s="31">
        <f t="shared" si="287"/>
        <v>1439394.5976563499</v>
      </c>
      <c r="AI454" s="31">
        <f t="shared" si="288"/>
        <v>1.5707963267948966</v>
      </c>
      <c r="AJ454" s="31" t="str">
        <f t="shared" si="272"/>
        <v>-7504.79853175276+498.386061254719i</v>
      </c>
      <c r="AK454" s="31">
        <f t="shared" si="289"/>
        <v>7521.3289828494662</v>
      </c>
      <c r="AL454" s="31">
        <f t="shared" si="290"/>
        <v>3.0752810345995329</v>
      </c>
      <c r="AM454" s="31" t="str">
        <f t="shared" si="273"/>
        <v>1+1896.83420079154i</v>
      </c>
      <c r="AN454" s="31">
        <f t="shared" si="291"/>
        <v>1896.8344643886248</v>
      </c>
      <c r="AO454" s="31">
        <f t="shared" si="292"/>
        <v>1.5702691326379492</v>
      </c>
      <c r="AP454" s="31" t="str">
        <f t="shared" si="274"/>
        <v>1+316.666811484397i</v>
      </c>
      <c r="AQ454" s="31">
        <f t="shared" si="293"/>
        <v>316.66839042710694</v>
      </c>
      <c r="AR454" s="31">
        <f t="shared" si="294"/>
        <v>1.5676384439992994</v>
      </c>
      <c r="AS454" s="58" t="str">
        <f t="shared" si="295"/>
        <v>-0.0315675962578672+0.503401819495869i</v>
      </c>
      <c r="AT454" s="49">
        <f t="shared" si="296"/>
        <v>-5.944659841974314</v>
      </c>
      <c r="AU454" s="61">
        <f t="shared" si="297"/>
        <v>93.588236544259743</v>
      </c>
      <c r="AV454" s="58" t="str">
        <f t="shared" si="275"/>
        <v>0.0146140524333598-0.0623875267882723i</v>
      </c>
      <c r="AW454" s="64">
        <f t="shared" si="298"/>
        <v>-23.866049569149986</v>
      </c>
      <c r="AX454" s="49">
        <f t="shared" si="299"/>
        <v>-76.816375027587611</v>
      </c>
      <c r="AY454" s="310"/>
      <c r="BA454" s="31">
        <f t="shared" si="300"/>
        <v>0</v>
      </c>
      <c r="BB454" s="31">
        <f t="shared" si="301"/>
        <v>0</v>
      </c>
    </row>
    <row r="455" spans="14:54" x14ac:dyDescent="0.45">
      <c r="N455" s="10">
        <v>37</v>
      </c>
      <c r="O455" s="50">
        <f t="shared" si="302"/>
        <v>234422.88153199267</v>
      </c>
      <c r="P455" s="48" t="str">
        <f t="shared" si="265"/>
        <v>17.4002386318441</v>
      </c>
      <c r="Q455" s="17" t="str">
        <f t="shared" si="266"/>
        <v>1+126.144488077808i</v>
      </c>
      <c r="R455" s="17">
        <f t="shared" si="276"/>
        <v>126.14845172419773</v>
      </c>
      <c r="S455" s="17">
        <f t="shared" si="277"/>
        <v>1.5628690755289418</v>
      </c>
      <c r="T455" s="17" t="str">
        <f t="shared" si="267"/>
        <v>1+0.441876721472556i</v>
      </c>
      <c r="U455" s="17">
        <f t="shared" si="278"/>
        <v>1.0932772004296691</v>
      </c>
      <c r="V455" s="17">
        <f t="shared" si="279"/>
        <v>0.41607810654830946</v>
      </c>
      <c r="W455" s="31" t="str">
        <f t="shared" si="268"/>
        <v>1-1.09016297723842i</v>
      </c>
      <c r="X455" s="17">
        <f t="shared" si="280"/>
        <v>1.4793428665935886</v>
      </c>
      <c r="Y455" s="17">
        <f t="shared" si="281"/>
        <v>-0.828508253824768</v>
      </c>
      <c r="Z455" s="31" t="str">
        <f t="shared" si="269"/>
        <v>0.950155022779353+1.52465818007724i</v>
      </c>
      <c r="AA455" s="17">
        <f t="shared" si="282"/>
        <v>1.7964902263550653</v>
      </c>
      <c r="AB455" s="17">
        <f t="shared" si="283"/>
        <v>1.0134980884482856</v>
      </c>
      <c r="AC455" s="66" t="str">
        <f t="shared" si="284"/>
        <v>-0.122732079941448-0.0189002036155071i</v>
      </c>
      <c r="AD455" s="64">
        <f t="shared" si="285"/>
        <v>-18.119048917548085</v>
      </c>
      <c r="AE455" s="61">
        <f t="shared" si="286"/>
        <v>-171.24547175488459</v>
      </c>
      <c r="AF455" s="31" t="str">
        <f t="shared" si="270"/>
        <v>-9090.90909090909</v>
      </c>
      <c r="AG455" s="31" t="str">
        <f t="shared" si="271"/>
        <v>1472922.40490852i</v>
      </c>
      <c r="AH455" s="31">
        <f t="shared" si="287"/>
        <v>1472922.4049085199</v>
      </c>
      <c r="AI455" s="31">
        <f t="shared" si="288"/>
        <v>1.5707963267948966</v>
      </c>
      <c r="AJ455" s="31" t="str">
        <f t="shared" si="272"/>
        <v>-7858.53591851684+509.99496393236i</v>
      </c>
      <c r="AK455" s="31">
        <f t="shared" si="289"/>
        <v>7875.0670883399889</v>
      </c>
      <c r="AL455" s="31">
        <f t="shared" si="290"/>
        <v>3.0767865871900826</v>
      </c>
      <c r="AM455" s="31" t="str">
        <f t="shared" si="273"/>
        <v>1+1941.01714518845i</v>
      </c>
      <c r="AN455" s="31">
        <f t="shared" si="291"/>
        <v>1941.0174027853329</v>
      </c>
      <c r="AO455" s="31">
        <f t="shared" si="292"/>
        <v>1.5702811330399089</v>
      </c>
      <c r="AP455" s="31" t="str">
        <f t="shared" si="274"/>
        <v>1+324.042929079874i</v>
      </c>
      <c r="AQ455" s="31">
        <f t="shared" si="293"/>
        <v>324.04447208163305</v>
      </c>
      <c r="AR455" s="31">
        <f t="shared" si="294"/>
        <v>1.5677103257259335</v>
      </c>
      <c r="AS455" s="58" t="str">
        <f t="shared" si="295"/>
        <v>-0.0301524107455861+0.492031923098249i</v>
      </c>
      <c r="AT455" s="49">
        <f t="shared" si="296"/>
        <v>-6.1438553882770783</v>
      </c>
      <c r="AU455" s="61">
        <f t="shared" si="297"/>
        <v>93.506780826931248</v>
      </c>
      <c r="AV455" s="58" t="str">
        <f t="shared" si="275"/>
        <v>0.0130001716179411-0.0598182146168487i</v>
      </c>
      <c r="AW455" s="64">
        <f t="shared" si="298"/>
        <v>-24.262904305825167</v>
      </c>
      <c r="AX455" s="49">
        <f t="shared" si="299"/>
        <v>-77.738690927953343</v>
      </c>
      <c r="AY455" s="310"/>
      <c r="BA455" s="31">
        <f t="shared" si="300"/>
        <v>0</v>
      </c>
      <c r="BB455" s="31">
        <f t="shared" si="301"/>
        <v>0</v>
      </c>
    </row>
    <row r="456" spans="14:54" x14ac:dyDescent="0.45">
      <c r="N456" s="10">
        <v>38</v>
      </c>
      <c r="O456" s="50">
        <f t="shared" si="302"/>
        <v>239883.29190194907</v>
      </c>
      <c r="P456" s="48" t="str">
        <f t="shared" si="265"/>
        <v>17.4002386318441</v>
      </c>
      <c r="Q456" s="17" t="str">
        <f t="shared" si="266"/>
        <v>1+129.082770664863i</v>
      </c>
      <c r="R456" s="17">
        <f t="shared" si="276"/>
        <v>129.08664409038457</v>
      </c>
      <c r="S456" s="17">
        <f t="shared" si="277"/>
        <v>1.5630495144945218</v>
      </c>
      <c r="T456" s="17" t="str">
        <f t="shared" si="267"/>
        <v>1+0.45216935253486i</v>
      </c>
      <c r="U456" s="17">
        <f t="shared" si="278"/>
        <v>1.0974776186199855</v>
      </c>
      <c r="V456" s="17">
        <f t="shared" si="279"/>
        <v>0.4246564961959699</v>
      </c>
      <c r="W456" s="31" t="str">
        <f t="shared" si="268"/>
        <v>1-1.11555613505199i</v>
      </c>
      <c r="X456" s="17">
        <f t="shared" si="280"/>
        <v>1.498154027612693</v>
      </c>
      <c r="Y456" s="17">
        <f t="shared" si="281"/>
        <v>-0.83996604509047645</v>
      </c>
      <c r="Z456" s="31" t="str">
        <f t="shared" si="269"/>
        <v>0.947805901375315+1.56017203129657i</v>
      </c>
      <c r="AA456" s="17">
        <f t="shared" si="282"/>
        <v>1.8255061747148211</v>
      </c>
      <c r="AB456" s="17">
        <f t="shared" si="283"/>
        <v>1.0248797111388999</v>
      </c>
      <c r="AC456" s="66" t="str">
        <f t="shared" si="284"/>
        <v>-0.120246600995609-0.0167435541722048i</v>
      </c>
      <c r="AD456" s="64">
        <f t="shared" si="285"/>
        <v>-18.315145479173619</v>
      </c>
      <c r="AE456" s="61">
        <f t="shared" si="286"/>
        <v>-172.07290665049166</v>
      </c>
      <c r="AF456" s="31" t="str">
        <f t="shared" si="270"/>
        <v>-9090.90909090909</v>
      </c>
      <c r="AG456" s="31" t="str">
        <f t="shared" si="271"/>
        <v>1507231.1751162i</v>
      </c>
      <c r="AH456" s="31">
        <f t="shared" si="287"/>
        <v>1507231.1751162</v>
      </c>
      <c r="AI456" s="31">
        <f t="shared" si="288"/>
        <v>1.5707963267948966</v>
      </c>
      <c r="AJ456" s="31" t="str">
        <f t="shared" si="272"/>
        <v>-8228.94443471038+521.874272690459i</v>
      </c>
      <c r="AK456" s="31">
        <f t="shared" si="289"/>
        <v>8245.476291036628</v>
      </c>
      <c r="AL456" s="31">
        <f t="shared" si="290"/>
        <v>3.0782581276803005</v>
      </c>
      <c r="AM456" s="31" t="str">
        <f t="shared" si="273"/>
        <v>1+1986.22924256813i</v>
      </c>
      <c r="AN456" s="31">
        <f t="shared" si="291"/>
        <v>1986.2294943013933</v>
      </c>
      <c r="AO456" s="31">
        <f t="shared" si="292"/>
        <v>1.5702928602795139</v>
      </c>
      <c r="AP456" s="31" t="str">
        <f t="shared" si="274"/>
        <v>1+331.590858525564i</v>
      </c>
      <c r="AQ456" s="31">
        <f t="shared" si="293"/>
        <v>331.59236640447654</v>
      </c>
      <c r="AR456" s="31">
        <f t="shared" si="294"/>
        <v>1.5677805712555224</v>
      </c>
      <c r="AS456" s="58" t="str">
        <f t="shared" si="295"/>
        <v>-0.0288004290318281+0.480914931684313i</v>
      </c>
      <c r="AT456" s="49">
        <f t="shared" si="296"/>
        <v>-6.3430870014308613</v>
      </c>
      <c r="AU456" s="61">
        <f t="shared" si="297"/>
        <v>93.427164461168957</v>
      </c>
      <c r="AV456" s="58" t="str">
        <f t="shared" si="275"/>
        <v>0.0115153789091711-0.057346164359397i</v>
      </c>
      <c r="AW456" s="64">
        <f t="shared" si="298"/>
        <v>-24.658232480604475</v>
      </c>
      <c r="AX456" s="49">
        <f t="shared" si="299"/>
        <v>-78.645742189322675</v>
      </c>
      <c r="AY456" s="310"/>
      <c r="BA456" s="31">
        <f t="shared" si="300"/>
        <v>0</v>
      </c>
      <c r="BB456" s="31">
        <f t="shared" si="301"/>
        <v>0</v>
      </c>
    </row>
    <row r="457" spans="14:54" x14ac:dyDescent="0.45">
      <c r="N457" s="10">
        <v>39</v>
      </c>
      <c r="O457" s="50">
        <f t="shared" si="302"/>
        <v>245470.89156850305</v>
      </c>
      <c r="P457" s="48" t="str">
        <f t="shared" si="265"/>
        <v>17.4002386318441</v>
      </c>
      <c r="Q457" s="17" t="str">
        <f t="shared" si="266"/>
        <v>1+132.089494645538i</v>
      </c>
      <c r="R457" s="17">
        <f t="shared" si="276"/>
        <v>132.09327990368629</v>
      </c>
      <c r="S457" s="17">
        <f t="shared" si="277"/>
        <v>1.5632258466552462</v>
      </c>
      <c r="T457" s="17" t="str">
        <f t="shared" si="267"/>
        <v>1+0.462701729773047i</v>
      </c>
      <c r="U457" s="17">
        <f t="shared" si="278"/>
        <v>1.1018588343045446</v>
      </c>
      <c r="V457" s="17">
        <f t="shared" si="279"/>
        <v>0.43336633799173646</v>
      </c>
      <c r="W457" s="31" t="str">
        <f t="shared" si="268"/>
        <v>1-1.1415407754945i</v>
      </c>
      <c r="X457" s="17">
        <f t="shared" si="280"/>
        <v>1.5176018391253301</v>
      </c>
      <c r="Y457" s="17">
        <f t="shared" si="281"/>
        <v>-0.85139514045042097</v>
      </c>
      <c r="Z457" s="31" t="str">
        <f t="shared" si="269"/>
        <v>0.945346069290308+1.5965131063782i</v>
      </c>
      <c r="AA457" s="17">
        <f t="shared" si="282"/>
        <v>1.8554065025109743</v>
      </c>
      <c r="AB457" s="17">
        <f t="shared" si="283"/>
        <v>1.0361824062958429</v>
      </c>
      <c r="AC457" s="66" t="str">
        <f t="shared" si="284"/>
        <v>-0.117804893998275-0.0147017554470431i</v>
      </c>
      <c r="AD457" s="64">
        <f t="shared" si="285"/>
        <v>-18.509615833288862</v>
      </c>
      <c r="AE457" s="61">
        <f t="shared" si="286"/>
        <v>-172.88640822136267</v>
      </c>
      <c r="AF457" s="31" t="str">
        <f t="shared" si="270"/>
        <v>-9090.90909090909</v>
      </c>
      <c r="AG457" s="31" t="str">
        <f t="shared" si="271"/>
        <v>1542339.09924349i</v>
      </c>
      <c r="AH457" s="31">
        <f t="shared" si="287"/>
        <v>1542339.09924349</v>
      </c>
      <c r="AI457" s="31">
        <f t="shared" si="288"/>
        <v>1.5707963267948966</v>
      </c>
      <c r="AJ457" s="31" t="str">
        <f t="shared" si="272"/>
        <v>-8616.80976645783+534.030286095762i</v>
      </c>
      <c r="AK457" s="31">
        <f t="shared" si="289"/>
        <v>8633.3422785031871</v>
      </c>
      <c r="AL457" s="31">
        <f t="shared" si="290"/>
        <v>3.0796964131145184</v>
      </c>
      <c r="AM457" s="31" t="str">
        <f t="shared" si="273"/>
        <v>1+2032.49446498307i</v>
      </c>
      <c r="AN457" s="31">
        <f t="shared" si="291"/>
        <v>2032.4947109861851</v>
      </c>
      <c r="AO457" s="31">
        <f t="shared" si="292"/>
        <v>1.5703043205746887</v>
      </c>
      <c r="AP457" s="31" t="str">
        <f t="shared" si="274"/>
        <v>1+339.314601833568i</v>
      </c>
      <c r="AQ457" s="31">
        <f t="shared" si="293"/>
        <v>339.31607538911675</v>
      </c>
      <c r="AR457" s="31">
        <f t="shared" si="294"/>
        <v>1.5678492178304011</v>
      </c>
      <c r="AS457" s="58" t="str">
        <f t="shared" si="295"/>
        <v>-0.0275088493576319+0.470045479337941i</v>
      </c>
      <c r="AT457" s="49">
        <f t="shared" si="296"/>
        <v>-6.5423530703920392</v>
      </c>
      <c r="AU457" s="61">
        <f t="shared" si="297"/>
        <v>93.34934656161721</v>
      </c>
      <c r="AV457" s="58" t="str">
        <f t="shared" si="275"/>
        <v>0.0101511707688049-0.054969229491889i</v>
      </c>
      <c r="AW457" s="64">
        <f t="shared" si="298"/>
        <v>-25.051968903680908</v>
      </c>
      <c r="AX457" s="49">
        <f t="shared" si="299"/>
        <v>-79.537061659745461</v>
      </c>
      <c r="AY457" s="310"/>
      <c r="BA457" s="31">
        <f t="shared" si="300"/>
        <v>0</v>
      </c>
      <c r="BB457" s="31">
        <f t="shared" si="301"/>
        <v>0</v>
      </c>
    </row>
    <row r="458" spans="14:54" x14ac:dyDescent="0.45">
      <c r="N458" s="10">
        <v>40</v>
      </c>
      <c r="O458" s="50">
        <f t="shared" si="302"/>
        <v>251188.64315095844</v>
      </c>
      <c r="P458" s="48" t="str">
        <f t="shared" si="265"/>
        <v>17.4002386318441</v>
      </c>
      <c r="Q458" s="17" t="str">
        <f t="shared" si="266"/>
        <v>1+135.166254224686i</v>
      </c>
      <c r="R458" s="17">
        <f t="shared" si="276"/>
        <v>135.16995332222487</v>
      </c>
      <c r="S458" s="17">
        <f t="shared" si="277"/>
        <v>1.5633981654608742</v>
      </c>
      <c r="T458" s="17" t="str">
        <f t="shared" si="267"/>
        <v>1+0.473479437592944i</v>
      </c>
      <c r="U458" s="17">
        <f t="shared" si="278"/>
        <v>1.106427936118449</v>
      </c>
      <c r="V458" s="17">
        <f t="shared" si="279"/>
        <v>0.44220696305579477</v>
      </c>
      <c r="W458" s="31" t="str">
        <f t="shared" si="268"/>
        <v>1-1.16813067596627i</v>
      </c>
      <c r="X458" s="17">
        <f t="shared" si="280"/>
        <v>1.5377025967765725</v>
      </c>
      <c r="Y458" s="17">
        <f t="shared" si="281"/>
        <v>-0.86278965736920565</v>
      </c>
      <c r="Z458" s="31" t="str">
        <f t="shared" si="269"/>
        <v>0.942770308890685+1.6337006738412i</v>
      </c>
      <c r="AA458" s="17">
        <f t="shared" si="282"/>
        <v>1.8862114799340579</v>
      </c>
      <c r="AB458" s="17">
        <f t="shared" si="283"/>
        <v>1.0474028831513686</v>
      </c>
      <c r="AC458" s="66" t="str">
        <f t="shared" si="284"/>
        <v>-0.115408370623495-0.012770777361003i</v>
      </c>
      <c r="AD458" s="64">
        <f t="shared" si="285"/>
        <v>-18.702397254394487</v>
      </c>
      <c r="AE458" s="61">
        <f t="shared" si="286"/>
        <v>-173.68549455421052</v>
      </c>
      <c r="AF458" s="31" t="str">
        <f t="shared" si="270"/>
        <v>-9090.90909090909</v>
      </c>
      <c r="AG458" s="31" t="str">
        <f t="shared" si="271"/>
        <v>1578264.79197648i</v>
      </c>
      <c r="AH458" s="31">
        <f t="shared" si="287"/>
        <v>1578264.79197648</v>
      </c>
      <c r="AI458" s="31">
        <f t="shared" si="288"/>
        <v>1.5707963267948966</v>
      </c>
      <c r="AJ458" s="31" t="str">
        <f t="shared" si="272"/>
        <v>-9022.95462812991+546.469449427481i</v>
      </c>
      <c r="AK458" s="31">
        <f t="shared" si="289"/>
        <v>9039.4877664859159</v>
      </c>
      <c r="AL458" s="31">
        <f t="shared" si="290"/>
        <v>3.0811021844411006</v>
      </c>
      <c r="AM458" s="31" t="str">
        <f t="shared" si="273"/>
        <v>1+2079.8373428666i</v>
      </c>
      <c r="AN458" s="31">
        <f t="shared" si="291"/>
        <v>2079.8375832700012</v>
      </c>
      <c r="AO458" s="31">
        <f t="shared" si="292"/>
        <v>1.5703155200018215</v>
      </c>
      <c r="AP458" s="31" t="str">
        <f t="shared" si="274"/>
        <v>1+347.218254234825i</v>
      </c>
      <c r="AQ458" s="31">
        <f t="shared" si="293"/>
        <v>347.21969424829518</v>
      </c>
      <c r="AR458" s="31">
        <f t="shared" si="294"/>
        <v>1.5679163018453033</v>
      </c>
      <c r="AS458" s="58" t="str">
        <f t="shared" si="295"/>
        <v>-0.0262749923214779+0.459418296547379i</v>
      </c>
      <c r="AT458" s="49">
        <f t="shared" si="296"/>
        <v>-6.7416520555552504</v>
      </c>
      <c r="AU458" s="61">
        <f t="shared" si="297"/>
        <v>93.273287108477888</v>
      </c>
      <c r="AV458" s="58" t="str">
        <f t="shared" si="275"/>
        <v>0.00889948283274444-0.052685164962055i</v>
      </c>
      <c r="AW458" s="64">
        <f t="shared" si="298"/>
        <v>-25.444049309949737</v>
      </c>
      <c r="AX458" s="49">
        <f t="shared" si="299"/>
        <v>-80.412207445732633</v>
      </c>
      <c r="AY458" s="310"/>
      <c r="BA458" s="31">
        <f t="shared" si="300"/>
        <v>0</v>
      </c>
      <c r="BB458" s="31">
        <f t="shared" si="301"/>
        <v>0</v>
      </c>
    </row>
    <row r="459" spans="14:54" x14ac:dyDescent="0.45">
      <c r="N459" s="10">
        <v>41</v>
      </c>
      <c r="O459" s="50">
        <f t="shared" si="302"/>
        <v>257039.57827688678</v>
      </c>
      <c r="P459" s="48" t="str">
        <f t="shared" si="265"/>
        <v>17.4002386318441</v>
      </c>
      <c r="Q459" s="17" t="str">
        <f t="shared" si="266"/>
        <v>1+138.31468074096i</v>
      </c>
      <c r="R459" s="17">
        <f t="shared" si="276"/>
        <v>138.31829563898512</v>
      </c>
      <c r="S459" s="17">
        <f t="shared" si="277"/>
        <v>1.563566562236159</v>
      </c>
      <c r="T459" s="17" t="str">
        <f t="shared" si="267"/>
        <v>1+0.484508190477891i</v>
      </c>
      <c r="U459" s="17">
        <f t="shared" si="278"/>
        <v>1.1111922365820239</v>
      </c>
      <c r="V459" s="17">
        <f t="shared" si="279"/>
        <v>0.45117753016087569</v>
      </c>
      <c r="W459" s="31" t="str">
        <f t="shared" si="268"/>
        <v>1-1.19533993478446i</v>
      </c>
      <c r="X459" s="17">
        <f t="shared" si="280"/>
        <v>1.5584728293077543</v>
      </c>
      <c r="Y459" s="17">
        <f t="shared" si="281"/>
        <v>-0.87414380299741412</v>
      </c>
      <c r="Z459" s="31" t="str">
        <f t="shared" si="269"/>
        <v>0.940073156643302+1.67175445102604i</v>
      </c>
      <c r="AA459" s="17">
        <f t="shared" si="282"/>
        <v>1.917941731223</v>
      </c>
      <c r="AB459" s="17">
        <f t="shared" si="283"/>
        <v>1.0585380712440029</v>
      </c>
      <c r="AC459" s="66" t="str">
        <f t="shared" si="284"/>
        <v>-0.113058289426861-0.0109465992448949i</v>
      </c>
      <c r="AD459" s="64">
        <f t="shared" si="285"/>
        <v>-18.893427994164213</v>
      </c>
      <c r="AE459" s="61">
        <f t="shared" si="286"/>
        <v>-174.46971125002338</v>
      </c>
      <c r="AF459" s="31" t="str">
        <f t="shared" si="270"/>
        <v>-9090.90909090909</v>
      </c>
      <c r="AG459" s="31" t="str">
        <f t="shared" si="271"/>
        <v>1615027.30159297i</v>
      </c>
      <c r="AH459" s="31">
        <f t="shared" si="287"/>
        <v>1615027.30159297</v>
      </c>
      <c r="AI459" s="31">
        <f t="shared" si="288"/>
        <v>1.5707963267948966</v>
      </c>
      <c r="AJ459" s="31" t="str">
        <f t="shared" si="272"/>
        <v>-9448.24050743082+559.198358094663i</v>
      </c>
      <c r="AK459" s="31">
        <f t="shared" si="289"/>
        <v>9464.7742440035181</v>
      </c>
      <c r="AL459" s="31">
        <f t="shared" si="290"/>
        <v>3.0824761668039811</v>
      </c>
      <c r="AM459" s="31" t="str">
        <f t="shared" si="273"/>
        <v>1+2128.28297803921i</v>
      </c>
      <c r="AN459" s="31">
        <f t="shared" si="291"/>
        <v>2128.283212970362</v>
      </c>
      <c r="AO459" s="31">
        <f t="shared" si="292"/>
        <v>1.5703264644989856</v>
      </c>
      <c r="AP459" s="31" t="str">
        <f t="shared" si="274"/>
        <v>1+355.306006350453i</v>
      </c>
      <c r="AQ459" s="31">
        <f t="shared" si="293"/>
        <v>355.30741358534601</v>
      </c>
      <c r="AR459" s="31">
        <f t="shared" si="294"/>
        <v>1.5679818588666445</v>
      </c>
      <c r="AS459" s="58" t="str">
        <f t="shared" si="295"/>
        <v>-0.025096295697677+0.449028209690751i</v>
      </c>
      <c r="AT459" s="49">
        <f t="shared" si="296"/>
        <v>-6.9409824856316877</v>
      </c>
      <c r="AU459" s="61">
        <f t="shared" si="297"/>
        <v>93.198946932096106</v>
      </c>
      <c r="AV459" s="58" t="str">
        <f t="shared" si="275"/>
        <v>0.00775267612366734-0.0504916422005083i</v>
      </c>
      <c r="AW459" s="64">
        <f t="shared" si="298"/>
        <v>-25.834410479795903</v>
      </c>
      <c r="AX459" s="49">
        <f t="shared" si="299"/>
        <v>-81.270764317927274</v>
      </c>
      <c r="AY459" s="310"/>
      <c r="BA459" s="31">
        <f t="shared" si="300"/>
        <v>0</v>
      </c>
      <c r="BB459" s="31">
        <f t="shared" si="301"/>
        <v>0</v>
      </c>
    </row>
    <row r="460" spans="14:54" x14ac:dyDescent="0.45">
      <c r="N460" s="10">
        <v>42</v>
      </c>
      <c r="O460" s="50">
        <f t="shared" si="302"/>
        <v>263026.79918953858</v>
      </c>
      <c r="P460" s="48" t="str">
        <f t="shared" si="265"/>
        <v>17.4002386318441</v>
      </c>
      <c r="Q460" s="17" t="str">
        <f t="shared" si="266"/>
        <v>1+141.536443531774i</v>
      </c>
      <c r="R460" s="17">
        <f t="shared" si="276"/>
        <v>141.53997614675174</v>
      </c>
      <c r="S460" s="17">
        <f t="shared" si="277"/>
        <v>1.5637311262290758</v>
      </c>
      <c r="T460" s="17" t="str">
        <f t="shared" si="267"/>
        <v>1+0.495793836018655i</v>
      </c>
      <c r="U460" s="17">
        <f t="shared" si="278"/>
        <v>1.1161592752981506</v>
      </c>
      <c r="V460" s="17">
        <f t="shared" si="279"/>
        <v>0.46027701965799533</v>
      </c>
      <c r="W460" s="31" t="str">
        <f t="shared" si="268"/>
        <v>1-1.22318297865827i</v>
      </c>
      <c r="X460" s="17">
        <f t="shared" si="280"/>
        <v>1.5799293019876928</v>
      </c>
      <c r="Y460" s="17">
        <f t="shared" si="281"/>
        <v>-0.88545188837052979</v>
      </c>
      <c r="Z460" s="31" t="str">
        <f t="shared" si="269"/>
        <v>0.937248891526627+1.7106946145491i</v>
      </c>
      <c r="AA460" s="17">
        <f t="shared" si="282"/>
        <v>1.9506182478678871</v>
      </c>
      <c r="AB460" s="17">
        <f t="shared" si="283"/>
        <v>1.06958512262023</v>
      </c>
      <c r="AC460" s="66" t="str">
        <f t="shared" si="284"/>
        <v>-0.110755757358977-0.009225219384568i</v>
      </c>
      <c r="AD460" s="64">
        <f t="shared" si="285"/>
        <v>-19.082647400808622</v>
      </c>
      <c r="AE460" s="61">
        <f t="shared" si="286"/>
        <v>-175.23863271454405</v>
      </c>
      <c r="AF460" s="31" t="str">
        <f t="shared" si="270"/>
        <v>-9090.90909090909</v>
      </c>
      <c r="AG460" s="31" t="str">
        <f t="shared" si="271"/>
        <v>1652646.12006218i</v>
      </c>
      <c r="AH460" s="31">
        <f t="shared" si="287"/>
        <v>1652646.1200621801</v>
      </c>
      <c r="AI460" s="31">
        <f t="shared" si="288"/>
        <v>1.5707963267948966</v>
      </c>
      <c r="AJ460" s="31" t="str">
        <f t="shared" si="272"/>
        <v>-9893.56949272977+572.223761133172i</v>
      </c>
      <c r="AK460" s="31">
        <f t="shared" si="289"/>
        <v>9910.1038006813324</v>
      </c>
      <c r="AL460" s="31">
        <f t="shared" si="290"/>
        <v>3.0838190698324537</v>
      </c>
      <c r="AM460" s="31" t="str">
        <f t="shared" si="273"/>
        <v>1+2177.85705701794i</v>
      </c>
      <c r="AN460" s="31">
        <f t="shared" si="291"/>
        <v>2177.8572866014069</v>
      </c>
      <c r="AO460" s="31">
        <f t="shared" si="292"/>
        <v>1.5703371598690878</v>
      </c>
      <c r="AP460" s="31" t="str">
        <f t="shared" si="274"/>
        <v>1+363.582146413679i</v>
      </c>
      <c r="AQ460" s="31">
        <f t="shared" si="293"/>
        <v>363.58352161611776</v>
      </c>
      <c r="AR460" s="31">
        <f t="shared" si="294"/>
        <v>1.5680459236513702</v>
      </c>
      <c r="AS460" s="58" t="str">
        <f t="shared" si="295"/>
        <v>-0.0239703094598404+0.438870140425229i</v>
      </c>
      <c r="AT460" s="49">
        <f t="shared" si="296"/>
        <v>-7.1403429546599657</v>
      </c>
      <c r="AU460" s="61">
        <f t="shared" si="297"/>
        <v>93.126287697616718</v>
      </c>
      <c r="AV460" s="58" t="str">
        <f t="shared" si="275"/>
        <v>0.00670352310511258-0.0483862634215538i</v>
      </c>
      <c r="AW460" s="64">
        <f t="shared" si="298"/>
        <v>-26.222990355468593</v>
      </c>
      <c r="AX460" s="49">
        <f t="shared" si="299"/>
        <v>-82.112345016927335</v>
      </c>
      <c r="AY460" s="310"/>
      <c r="BA460" s="31">
        <f t="shared" si="300"/>
        <v>0</v>
      </c>
      <c r="BB460" s="31">
        <f t="shared" si="301"/>
        <v>0</v>
      </c>
    </row>
    <row r="461" spans="14:54" x14ac:dyDescent="0.45">
      <c r="N461" s="10">
        <v>43</v>
      </c>
      <c r="O461" s="50">
        <f t="shared" si="302"/>
        <v>269153.48039269145</v>
      </c>
      <c r="P461" s="48" t="str">
        <f t="shared" si="265"/>
        <v>17.4002386318441</v>
      </c>
      <c r="Q461" s="17" t="str">
        <f t="shared" si="266"/>
        <v>1+144.833250818405i</v>
      </c>
      <c r="R461" s="17">
        <f t="shared" si="276"/>
        <v>144.83670302318748</v>
      </c>
      <c r="S461" s="17">
        <f t="shared" si="277"/>
        <v>1.5638919446579584</v>
      </c>
      <c r="T461" s="17" t="str">
        <f t="shared" si="267"/>
        <v>1+0.507342358013883i</v>
      </c>
      <c r="U461" s="17">
        <f t="shared" si="278"/>
        <v>1.1213368219384785</v>
      </c>
      <c r="V461" s="17">
        <f t="shared" si="279"/>
        <v>0.46950422769720396</v>
      </c>
      <c r="W461" s="31" t="str">
        <f t="shared" si="268"/>
        <v>1-1.25167457033811i</v>
      </c>
      <c r="X461" s="17">
        <f t="shared" si="280"/>
        <v>1.6020890206324654</v>
      </c>
      <c r="Y461" s="17">
        <f t="shared" si="281"/>
        <v>-0.89670834196501004</v>
      </c>
      <c r="Z461" s="31" t="str">
        <f t="shared" si="269"/>
        <v>0.934291522895693+1.75054181100053i</v>
      </c>
      <c r="AA461" s="17">
        <f t="shared" si="282"/>
        <v>1.9842624024598583</v>
      </c>
      <c r="AB461" s="17">
        <f t="shared" si="283"/>
        <v>1.0805414131334072</v>
      </c>
      <c r="AC461" s="66" t="str">
        <f t="shared" si="284"/>
        <v>-0.108501732052932-0.00760266419886055i</v>
      </c>
      <c r="AD461" s="64">
        <f t="shared" si="285"/>
        <v>-19.269996033797089</v>
      </c>
      <c r="AE461" s="61">
        <f t="shared" si="286"/>
        <v>-175.99186334322383</v>
      </c>
      <c r="AF461" s="31" t="str">
        <f t="shared" si="270"/>
        <v>-9090.90909090909</v>
      </c>
      <c r="AG461" s="31" t="str">
        <f t="shared" si="271"/>
        <v>1691141.19337961i</v>
      </c>
      <c r="AH461" s="31">
        <f t="shared" si="287"/>
        <v>1691141.1933796101</v>
      </c>
      <c r="AI461" s="31">
        <f t="shared" si="288"/>
        <v>1.5707963267948966</v>
      </c>
      <c r="AJ461" s="31" t="str">
        <f t="shared" si="272"/>
        <v>-10359.8861865109+585.55256478411i</v>
      </c>
      <c r="AK461" s="31">
        <f t="shared" si="289"/>
        <v>10376.421040203824</v>
      </c>
      <c r="AL461" s="31">
        <f t="shared" si="290"/>
        <v>3.0851315879289336</v>
      </c>
      <c r="AM461" s="31" t="str">
        <f t="shared" si="273"/>
        <v>1+2228.58586463565i</v>
      </c>
      <c r="AN461" s="31">
        <f t="shared" si="291"/>
        <v>2228.5860889931596</v>
      </c>
      <c r="AO461" s="31">
        <f t="shared" si="292"/>
        <v>1.5703476117829451</v>
      </c>
      <c r="AP461" s="31" t="str">
        <f t="shared" si="274"/>
        <v>1+372.051062543514i</v>
      </c>
      <c r="AQ461" s="31">
        <f t="shared" si="293"/>
        <v>372.05240644263779</v>
      </c>
      <c r="AR461" s="31">
        <f t="shared" si="294"/>
        <v>1.5681085301653725</v>
      </c>
      <c r="AS461" s="58" t="str">
        <f t="shared" si="295"/>
        <v>-0.0228946910026158+0.428939104988872i</v>
      </c>
      <c r="AT461" s="49">
        <f t="shared" si="296"/>
        <v>-7.3397321191434735</v>
      </c>
      <c r="AU461" s="61">
        <f t="shared" si="297"/>
        <v>93.055271889728076</v>
      </c>
      <c r="AV461" s="58" t="str">
        <f t="shared" si="275"/>
        <v>0.00574519360559068-0.0463665751888975i</v>
      </c>
      <c r="AW461" s="64">
        <f t="shared" si="298"/>
        <v>-26.609728152940558</v>
      </c>
      <c r="AX461" s="49">
        <f t="shared" si="299"/>
        <v>-82.936591453495765</v>
      </c>
      <c r="AY461" s="310"/>
      <c r="BA461" s="31">
        <f t="shared" si="300"/>
        <v>0</v>
      </c>
      <c r="BB461" s="31">
        <f t="shared" si="301"/>
        <v>0</v>
      </c>
    </row>
    <row r="462" spans="14:54" x14ac:dyDescent="0.45">
      <c r="N462" s="10">
        <v>44</v>
      </c>
      <c r="O462" s="50">
        <f t="shared" si="302"/>
        <v>275422.87033381703</v>
      </c>
      <c r="P462" s="48" t="str">
        <f t="shared" si="265"/>
        <v>17.4002386318441</v>
      </c>
      <c r="Q462" s="17" t="str">
        <f t="shared" si="266"/>
        <v>1+148.206850611715i</v>
      </c>
      <c r="R462" s="17">
        <f t="shared" si="276"/>
        <v>148.21022423653238</v>
      </c>
      <c r="S462" s="17">
        <f t="shared" si="277"/>
        <v>1.5640491027575742</v>
      </c>
      <c r="T462" s="17" t="str">
        <f t="shared" si="267"/>
        <v>1+0.519159879642802i</v>
      </c>
      <c r="U462" s="17">
        <f t="shared" si="278"/>
        <v>1.1267328790049258</v>
      </c>
      <c r="V462" s="17">
        <f t="shared" si="279"/>
        <v>0.47885776079543368</v>
      </c>
      <c r="W462" s="31" t="str">
        <f t="shared" si="268"/>
        <v>1-1.28082981644301i</v>
      </c>
      <c r="X462" s="17">
        <f t="shared" si="280"/>
        <v>1.6249692362286232</v>
      </c>
      <c r="Y462" s="17">
        <f t="shared" si="281"/>
        <v>-0.90790772253757868</v>
      </c>
      <c r="Z462" s="31" t="str">
        <f t="shared" si="269"/>
        <v>0.93119477777513+1.7913171678913i</v>
      </c>
      <c r="AA462" s="17">
        <f t="shared" si="282"/>
        <v>2.0188959631783363</v>
      </c>
      <c r="AB462" s="17">
        <f t="shared" si="283"/>
        <v>1.0914045428769172</v>
      </c>
      <c r="AC462" s="66" t="str">
        <f t="shared" si="284"/>
        <v>-0.106297024825639-0.00607499699112882i</v>
      </c>
      <c r="AD462" s="64">
        <f t="shared" si="285"/>
        <v>-19.455415773911763</v>
      </c>
      <c r="AE462" s="61">
        <f t="shared" si="286"/>
        <v>-176.72903859555876</v>
      </c>
      <c r="AF462" s="31" t="str">
        <f t="shared" si="270"/>
        <v>-9090.90909090909</v>
      </c>
      <c r="AG462" s="31" t="str">
        <f t="shared" si="271"/>
        <v>1730532.93214267i</v>
      </c>
      <c r="AH462" s="31">
        <f t="shared" si="287"/>
        <v>1730532.93214267</v>
      </c>
      <c r="AI462" s="31">
        <f t="shared" si="288"/>
        <v>1.5707963267948966</v>
      </c>
      <c r="AJ462" s="31" t="str">
        <f t="shared" si="272"/>
        <v>-10848.1797090018+599.191836155603i</v>
      </c>
      <c r="AK462" s="31">
        <f t="shared" si="289"/>
        <v>10864.715083945548</v>
      </c>
      <c r="AL462" s="31">
        <f t="shared" si="290"/>
        <v>3.0864144005544523</v>
      </c>
      <c r="AM462" s="31" t="str">
        <f t="shared" si="273"/>
        <v>1+2280.49629797761i</v>
      </c>
      <c r="AN462" s="31">
        <f t="shared" si="291"/>
        <v>2280.49651722812</v>
      </c>
      <c r="AO462" s="31">
        <f t="shared" si="292"/>
        <v>1.5703578257822914</v>
      </c>
      <c r="AP462" s="31" t="str">
        <f t="shared" si="274"/>
        <v>1+380.717245071387i</v>
      </c>
      <c r="AQ462" s="31">
        <f t="shared" si="293"/>
        <v>380.71855837973879</v>
      </c>
      <c r="AR462" s="31">
        <f t="shared" si="294"/>
        <v>1.5681697116014899</v>
      </c>
      <c r="AS462" s="58" t="str">
        <f t="shared" si="295"/>
        <v>-0.0218672005549698+0.419230213423438i</v>
      </c>
      <c r="AT462" s="49">
        <f t="shared" si="296"/>
        <v>-7.539148695310117</v>
      </c>
      <c r="AU462" s="61">
        <f t="shared" si="297"/>
        <v>92.985862797508332</v>
      </c>
      <c r="AV462" s="58" t="str">
        <f t="shared" si="275"/>
        <v>0.00487124064539653-0.0444300812263533i</v>
      </c>
      <c r="AW462" s="64">
        <f t="shared" si="298"/>
        <v>-26.994564469221878</v>
      </c>
      <c r="AX462" s="49">
        <f t="shared" si="299"/>
        <v>-83.74317579805043</v>
      </c>
      <c r="AY462" s="310"/>
      <c r="BA462" s="31">
        <f t="shared" si="300"/>
        <v>0</v>
      </c>
      <c r="BB462" s="31">
        <f t="shared" si="301"/>
        <v>0</v>
      </c>
    </row>
    <row r="463" spans="14:54" x14ac:dyDescent="0.45">
      <c r="N463" s="10">
        <v>45</v>
      </c>
      <c r="O463" s="50">
        <f t="shared" si="302"/>
        <v>281838.29312644573</v>
      </c>
      <c r="P463" s="48" t="str">
        <f t="shared" si="265"/>
        <v>17.4002386318441</v>
      </c>
      <c r="Q463" s="17" t="str">
        <f t="shared" si="266"/>
        <v>1+151.659031638968i</v>
      </c>
      <c r="R463" s="17">
        <f t="shared" si="276"/>
        <v>151.66232847239786</v>
      </c>
      <c r="S463" s="17">
        <f t="shared" si="277"/>
        <v>1.5642026838241569</v>
      </c>
      <c r="T463" s="17" t="str">
        <f t="shared" si="267"/>
        <v>1+0.531252666711798i</v>
      </c>
      <c r="U463" s="17">
        <f t="shared" si="278"/>
        <v>1.132355684353815</v>
      </c>
      <c r="V463" s="17">
        <f t="shared" si="279"/>
        <v>0.48833603080496923</v>
      </c>
      <c r="W463" s="31" t="str">
        <f t="shared" si="268"/>
        <v>1-1.31066417547038i</v>
      </c>
      <c r="X463" s="17">
        <f t="shared" si="280"/>
        <v>1.6485874501710398</v>
      </c>
      <c r="Y463" s="17">
        <f t="shared" si="281"/>
        <v>-0.9190447311816673</v>
      </c>
      <c r="Z463" s="31" t="str">
        <f t="shared" si="269"/>
        <v>0.927952087553353+1.83304230485538i</v>
      </c>
      <c r="AA463" s="17">
        <f t="shared" si="282"/>
        <v>2.0545411089058669</v>
      </c>
      <c r="AB463" s="17">
        <f t="shared" si="283"/>
        <v>1.1021723357933477</v>
      </c>
      <c r="AC463" s="66" t="str">
        <f t="shared" si="284"/>
        <v>-0.104142304329127-0.00463832622372469i</v>
      </c>
      <c r="AD463" s="64">
        <f t="shared" si="285"/>
        <v>-19.638849928670719</v>
      </c>
      <c r="AE463" s="61">
        <f t="shared" si="286"/>
        <v>-177.44982595434467</v>
      </c>
      <c r="AF463" s="31" t="str">
        <f t="shared" si="270"/>
        <v>-9090.90909090909</v>
      </c>
      <c r="AG463" s="31" t="str">
        <f t="shared" si="271"/>
        <v>1770842.22237266i</v>
      </c>
      <c r="AH463" s="31">
        <f t="shared" si="287"/>
        <v>1770842.2223726599</v>
      </c>
      <c r="AI463" s="31">
        <f t="shared" si="288"/>
        <v>1.5707963267948966</v>
      </c>
      <c r="AJ463" s="31" t="str">
        <f t="shared" si="272"/>
        <v>-11359.4857962303+613.148806969866i</v>
      </c>
      <c r="AK463" s="31">
        <f t="shared" si="289"/>
        <v>11376.021669030282</v>
      </c>
      <c r="AL463" s="31">
        <f t="shared" si="290"/>
        <v>3.0876681725116546</v>
      </c>
      <c r="AM463" s="31" t="str">
        <f t="shared" si="273"/>
        <v>1+2333.61588064269i</v>
      </c>
      <c r="AN463" s="31">
        <f t="shared" si="291"/>
        <v>2333.6160949024497</v>
      </c>
      <c r="AO463" s="31">
        <f t="shared" si="292"/>
        <v>1.5703678072827159</v>
      </c>
      <c r="AP463" s="31" t="str">
        <f t="shared" si="274"/>
        <v>1+389.585288921985i</v>
      </c>
      <c r="AQ463" s="31">
        <f t="shared" si="293"/>
        <v>389.58657233588849</v>
      </c>
      <c r="AR463" s="31">
        <f t="shared" si="294"/>
        <v>1.5682295003970959</v>
      </c>
      <c r="AS463" s="58" t="str">
        <f t="shared" si="295"/>
        <v>-0.0208856967784121+0.409738668725964i</v>
      </c>
      <c r="AT463" s="49">
        <f t="shared" si="296"/>
        <v>-7.7385914564893596</v>
      </c>
      <c r="AU463" s="61">
        <f t="shared" si="297"/>
        <v>92.918024499386661</v>
      </c>
      <c r="AV463" s="58" t="str">
        <f t="shared" si="275"/>
        <v>0.00407558620204894-0.0425742544588026i</v>
      </c>
      <c r="AW463" s="64">
        <f t="shared" si="298"/>
        <v>-27.377441385160083</v>
      </c>
      <c r="AX463" s="49">
        <f t="shared" si="299"/>
        <v>-84.531801454958014</v>
      </c>
      <c r="AY463" s="310"/>
      <c r="BA463" s="31">
        <f t="shared" si="300"/>
        <v>0</v>
      </c>
      <c r="BB463" s="31">
        <f t="shared" si="301"/>
        <v>0</v>
      </c>
    </row>
    <row r="464" spans="14:54" x14ac:dyDescent="0.45">
      <c r="N464" s="10">
        <v>46</v>
      </c>
      <c r="O464" s="50">
        <f t="shared" si="302"/>
        <v>288403.1503126609</v>
      </c>
      <c r="P464" s="48" t="str">
        <f t="shared" si="265"/>
        <v>17.4002386318441</v>
      </c>
      <c r="Q464" s="17" t="str">
        <f t="shared" si="266"/>
        <v>1+155.191624292241i</v>
      </c>
      <c r="R464" s="17">
        <f t="shared" si="276"/>
        <v>155.19484608215598</v>
      </c>
      <c r="S464" s="17">
        <f t="shared" si="277"/>
        <v>1.5643527692594243</v>
      </c>
      <c r="T464" s="17" t="str">
        <f t="shared" si="267"/>
        <v>1+0.543627130976646i</v>
      </c>
      <c r="U464" s="17">
        <f t="shared" si="278"/>
        <v>1.1382137134712</v>
      </c>
      <c r="V464" s="17">
        <f t="shared" si="279"/>
        <v>0.49793725033725322</v>
      </c>
      <c r="W464" s="31" t="str">
        <f t="shared" si="268"/>
        <v>1-1.34119346599227i</v>
      </c>
      <c r="X464" s="17">
        <f t="shared" si="280"/>
        <v>1.6729614201231175</v>
      </c>
      <c r="Y464" s="17">
        <f t="shared" si="281"/>
        <v>-0.93011422254345066</v>
      </c>
      <c r="Z464" s="31" t="str">
        <f t="shared" si="269"/>
        <v>0.924556574049644+1.87573934511267i</v>
      </c>
      <c r="AA464" s="17">
        <f t="shared" si="282"/>
        <v>2.0912204449608183</v>
      </c>
      <c r="AB464" s="17">
        <f t="shared" si="283"/>
        <v>1.1128428385055029</v>
      </c>
      <c r="AC464" s="66" t="str">
        <f t="shared" si="284"/>
        <v>-0.102038100785288-0.00328881327333841i</v>
      </c>
      <c r="AD464" s="64">
        <f t="shared" si="285"/>
        <v>-19.820243333207543</v>
      </c>
      <c r="AE464" s="61">
        <f t="shared" si="286"/>
        <v>-178.15392576604944</v>
      </c>
      <c r="AF464" s="31" t="str">
        <f t="shared" si="270"/>
        <v>-9090.90909090909</v>
      </c>
      <c r="AG464" s="31" t="str">
        <f t="shared" si="271"/>
        <v>1812090.43658882i</v>
      </c>
      <c r="AH464" s="31">
        <f t="shared" si="287"/>
        <v>1812090.4365888201</v>
      </c>
      <c r="AI464" s="31">
        <f t="shared" si="288"/>
        <v>1.5707963267948966</v>
      </c>
      <c r="AJ464" s="31" t="str">
        <f t="shared" si="272"/>
        <v>-11894.8889969595+627.430877397569i</v>
      </c>
      <c r="AK464" s="31">
        <f t="shared" si="289"/>
        <v>11911.425345268302</v>
      </c>
      <c r="AL464" s="31">
        <f t="shared" si="290"/>
        <v>3.0888935542250984</v>
      </c>
      <c r="AM464" s="31" t="str">
        <f t="shared" si="273"/>
        <v>1+2387.97277733675i</v>
      </c>
      <c r="AN464" s="31">
        <f t="shared" si="291"/>
        <v>2387.9729867193619</v>
      </c>
      <c r="AO464" s="31">
        <f t="shared" si="292"/>
        <v>1.5703775615765341</v>
      </c>
      <c r="AP464" s="31" t="str">
        <f t="shared" si="274"/>
        <v>1+398.65989604954i</v>
      </c>
      <c r="AQ464" s="31">
        <f t="shared" si="293"/>
        <v>398.66115024946947</v>
      </c>
      <c r="AR464" s="31">
        <f t="shared" si="294"/>
        <v>1.5682879282512909</v>
      </c>
      <c r="AS464" s="58" t="str">
        <f t="shared" si="295"/>
        <v>-0.0199481325436948+0.400459765936374i</v>
      </c>
      <c r="AT464" s="49">
        <f t="shared" si="296"/>
        <v>-7.938059230601481</v>
      </c>
      <c r="AU464" s="61">
        <f t="shared" si="297"/>
        <v>92.851721848233154</v>
      </c>
      <c r="AV464" s="58" t="str">
        <f t="shared" si="275"/>
        <v>0.00335250695262135-0.0407965482739805i</v>
      </c>
      <c r="AW464" s="64">
        <f t="shared" si="298"/>
        <v>-27.758302563809035</v>
      </c>
      <c r="AX464" s="49">
        <f t="shared" si="299"/>
        <v>-85.302203917816257</v>
      </c>
      <c r="AY464" s="310"/>
      <c r="BA464" s="31">
        <f t="shared" si="300"/>
        <v>0</v>
      </c>
      <c r="BB464" s="31">
        <f t="shared" si="301"/>
        <v>0</v>
      </c>
    </row>
    <row r="465" spans="14:54" x14ac:dyDescent="0.45">
      <c r="N465" s="10">
        <v>47</v>
      </c>
      <c r="O465" s="50">
        <f t="shared" si="302"/>
        <v>295120.92266663886</v>
      </c>
      <c r="P465" s="48" t="str">
        <f t="shared" si="265"/>
        <v>17.4002386318441</v>
      </c>
      <c r="Q465" s="17" t="str">
        <f t="shared" si="266"/>
        <v>1+158.806501598918i</v>
      </c>
      <c r="R465" s="17">
        <f t="shared" si="276"/>
        <v>158.8096500534119</v>
      </c>
      <c r="S465" s="17">
        <f t="shared" si="277"/>
        <v>1.5644994386135989</v>
      </c>
      <c r="T465" s="17" t="str">
        <f t="shared" si="267"/>
        <v>1+0.556289833542093i</v>
      </c>
      <c r="U465" s="17">
        <f t="shared" si="278"/>
        <v>1.1443156814892863</v>
      </c>
      <c r="V465" s="17">
        <f t="shared" si="279"/>
        <v>0.50765942869729075</v>
      </c>
      <c r="W465" s="31" t="str">
        <f t="shared" si="268"/>
        <v>1-1.37243387504262i</v>
      </c>
      <c r="X465" s="17">
        <f t="shared" si="280"/>
        <v>1.6981091665038799</v>
      </c>
      <c r="Y465" s="17">
        <f t="shared" si="281"/>
        <v>-0.94111121514894802</v>
      </c>
      <c r="Z465" s="31" t="str">
        <f t="shared" si="269"/>
        <v>0.921001034924618+1.91943092719909i</v>
      </c>
      <c r="AA465" s="17">
        <f t="shared" si="282"/>
        <v>2.1289570194394662</v>
      </c>
      <c r="AB465" s="17">
        <f t="shared" si="283"/>
        <v>1.1234143184184806</v>
      </c>
      <c r="AC465" s="66" t="str">
        <f t="shared" si="284"/>
        <v>-0.0999848107360268-0.00202267963355564i</v>
      </c>
      <c r="AD465" s="64">
        <f t="shared" si="285"/>
        <v>-19.999542446738921</v>
      </c>
      <c r="AE465" s="61">
        <f t="shared" si="286"/>
        <v>-178.84107195917639</v>
      </c>
      <c r="AF465" s="31" t="str">
        <f t="shared" si="270"/>
        <v>-9090.90909090909</v>
      </c>
      <c r="AG465" s="31" t="str">
        <f t="shared" si="271"/>
        <v>1854299.44514031i</v>
      </c>
      <c r="AH465" s="31">
        <f t="shared" si="287"/>
        <v>1854299.4451403101</v>
      </c>
      <c r="AI465" s="31">
        <f t="shared" si="288"/>
        <v>1.5707963267948966</v>
      </c>
      <c r="AJ465" s="31" t="str">
        <f t="shared" si="272"/>
        <v>-12455.5249731609+642.045619981497i</v>
      </c>
      <c r="AK465" s="31">
        <f t="shared" si="289"/>
        <v>12472.061775631655</v>
      </c>
      <c r="AL465" s="31">
        <f t="shared" si="290"/>
        <v>3.0900911820186701</v>
      </c>
      <c r="AM465" s="31" t="str">
        <f t="shared" si="273"/>
        <v>1+2443.5958088059i</v>
      </c>
      <c r="AN465" s="31">
        <f t="shared" si="291"/>
        <v>2443.5960134223828</v>
      </c>
      <c r="AO465" s="31">
        <f t="shared" si="292"/>
        <v>1.5703870938355944</v>
      </c>
      <c r="AP465" s="31" t="str">
        <f t="shared" si="274"/>
        <v>1+407.945877930868i</v>
      </c>
      <c r="AQ465" s="31">
        <f t="shared" si="293"/>
        <v>407.94710358180834</v>
      </c>
      <c r="AR465" s="31">
        <f t="shared" si="294"/>
        <v>1.5683450261416998</v>
      </c>
      <c r="AS465" s="58" t="str">
        <f t="shared" si="295"/>
        <v>-0.0190525508796368+0.391388891167852i</v>
      </c>
      <c r="AT465" s="49">
        <f t="shared" si="296"/>
        <v>-8.1375508977544939</v>
      </c>
      <c r="AU465" s="61">
        <f t="shared" si="297"/>
        <v>92.786920456586827</v>
      </c>
      <c r="AV465" s="58" t="str">
        <f t="shared" si="275"/>
        <v>0.00269662003270415-0.0390944070009696i</v>
      </c>
      <c r="AW465" s="64">
        <f t="shared" si="298"/>
        <v>-28.137093344493401</v>
      </c>
      <c r="AX465" s="49">
        <f t="shared" si="299"/>
        <v>-86.054151502589548</v>
      </c>
      <c r="AY465" s="310"/>
      <c r="BA465" s="31">
        <f t="shared" si="300"/>
        <v>0</v>
      </c>
      <c r="BB465" s="31">
        <f t="shared" si="301"/>
        <v>0</v>
      </c>
    </row>
    <row r="466" spans="14:54" x14ac:dyDescent="0.45">
      <c r="N466" s="10">
        <v>48</v>
      </c>
      <c r="O466" s="50">
        <f t="shared" si="302"/>
        <v>301995.17204020242</v>
      </c>
      <c r="P466" s="48" t="str">
        <f t="shared" si="265"/>
        <v>17.4002386318441</v>
      </c>
      <c r="Q466" s="17" t="str">
        <f t="shared" si="266"/>
        <v>1+162.505580214795i</v>
      </c>
      <c r="R466" s="17">
        <f t="shared" si="276"/>
        <v>162.50865700308762</v>
      </c>
      <c r="S466" s="17">
        <f t="shared" si="277"/>
        <v>1.5646427696274579</v>
      </c>
      <c r="T466" s="17" t="str">
        <f t="shared" si="267"/>
        <v>1+0.569247488340652i</v>
      </c>
      <c r="U466" s="17">
        <f t="shared" si="278"/>
        <v>1.1506705449354915</v>
      </c>
      <c r="V466" s="17">
        <f t="shared" si="279"/>
        <v>0.51750036838410318</v>
      </c>
      <c r="W466" s="31" t="str">
        <f t="shared" si="268"/>
        <v>1-1.40440196669984i</v>
      </c>
      <c r="X466" s="17">
        <f t="shared" si="280"/>
        <v>1.7240489796030676</v>
      </c>
      <c r="Y466" s="17">
        <f t="shared" si="281"/>
        <v>-0.95203090080276287</v>
      </c>
      <c r="Z466" s="31" t="str">
        <f t="shared" si="269"/>
        <v>0.917277928403092+1.96414021696977i</v>
      </c>
      <c r="AA466" s="17">
        <f t="shared" si="282"/>
        <v>2.1677743401594003</v>
      </c>
      <c r="AB466" s="17">
        <f t="shared" si="283"/>
        <v>1.1338852611445269</v>
      </c>
      <c r="AC466" s="66" t="str">
        <f t="shared" si="284"/>
        <v>-0.0979827022402787-0.000836213539241858i</v>
      </c>
      <c r="AD466" s="64">
        <f t="shared" si="285"/>
        <v>-20.176695444780698</v>
      </c>
      <c r="AE466" s="61">
        <f t="shared" si="286"/>
        <v>-179.51103263814585</v>
      </c>
      <c r="AF466" s="31" t="str">
        <f t="shared" si="270"/>
        <v>-9090.90909090909</v>
      </c>
      <c r="AG466" s="31" t="str">
        <f t="shared" si="271"/>
        <v>1897491.62780217i</v>
      </c>
      <c r="AH466" s="31">
        <f t="shared" si="287"/>
        <v>1897491.6278021701</v>
      </c>
      <c r="AI466" s="31">
        <f t="shared" si="288"/>
        <v>1.5707963267948966</v>
      </c>
      <c r="AJ466" s="31" t="str">
        <f t="shared" si="272"/>
        <v>-13042.5829089057+657.00078365162i</v>
      </c>
      <c r="AK466" s="31">
        <f t="shared" si="289"/>
        <v>13059.120145147526</v>
      </c>
      <c r="AL466" s="31">
        <f t="shared" si="290"/>
        <v>3.0912616783899658</v>
      </c>
      <c r="AM466" s="31" t="str">
        <f t="shared" si="273"/>
        <v>1+2500.5144671177i</v>
      </c>
      <c r="AN466" s="31">
        <f t="shared" si="291"/>
        <v>2500.5146670765434</v>
      </c>
      <c r="AO466" s="31">
        <f t="shared" si="292"/>
        <v>1.5703964091140199</v>
      </c>
      <c r="AP466" s="31" t="str">
        <f t="shared" si="274"/>
        <v>1+417.448158116477i</v>
      </c>
      <c r="AQ466" s="31">
        <f t="shared" si="293"/>
        <v>417.44935586827677</v>
      </c>
      <c r="AR466" s="31">
        <f t="shared" si="294"/>
        <v>1.56840082434089</v>
      </c>
      <c r="AS466" s="58" t="str">
        <f t="shared" si="295"/>
        <v>-0.0181970810878799+0.382521520586218i</v>
      </c>
      <c r="AT466" s="49">
        <f t="shared" si="296"/>
        <v>-8.337065387944774</v>
      </c>
      <c r="AU466" s="61">
        <f t="shared" si="297"/>
        <v>92.723586682033002</v>
      </c>
      <c r="AV466" s="58" t="str">
        <f t="shared" si="275"/>
        <v>0.00210286885244152-0.0374652756065177i</v>
      </c>
      <c r="AW466" s="64">
        <f t="shared" si="298"/>
        <v>-28.513760832725463</v>
      </c>
      <c r="AX466" s="49">
        <f t="shared" si="299"/>
        <v>-86.787445956112833</v>
      </c>
      <c r="AY466" s="310"/>
      <c r="BA466" s="31">
        <f t="shared" si="300"/>
        <v>0</v>
      </c>
      <c r="BB466" s="31">
        <f t="shared" si="301"/>
        <v>0</v>
      </c>
    </row>
    <row r="467" spans="14:54" x14ac:dyDescent="0.45">
      <c r="N467" s="10">
        <v>49</v>
      </c>
      <c r="O467" s="50">
        <f t="shared" si="302"/>
        <v>309029.54325135931</v>
      </c>
      <c r="P467" s="48" t="str">
        <f t="shared" ref="P467:P530" si="303">COMPLEX(Adc,0)</f>
        <v>17.4002386318441</v>
      </c>
      <c r="Q467" s="17" t="str">
        <f t="shared" ref="Q467:Q530" si="304">IMSUM(COMPLEX(1,0),IMDIV(COMPLEX(0,2*PI()*O467),COMPLEX(wp_lf,0)))</f>
        <v>1+166.290821440318i</v>
      </c>
      <c r="R467" s="17">
        <f t="shared" si="276"/>
        <v>166.2938281936396</v>
      </c>
      <c r="S467" s="17">
        <f t="shared" si="277"/>
        <v>1.5647828382734323</v>
      </c>
      <c r="T467" s="17" t="str">
        <f t="shared" ref="T467:T530" si="305">IMSUM(COMPLEX(1,0),IMDIV(COMPLEX(0,2*PI()*O467),COMPLEX(wz_esr,0)))</f>
        <v>1+0.582506965692409i</v>
      </c>
      <c r="U467" s="17">
        <f t="shared" si="278"/>
        <v>1.157287503207469</v>
      </c>
      <c r="V467" s="17">
        <f t="shared" si="279"/>
        <v>0.52745766221213441</v>
      </c>
      <c r="W467" s="31" t="str">
        <f t="shared" ref="W467:W530" si="306">IMSUB(COMPLEX(1,0),IMDIV(COMPLEX(0,2*PI()*O467),COMPLEX(wz_rhp,0)))</f>
        <v>1-1.43711469086925i</v>
      </c>
      <c r="X467" s="17">
        <f t="shared" si="280"/>
        <v>1.7507994273223362</v>
      </c>
      <c r="Y467" s="17">
        <f t="shared" si="281"/>
        <v>-0.96286865302837621</v>
      </c>
      <c r="Z467" s="31" t="str">
        <f t="shared" ref="Z467:Z530" si="307">IMSUM(COMPLEX(1,0),IMDIV(COMPLEX(0,2*PI()*O467),COMPLEX(Q*(wsl/2),0)),IMDIV(IMPOWER(COMPLEX(0,2*PI()*O467),2),IMPOWER(COMPLEX(wsl/2,0),2)))</f>
        <v>0.913379357276967+2.00989091988197i</v>
      </c>
      <c r="AA467" s="17">
        <f t="shared" si="282"/>
        <v>2.2076963921979122</v>
      </c>
      <c r="AB467" s="17">
        <f t="shared" si="283"/>
        <v>1.1442543673043402</v>
      </c>
      <c r="AC467" s="66" t="str">
        <f t="shared" si="284"/>
        <v>-0.0960319204497759+0.000274224004768464i</v>
      </c>
      <c r="AD467" s="64">
        <f t="shared" si="285"/>
        <v>-20.351652307294184</v>
      </c>
      <c r="AE467" s="61">
        <f t="shared" si="286"/>
        <v>179.83638944909922</v>
      </c>
      <c r="AF467" s="31" t="str">
        <f t="shared" ref="AF467:AF530" si="308">IF(FB_type=1,COMPLEX(Adc_ea_iso,0),COMPLEX(Adc_ea,0))</f>
        <v>-9090.90909090909</v>
      </c>
      <c r="AG467" s="31" t="str">
        <f t="shared" ref="AG467:AG530" si="309">IF(FB_type=1,COMPLEX(0,2*PI()*O467),COMPLEX(0,2*PI()*O467*wp0_ea))</f>
        <v>1941689.88564136i</v>
      </c>
      <c r="AH467" s="31">
        <f t="shared" si="287"/>
        <v>1941689.88564136</v>
      </c>
      <c r="AI467" s="31">
        <f t="shared" si="288"/>
        <v>1.5707963267948966</v>
      </c>
      <c r="AJ467" s="31" t="str">
        <f t="shared" ref="AJ467:AJ530" si="310">IF(FB_type=1,IMSUM(IMPRODUCT(COMPLEX(wpA_ea_iso,0),IMPOWER(COMPLEX(0,2*PI()*O467),2)),COMPLEX(0,wpB_ea_iso*2*PI()*O467),COMPLEX(1,0)),IMSUM(COMPLEX(1,0),IMDIV(COMPLEX(0,2*PI()*O467),COMPLEX(wp1_ea,0))))</f>
        <v>-13657.308032784+672.304297833666i</v>
      </c>
      <c r="AK467" s="31">
        <f t="shared" si="289"/>
        <v>13673.845683319378</v>
      </c>
      <c r="AL467" s="31">
        <f t="shared" si="290"/>
        <v>3.0924056522814838</v>
      </c>
      <c r="AM467" s="31" t="str">
        <f t="shared" ref="AM467:AM530" si="311">IMSUM(COMPLEX(1,0),IMDIV(COMPLEX(0,2*PI()*O467),COMPLEX(wz1_ea_iso,0)))</f>
        <v>1+2558.75893129818i</v>
      </c>
      <c r="AN467" s="31">
        <f t="shared" si="291"/>
        <v>2558.7591267054045</v>
      </c>
      <c r="AO467" s="31">
        <f t="shared" si="292"/>
        <v>1.5704055123508878</v>
      </c>
      <c r="AP467" s="31" t="str">
        <f t="shared" ref="AP467:AP530" si="312">IF(FB_type=1,IMSUM(COMPLEX(1,0),IMDIV(COMPLEX(0,2*PI()*O467),COMPLEX(wz2_ea_iso,0))),1)</f>
        <v>1+427.171774841099i</v>
      </c>
      <c r="AQ467" s="31">
        <f t="shared" si="293"/>
        <v>427.17294532881476</v>
      </c>
      <c r="AR467" s="31">
        <f t="shared" si="294"/>
        <v>1.5684553524324145</v>
      </c>
      <c r="AS467" s="58" t="str">
        <f t="shared" si="295"/>
        <v>-0.0173799350175179+0.373853219344129i</v>
      </c>
      <c r="AT467" s="49">
        <f t="shared" si="296"/>
        <v>-8.5366016788570533</v>
      </c>
      <c r="AU467" s="61">
        <f t="shared" si="297"/>
        <v>92.66168761273758</v>
      </c>
      <c r="AV467" s="58" t="str">
        <f t="shared" ref="AV467:AV530" si="313">IMPRODUCT(AC467,AS467)</f>
        <v>0.00156650901002042-0.0359066086153311i</v>
      </c>
      <c r="AW467" s="64">
        <f t="shared" si="298"/>
        <v>-28.888253986151248</v>
      </c>
      <c r="AX467" s="49">
        <f t="shared" si="299"/>
        <v>-87.501922938163204</v>
      </c>
      <c r="AY467" s="310"/>
      <c r="BA467" s="31">
        <f t="shared" si="300"/>
        <v>0</v>
      </c>
      <c r="BB467" s="31">
        <f t="shared" si="301"/>
        <v>0</v>
      </c>
    </row>
    <row r="468" spans="14:54" x14ac:dyDescent="0.45">
      <c r="N468" s="10">
        <v>50</v>
      </c>
      <c r="O468" s="50">
        <f t="shared" si="302"/>
        <v>316227.7660168382</v>
      </c>
      <c r="P468" s="48" t="str">
        <f t="shared" si="303"/>
        <v>17.4002386318441</v>
      </c>
      <c r="Q468" s="17" t="str">
        <f t="shared" si="304"/>
        <v>1+170.164232260487i</v>
      </c>
      <c r="R468" s="17">
        <f t="shared" ref="R468:R531" si="314">IMABS(Q468)</f>
        <v>170.16717057294269</v>
      </c>
      <c r="S468" s="17">
        <f t="shared" ref="S468:S531" si="315">IMARGUMENT(Q468)</f>
        <v>1.5649197187957753</v>
      </c>
      <c r="T468" s="17" t="str">
        <f t="shared" si="305"/>
        <v>1+0.596075295947767i</v>
      </c>
      <c r="U468" s="17">
        <f t="shared" ref="U468:U531" si="316">IMABS(T468)</f>
        <v>1.1641759997694585</v>
      </c>
      <c r="V468" s="17">
        <f t="shared" ref="V468:V531" si="317">IMARGUMENT(T468)</f>
        <v>0.53752869110744983</v>
      </c>
      <c r="W468" s="31" t="str">
        <f t="shared" si="306"/>
        <v>1-1.47058939227023i</v>
      </c>
      <c r="X468" s="17">
        <f t="shared" ref="X468:X531" si="318">IMABS(W468)</f>
        <v>1.7783793635379728</v>
      </c>
      <c r="Y468" s="17">
        <f t="shared" ref="Y468:Y531" si="319">IMARGUMENT(W468)</f>
        <v>-0.97362003452926127</v>
      </c>
      <c r="Z468" s="31" t="str">
        <f t="shared" si="307"/>
        <v>0.909297052154195+2.05670729356393i</v>
      </c>
      <c r="AA468" s="17">
        <f t="shared" ref="AA468:AA531" si="320">IMABS(Z468)</f>
        <v>2.2487476560199844</v>
      </c>
      <c r="AB468" s="17">
        <f t="shared" ref="AB468:AB531" si="321">IMARGUMENT(Z468)</f>
        <v>1.1545205487595653</v>
      </c>
      <c r="AC468" s="66" t="str">
        <f t="shared" ref="AC468:AC531" si="322">(IMDIV(IMPRODUCT(P468,T468,W468),IMPRODUCT(Q468,Z468)))</f>
        <v>-0.0941324934967579+0.00131219380074528i</v>
      </c>
      <c r="AD468" s="64">
        <f t="shared" ref="AD468:AD531" si="323">20*LOG(IMABS(AC468))</f>
        <v>-20.524364902949284</v>
      </c>
      <c r="AE468" s="61">
        <f t="shared" ref="AE468:AE531" si="324">(180/PI())*IMARGUMENT(AC468)</f>
        <v>179.20135657089159</v>
      </c>
      <c r="AF468" s="31" t="str">
        <f t="shared" si="308"/>
        <v>-9090.90909090909</v>
      </c>
      <c r="AG468" s="31" t="str">
        <f t="shared" si="309"/>
        <v>1986917.65315922i</v>
      </c>
      <c r="AH468" s="31">
        <f t="shared" ref="AH468:AH531" si="325">IMABS(AG468)</f>
        <v>1986917.65315922</v>
      </c>
      <c r="AI468" s="31">
        <f t="shared" ref="AI468:AI531" si="326">IMARGUMENT(AG468)</f>
        <v>1.5707963267948966</v>
      </c>
      <c r="AJ468" s="31" t="str">
        <f t="shared" si="310"/>
        <v>-14301.0042592009+687.964276653423i</v>
      </c>
      <c r="AK468" s="31">
        <f t="shared" ref="AK468:AK531" si="327">IMABS(AJ468)</f>
        <v>14317.542305424962</v>
      </c>
      <c r="AL468" s="31">
        <f t="shared" ref="AL468:AL531" si="328">IMARGUMENT(AJ468)</f>
        <v>3.0935236993485065</v>
      </c>
      <c r="AM468" s="31" t="str">
        <f t="shared" si="311"/>
        <v>1+2618.36008333322i</v>
      </c>
      <c r="AN468" s="31">
        <f t="shared" ref="AN468:AN531" si="329">IMABS(AM468)</f>
        <v>2618.3602742924336</v>
      </c>
      <c r="AO468" s="31">
        <f t="shared" ref="AO468:AO531" si="330">IMARGUMENT(AM468)</f>
        <v>1.5704144083728488</v>
      </c>
      <c r="AP468" s="31" t="str">
        <f t="shared" si="312"/>
        <v>1+437.121883695028i</v>
      </c>
      <c r="AQ468" s="31">
        <f t="shared" ref="AQ468:AQ531" si="331">IMABS(AP468)</f>
        <v>437.12302753926105</v>
      </c>
      <c r="AR468" s="31">
        <f t="shared" ref="AR468:AR531" si="332">IMARGUMENT(AP468)</f>
        <v>1.5685086393264915</v>
      </c>
      <c r="AS468" s="58" t="str">
        <f t="shared" ref="AS468:AS531" si="333">IMDIV(IMPRODUCT(AF468,AM468,AP468),IMPRODUCT(AG468,AJ468))</f>
        <v>-0.0165994034937033+0.365379640475545i</v>
      </c>
      <c r="AT468" s="49">
        <f t="shared" ref="AT468:AT531" si="334">20*LOG(IMABS(AS468))</f>
        <v>-8.7361587937586069</v>
      </c>
      <c r="AU468" s="61">
        <f t="shared" ref="AU468:AU531" si="335">(180/PI())*IMARGUMENT(AS468)</f>
        <v>92.601191053146991</v>
      </c>
      <c r="AV468" s="58" t="str">
        <f t="shared" si="313"/>
        <v>0.00108309434227054-0.0344158782652725i</v>
      </c>
      <c r="AW468" s="64">
        <f t="shared" ref="AW468:AW531" si="336">20*LOG(IMABS(AV468))</f>
        <v>-29.260523696707885</v>
      </c>
      <c r="AX468" s="49">
        <f t="shared" ref="AX468:AX531" si="337">(180/PI())*IMARGUMENT(AV468)</f>
        <v>-88.197452375961404</v>
      </c>
      <c r="AY468" s="310"/>
      <c r="BA468" s="31">
        <f t="shared" ref="BA468:BA531" si="338">SUM((AW469&lt;0)*(AW468&gt;0))*O468</f>
        <v>0</v>
      </c>
      <c r="BB468" s="31">
        <f t="shared" ref="BB468:BB531" si="339">IF(BA468&gt;0,AX468,0)</f>
        <v>0</v>
      </c>
    </row>
    <row r="469" spans="14:54" x14ac:dyDescent="0.45">
      <c r="N469" s="10">
        <v>51</v>
      </c>
      <c r="O469" s="50">
        <f t="shared" si="302"/>
        <v>323593.65692962846</v>
      </c>
      <c r="P469" s="48" t="str">
        <f t="shared" si="303"/>
        <v>17.4002386318441</v>
      </c>
      <c r="Q469" s="17" t="str">
        <f t="shared" si="304"/>
        <v>1+174.127866408991i</v>
      </c>
      <c r="R469" s="17">
        <f t="shared" si="314"/>
        <v>174.13073783840522</v>
      </c>
      <c r="S469" s="17">
        <f t="shared" si="315"/>
        <v>1.5650534837498229</v>
      </c>
      <c r="T469" s="17" t="str">
        <f t="shared" si="305"/>
        <v>1+0.609959673215026i</v>
      </c>
      <c r="U469" s="17">
        <f t="shared" si="316"/>
        <v>1.1713457230675242</v>
      </c>
      <c r="V469" s="17">
        <f t="shared" si="317"/>
        <v>0.547710622630731</v>
      </c>
      <c r="W469" s="31" t="str">
        <f t="shared" si="306"/>
        <v>1-1.50484381963253i</v>
      </c>
      <c r="X469" s="17">
        <f t="shared" si="318"/>
        <v>1.8068079370774919</v>
      </c>
      <c r="Y469" s="17">
        <f t="shared" si="319"/>
        <v>-0.98428080365903226</v>
      </c>
      <c r="Z469" s="31" t="str">
        <f t="shared" si="307"/>
        <v>0.905022353918286+2.10461416067669i</v>
      </c>
      <c r="AA469" s="17">
        <f t="shared" si="320"/>
        <v>2.2909531261928175</v>
      </c>
      <c r="AB469" s="17">
        <f t="shared" si="321"/>
        <v>1.1646829243319046</v>
      </c>
      <c r="AC469" s="66" t="str">
        <f t="shared" si="322"/>
        <v>-0.0922843386287935+0.00228117364399984i</v>
      </c>
      <c r="AD469" s="64">
        <f t="shared" si="323"/>
        <v>-20.694787069692879</v>
      </c>
      <c r="AE469" s="61">
        <f t="shared" si="324"/>
        <v>178.58399579953212</v>
      </c>
      <c r="AF469" s="31" t="str">
        <f t="shared" si="308"/>
        <v>-9090.90909090909</v>
      </c>
      <c r="AG469" s="31" t="str">
        <f t="shared" si="309"/>
        <v>2033198.91071675i</v>
      </c>
      <c r="AH469" s="31">
        <f t="shared" si="325"/>
        <v>2033198.91071675</v>
      </c>
      <c r="AI469" s="31">
        <f t="shared" si="326"/>
        <v>1.5707963267948966</v>
      </c>
      <c r="AJ469" s="31" t="str">
        <f t="shared" si="310"/>
        <v>-14975.0369541549+703.989023238946i</v>
      </c>
      <c r="AK469" s="31">
        <f t="shared" si="327"/>
        <v>14991.575378296497</v>
      </c>
      <c r="AL469" s="31">
        <f t="shared" si="328"/>
        <v>3.0946164022235632</v>
      </c>
      <c r="AM469" s="31" t="str">
        <f t="shared" si="311"/>
        <v>1+2679.34952454253i</v>
      </c>
      <c r="AN469" s="31">
        <f t="shared" si="329"/>
        <v>2679.3497111549814</v>
      </c>
      <c r="AO469" s="31">
        <f t="shared" si="330"/>
        <v>1.5704231018966861</v>
      </c>
      <c r="AP469" s="31" t="str">
        <f t="shared" si="312"/>
        <v>1+447.303760357685i</v>
      </c>
      <c r="AQ469" s="31">
        <f t="shared" si="331"/>
        <v>447.30487816491035</v>
      </c>
      <c r="AR469" s="31">
        <f t="shared" si="332"/>
        <v>1.5685607132753265</v>
      </c>
      <c r="AS469" s="58" t="str">
        <f t="shared" si="333"/>
        <v>-0.0158538528944791+0.357096523755362i</v>
      </c>
      <c r="AT469" s="49">
        <f t="shared" si="334"/>
        <v>-8.935735799486018</v>
      </c>
      <c r="AU469" s="61">
        <f t="shared" si="335"/>
        <v>92.542065509860237</v>
      </c>
      <c r="AV469" s="58" t="str">
        <f t="shared" si="313"/>
        <v>0.000648463150730493-0.0329905819127836i</v>
      </c>
      <c r="AW469" s="64">
        <f t="shared" si="336"/>
        <v>-29.630522869178883</v>
      </c>
      <c r="AX469" s="49">
        <f t="shared" si="337"/>
        <v>-88.873938690607645</v>
      </c>
      <c r="AY469" s="310"/>
      <c r="BA469" s="31">
        <f t="shared" si="338"/>
        <v>0</v>
      </c>
      <c r="BB469" s="31">
        <f t="shared" si="339"/>
        <v>0</v>
      </c>
    </row>
    <row r="470" spans="14:54" x14ac:dyDescent="0.45">
      <c r="N470" s="10">
        <v>52</v>
      </c>
      <c r="O470" s="50">
        <f t="shared" si="302"/>
        <v>331131.12148259126</v>
      </c>
      <c r="P470" s="48" t="str">
        <f t="shared" si="303"/>
        <v>17.4002386318441</v>
      </c>
      <c r="Q470" s="17" t="str">
        <f t="shared" si="304"/>
        <v>1+178.183825457121i</v>
      </c>
      <c r="R470" s="17">
        <f t="shared" si="314"/>
        <v>178.18663152586325</v>
      </c>
      <c r="S470" s="17">
        <f t="shared" si="315"/>
        <v>1.5651842040403652</v>
      </c>
      <c r="T470" s="17" t="str">
        <f t="shared" si="305"/>
        <v>1+0.624167459174797i</v>
      </c>
      <c r="U470" s="17">
        <f t="shared" si="316"/>
        <v>1.1788066071636694</v>
      </c>
      <c r="V470" s="17">
        <f t="shared" si="317"/>
        <v>0.55800041027660585</v>
      </c>
      <c r="W470" s="31" t="str">
        <f t="shared" si="306"/>
        <v>1-1.53989613510698i</v>
      </c>
      <c r="X470" s="17">
        <f t="shared" si="318"/>
        <v>1.8361046013006488</v>
      </c>
      <c r="Y470" s="17">
        <f t="shared" si="319"/>
        <v>-0.99484691989790108</v>
      </c>
      <c r="Z470" s="31" t="str">
        <f t="shared" si="307"/>
        <v>0.900546195361162+2.1536369220753i</v>
      </c>
      <c r="AA470" s="17">
        <f t="shared" si="320"/>
        <v>2.3343383306850436</v>
      </c>
      <c r="AB470" s="17">
        <f t="shared" si="321"/>
        <v>1.1747408150640597</v>
      </c>
      <c r="AC470" s="66" t="str">
        <f t="shared" si="322"/>
        <v>-0.0904872685286286+0.00318455411446029i</v>
      </c>
      <c r="AD470" s="64">
        <f t="shared" si="323"/>
        <v>-20.862874691790356</v>
      </c>
      <c r="AE470" s="61">
        <f t="shared" si="324"/>
        <v>177.98439892669376</v>
      </c>
      <c r="AF470" s="31" t="str">
        <f t="shared" si="308"/>
        <v>-9090.90909090909</v>
      </c>
      <c r="AG470" s="31" t="str">
        <f t="shared" si="309"/>
        <v>2080558.19724932i</v>
      </c>
      <c r="AH470" s="31">
        <f t="shared" si="325"/>
        <v>2080558.1972493201</v>
      </c>
      <c r="AI470" s="31">
        <f t="shared" si="326"/>
        <v>1.5707963267948966</v>
      </c>
      <c r="AJ470" s="31" t="str">
        <f t="shared" si="310"/>
        <v>-15680.8358313609+720.387034122986i</v>
      </c>
      <c r="AK470" s="31">
        <f t="shared" si="327"/>
        <v>15697.374616445402</v>
      </c>
      <c r="AL470" s="31">
        <f t="shared" si="328"/>
        <v>3.0956843307773685</v>
      </c>
      <c r="AM470" s="31" t="str">
        <f t="shared" si="311"/>
        <v>1+2741.75959233515i</v>
      </c>
      <c r="AN470" s="31">
        <f t="shared" si="329"/>
        <v>2741.759774699784</v>
      </c>
      <c r="AO470" s="31">
        <f t="shared" si="330"/>
        <v>1.5704315975318157</v>
      </c>
      <c r="AP470" s="31" t="str">
        <f t="shared" si="312"/>
        <v>1+457.72280339485i</v>
      </c>
      <c r="AQ470" s="31">
        <f t="shared" si="331"/>
        <v>457.72389575773786</v>
      </c>
      <c r="AR470" s="31">
        <f t="shared" si="332"/>
        <v>1.568611601888086</v>
      </c>
      <c r="AS470" s="58" t="str">
        <f t="shared" si="333"/>
        <v>-0.0151417218702523+0.348999694528971i</v>
      </c>
      <c r="AT470" s="49">
        <f t="shared" si="334"/>
        <v>-9.1353318045178415</v>
      </c>
      <c r="AU470" s="61">
        <f t="shared" si="335"/>
        <v>92.484280177679267</v>
      </c>
      <c r="AV470" s="58" t="str">
        <f t="shared" si="313"/>
        <v>0.000258724639701709-0.0316282487079343i</v>
      </c>
      <c r="AW470" s="64">
        <f t="shared" si="336"/>
        <v>-29.998206496308192</v>
      </c>
      <c r="AX470" s="49">
        <f t="shared" si="337"/>
        <v>-89.531320895626976</v>
      </c>
      <c r="AY470" s="310"/>
      <c r="BA470" s="31">
        <f t="shared" si="338"/>
        <v>0</v>
      </c>
      <c r="BB470" s="31">
        <f t="shared" si="339"/>
        <v>0</v>
      </c>
    </row>
    <row r="471" spans="14:54" x14ac:dyDescent="0.45">
      <c r="N471" s="10">
        <v>53</v>
      </c>
      <c r="O471" s="50">
        <f t="shared" si="302"/>
        <v>338844.15613920329</v>
      </c>
      <c r="P471" s="48" t="str">
        <f t="shared" si="303"/>
        <v>17.4002386318441</v>
      </c>
      <c r="Q471" s="17" t="str">
        <f t="shared" si="304"/>
        <v>1+182.334259928049i</v>
      </c>
      <c r="R471" s="17">
        <f t="shared" si="314"/>
        <v>182.33700212384028</v>
      </c>
      <c r="S471" s="17">
        <f t="shared" si="315"/>
        <v>1.5653119489591509</v>
      </c>
      <c r="T471" s="17" t="str">
        <f t="shared" si="305"/>
        <v>1+0.638706186983254i</v>
      </c>
      <c r="U471" s="17">
        <f t="shared" si="316"/>
        <v>1.1865688320913741</v>
      </c>
      <c r="V471" s="17">
        <f t="shared" si="317"/>
        <v>0.56839479359558065</v>
      </c>
      <c r="W471" s="31" t="str">
        <f t="shared" si="306"/>
        <v>1-1.57576492389519i</v>
      </c>
      <c r="X471" s="17">
        <f t="shared" si="318"/>
        <v>1.8662891242726605</v>
      </c>
      <c r="Y471" s="17">
        <f t="shared" si="319"/>
        <v>-1.0053145483409052</v>
      </c>
      <c r="Z471" s="31" t="str">
        <f t="shared" si="307"/>
        <v>0.895859081950395+2.20380157027675i</v>
      </c>
      <c r="AA471" s="17">
        <f t="shared" si="320"/>
        <v>2.3789293507515676</v>
      </c>
      <c r="AB471" s="17">
        <f t="shared" si="321"/>
        <v>1.1846937390772871</v>
      </c>
      <c r="AC471" s="66" t="str">
        <f t="shared" si="322"/>
        <v>-0.0887409977601062+0.00402563496487309i</v>
      </c>
      <c r="AD471" s="64">
        <f t="shared" si="323"/>
        <v>-21.028585773491773</v>
      </c>
      <c r="AE471" s="61">
        <f t="shared" si="324"/>
        <v>177.40262250574384</v>
      </c>
      <c r="AF471" s="31" t="str">
        <f t="shared" si="308"/>
        <v>-9090.90909090909</v>
      </c>
      <c r="AG471" s="31" t="str">
        <f t="shared" si="309"/>
        <v>2129020.62327751i</v>
      </c>
      <c r="AH471" s="31">
        <f t="shared" si="325"/>
        <v>2129020.6232775101</v>
      </c>
      <c r="AI471" s="31">
        <f t="shared" si="326"/>
        <v>1.5707963267948966</v>
      </c>
      <c r="AJ471" s="31" t="str">
        <f t="shared" si="310"/>
        <v>-16419.8979848656+737.167003747969i</v>
      </c>
      <c r="AK471" s="31">
        <f t="shared" si="327"/>
        <v>16436.437114679331</v>
      </c>
      <c r="AL471" s="31">
        <f t="shared" si="328"/>
        <v>3.0967280423761667</v>
      </c>
      <c r="AM471" s="31" t="str">
        <f t="shared" si="311"/>
        <v>1+2805.6233773551i</v>
      </c>
      <c r="AN471" s="31">
        <f t="shared" si="329"/>
        <v>2805.6235555686076</v>
      </c>
      <c r="AO471" s="31">
        <f t="shared" si="330"/>
        <v>1.5704398997827309</v>
      </c>
      <c r="AP471" s="31" t="str">
        <f t="shared" si="312"/>
        <v>1+468.384537121052i</v>
      </c>
      <c r="AQ471" s="31">
        <f t="shared" si="331"/>
        <v>468.38560461878222</v>
      </c>
      <c r="AR471" s="31">
        <f t="shared" si="332"/>
        <v>1.5686613321455314</v>
      </c>
      <c r="AS471" s="58" t="str">
        <f t="shared" si="333"/>
        <v>-0.0144615182004734+0.34108506251592i</v>
      </c>
      <c r="AT471" s="49">
        <f t="shared" si="334"/>
        <v>-9.3349459571321063</v>
      </c>
      <c r="AU471" s="61">
        <f t="shared" si="335"/>
        <v>92.427804925842906</v>
      </c>
      <c r="AV471" s="58" t="str">
        <f t="shared" si="313"/>
        <v>-0.0000897543994240661-0.0303264455620439i</v>
      </c>
      <c r="AW471" s="64">
        <f t="shared" si="336"/>
        <v>-30.363531730623883</v>
      </c>
      <c r="AX471" s="49">
        <f t="shared" si="337"/>
        <v>-90.169572568413258</v>
      </c>
      <c r="AY471" s="310"/>
      <c r="BA471" s="31">
        <f t="shared" si="338"/>
        <v>0</v>
      </c>
      <c r="BB471" s="31">
        <f t="shared" si="339"/>
        <v>0</v>
      </c>
    </row>
    <row r="472" spans="14:54" x14ac:dyDescent="0.45">
      <c r="N472" s="10">
        <v>54</v>
      </c>
      <c r="O472" s="50">
        <f t="shared" si="302"/>
        <v>346736.85045253241</v>
      </c>
      <c r="P472" s="48" t="str">
        <f t="shared" si="303"/>
        <v>17.4002386318441</v>
      </c>
      <c r="Q472" s="17" t="str">
        <f t="shared" si="304"/>
        <v>1+186.58137043707i</v>
      </c>
      <c r="R472" s="17">
        <f t="shared" si="314"/>
        <v>186.58405021377132</v>
      </c>
      <c r="S472" s="17">
        <f t="shared" si="315"/>
        <v>1.5654367862215401</v>
      </c>
      <c r="T472" s="17" t="str">
        <f t="shared" si="305"/>
        <v>1+0.653583565266325i</v>
      </c>
      <c r="U472" s="17">
        <f t="shared" si="316"/>
        <v>1.1946428239378666</v>
      </c>
      <c r="V472" s="17">
        <f t="shared" si="317"/>
        <v>0.57889029918088575</v>
      </c>
      <c r="W472" s="31" t="str">
        <f t="shared" si="306"/>
        <v>1-1.61246920410377i</v>
      </c>
      <c r="X472" s="17">
        <f t="shared" si="318"/>
        <v>1.8973815995163033</v>
      </c>
      <c r="Y472" s="17">
        <f t="shared" si="319"/>
        <v>-1.0156800632115703</v>
      </c>
      <c r="Z472" s="31" t="str">
        <f t="shared" si="307"/>
        <v>0.89095107169003+2.25513470324152i</v>
      </c>
      <c r="AA472" s="17">
        <f t="shared" si="320"/>
        <v>2.4247528414066934</v>
      </c>
      <c r="AB472" s="17">
        <f t="shared" si="321"/>
        <v>1.1945414060791699</v>
      </c>
      <c r="AC472" s="66" t="str">
        <f t="shared" si="322"/>
        <v>-0.0870451492849088+0.00480762209154246i</v>
      </c>
      <c r="AD472" s="64">
        <f t="shared" si="323"/>
        <v>-21.19188050943654</v>
      </c>
      <c r="AE472" s="61">
        <f t="shared" si="324"/>
        <v>176.83868801954961</v>
      </c>
      <c r="AF472" s="31" t="str">
        <f t="shared" si="308"/>
        <v>-9090.90909090909</v>
      </c>
      <c r="AG472" s="31" t="str">
        <f t="shared" si="309"/>
        <v>2178611.88422108i</v>
      </c>
      <c r="AH472" s="31">
        <f t="shared" si="325"/>
        <v>2178611.8842210802</v>
      </c>
      <c r="AI472" s="31">
        <f t="shared" si="326"/>
        <v>1.5707963267948966</v>
      </c>
      <c r="AJ472" s="31" t="str">
        <f t="shared" si="310"/>
        <v>-17193.7910645842+754.337829075897i</v>
      </c>
      <c r="AK472" s="31">
        <f t="shared" si="327"/>
        <v>17210.330523640456</v>
      </c>
      <c r="AL472" s="31">
        <f t="shared" si="328"/>
        <v>3.0977480821353969</v>
      </c>
      <c r="AM472" s="31" t="str">
        <f t="shared" si="311"/>
        <v>1+2870.97474102654i</v>
      </c>
      <c r="AN472" s="31">
        <f t="shared" si="329"/>
        <v>2870.974915183413</v>
      </c>
      <c r="AO472" s="31">
        <f t="shared" si="330"/>
        <v>1.5704480130513903</v>
      </c>
      <c r="AP472" s="31" t="str">
        <f t="shared" si="312"/>
        <v>1+479.294614528637i</v>
      </c>
      <c r="AQ472" s="31">
        <f t="shared" si="331"/>
        <v>479.29565772720576</v>
      </c>
      <c r="AR472" s="31">
        <f t="shared" si="332"/>
        <v>1.5687099304143188</v>
      </c>
      <c r="AS472" s="58" t="str">
        <f t="shared" si="333"/>
        <v>-0.0138118157822543+0.333348620591725i</v>
      </c>
      <c r="AT472" s="49">
        <f t="shared" si="334"/>
        <v>-9.5345774436432524</v>
      </c>
      <c r="AU472" s="61">
        <f t="shared" si="335"/>
        <v>92.372610284448882</v>
      </c>
      <c r="AV472" s="58" t="str">
        <f t="shared" si="313"/>
        <v>-0.000400362625879998-0.0290827824340042i</v>
      </c>
      <c r="AW472" s="64">
        <f t="shared" si="336"/>
        <v>-30.726457953079795</v>
      </c>
      <c r="AX472" s="49">
        <f t="shared" si="337"/>
        <v>-90.788701696001496</v>
      </c>
      <c r="AY472" s="310"/>
      <c r="BA472" s="31">
        <f t="shared" si="338"/>
        <v>0</v>
      </c>
      <c r="BB472" s="31">
        <f t="shared" si="339"/>
        <v>0</v>
      </c>
    </row>
    <row r="473" spans="14:54" x14ac:dyDescent="0.45">
      <c r="N473" s="10">
        <v>55</v>
      </c>
      <c r="O473" s="50">
        <f t="shared" si="302"/>
        <v>354813.38923357555</v>
      </c>
      <c r="P473" s="48" t="str">
        <f t="shared" si="303"/>
        <v>17.4002386318441</v>
      </c>
      <c r="Q473" s="17" t="str">
        <f t="shared" si="304"/>
        <v>1+190.927408858392i</v>
      </c>
      <c r="R473" s="17">
        <f t="shared" si="314"/>
        <v>190.93002763677478</v>
      </c>
      <c r="S473" s="17">
        <f t="shared" si="315"/>
        <v>1.5655587820023285</v>
      </c>
      <c r="T473" s="17" t="str">
        <f t="shared" si="305"/>
        <v>1+0.668807482206898i</v>
      </c>
      <c r="U473" s="17">
        <f t="shared" si="316"/>
        <v>1.2030392546612643</v>
      </c>
      <c r="V473" s="17">
        <f t="shared" si="317"/>
        <v>0.58948324255773588</v>
      </c>
      <c r="W473" s="31" t="str">
        <f t="shared" si="306"/>
        <v>1-1.6500284368279i</v>
      </c>
      <c r="X473" s="17">
        <f t="shared" si="318"/>
        <v>1.9294024573273258</v>
      </c>
      <c r="Y473" s="17">
        <f t="shared" si="319"/>
        <v>-1.0259400504217862</v>
      </c>
      <c r="Z473" s="31" t="str">
        <f t="shared" si="307"/>
        <v>0.885811754032276+2.30766353847618i</v>
      </c>
      <c r="AA473" s="17">
        <f t="shared" si="320"/>
        <v>2.4718360524909699</v>
      </c>
      <c r="AB473" s="17">
        <f t="shared" si="321"/>
        <v>1.204283711573771</v>
      </c>
      <c r="AC473" s="66" t="str">
        <f t="shared" si="322"/>
        <v>-0.0853992609988106+0.00553362506904979i</v>
      </c>
      <c r="AD473" s="64">
        <f t="shared" si="323"/>
        <v>-21.352721351875324</v>
      </c>
      <c r="AE473" s="61">
        <f t="shared" si="324"/>
        <v>176.29258217173532</v>
      </c>
      <c r="AF473" s="31" t="str">
        <f t="shared" si="308"/>
        <v>-9090.90909090909</v>
      </c>
      <c r="AG473" s="31" t="str">
        <f t="shared" si="309"/>
        <v>2229358.27402299i</v>
      </c>
      <c r="AH473" s="31">
        <f t="shared" si="325"/>
        <v>2229358.2740229899</v>
      </c>
      <c r="AI473" s="31">
        <f t="shared" si="326"/>
        <v>1.5707963267948966</v>
      </c>
      <c r="AJ473" s="31" t="str">
        <f t="shared" si="310"/>
        <v>-18004.1566014965+771.908614305641i</v>
      </c>
      <c r="AK473" s="31">
        <f t="shared" si="327"/>
        <v>18020.696375003085</v>
      </c>
      <c r="AL473" s="31">
        <f t="shared" si="328"/>
        <v>3.0987449831696305</v>
      </c>
      <c r="AM473" s="31" t="str">
        <f t="shared" si="311"/>
        <v>1+2937.84833350749i</v>
      </c>
      <c r="AN473" s="31">
        <f t="shared" si="329"/>
        <v>2937.8485037000696</v>
      </c>
      <c r="AO473" s="31">
        <f t="shared" si="330"/>
        <v>1.5704559416395523</v>
      </c>
      <c r="AP473" s="31" t="str">
        <f t="shared" si="312"/>
        <v>1+490.458820285057i</v>
      </c>
      <c r="AQ473" s="31">
        <f t="shared" si="331"/>
        <v>490.45983973757711</v>
      </c>
      <c r="AR473" s="31">
        <f t="shared" si="332"/>
        <v>1.5687574224609748</v>
      </c>
      <c r="AS473" s="58" t="str">
        <f t="shared" si="333"/>
        <v>-0.0131912517458111+0.325786443551431i</v>
      </c>
      <c r="AT473" s="49">
        <f t="shared" si="334"/>
        <v>-9.7342254867166709</v>
      </c>
      <c r="AU473" s="61">
        <f t="shared" si="335"/>
        <v>92.318667431068064</v>
      </c>
      <c r="AV473" s="58" t="str">
        <f t="shared" si="313"/>
        <v>-0.000676256880451235-0.0278949169640757i</v>
      </c>
      <c r="AW473" s="64">
        <f t="shared" si="336"/>
        <v>-31.086946838591992</v>
      </c>
      <c r="AX473" s="49">
        <f t="shared" si="337"/>
        <v>-91.388750397196617</v>
      </c>
      <c r="AY473" s="310"/>
      <c r="BA473" s="31">
        <f t="shared" si="338"/>
        <v>0</v>
      </c>
      <c r="BB473" s="31">
        <f t="shared" si="339"/>
        <v>0</v>
      </c>
    </row>
    <row r="474" spans="14:54" x14ac:dyDescent="0.45">
      <c r="N474" s="10">
        <v>56</v>
      </c>
      <c r="O474" s="50">
        <f t="shared" si="302"/>
        <v>363078.05477010203</v>
      </c>
      <c r="P474" s="48" t="str">
        <f t="shared" si="303"/>
        <v>17.4002386318441</v>
      </c>
      <c r="Q474" s="17" t="str">
        <f t="shared" si="304"/>
        <v>1+195.374679519116i</v>
      </c>
      <c r="R474" s="17">
        <f t="shared" si="314"/>
        <v>195.37723868761503</v>
      </c>
      <c r="S474" s="17">
        <f t="shared" si="315"/>
        <v>1.5656780009707605</v>
      </c>
      <c r="T474" s="17" t="str">
        <f t="shared" si="305"/>
        <v>1+0.684386009727256i</v>
      </c>
      <c r="U474" s="17">
        <f t="shared" si="316"/>
        <v>1.2117690416537286</v>
      </c>
      <c r="V474" s="17">
        <f t="shared" si="317"/>
        <v>0.60016973100707161</v>
      </c>
      <c r="W474" s="31" t="str">
        <f t="shared" si="306"/>
        <v>1-1.68846253646996i</v>
      </c>
      <c r="X474" s="17">
        <f t="shared" si="318"/>
        <v>1.9623724766370347</v>
      </c>
      <c r="Y474" s="17">
        <f t="shared" si="319"/>
        <v>-1.0360913092056201</v>
      </c>
      <c r="Z474" s="31" t="str">
        <f t="shared" si="307"/>
        <v>0.880430227795337+2.36141592746449i</v>
      </c>
      <c r="AA474" s="17">
        <f t="shared" si="320"/>
        <v>2.520206850339616</v>
      </c>
      <c r="AB474" s="17">
        <f t="shared" si="321"/>
        <v>1.2139207308244617</v>
      </c>
      <c r="AC474" s="66" t="str">
        <f t="shared" si="322"/>
        <v>-0.083802792240366+0.00620665522660861i</v>
      </c>
      <c r="AD474" s="64">
        <f t="shared" si="323"/>
        <v>-21.51107307474069</v>
      </c>
      <c r="AE474" s="61">
        <f t="shared" si="324"/>
        <v>175.76425729875891</v>
      </c>
      <c r="AF474" s="31" t="str">
        <f t="shared" si="308"/>
        <v>-9090.90909090909</v>
      </c>
      <c r="AG474" s="31" t="str">
        <f t="shared" si="309"/>
        <v>2281286.69909085i</v>
      </c>
      <c r="AH474" s="31">
        <f t="shared" si="325"/>
        <v>2281286.6990908501</v>
      </c>
      <c r="AI474" s="31">
        <f t="shared" si="326"/>
        <v>1.5707963267948966</v>
      </c>
      <c r="AJ474" s="31" t="str">
        <f t="shared" si="310"/>
        <v>-18852.7134895542+789.888675700112i</v>
      </c>
      <c r="AK474" s="31">
        <f t="shared" si="327"/>
        <v>18869.253563382368</v>
      </c>
      <c r="AL474" s="31">
        <f t="shared" si="328"/>
        <v>3.0997192668387288</v>
      </c>
      <c r="AM474" s="31" t="str">
        <f t="shared" si="311"/>
        <v>1+3006.27961206192i</v>
      </c>
      <c r="AN474" s="31">
        <f t="shared" si="329"/>
        <v>3006.2797783804435</v>
      </c>
      <c r="AO474" s="31">
        <f t="shared" si="330"/>
        <v>1.5704636897510551</v>
      </c>
      <c r="AP474" s="31" t="str">
        <f t="shared" si="312"/>
        <v>1+501.883073799987i</v>
      </c>
      <c r="AQ474" s="31">
        <f t="shared" si="331"/>
        <v>501.88407004698121</v>
      </c>
      <c r="AR474" s="31">
        <f t="shared" si="332"/>
        <v>1.5688038334655541</v>
      </c>
      <c r="AS474" s="58" t="str">
        <f t="shared" si="333"/>
        <v>-0.0125985236917812+0.318394686858373i</v>
      </c>
      <c r="AT474" s="49">
        <f t="shared" si="334"/>
        <v>-9.9338893437558919</v>
      </c>
      <c r="AU474" s="61">
        <f t="shared" si="335"/>
        <v>92.265948177553881</v>
      </c>
      <c r="AV474" s="58" t="str">
        <f t="shared" si="313"/>
        <v>-0.000920374583836263-0.0267605584861478i</v>
      </c>
      <c r="AW474" s="64">
        <f t="shared" si="336"/>
        <v>-31.44496241849658</v>
      </c>
      <c r="AX474" s="49">
        <f t="shared" si="337"/>
        <v>-91.969794523687199</v>
      </c>
      <c r="AY474" s="310"/>
      <c r="BA474" s="31">
        <f t="shared" si="338"/>
        <v>0</v>
      </c>
      <c r="BB474" s="31">
        <f t="shared" si="339"/>
        <v>0</v>
      </c>
    </row>
    <row r="475" spans="14:54" x14ac:dyDescent="0.45">
      <c r="N475" s="10">
        <v>57</v>
      </c>
      <c r="O475" s="50">
        <f t="shared" si="302"/>
        <v>371535.2290971732</v>
      </c>
      <c r="P475" s="48" t="str">
        <f t="shared" si="303"/>
        <v>17.4002386318441</v>
      </c>
      <c r="Q475" s="17" t="str">
        <f t="shared" si="304"/>
        <v>1+199.925540421009i</v>
      </c>
      <c r="R475" s="17">
        <f t="shared" si="314"/>
        <v>199.92804133645811</v>
      </c>
      <c r="S475" s="17">
        <f t="shared" si="315"/>
        <v>1.5657945063247476</v>
      </c>
      <c r="T475" s="17" t="str">
        <f t="shared" si="305"/>
        <v>1+0.700327407768889i</v>
      </c>
      <c r="U475" s="17">
        <f t="shared" si="316"/>
        <v>1.2208433470647624</v>
      </c>
      <c r="V475" s="17">
        <f t="shared" si="317"/>
        <v>0.61094566734954547</v>
      </c>
      <c r="W475" s="31" t="str">
        <f t="shared" si="306"/>
        <v>1-1.7277918812983i</v>
      </c>
      <c r="X475" s="17">
        <f t="shared" si="318"/>
        <v>1.9963127974043344</v>
      </c>
      <c r="Y475" s="17">
        <f t="shared" si="319"/>
        <v>-1.0461308528606001</v>
      </c>
      <c r="Z475" s="31" t="str">
        <f t="shared" si="307"/>
        <v>0.874795078040554+2.41642037043457i</v>
      </c>
      <c r="AA475" s="17">
        <f t="shared" si="320"/>
        <v>2.5698937400630255</v>
      </c>
      <c r="AB475" s="17">
        <f t="shared" si="321"/>
        <v>1.2234527126175254</v>
      </c>
      <c r="AC475" s="66" t="str">
        <f t="shared" si="322"/>
        <v>-0.0822551302293116+0.00682962424054447i</v>
      </c>
      <c r="AD475" s="64">
        <f t="shared" si="323"/>
        <v>-21.666902834551021</v>
      </c>
      <c r="AE475" s="61">
        <f t="shared" si="324"/>
        <v>175.25363189960424</v>
      </c>
      <c r="AF475" s="31" t="str">
        <f t="shared" si="308"/>
        <v>-9090.90909090909</v>
      </c>
      <c r="AG475" s="31" t="str">
        <f t="shared" si="309"/>
        <v>2334424.69256296i</v>
      </c>
      <c r="AH475" s="31">
        <f t="shared" si="325"/>
        <v>2334424.6925629601</v>
      </c>
      <c r="AI475" s="31">
        <f t="shared" si="326"/>
        <v>1.5707963267948966</v>
      </c>
      <c r="AJ475" s="31" t="str">
        <f t="shared" si="310"/>
        <v>-19741.2616316845+808.287546525849i</v>
      </c>
      <c r="AK475" s="31">
        <f t="shared" si="327"/>
        <v>19757.801992339315</v>
      </c>
      <c r="AL475" s="31">
        <f t="shared" si="328"/>
        <v>3.1006714429901754</v>
      </c>
      <c r="AM475" s="31" t="str">
        <f t="shared" si="311"/>
        <v>1+3076.30485985947i</v>
      </c>
      <c r="AN475" s="31">
        <f t="shared" si="329"/>
        <v>3076.3050223921218</v>
      </c>
      <c r="AO475" s="31">
        <f t="shared" si="330"/>
        <v>1.5704712614940464</v>
      </c>
      <c r="AP475" s="31" t="str">
        <f t="shared" si="312"/>
        <v>1+513.573432363851i</v>
      </c>
      <c r="AQ475" s="31">
        <f t="shared" si="331"/>
        <v>513.57440593353851</v>
      </c>
      <c r="AR475" s="31">
        <f t="shared" si="332"/>
        <v>1.5688491880349849</v>
      </c>
      <c r="AS475" s="58" t="str">
        <f t="shared" si="333"/>
        <v>-0.0120323870456169+0.311169585381174i</v>
      </c>
      <c r="AT475" s="49">
        <f t="shared" si="334"/>
        <v>-10.133568305361301</v>
      </c>
      <c r="AU475" s="61">
        <f t="shared" si="335"/>
        <v>92.214424957049928</v>
      </c>
      <c r="AV475" s="58" t="str">
        <f t="shared" si="313"/>
        <v>-0.00113544577983274-0.0256774714511677i</v>
      </c>
      <c r="AW475" s="64">
        <f t="shared" si="336"/>
        <v>-31.800471139912325</v>
      </c>
      <c r="AX475" s="49">
        <f t="shared" si="337"/>
        <v>-92.531943143345828</v>
      </c>
      <c r="AY475" s="310"/>
      <c r="BA475" s="31">
        <f t="shared" si="338"/>
        <v>0</v>
      </c>
      <c r="BB475" s="31">
        <f t="shared" si="339"/>
        <v>0</v>
      </c>
    </row>
    <row r="476" spans="14:54" x14ac:dyDescent="0.45">
      <c r="N476" s="10">
        <v>58</v>
      </c>
      <c r="O476" s="50">
        <f t="shared" si="302"/>
        <v>380189.39632056188</v>
      </c>
      <c r="P476" s="48" t="str">
        <f t="shared" si="303"/>
        <v>17.4002386318441</v>
      </c>
      <c r="Q476" s="17" t="str">
        <f t="shared" si="304"/>
        <v>1+204.582404490761i</v>
      </c>
      <c r="R476" s="17">
        <f t="shared" si="314"/>
        <v>204.58484847911231</v>
      </c>
      <c r="S476" s="17">
        <f t="shared" si="315"/>
        <v>1.565908359824312</v>
      </c>
      <c r="T476" s="17" t="str">
        <f t="shared" si="305"/>
        <v>1+0.71664012867205i</v>
      </c>
      <c r="U476" s="17">
        <f t="shared" si="316"/>
        <v>1.2302735769019393</v>
      </c>
      <c r="V476" s="17">
        <f t="shared" si="317"/>
        <v>0.62180675470872004</v>
      </c>
      <c r="W476" s="31" t="str">
        <f t="shared" si="306"/>
        <v>1-1.76803732425213i</v>
      </c>
      <c r="X476" s="17">
        <f t="shared" si="318"/>
        <v>2.0312449335194986</v>
      </c>
      <c r="Y476" s="17">
        <f t="shared" si="319"/>
        <v>-1.0560559086355124</v>
      </c>
      <c r="Z476" s="31" t="str">
        <f t="shared" si="307"/>
        <v>0.868894351859779+2.47270603147016i</v>
      </c>
      <c r="AA476" s="17">
        <f t="shared" si="320"/>
        <v>2.6209258884529207</v>
      </c>
      <c r="AB476" s="17">
        <f t="shared" si="321"/>
        <v>1.2328800728722857</v>
      </c>
      <c r="AC476" s="66" t="str">
        <f t="shared" si="322"/>
        <v>-0.0807555963963957+0.00740534321485625i</v>
      </c>
      <c r="AD476" s="64">
        <f t="shared" si="323"/>
        <v>-21.820180228080886</v>
      </c>
      <c r="AE476" s="61">
        <f t="shared" si="324"/>
        <v>174.76059127931842</v>
      </c>
      <c r="AF476" s="31" t="str">
        <f t="shared" si="308"/>
        <v>-9090.90909090909</v>
      </c>
      <c r="AG476" s="31" t="str">
        <f t="shared" si="309"/>
        <v>2388800.42890683i</v>
      </c>
      <c r="AH476" s="31">
        <f t="shared" si="325"/>
        <v>2388800.42890683</v>
      </c>
      <c r="AI476" s="31">
        <f t="shared" si="326"/>
        <v>1.5707963267948966</v>
      </c>
      <c r="AJ476" s="31" t="str">
        <f t="shared" si="310"/>
        <v>-20671.6857576268+827.114982107707i</v>
      </c>
      <c r="AK476" s="31">
        <f t="shared" si="327"/>
        <v>20688.226392218785</v>
      </c>
      <c r="AL476" s="31">
        <f t="shared" si="328"/>
        <v>3.1016020101975683</v>
      </c>
      <c r="AM476" s="31" t="str">
        <f t="shared" si="311"/>
        <v>1+3147.96120521342i</v>
      </c>
      <c r="AN476" s="31">
        <f t="shared" si="329"/>
        <v>3147.9613640463767</v>
      </c>
      <c r="AO476" s="31">
        <f t="shared" si="330"/>
        <v>1.5704786608831609</v>
      </c>
      <c r="AP476" s="31" t="str">
        <f t="shared" si="312"/>
        <v>1+525.536094359502i</v>
      </c>
      <c r="AQ476" s="31">
        <f t="shared" si="331"/>
        <v>525.53704576807843</v>
      </c>
      <c r="AR476" s="31">
        <f t="shared" si="332"/>
        <v>1.5688935102161137</v>
      </c>
      <c r="AS476" s="58" t="str">
        <f t="shared" si="333"/>
        <v>-0.0114916525244198+0.304107452121923i</v>
      </c>
      <c r="AT476" s="49">
        <f t="shared" si="334"/>
        <v>-10.33326169385554</v>
      </c>
      <c r="AU476" s="61">
        <f t="shared" si="335"/>
        <v>92.164070811197803</v>
      </c>
      <c r="AV476" s="58" t="str">
        <f t="shared" si="313"/>
        <v>-0.00132400480396864-0.0246434782957434i</v>
      </c>
      <c r="AW476" s="64">
        <f t="shared" si="336"/>
        <v>-32.153441921936441</v>
      </c>
      <c r="AX476" s="49">
        <f t="shared" si="337"/>
        <v>-93.075337909483792</v>
      </c>
      <c r="AY476" s="310"/>
      <c r="BA476" s="31">
        <f t="shared" si="338"/>
        <v>0</v>
      </c>
      <c r="BB476" s="31">
        <f t="shared" si="339"/>
        <v>0</v>
      </c>
    </row>
    <row r="477" spans="14:54" x14ac:dyDescent="0.45">
      <c r="N477" s="10">
        <v>59</v>
      </c>
      <c r="O477" s="50">
        <f t="shared" si="302"/>
        <v>389045.14499428123</v>
      </c>
      <c r="P477" s="48" t="str">
        <f t="shared" si="303"/>
        <v>17.4002386318441</v>
      </c>
      <c r="Q477" s="17" t="str">
        <f t="shared" si="304"/>
        <v>1+209.347740859343i</v>
      </c>
      <c r="R477" s="17">
        <f t="shared" si="314"/>
        <v>209.35012921636957</v>
      </c>
      <c r="S477" s="17">
        <f t="shared" si="315"/>
        <v>1.566019621824273</v>
      </c>
      <c r="T477" s="17" t="str">
        <f t="shared" si="305"/>
        <v>1+0.733332821657287i</v>
      </c>
      <c r="U477" s="17">
        <f t="shared" si="316"/>
        <v>1.2400713799293321</v>
      </c>
      <c r="V477" s="17">
        <f t="shared" si="317"/>
        <v>0.63274850226478863</v>
      </c>
      <c r="W477" s="31" t="str">
        <f t="shared" si="306"/>
        <v>1-1.80922020399802i</v>
      </c>
      <c r="X477" s="17">
        <f t="shared" si="318"/>
        <v>2.0671907862010794</v>
      </c>
      <c r="Y477" s="17">
        <f t="shared" si="319"/>
        <v>-1.0658639168081228</v>
      </c>
      <c r="Z477" s="31" t="str">
        <f t="shared" si="307"/>
        <v>0.862715533021659+2.53030275397377i</v>
      </c>
      <c r="AA477" s="17">
        <f t="shared" si="320"/>
        <v>2.673333147530268</v>
      </c>
      <c r="AB477" s="17">
        <f t="shared" si="321"/>
        <v>1.2422033881407886</v>
      </c>
      <c r="AC477" s="66" t="str">
        <f t="shared" si="322"/>
        <v>-0.0793034525707901+0.00793652221985535i</v>
      </c>
      <c r="AD477" s="64">
        <f t="shared" si="323"/>
        <v>-21.970877346679096</v>
      </c>
      <c r="AE477" s="61">
        <f t="shared" si="324"/>
        <v>174.28498830208537</v>
      </c>
      <c r="AF477" s="31" t="str">
        <f t="shared" si="308"/>
        <v>-9090.90909090909</v>
      </c>
      <c r="AG477" s="31" t="str">
        <f t="shared" si="309"/>
        <v>2444442.73885762i</v>
      </c>
      <c r="AH477" s="31">
        <f t="shared" si="325"/>
        <v>2444442.7388576199</v>
      </c>
      <c r="AI477" s="31">
        <f t="shared" si="326"/>
        <v>1.5707963267948966</v>
      </c>
      <c r="AJ477" s="31" t="str">
        <f t="shared" si="310"/>
        <v>-21645.9594216963+846.380965001237i</v>
      </c>
      <c r="AK477" s="31">
        <f t="shared" si="327"/>
        <v>21662.500317914353</v>
      </c>
      <c r="AL477" s="31">
        <f t="shared" si="328"/>
        <v>3.1025114559952311</v>
      </c>
      <c r="AM477" s="31" t="str">
        <f t="shared" si="311"/>
        <v>1+3221.28664126657i</v>
      </c>
      <c r="AN477" s="31">
        <f t="shared" si="329"/>
        <v>3221.286796484048</v>
      </c>
      <c r="AO477" s="31">
        <f t="shared" si="330"/>
        <v>1.5704858918416496</v>
      </c>
      <c r="AP477" s="31" t="str">
        <f t="shared" si="312"/>
        <v>1+537.777402548676i</v>
      </c>
      <c r="AQ477" s="31">
        <f t="shared" si="331"/>
        <v>537.77833230058718</v>
      </c>
      <c r="AR477" s="31">
        <f t="shared" si="332"/>
        <v>1.5689368235084509</v>
      </c>
      <c r="AS477" s="58" t="str">
        <f t="shared" si="333"/>
        <v>-0.0109751837117305+0.297204676938137i</v>
      </c>
      <c r="AT477" s="49">
        <f t="shared" si="334"/>
        <v>-10.53296886187367</v>
      </c>
      <c r="AU477" s="61">
        <f t="shared" si="335"/>
        <v>92.114859377546779</v>
      </c>
      <c r="AV477" s="58" t="str">
        <f t="shared" si="313"/>
        <v>-0.00148840156142553-0.0236564617907757i</v>
      </c>
      <c r="AW477" s="64">
        <f t="shared" si="336"/>
        <v>-32.503846208552758</v>
      </c>
      <c r="AX477" s="49">
        <f t="shared" si="337"/>
        <v>-93.600152320367854</v>
      </c>
      <c r="AY477" s="310"/>
      <c r="BA477" s="31">
        <f t="shared" si="338"/>
        <v>0</v>
      </c>
      <c r="BB477" s="31">
        <f t="shared" si="339"/>
        <v>0</v>
      </c>
    </row>
    <row r="478" spans="14:54" x14ac:dyDescent="0.45">
      <c r="N478" s="10">
        <v>60</v>
      </c>
      <c r="O478" s="50">
        <f t="shared" si="302"/>
        <v>398107.17055349716</v>
      </c>
      <c r="P478" s="48" t="str">
        <f t="shared" si="303"/>
        <v>17.4002386318441</v>
      </c>
      <c r="Q478" s="17" t="str">
        <f t="shared" si="304"/>
        <v>1+214.224076171172i</v>
      </c>
      <c r="R478" s="17">
        <f t="shared" si="314"/>
        <v>214.22641016315447</v>
      </c>
      <c r="S478" s="17">
        <f t="shared" si="315"/>
        <v>1.5661283513061905</v>
      </c>
      <c r="T478" s="17" t="str">
        <f t="shared" si="305"/>
        <v>1+0.750414337411372i</v>
      </c>
      <c r="U478" s="17">
        <f t="shared" si="316"/>
        <v>1.2502486463870091</v>
      </c>
      <c r="V478" s="17">
        <f t="shared" si="317"/>
        <v>0.64376623200212657</v>
      </c>
      <c r="W478" s="31" t="str">
        <f t="shared" si="306"/>
        <v>1-1.85136235624393i</v>
      </c>
      <c r="X478" s="17">
        <f t="shared" si="318"/>
        <v>2.1041726578674758</v>
      </c>
      <c r="Y478" s="17">
        <f t="shared" si="319"/>
        <v>-1.0755525290001027</v>
      </c>
      <c r="Z478" s="31" t="str">
        <f t="shared" si="307"/>
        <v>0.856245515423029+2.58924107649004i</v>
      </c>
      <c r="AA478" s="17">
        <f t="shared" si="320"/>
        <v>2.7271460787543726</v>
      </c>
      <c r="AB478" s="17">
        <f t="shared" si="321"/>
        <v>1.2514233890373796</v>
      </c>
      <c r="AC478" s="66" t="str">
        <f t="shared" si="322"/>
        <v>-0.0778979069955984+0.00842577025746542i</v>
      </c>
      <c r="AD478" s="64">
        <f t="shared" si="323"/>
        <v>-22.118968827065892</v>
      </c>
      <c r="AE478" s="61">
        <f t="shared" si="324"/>
        <v>173.82664424900707</v>
      </c>
      <c r="AF478" s="31" t="str">
        <f t="shared" si="308"/>
        <v>-9090.90909090909</v>
      </c>
      <c r="AG478" s="31" t="str">
        <f t="shared" si="309"/>
        <v>2501381.12470457i</v>
      </c>
      <c r="AH478" s="31">
        <f t="shared" si="325"/>
        <v>2501381.12470457</v>
      </c>
      <c r="AI478" s="31">
        <f t="shared" si="326"/>
        <v>1.5707963267948966</v>
      </c>
      <c r="AJ478" s="31" t="str">
        <f t="shared" si="310"/>
        <v>-22666.1491889575+866.095710285587i</v>
      </c>
      <c r="AK478" s="31">
        <f t="shared" si="327"/>
        <v>22682.690335043018</v>
      </c>
      <c r="AL478" s="31">
        <f t="shared" si="328"/>
        <v>3.1034002571089472</v>
      </c>
      <c r="AM478" s="31" t="str">
        <f t="shared" si="311"/>
        <v>1+3296.32004613568i</v>
      </c>
      <c r="AN478" s="31">
        <f t="shared" si="329"/>
        <v>3296.3201978199768</v>
      </c>
      <c r="AO478" s="31">
        <f t="shared" si="330"/>
        <v>1.5704929582034595</v>
      </c>
      <c r="AP478" s="31" t="str">
        <f t="shared" si="312"/>
        <v>1+550.303847435005i</v>
      </c>
      <c r="AQ478" s="31">
        <f t="shared" si="331"/>
        <v>550.30475602321417</v>
      </c>
      <c r="AR478" s="31">
        <f t="shared" si="332"/>
        <v>1.5689791508766264</v>
      </c>
      <c r="AS478" s="58" t="str">
        <f t="shared" si="333"/>
        <v>-0.010481894735941+0.290457725260912i</v>
      </c>
      <c r="AT478" s="49">
        <f t="shared" si="334"/>
        <v>-10.732689191015815</v>
      </c>
      <c r="AU478" s="61">
        <f t="shared" si="335"/>
        <v>92.066764877166904</v>
      </c>
      <c r="AV478" s="58" t="str">
        <f t="shared" si="313"/>
        <v>-0.00163081240127647-0.0227143669054356i</v>
      </c>
      <c r="AW478" s="64">
        <f t="shared" si="336"/>
        <v>-32.851658018081693</v>
      </c>
      <c r="AX478" s="49">
        <f t="shared" si="337"/>
        <v>-94.106590873826008</v>
      </c>
      <c r="AY478" s="310"/>
      <c r="BA478" s="31">
        <f t="shared" si="338"/>
        <v>0</v>
      </c>
      <c r="BB478" s="31">
        <f t="shared" si="339"/>
        <v>0</v>
      </c>
    </row>
    <row r="479" spans="14:54" x14ac:dyDescent="0.45">
      <c r="N479" s="10">
        <v>61</v>
      </c>
      <c r="O479" s="50">
        <f t="shared" si="302"/>
        <v>407380.27780411334</v>
      </c>
      <c r="P479" s="48" t="str">
        <f t="shared" si="303"/>
        <v>17.4002386318441</v>
      </c>
      <c r="Q479" s="17" t="str">
        <f t="shared" si="304"/>
        <v>1+219.213995923779i</v>
      </c>
      <c r="R479" s="17">
        <f t="shared" si="314"/>
        <v>219.21627678817694</v>
      </c>
      <c r="S479" s="17">
        <f t="shared" si="315"/>
        <v>1.566234605909586</v>
      </c>
      <c r="T479" s="17" t="str">
        <f t="shared" si="305"/>
        <v>1+0.767893732780063i</v>
      </c>
      <c r="U479" s="17">
        <f t="shared" si="316"/>
        <v>1.2608175065579075</v>
      </c>
      <c r="V479" s="17">
        <f t="shared" si="317"/>
        <v>0.65485508644540102</v>
      </c>
      <c r="W479" s="31" t="str">
        <f t="shared" si="306"/>
        <v>1-1.8944861253168i</v>
      </c>
      <c r="X479" s="17">
        <f t="shared" si="318"/>
        <v>2.1422132664648172</v>
      </c>
      <c r="Y479" s="17">
        <f t="shared" si="319"/>
        <v>-1.085119605779463</v>
      </c>
      <c r="Z479" s="31" t="str">
        <f t="shared" si="307"/>
        <v>0.84947057528911+2.64955224889774i</v>
      </c>
      <c r="AA479" s="17">
        <f t="shared" si="320"/>
        <v>2.7823959779156313</v>
      </c>
      <c r="AB479" s="17">
        <f t="shared" si="321"/>
        <v>1.2605409536356096</v>
      </c>
      <c r="AC479" s="66" t="str">
        <f t="shared" si="322"/>
        <v>-0.0765381201462093+0.00887559562086269i</v>
      </c>
      <c r="AD479" s="64">
        <f t="shared" si="323"/>
        <v>-22.264431898395152</v>
      </c>
      <c r="AE479" s="61">
        <f t="shared" si="324"/>
        <v>173.38534977526186</v>
      </c>
      <c r="AF479" s="31" t="str">
        <f t="shared" si="308"/>
        <v>-9090.90909090909</v>
      </c>
      <c r="AG479" s="31" t="str">
        <f t="shared" si="309"/>
        <v>2559645.77593354i</v>
      </c>
      <c r="AH479" s="31">
        <f t="shared" si="325"/>
        <v>2559645.77593354</v>
      </c>
      <c r="AI479" s="31">
        <f t="shared" si="326"/>
        <v>1.5707963267948966</v>
      </c>
      <c r="AJ479" s="31" t="str">
        <f t="shared" si="310"/>
        <v>-23734.4190186862+886.269670979665i</v>
      </c>
      <c r="AK479" s="31">
        <f t="shared" si="327"/>
        <v>23750.960403408357</v>
      </c>
      <c r="AL479" s="31">
        <f t="shared" si="328"/>
        <v>3.1042688796827962</v>
      </c>
      <c r="AM479" s="31" t="str">
        <f t="shared" si="311"/>
        <v>1+3373.10120352522i</v>
      </c>
      <c r="AN479" s="31">
        <f t="shared" si="329"/>
        <v>3373.1013517567612</v>
      </c>
      <c r="AO479" s="31">
        <f t="shared" si="330"/>
        <v>1.5704998637152658</v>
      </c>
      <c r="AP479" s="31" t="str">
        <f t="shared" si="312"/>
        <v>1+563.122070705378i</v>
      </c>
      <c r="AQ479" s="31">
        <f t="shared" si="331"/>
        <v>563.1229586116275</v>
      </c>
      <c r="AR479" s="31">
        <f t="shared" si="332"/>
        <v>1.5690205147625647</v>
      </c>
      <c r="AS479" s="58" t="str">
        <f t="shared" si="333"/>
        <v>-0.0100107480481471+0.28386313681154i</v>
      </c>
      <c r="AT479" s="49">
        <f t="shared" si="334"/>
        <v>-10.932422090558253</v>
      </c>
      <c r="AU479" s="61">
        <f t="shared" si="335"/>
        <v>92.019762102465961</v>
      </c>
      <c r="AV479" s="58" t="str">
        <f t="shared" si="313"/>
        <v>-0.00175325057714634-0.0218152022218992i</v>
      </c>
      <c r="AW479" s="64">
        <f t="shared" si="336"/>
        <v>-33.196853988953407</v>
      </c>
      <c r="AX479" s="49">
        <f t="shared" si="337"/>
        <v>-94.594888122272181</v>
      </c>
      <c r="AY479" s="310"/>
      <c r="BA479" s="31">
        <f t="shared" si="338"/>
        <v>0</v>
      </c>
      <c r="BB479" s="31">
        <f t="shared" si="339"/>
        <v>0</v>
      </c>
    </row>
    <row r="480" spans="14:54" x14ac:dyDescent="0.45">
      <c r="N480" s="10">
        <v>62</v>
      </c>
      <c r="O480" s="50">
        <f t="shared" si="302"/>
        <v>416869.38347033598</v>
      </c>
      <c r="P480" s="48" t="str">
        <f t="shared" si="303"/>
        <v>17.4002386318441</v>
      </c>
      <c r="Q480" s="17" t="str">
        <f t="shared" si="304"/>
        <v>1+224.320145838665i</v>
      </c>
      <c r="R480" s="17">
        <f t="shared" si="314"/>
        <v>224.32237478477251</v>
      </c>
      <c r="S480" s="17">
        <f t="shared" si="315"/>
        <v>1.566338441962454</v>
      </c>
      <c r="T480" s="17" t="str">
        <f t="shared" si="305"/>
        <v>1+0.78578027557015i</v>
      </c>
      <c r="U480" s="17">
        <f t="shared" si="316"/>
        <v>1.2717903292111876</v>
      </c>
      <c r="V480" s="17">
        <f t="shared" si="317"/>
        <v>0.66601003737000841</v>
      </c>
      <c r="W480" s="31" t="str">
        <f t="shared" si="306"/>
        <v>1-1.9386143760098i</v>
      </c>
      <c r="X480" s="17">
        <f t="shared" si="318"/>
        <v>2.1813357602331345</v>
      </c>
      <c r="Y480" s="17">
        <f t="shared" si="319"/>
        <v>-1.0945632136030796</v>
      </c>
      <c r="Z480" s="31" t="str">
        <f t="shared" si="307"/>
        <v>0.842376342063548+2.71126824897877i</v>
      </c>
      <c r="AA480" s="17">
        <f t="shared" si="320"/>
        <v>2.8391149007373353</v>
      </c>
      <c r="AB480" s="17">
        <f t="shared" si="321"/>
        <v>1.269557100866946</v>
      </c>
      <c r="AC480" s="66" t="str">
        <f t="shared" si="322"/>
        <v>-0.0752232103303549+0.00928840661569473i</v>
      </c>
      <c r="AD480" s="64">
        <f t="shared" si="323"/>
        <v>-22.407246425321162</v>
      </c>
      <c r="AE480" s="61">
        <f t="shared" si="324"/>
        <v>172.96086596083271</v>
      </c>
      <c r="AF480" s="31" t="str">
        <f t="shared" si="308"/>
        <v>-9090.90909090909</v>
      </c>
      <c r="AG480" s="31" t="str">
        <f t="shared" si="309"/>
        <v>2619267.58523383i</v>
      </c>
      <c r="AH480" s="31">
        <f t="shared" si="325"/>
        <v>2619267.5852338299</v>
      </c>
      <c r="AI480" s="31">
        <f t="shared" si="326"/>
        <v>1.5707963267948966</v>
      </c>
      <c r="AJ480" s="31" t="str">
        <f t="shared" si="310"/>
        <v>-24853.0348544167+906.91354358446i</v>
      </c>
      <c r="AK480" s="31">
        <f t="shared" si="327"/>
        <v>24869.576467048813</v>
      </c>
      <c r="AL480" s="31">
        <f t="shared" si="328"/>
        <v>3.1051177795020992</v>
      </c>
      <c r="AM480" s="31" t="str">
        <f t="shared" si="311"/>
        <v>1+3451.67082382114i</v>
      </c>
      <c r="AN480" s="31">
        <f t="shared" si="329"/>
        <v>3451.6709686785193</v>
      </c>
      <c r="AO480" s="31">
        <f t="shared" si="330"/>
        <v>1.5705066120384603</v>
      </c>
      <c r="AP480" s="31" t="str">
        <f t="shared" si="312"/>
        <v>1+576.238868751442i</v>
      </c>
      <c r="AQ480" s="31">
        <f t="shared" si="331"/>
        <v>576.23973644650857</v>
      </c>
      <c r="AR480" s="31">
        <f t="shared" si="332"/>
        <v>1.5690609370973787</v>
      </c>
      <c r="AS480" s="58" t="str">
        <f t="shared" si="333"/>
        <v>-0.00956075229540711+0.277417524318587i</v>
      </c>
      <c r="AT480" s="49">
        <f t="shared" si="334"/>
        <v>-11.132166996221528</v>
      </c>
      <c r="AU480" s="61">
        <f t="shared" si="335"/>
        <v>91.973826405211227</v>
      </c>
      <c r="AV480" s="58" t="str">
        <f t="shared" si="313"/>
        <v>-0.00185757628735658-0.0209570409360151i</v>
      </c>
      <c r="AW480" s="64">
        <f t="shared" si="336"/>
        <v>-33.53941342154269</v>
      </c>
      <c r="AX480" s="49">
        <f t="shared" si="337"/>
        <v>-95.065307633956039</v>
      </c>
      <c r="AY480" s="310"/>
      <c r="BA480" s="31">
        <f t="shared" si="338"/>
        <v>0</v>
      </c>
      <c r="BB480" s="31">
        <f t="shared" si="339"/>
        <v>0</v>
      </c>
    </row>
    <row r="481" spans="14:54" x14ac:dyDescent="0.45">
      <c r="N481" s="10">
        <v>63</v>
      </c>
      <c r="O481" s="50">
        <f t="shared" si="302"/>
        <v>426579.51880159322</v>
      </c>
      <c r="P481" s="48" t="str">
        <f t="shared" si="303"/>
        <v>17.4002386318441</v>
      </c>
      <c r="Q481" s="17" t="str">
        <f t="shared" si="304"/>
        <v>1+229.545233264103i</v>
      </c>
      <c r="R481" s="17">
        <f t="shared" si="314"/>
        <v>229.54741147368981</v>
      </c>
      <c r="S481" s="17">
        <f t="shared" si="315"/>
        <v>1.5664399145110828</v>
      </c>
      <c r="T481" s="17" t="str">
        <f t="shared" si="305"/>
        <v>1+0.804083449463374i</v>
      </c>
      <c r="U481" s="17">
        <f t="shared" si="316"/>
        <v>1.2831797199538801</v>
      </c>
      <c r="V481" s="17">
        <f t="shared" si="317"/>
        <v>0.67722589546349232</v>
      </c>
      <c r="W481" s="31" t="str">
        <f t="shared" si="306"/>
        <v>1-1.98377050570556i</v>
      </c>
      <c r="X481" s="17">
        <f t="shared" si="318"/>
        <v>2.2215637328934075</v>
      </c>
      <c r="Y481" s="17">
        <f t="shared" si="319"/>
        <v>-1.1038816211535178</v>
      </c>
      <c r="Z481" s="31" t="str">
        <f t="shared" si="307"/>
        <v>0.834947767926532+2.77442179937329i</v>
      </c>
      <c r="AA481" s="17">
        <f t="shared" si="320"/>
        <v>2.8973356892157356</v>
      </c>
      <c r="AB481" s="17">
        <f t="shared" si="321"/>
        <v>1.2784729839528786</v>
      </c>
      <c r="AC481" s="66" t="str">
        <f t="shared" si="322"/>
        <v>-0.0739522590525724+0.00966651261006773i</v>
      </c>
      <c r="AD481" s="64">
        <f t="shared" si="323"/>
        <v>-22.547394946777235</v>
      </c>
      <c r="AE481" s="61">
        <f t="shared" si="324"/>
        <v>172.55292544855513</v>
      </c>
      <c r="AF481" s="31" t="str">
        <f t="shared" si="308"/>
        <v>-9090.90909090909</v>
      </c>
      <c r="AG481" s="31" t="str">
        <f t="shared" si="309"/>
        <v>2680278.16487791i</v>
      </c>
      <c r="AH481" s="31">
        <f t="shared" si="325"/>
        <v>2680278.1648779102</v>
      </c>
      <c r="AI481" s="31">
        <f t="shared" si="326"/>
        <v>1.5707963267948966</v>
      </c>
      <c r="AJ481" s="31" t="str">
        <f t="shared" si="310"/>
        <v>-26024.3694303118+928.038273754484i</v>
      </c>
      <c r="AK481" s="31">
        <f t="shared" si="327"/>
        <v>26040.911260608766</v>
      </c>
      <c r="AL481" s="31">
        <f t="shared" si="328"/>
        <v>3.105947402212474</v>
      </c>
      <c r="AM481" s="31" t="str">
        <f t="shared" si="311"/>
        <v>1+3532.07056567611i</v>
      </c>
      <c r="AN481" s="31">
        <f t="shared" si="329"/>
        <v>3532.0707072361333</v>
      </c>
      <c r="AO481" s="31">
        <f t="shared" si="330"/>
        <v>1.5705132067510903</v>
      </c>
      <c r="AP481" s="31" t="str">
        <f t="shared" si="312"/>
        <v>1+589.66119627314i</v>
      </c>
      <c r="AQ481" s="31">
        <f t="shared" si="331"/>
        <v>589.66204421708414</v>
      </c>
      <c r="AR481" s="31">
        <f t="shared" si="332"/>
        <v>1.5691004393129968</v>
      </c>
      <c r="AS481" s="58" t="str">
        <f t="shared" si="333"/>
        <v>-0.00913096028550997+0.271117572237307i</v>
      </c>
      <c r="AT481" s="49">
        <f t="shared" si="334"/>
        <v>-11.331923368992767</v>
      </c>
      <c r="AU481" s="61">
        <f t="shared" si="335"/>
        <v>91.928933684755677</v>
      </c>
      <c r="AV481" s="58" t="str">
        <f t="shared" si="313"/>
        <v>-0.00194550629041009-0.0201380214785397i</v>
      </c>
      <c r="AW481" s="64">
        <f t="shared" si="336"/>
        <v>-33.879318315770021</v>
      </c>
      <c r="AX481" s="49">
        <f t="shared" si="337"/>
        <v>-95.518140866689208</v>
      </c>
      <c r="AY481" s="310"/>
      <c r="BA481" s="31">
        <f t="shared" si="338"/>
        <v>0</v>
      </c>
      <c r="BB481" s="31">
        <f t="shared" si="339"/>
        <v>0</v>
      </c>
    </row>
    <row r="482" spans="14:54" x14ac:dyDescent="0.45">
      <c r="N482" s="10">
        <v>64</v>
      </c>
      <c r="O482" s="50">
        <f t="shared" si="302"/>
        <v>436515.83224016649</v>
      </c>
      <c r="P482" s="48" t="str">
        <f t="shared" si="303"/>
        <v>17.4002386318441</v>
      </c>
      <c r="Q482" s="17" t="str">
        <f t="shared" si="304"/>
        <v>1+234.892028610607i</v>
      </c>
      <c r="R482" s="17">
        <f t="shared" si="314"/>
        <v>234.89415723854484</v>
      </c>
      <c r="S482" s="17">
        <f t="shared" si="315"/>
        <v>1.566539077349197</v>
      </c>
      <c r="T482" s="17" t="str">
        <f t="shared" si="305"/>
        <v>1+0.822812959044805i</v>
      </c>
      <c r="U482" s="17">
        <f t="shared" si="316"/>
        <v>1.2949985195250486</v>
      </c>
      <c r="V482" s="17">
        <f t="shared" si="317"/>
        <v>0.68849732090524318</v>
      </c>
      <c r="W482" s="31" t="str">
        <f t="shared" si="306"/>
        <v>1-2.02997845678174i</v>
      </c>
      <c r="X482" s="17">
        <f t="shared" si="318"/>
        <v>2.2629212392387794</v>
      </c>
      <c r="Y482" s="17">
        <f t="shared" si="319"/>
        <v>-1.1130732951252642</v>
      </c>
      <c r="Z482" s="31" t="str">
        <f t="shared" si="307"/>
        <v>0.82716909587635+2.83904638492964i</v>
      </c>
      <c r="AA482" s="17">
        <f t="shared" si="320"/>
        <v>2.9570919987303328</v>
      </c>
      <c r="AB482" s="17">
        <f t="shared" si="321"/>
        <v>1.2872898838989799</v>
      </c>
      <c r="AC482" s="66" t="str">
        <f t="shared" si="322"/>
        <v>-0.0727243161294433+0.010012125380825i</v>
      </c>
      <c r="AD482" s="64">
        <f t="shared" si="323"/>
        <v>-22.684862710140852</v>
      </c>
      <c r="AE482" s="61">
        <f t="shared" si="324"/>
        <v>172.16123366281323</v>
      </c>
      <c r="AF482" s="31" t="str">
        <f t="shared" si="308"/>
        <v>-9090.90909090909</v>
      </c>
      <c r="AG482" s="31" t="str">
        <f t="shared" si="309"/>
        <v>2742709.86348268i</v>
      </c>
      <c r="AH482" s="31">
        <f t="shared" si="325"/>
        <v>2742709.8634826802</v>
      </c>
      <c r="AI482" s="31">
        <f t="shared" si="326"/>
        <v>1.5707963267948966</v>
      </c>
      <c r="AJ482" s="31" t="str">
        <f t="shared" si="310"/>
        <v>-27250.9073040505+949.655062101292i</v>
      </c>
      <c r="AK482" s="31">
        <f t="shared" si="327"/>
        <v>27267.449342227217</v>
      </c>
      <c r="AL482" s="31">
        <f t="shared" si="328"/>
        <v>3.1067581835350162</v>
      </c>
      <c r="AM482" s="31" t="str">
        <f t="shared" si="311"/>
        <v>1+3614.34305809747i</v>
      </c>
      <c r="AN482" s="31">
        <f t="shared" si="329"/>
        <v>3614.343196435193</v>
      </c>
      <c r="AO482" s="31">
        <f t="shared" si="330"/>
        <v>1.5705196513497577</v>
      </c>
      <c r="AP482" s="31" t="str">
        <f t="shared" si="312"/>
        <v>1+603.396169966189i</v>
      </c>
      <c r="AQ482" s="31">
        <f t="shared" si="331"/>
        <v>603.39699860859923</v>
      </c>
      <c r="AR482" s="31">
        <f t="shared" si="332"/>
        <v>1.5691390423535232</v>
      </c>
      <c r="AS482" s="58" t="str">
        <f t="shared" si="333"/>
        <v>-0.00872046703950421+0.264960035473089i</v>
      </c>
      <c r="AT482" s="49">
        <f t="shared" si="334"/>
        <v>-11.531690694000019</v>
      </c>
      <c r="AU482" s="61">
        <f t="shared" si="335"/>
        <v>91.885060376468815</v>
      </c>
      <c r="AV482" s="58" t="str">
        <f t="shared" si="313"/>
        <v>-0.00201862309428711-0.0193563477907923i</v>
      </c>
      <c r="AW482" s="64">
        <f t="shared" si="336"/>
        <v>-34.216553404140875</v>
      </c>
      <c r="AX482" s="49">
        <f t="shared" si="337"/>
        <v>-95.953705960717926</v>
      </c>
      <c r="AY482" s="310"/>
      <c r="BA482" s="31">
        <f t="shared" si="338"/>
        <v>0</v>
      </c>
      <c r="BB482" s="31">
        <f t="shared" si="339"/>
        <v>0</v>
      </c>
    </row>
    <row r="483" spans="14:54" x14ac:dyDescent="0.45">
      <c r="N483" s="10">
        <v>65</v>
      </c>
      <c r="O483" s="50">
        <f t="shared" si="302"/>
        <v>446683.59215096442</v>
      </c>
      <c r="P483" s="48" t="str">
        <f t="shared" si="303"/>
        <v>17.4002386318441</v>
      </c>
      <c r="Q483" s="17" t="str">
        <f t="shared" si="304"/>
        <v>1+240.363366819846i</v>
      </c>
      <c r="R483" s="17">
        <f t="shared" si="314"/>
        <v>240.36544699472063</v>
      </c>
      <c r="S483" s="17">
        <f t="shared" si="315"/>
        <v>1.5666359830464411</v>
      </c>
      <c r="T483" s="17" t="str">
        <f t="shared" si="305"/>
        <v>1+0.841978734948343i</v>
      </c>
      <c r="U483" s="17">
        <f t="shared" si="316"/>
        <v>1.307259802068897</v>
      </c>
      <c r="V483" s="17">
        <f t="shared" si="317"/>
        <v>0.69981883482250851</v>
      </c>
      <c r="W483" s="31" t="str">
        <f t="shared" si="306"/>
        <v>1-2.07726272930566i</v>
      </c>
      <c r="X483" s="17">
        <f t="shared" si="318"/>
        <v>2.3054328111143034</v>
      </c>
      <c r="Y483" s="17">
        <f t="shared" si="319"/>
        <v>-1.1221368955158362</v>
      </c>
      <c r="Z483" s="31" t="str">
        <f t="shared" si="307"/>
        <v>0.819023826306677+2.90517627045852i</v>
      </c>
      <c r="AA483" s="17">
        <f t="shared" si="320"/>
        <v>3.0184183259603543</v>
      </c>
      <c r="AB483" s="17">
        <f t="shared" si="321"/>
        <v>1.2960092030766506</v>
      </c>
      <c r="AC483" s="66" t="str">
        <f t="shared" si="322"/>
        <v>-0.0715384045453622+0.0103273607242792i</v>
      </c>
      <c r="AD483" s="64">
        <f t="shared" si="323"/>
        <v>-22.819637700440424</v>
      </c>
      <c r="AE483" s="61">
        <f t="shared" si="324"/>
        <v>171.78547010182731</v>
      </c>
      <c r="AF483" s="31" t="str">
        <f t="shared" si="308"/>
        <v>-9090.90909090909</v>
      </c>
      <c r="AG483" s="31" t="str">
        <f t="shared" si="309"/>
        <v>2806595.78316114i</v>
      </c>
      <c r="AH483" s="31">
        <f t="shared" si="325"/>
        <v>2806595.78316114</v>
      </c>
      <c r="AI483" s="31">
        <f t="shared" si="326"/>
        <v>1.5707963267948966</v>
      </c>
      <c r="AJ483" s="31" t="str">
        <f t="shared" si="310"/>
        <v>-28535.2501269083+971.775370132199i</v>
      </c>
      <c r="AK483" s="31">
        <f t="shared" si="327"/>
        <v>28551.792363619064</v>
      </c>
      <c r="AL483" s="31">
        <f t="shared" si="328"/>
        <v>3.107550549477613</v>
      </c>
      <c r="AM483" s="31" t="str">
        <f t="shared" si="311"/>
        <v>1+3698.53192304975i</v>
      </c>
      <c r="AN483" s="31">
        <f t="shared" si="329"/>
        <v>3698.532058238522</v>
      </c>
      <c r="AO483" s="31">
        <f t="shared" si="330"/>
        <v>1.5705259492514718</v>
      </c>
      <c r="AP483" s="31" t="str">
        <f t="shared" si="312"/>
        <v>1+617.45107229545i</v>
      </c>
      <c r="AQ483" s="31">
        <f t="shared" si="331"/>
        <v>617.45188207568128</v>
      </c>
      <c r="AR483" s="31">
        <f t="shared" si="332"/>
        <v>1.5691767666863405</v>
      </c>
      <c r="AS483" s="58" t="str">
        <f t="shared" si="333"/>
        <v>-0.00832840792837119+0.258941738110491i</v>
      </c>
      <c r="AT483" s="49">
        <f t="shared" si="334"/>
        <v>-11.731468479436151</v>
      </c>
      <c r="AU483" s="61">
        <f t="shared" si="335"/>
        <v>91.8421834403715</v>
      </c>
      <c r="AV483" s="58" t="str">
        <f t="shared" si="313"/>
        <v>-0.00207838372044025-0.0186102892875628i</v>
      </c>
      <c r="AW483" s="64">
        <f t="shared" si="336"/>
        <v>-34.551106179876562</v>
      </c>
      <c r="AX483" s="49">
        <f t="shared" si="337"/>
        <v>-96.372346457801143</v>
      </c>
      <c r="AY483" s="310"/>
      <c r="BA483" s="31">
        <f t="shared" si="338"/>
        <v>0</v>
      </c>
      <c r="BB483" s="31">
        <f t="shared" si="339"/>
        <v>0</v>
      </c>
    </row>
    <row r="484" spans="14:54" x14ac:dyDescent="0.45">
      <c r="N484" s="10">
        <v>66</v>
      </c>
      <c r="O484" s="50">
        <f t="shared" ref="O484:O518" si="340">10^(5+(N484/100))</f>
        <v>457088.18961487547</v>
      </c>
      <c r="P484" s="48" t="str">
        <f t="shared" si="303"/>
        <v>17.4002386318441</v>
      </c>
      <c r="Q484" s="17" t="str">
        <f t="shared" si="304"/>
        <v>1+245.962148867756i</v>
      </c>
      <c r="R484" s="17">
        <f t="shared" si="314"/>
        <v>245.9641816924655</v>
      </c>
      <c r="S484" s="17">
        <f t="shared" si="315"/>
        <v>1.5667306829762142</v>
      </c>
      <c r="T484" s="17" t="str">
        <f t="shared" si="305"/>
        <v>1+0.861590939122051i</v>
      </c>
      <c r="U484" s="17">
        <f t="shared" si="316"/>
        <v>1.3199768734251436</v>
      </c>
      <c r="V484" s="17">
        <f t="shared" si="317"/>
        <v>0.7111848315715914</v>
      </c>
      <c r="W484" s="31" t="str">
        <f t="shared" si="306"/>
        <v>1-2.12564839402447i</v>
      </c>
      <c r="X484" s="17">
        <f t="shared" si="318"/>
        <v>2.3491234737703355</v>
      </c>
      <c r="Y484" s="17">
        <f t="shared" si="319"/>
        <v>-1.1310712704768995</v>
      </c>
      <c r="Z484" s="31" t="str">
        <f t="shared" si="307"/>
        <v>0.810494682008704+2.97284651890053i</v>
      </c>
      <c r="AA484" s="17">
        <f t="shared" si="320"/>
        <v>3.0813500376463874</v>
      </c>
      <c r="AB484" s="17">
        <f t="shared" si="321"/>
        <v>1.3046324589153826</v>
      </c>
      <c r="AC484" s="66" t="str">
        <f t="shared" si="322"/>
        <v>-0.0703935250417257+0.0106142403004594i</v>
      </c>
      <c r="AD484" s="64">
        <f t="shared" si="323"/>
        <v>-22.951710664245574</v>
      </c>
      <c r="AE484" s="61">
        <f t="shared" si="324"/>
        <v>171.42528969613593</v>
      </c>
      <c r="AF484" s="31" t="str">
        <f t="shared" si="308"/>
        <v>-9090.90909090909</v>
      </c>
      <c r="AG484" s="31" t="str">
        <f t="shared" si="309"/>
        <v>2871969.7970735i</v>
      </c>
      <c r="AH484" s="31">
        <f t="shared" si="325"/>
        <v>2871969.7970735002</v>
      </c>
      <c r="AI484" s="31">
        <f t="shared" si="326"/>
        <v>1.5707963267948966</v>
      </c>
      <c r="AJ484" s="31" t="str">
        <f t="shared" si="310"/>
        <v>-29880.1221622066+994.410926327313i</v>
      </c>
      <c r="AK484" s="31">
        <f t="shared" si="327"/>
        <v>29896.664588525411</v>
      </c>
      <c r="AL484" s="31">
        <f t="shared" si="328"/>
        <v>3.1083249165424163</v>
      </c>
      <c r="AM484" s="31" t="str">
        <f t="shared" si="311"/>
        <v>1+3784.68179858346i</v>
      </c>
      <c r="AN484" s="31">
        <f t="shared" si="329"/>
        <v>3784.681930694961</v>
      </c>
      <c r="AO484" s="31">
        <f t="shared" si="330"/>
        <v>1.5705321037954616</v>
      </c>
      <c r="AP484" s="31" t="str">
        <f t="shared" si="312"/>
        <v>1+631.833355356169i</v>
      </c>
      <c r="AQ484" s="31">
        <f t="shared" si="331"/>
        <v>631.83414670357524</v>
      </c>
      <c r="AR484" s="31">
        <f t="shared" si="332"/>
        <v>1.5692136323129597</v>
      </c>
      <c r="AS484" s="58" t="str">
        <f t="shared" si="333"/>
        <v>-0.00795395689036231+0.253059572149272i</v>
      </c>
      <c r="AT484" s="49">
        <f t="shared" si="334"/>
        <v>-11.931256255530036</v>
      </c>
      <c r="AU484" s="61">
        <f t="shared" si="335"/>
        <v>91.800280349974159</v>
      </c>
      <c r="AV484" s="58" t="str">
        <f t="shared" si="313"/>
        <v>-0.00212612804558129-0.017898180538912i</v>
      </c>
      <c r="AW484" s="64">
        <f t="shared" si="336"/>
        <v>-34.88296691977559</v>
      </c>
      <c r="AX484" s="49">
        <f t="shared" si="337"/>
        <v>-96.774429953889893</v>
      </c>
      <c r="AY484" s="310"/>
      <c r="BA484" s="31">
        <f t="shared" si="338"/>
        <v>0</v>
      </c>
      <c r="BB484" s="31">
        <f t="shared" si="339"/>
        <v>0</v>
      </c>
    </row>
    <row r="485" spans="14:54" x14ac:dyDescent="0.45">
      <c r="N485" s="10">
        <v>67</v>
      </c>
      <c r="O485" s="50">
        <f t="shared" si="340"/>
        <v>467735.14128719864</v>
      </c>
      <c r="P485" s="48" t="str">
        <f t="shared" si="303"/>
        <v>17.4002386318441</v>
      </c>
      <c r="Q485" s="17" t="str">
        <f t="shared" si="304"/>
        <v>1+251.69134330269i</v>
      </c>
      <c r="R485" s="17">
        <f t="shared" si="314"/>
        <v>251.69332985502925</v>
      </c>
      <c r="S485" s="17">
        <f t="shared" si="315"/>
        <v>1.5668232273428742</v>
      </c>
      <c r="T485" s="17" t="str">
        <f t="shared" si="305"/>
        <v>1+0.881659970216188i</v>
      </c>
      <c r="U485" s="17">
        <f t="shared" si="316"/>
        <v>1.3331632694766271</v>
      </c>
      <c r="V485" s="17">
        <f t="shared" si="317"/>
        <v>0.72258959178433457</v>
      </c>
      <c r="W485" s="31" t="str">
        <f t="shared" si="306"/>
        <v>1-2.17516110565808i</v>
      </c>
      <c r="X485" s="17">
        <f t="shared" si="318"/>
        <v>2.3940187625763678</v>
      </c>
      <c r="Y485" s="17">
        <f t="shared" si="319"/>
        <v>-1.1398754507798705</v>
      </c>
      <c r="Z485" s="31" t="str">
        <f t="shared" si="307"/>
        <v>0.801563571523851+3.04209300991715i</v>
      </c>
      <c r="AA485" s="17">
        <f t="shared" si="320"/>
        <v>3.1459234002405174</v>
      </c>
      <c r="AB485" s="17">
        <f t="shared" si="321"/>
        <v>1.3131612777257138</v>
      </c>
      <c r="AC485" s="66" t="str">
        <f t="shared" si="322"/>
        <v>-0.0692886604352648+0.0108746936810735i</v>
      </c>
      <c r="AD485" s="64">
        <f t="shared" si="323"/>
        <v>-23.081075127882613</v>
      </c>
      <c r="AE485" s="61">
        <f t="shared" si="324"/>
        <v>171.0803242255613</v>
      </c>
      <c r="AF485" s="31" t="str">
        <f t="shared" si="308"/>
        <v>-9090.90909090909</v>
      </c>
      <c r="AG485" s="31" t="str">
        <f t="shared" si="309"/>
        <v>2938866.56738729i</v>
      </c>
      <c r="AH485" s="31">
        <f t="shared" si="325"/>
        <v>2938866.5673872898</v>
      </c>
      <c r="AI485" s="31">
        <f t="shared" si="326"/>
        <v>1.5707963267948966</v>
      </c>
      <c r="AJ485" s="31" t="str">
        <f t="shared" si="310"/>
        <v>-31288.3760638429+1017.57373235815i</v>
      </c>
      <c r="AK485" s="31">
        <f t="shared" si="327"/>
        <v>31304.918671244657</v>
      </c>
      <c r="AL485" s="31">
        <f t="shared" si="328"/>
        <v>3.109081691929497</v>
      </c>
      <c r="AM485" s="31" t="str">
        <f t="shared" si="311"/>
        <v>1+3872.83836250297i</v>
      </c>
      <c r="AN485" s="31">
        <f t="shared" si="329"/>
        <v>3872.8384916072455</v>
      </c>
      <c r="AO485" s="31">
        <f t="shared" si="330"/>
        <v>1.5705381182449458</v>
      </c>
      <c r="AP485" s="31" t="str">
        <f t="shared" si="312"/>
        <v>1+646.550644825203i</v>
      </c>
      <c r="AQ485" s="31">
        <f t="shared" si="331"/>
        <v>646.55141815936474</v>
      </c>
      <c r="AR485" s="31">
        <f t="shared" si="332"/>
        <v>1.5692496587796227</v>
      </c>
      <c r="AS485" s="58" t="str">
        <f t="shared" si="333"/>
        <v>-0.00759632472564697+0.247310496248675i</v>
      </c>
      <c r="AT485" s="49">
        <f t="shared" si="334"/>
        <v>-12.13105357356374</v>
      </c>
      <c r="AU485" s="61">
        <f t="shared" si="335"/>
        <v>91.759329081317119</v>
      </c>
      <c r="AV485" s="58" t="str">
        <f t="shared" si="313"/>
        <v>-0.00216308672634726-0.0172184207011446i</v>
      </c>
      <c r="AW485" s="64">
        <f t="shared" si="336"/>
        <v>-35.212128701446375</v>
      </c>
      <c r="AX485" s="49">
        <f t="shared" si="337"/>
        <v>-97.160346693121568</v>
      </c>
      <c r="AY485" s="310"/>
      <c r="BA485" s="31">
        <f t="shared" si="338"/>
        <v>0</v>
      </c>
      <c r="BB485" s="31">
        <f t="shared" si="339"/>
        <v>0</v>
      </c>
    </row>
    <row r="486" spans="14:54" x14ac:dyDescent="0.45">
      <c r="N486" s="10">
        <v>68</v>
      </c>
      <c r="O486" s="50">
        <f t="shared" si="340"/>
        <v>478630.09232263872</v>
      </c>
      <c r="P486" s="48" t="str">
        <f t="shared" si="303"/>
        <v>17.4002386318441</v>
      </c>
      <c r="Q486" s="17" t="str">
        <f t="shared" si="304"/>
        <v>1+257.553987819372i</v>
      </c>
      <c r="R486" s="17">
        <f t="shared" si="314"/>
        <v>257.55592915260411</v>
      </c>
      <c r="S486" s="17">
        <f t="shared" si="315"/>
        <v>1.5669136652083249</v>
      </c>
      <c r="T486" s="17" t="str">
        <f t="shared" si="305"/>
        <v>1+0.902196469096684i</v>
      </c>
      <c r="U486" s="17">
        <f t="shared" si="316"/>
        <v>1.346832754595211</v>
      </c>
      <c r="V486" s="17">
        <f t="shared" si="317"/>
        <v>0.7340272961114821</v>
      </c>
      <c r="W486" s="31" t="str">
        <f t="shared" si="306"/>
        <v>1-2.22582711650157i</v>
      </c>
      <c r="X486" s="17">
        <f t="shared" si="318"/>
        <v>2.4401447400827876</v>
      </c>
      <c r="Y486" s="17">
        <f t="shared" si="319"/>
        <v>-1.1485486439491122</v>
      </c>
      <c r="Z486" s="31" t="str">
        <f t="shared" si="307"/>
        <v>0.792211550769363+3.11295245891448i</v>
      </c>
      <c r="AA486" s="17">
        <f t="shared" si="320"/>
        <v>3.212175610491137</v>
      </c>
      <c r="AB486" s="17">
        <f t="shared" si="321"/>
        <v>1.3215973886702967</v>
      </c>
      <c r="AC486" s="66" t="str">
        <f t="shared" si="322"/>
        <v>-0.0682227796638463+0.0111105605726843i</v>
      </c>
      <c r="AD486" s="64">
        <f t="shared" si="323"/>
        <v>-23.20772740962143</v>
      </c>
      <c r="AE486" s="61">
        <f t="shared" si="324"/>
        <v>170.75018378669895</v>
      </c>
      <c r="AF486" s="31" t="str">
        <f t="shared" si="308"/>
        <v>-9090.90909090909</v>
      </c>
      <c r="AG486" s="31" t="str">
        <f t="shared" si="309"/>
        <v>3007321.56365561i</v>
      </c>
      <c r="AH486" s="31">
        <f t="shared" si="325"/>
        <v>3007321.5636556102</v>
      </c>
      <c r="AI486" s="31">
        <f t="shared" si="326"/>
        <v>1.5707963267948966</v>
      </c>
      <c r="AJ486" s="31" t="str">
        <f t="shared" si="310"/>
        <v>-32762.9989271504+1041.27606945106i</v>
      </c>
      <c r="AK486" s="31">
        <f t="shared" si="327"/>
        <v>32779.541707492943</v>
      </c>
      <c r="AL486" s="31">
        <f t="shared" si="328"/>
        <v>3.1098212737367068</v>
      </c>
      <c r="AM486" s="31" t="str">
        <f t="shared" si="311"/>
        <v>1+3963.04835658536i</v>
      </c>
      <c r="AN486" s="31">
        <f t="shared" si="329"/>
        <v>3963.048482750864</v>
      </c>
      <c r="AO486" s="31">
        <f t="shared" si="330"/>
        <v>1.5705439957888632</v>
      </c>
      <c r="AP486" s="31" t="str">
        <f t="shared" si="312"/>
        <v>1+661.610744004234i</v>
      </c>
      <c r="AQ486" s="31">
        <f t="shared" si="331"/>
        <v>661.6114997351815</v>
      </c>
      <c r="AR486" s="31">
        <f t="shared" si="332"/>
        <v>1.5692848651876647</v>
      </c>
      <c r="AS486" s="58" t="str">
        <f t="shared" si="333"/>
        <v>-0.00725475746504865+0.241691534481148i</v>
      </c>
      <c r="AT486" s="49">
        <f t="shared" si="334"/>
        <v>-12.330860004932715</v>
      </c>
      <c r="AU486" s="61">
        <f t="shared" si="335"/>
        <v>91.719308102212366</v>
      </c>
      <c r="AV486" s="58" t="str">
        <f t="shared" si="313"/>
        <v>-0.00219038871370515-0.0165694727257798i</v>
      </c>
      <c r="AW486" s="64">
        <f t="shared" si="336"/>
        <v>-35.538587414554158</v>
      </c>
      <c r="AX486" s="49">
        <f t="shared" si="337"/>
        <v>-97.530508111088679</v>
      </c>
      <c r="AY486" s="310"/>
      <c r="BA486" s="31">
        <f t="shared" si="338"/>
        <v>0</v>
      </c>
      <c r="BB486" s="31">
        <f t="shared" si="339"/>
        <v>0</v>
      </c>
    </row>
    <row r="487" spans="14:54" x14ac:dyDescent="0.45">
      <c r="N487" s="10">
        <v>69</v>
      </c>
      <c r="O487" s="50">
        <f t="shared" si="340"/>
        <v>489778.81936844654</v>
      </c>
      <c r="P487" s="48" t="str">
        <f t="shared" si="303"/>
        <v>17.4002386318441</v>
      </c>
      <c r="Q487" s="17" t="str">
        <f t="shared" si="304"/>
        <v>1+263.553190869526i</v>
      </c>
      <c r="R487" s="17">
        <f t="shared" si="314"/>
        <v>263.55508801294047</v>
      </c>
      <c r="S487" s="17">
        <f t="shared" si="315"/>
        <v>1.5670020445179991</v>
      </c>
      <c r="T487" s="17" t="str">
        <f t="shared" si="305"/>
        <v>1+0.923211324487078i</v>
      </c>
      <c r="U487" s="17">
        <f t="shared" si="316"/>
        <v>1.3609993202280393</v>
      </c>
      <c r="V487" s="17">
        <f t="shared" si="317"/>
        <v>0.74549203958683852</v>
      </c>
      <c r="W487" s="31" t="str">
        <f t="shared" si="306"/>
        <v>1-2.27767329034454i</v>
      </c>
      <c r="X487" s="17">
        <f t="shared" si="318"/>
        <v>2.4875280134199338</v>
      </c>
      <c r="Y487" s="17">
        <f t="shared" si="319"/>
        <v>-1.1570902281143234</v>
      </c>
      <c r="Z487" s="31" t="str">
        <f t="shared" si="307"/>
        <v>0.782418782855375+3.18546243651034i</v>
      </c>
      <c r="AA487" s="17">
        <f t="shared" si="320"/>
        <v>3.2801448270134776</v>
      </c>
      <c r="AB487" s="17">
        <f t="shared" si="321"/>
        <v>1.3299426178981029</v>
      </c>
      <c r="AC487" s="66" t="str">
        <f t="shared" si="322"/>
        <v>-0.0671948415603418+0.0113235931880586i</v>
      </c>
      <c r="AD487" s="64">
        <f t="shared" si="323"/>
        <v>-23.331666625500347</v>
      </c>
      <c r="AE487" s="61">
        <f t="shared" si="324"/>
        <v>170.43445830275144</v>
      </c>
      <c r="AF487" s="31" t="str">
        <f t="shared" si="308"/>
        <v>-9090.90909090909</v>
      </c>
      <c r="AG487" s="31" t="str">
        <f t="shared" si="309"/>
        <v>3077371.08162359i</v>
      </c>
      <c r="AH487" s="31">
        <f t="shared" si="325"/>
        <v>3077371.0816235901</v>
      </c>
      <c r="AI487" s="31">
        <f t="shared" si="326"/>
        <v>1.5707963267948966</v>
      </c>
      <c r="AJ487" s="31" t="str">
        <f t="shared" si="310"/>
        <v>-34307.1186249284+1065.53050489892i</v>
      </c>
      <c r="AK487" s="31">
        <f t="shared" si="327"/>
        <v>34323.661570435332</v>
      </c>
      <c r="AL487" s="31">
        <f t="shared" si="328"/>
        <v>3.1105440511557765</v>
      </c>
      <c r="AM487" s="31" t="str">
        <f t="shared" si="311"/>
        <v>1+4055.35961136356i</v>
      </c>
      <c r="AN487" s="31">
        <f t="shared" si="329"/>
        <v>4055.3597346571864</v>
      </c>
      <c r="AO487" s="31">
        <f t="shared" si="330"/>
        <v>1.5705497395435639</v>
      </c>
      <c r="AP487" s="31" t="str">
        <f t="shared" si="312"/>
        <v>1+677.021637957189i</v>
      </c>
      <c r="AQ487" s="31">
        <f t="shared" si="331"/>
        <v>677.02237648561879</v>
      </c>
      <c r="AR487" s="31">
        <f t="shared" si="332"/>
        <v>1.5693192702036403</v>
      </c>
      <c r="AS487" s="58" t="str">
        <f t="shared" si="333"/>
        <v>-0.00692853480976651+0.236199775096519i</v>
      </c>
      <c r="AT487" s="49">
        <f t="shared" si="334"/>
        <v>-12.530675140247929</v>
      </c>
      <c r="AU487" s="61">
        <f t="shared" si="335"/>
        <v>91.680196361684708</v>
      </c>
      <c r="AV487" s="58" t="str">
        <f t="shared" si="313"/>
        <v>-0.00220906836551634-0.0159498623737741i</v>
      </c>
      <c r="AW487" s="64">
        <f t="shared" si="336"/>
        <v>-35.862341765748255</v>
      </c>
      <c r="AX487" s="49">
        <f t="shared" si="337"/>
        <v>-97.885345335563812</v>
      </c>
      <c r="AY487" s="310"/>
      <c r="BA487" s="31">
        <f t="shared" si="338"/>
        <v>0</v>
      </c>
      <c r="BB487" s="31">
        <f t="shared" si="339"/>
        <v>0</v>
      </c>
    </row>
    <row r="488" spans="14:54" x14ac:dyDescent="0.45">
      <c r="N488" s="10">
        <v>70</v>
      </c>
      <c r="O488" s="50">
        <f t="shared" si="340"/>
        <v>501187.23362727347</v>
      </c>
      <c r="P488" s="48" t="str">
        <f t="shared" si="303"/>
        <v>17.4002386318441</v>
      </c>
      <c r="Q488" s="17" t="str">
        <f t="shared" si="304"/>
        <v>1+269.692133310019i</v>
      </c>
      <c r="R488" s="17">
        <f t="shared" si="314"/>
        <v>269.69398726947747</v>
      </c>
      <c r="S488" s="17">
        <f t="shared" si="315"/>
        <v>1.5670884121262503</v>
      </c>
      <c r="T488" s="17" t="str">
        <f t="shared" si="305"/>
        <v>1+0.944715678741862i</v>
      </c>
      <c r="U488" s="17">
        <f t="shared" si="316"/>
        <v>1.3756771836665378</v>
      </c>
      <c r="V488" s="17">
        <f t="shared" si="317"/>
        <v>0.75697784652898403</v>
      </c>
      <c r="W488" s="31" t="str">
        <f t="shared" si="306"/>
        <v>1-2.33072711671461i</v>
      </c>
      <c r="X488" s="17">
        <f t="shared" si="318"/>
        <v>2.5361957520248311</v>
      </c>
      <c r="Y488" s="17">
        <f t="shared" si="319"/>
        <v>-1.1654997456316534</v>
      </c>
      <c r="Z488" s="31" t="str">
        <f t="shared" si="307"/>
        <v>0.7721644960082+3.25966138845461i</v>
      </c>
      <c r="AA488" s="17">
        <f t="shared" si="320"/>
        <v>3.3498702029000222</v>
      </c>
      <c r="AB488" s="17">
        <f t="shared" si="321"/>
        <v>1.3381988828543141</v>
      </c>
      <c r="AC488" s="66" t="str">
        <f t="shared" si="322"/>
        <v>-0.0662037983572093+0.011515458740192i</v>
      </c>
      <c r="AD488" s="64">
        <f t="shared" si="323"/>
        <v>-23.452894688481454</v>
      </c>
      <c r="AE488" s="61">
        <f t="shared" si="324"/>
        <v>170.13271906738206</v>
      </c>
      <c r="AF488" s="31" t="str">
        <f t="shared" si="308"/>
        <v>-9090.90909090909</v>
      </c>
      <c r="AG488" s="31" t="str">
        <f t="shared" si="309"/>
        <v>3149052.26247287i</v>
      </c>
      <c r="AH488" s="31">
        <f t="shared" si="325"/>
        <v>3149052.2624728698</v>
      </c>
      <c r="AI488" s="31">
        <f t="shared" si="326"/>
        <v>1.5707963267948966</v>
      </c>
      <c r="AJ488" s="31" t="str">
        <f t="shared" si="310"/>
        <v>-35924.0104420794+1090.34989872444i</v>
      </c>
      <c r="AK488" s="31">
        <f t="shared" si="327"/>
        <v>35940.553545323681</v>
      </c>
      <c r="AL488" s="31">
        <f t="shared" si="328"/>
        <v>3.1112504046646898</v>
      </c>
      <c r="AM488" s="31" t="str">
        <f t="shared" si="311"/>
        <v>1+4149.82107148675i</v>
      </c>
      <c r="AN488" s="31">
        <f t="shared" si="329"/>
        <v>4149.8211919738706</v>
      </c>
      <c r="AO488" s="31">
        <f t="shared" si="330"/>
        <v>1.5705553525544613</v>
      </c>
      <c r="AP488" s="31" t="str">
        <f t="shared" si="312"/>
        <v>1+692.791497744031i</v>
      </c>
      <c r="AQ488" s="31">
        <f t="shared" si="331"/>
        <v>692.79221946151904</v>
      </c>
      <c r="AR488" s="31">
        <f t="shared" si="332"/>
        <v>1.5693528920692179</v>
      </c>
      <c r="AS488" s="58" t="str">
        <f t="shared" si="333"/>
        <v>-0.00661696863910027+0.23083236929759i</v>
      </c>
      <c r="AT488" s="49">
        <f t="shared" si="334"/>
        <v>-12.730498588477088</v>
      </c>
      <c r="AU488" s="61">
        <f t="shared" si="335"/>
        <v>91.641973279611463</v>
      </c>
      <c r="AV488" s="58" t="str">
        <f t="shared" si="313"/>
        <v>-0.00222007216702819-0.0153581770606432i</v>
      </c>
      <c r="AW488" s="64">
        <f t="shared" si="336"/>
        <v>-36.183393276958554</v>
      </c>
      <c r="AX488" s="49">
        <f t="shared" si="337"/>
        <v>-98.225307653006496</v>
      </c>
      <c r="AY488" s="310"/>
      <c r="BA488" s="31">
        <f t="shared" si="338"/>
        <v>0</v>
      </c>
      <c r="BB488" s="31">
        <f t="shared" si="339"/>
        <v>0</v>
      </c>
    </row>
    <row r="489" spans="14:54" x14ac:dyDescent="0.45">
      <c r="N489" s="10">
        <v>71</v>
      </c>
      <c r="O489" s="50">
        <f t="shared" si="340"/>
        <v>512861.38399136515</v>
      </c>
      <c r="P489" s="48" t="str">
        <f t="shared" si="303"/>
        <v>17.4002386318441</v>
      </c>
      <c r="Q489" s="17" t="str">
        <f t="shared" si="304"/>
        <v>1+275.974070089388i</v>
      </c>
      <c r="R489" s="17">
        <f t="shared" si="314"/>
        <v>275.97588184785724</v>
      </c>
      <c r="S489" s="17">
        <f t="shared" si="315"/>
        <v>1.5671728138211711</v>
      </c>
      <c r="T489" s="17" t="str">
        <f t="shared" si="305"/>
        <v>1+0.9667209337543i</v>
      </c>
      <c r="U489" s="17">
        <f t="shared" si="316"/>
        <v>1.3908807870406386</v>
      </c>
      <c r="V489" s="17">
        <f t="shared" si="317"/>
        <v>0.76847868589112478</v>
      </c>
      <c r="W489" s="31" t="str">
        <f t="shared" si="306"/>
        <v>1-2.38501672545278i</v>
      </c>
      <c r="X489" s="17">
        <f t="shared" si="318"/>
        <v>2.5861757056877437</v>
      </c>
      <c r="Y489" s="17">
        <f t="shared" si="319"/>
        <v>-1.1737768965208866</v>
      </c>
      <c r="Z489" s="31" t="str">
        <f t="shared" si="307"/>
        <v>0.761426939510624+3.33558865601374i</v>
      </c>
      <c r="AA489" s="17">
        <f t="shared" si="320"/>
        <v>3.4213919194298783</v>
      </c>
      <c r="AB489" s="17">
        <f t="shared" si="321"/>
        <v>1.3463681867762614</v>
      </c>
      <c r="AC489" s="66" t="str">
        <f t="shared" si="322"/>
        <v>-0.065248598926194+0.0116877420351513i</v>
      </c>
      <c r="AD489" s="64">
        <f t="shared" si="323"/>
        <v>-23.571416300665888</v>
      </c>
      <c r="AE489" s="61">
        <f t="shared" si="324"/>
        <v>169.84452031415461</v>
      </c>
      <c r="AF489" s="31" t="str">
        <f t="shared" si="308"/>
        <v>-9090.90909090909</v>
      </c>
      <c r="AG489" s="31" t="str">
        <f t="shared" si="309"/>
        <v>3222403.11251433i</v>
      </c>
      <c r="AH489" s="31">
        <f t="shared" si="325"/>
        <v>3222403.1125143301</v>
      </c>
      <c r="AI489" s="31">
        <f t="shared" si="326"/>
        <v>1.5707963267948966</v>
      </c>
      <c r="AJ489" s="31" t="str">
        <f t="shared" si="310"/>
        <v>-37617.1040229276+1115.74741049875i</v>
      </c>
      <c r="AK489" s="31">
        <f t="shared" si="327"/>
        <v>37633.647276815871</v>
      </c>
      <c r="AL489" s="31">
        <f t="shared" si="328"/>
        <v>3.1119407062163633</v>
      </c>
      <c r="AM489" s="31" t="str">
        <f t="shared" si="311"/>
        <v>1+4246.48282167138i</v>
      </c>
      <c r="AN489" s="31">
        <f t="shared" si="329"/>
        <v>4246.4829394158796</v>
      </c>
      <c r="AO489" s="31">
        <f t="shared" si="330"/>
        <v>1.5705608377976465</v>
      </c>
      <c r="AP489" s="31" t="str">
        <f t="shared" si="312"/>
        <v>1+708.928684753152i</v>
      </c>
      <c r="AQ489" s="31">
        <f t="shared" si="331"/>
        <v>708.92939004236086</v>
      </c>
      <c r="AR489" s="31">
        <f t="shared" si="332"/>
        <v>1.569385748610852</v>
      </c>
      <c r="AS489" s="58" t="str">
        <f t="shared" si="333"/>
        <v>-0.00631940158331108+0.225586530027934i</v>
      </c>
      <c r="AT489" s="49">
        <f t="shared" si="334"/>
        <v>-12.930329976125286</v>
      </c>
      <c r="AU489" s="61">
        <f t="shared" si="335"/>
        <v>91.604618736558365</v>
      </c>
      <c r="AV489" s="58" t="str">
        <f t="shared" si="313"/>
        <v>-0.00222426507020839-0.0147930645564668i</v>
      </c>
      <c r="AW489" s="64">
        <f t="shared" si="336"/>
        <v>-36.501746276791145</v>
      </c>
      <c r="AX489" s="49">
        <f t="shared" si="337"/>
        <v>-98.550860949287014</v>
      </c>
      <c r="AY489" s="310"/>
      <c r="BA489" s="31">
        <f t="shared" si="338"/>
        <v>0</v>
      </c>
      <c r="BB489" s="31">
        <f t="shared" si="339"/>
        <v>0</v>
      </c>
    </row>
    <row r="490" spans="14:54" x14ac:dyDescent="0.45">
      <c r="N490" s="10">
        <v>72</v>
      </c>
      <c r="O490" s="50">
        <f t="shared" si="340"/>
        <v>524807.46024977288</v>
      </c>
      <c r="P490" s="48" t="str">
        <f t="shared" si="303"/>
        <v>17.4002386318441</v>
      </c>
      <c r="Q490" s="17" t="str">
        <f t="shared" si="304"/>
        <v>1+282.402331973669i</v>
      </c>
      <c r="R490" s="17">
        <f t="shared" si="314"/>
        <v>282.40410249174209</v>
      </c>
      <c r="S490" s="17">
        <f t="shared" si="315"/>
        <v>1.5672552943488445</v>
      </c>
      <c r="T490" s="17" t="str">
        <f t="shared" si="305"/>
        <v>1+0.989238757001884i</v>
      </c>
      <c r="U490" s="17">
        <f t="shared" si="316"/>
        <v>1.406624796580322</v>
      </c>
      <c r="V490" s="17">
        <f t="shared" si="317"/>
        <v>0.77998848696441792</v>
      </c>
      <c r="W490" s="31" t="str">
        <f t="shared" si="306"/>
        <v>1-2.44057090162823i</v>
      </c>
      <c r="X490" s="17">
        <f t="shared" si="318"/>
        <v>2.6374962229118797</v>
      </c>
      <c r="Y490" s="17">
        <f t="shared" si="319"/>
        <v>-1.1819215317634879</v>
      </c>
      <c r="Z490" s="31" t="str">
        <f t="shared" si="307"/>
        <v>0.750183337565699+3.41328449683005i</v>
      </c>
      <c r="AA490" s="17">
        <f t="shared" si="320"/>
        <v>3.4947512209399938</v>
      </c>
      <c r="AB490" s="17">
        <f t="shared" si="321"/>
        <v>1.3544526133836567</v>
      </c>
      <c r="AC490" s="66" t="str">
        <f t="shared" si="322"/>
        <v>-0.0643281917590744+0.0118419481415314i</v>
      </c>
      <c r="AD490" s="64">
        <f t="shared" si="323"/>
        <v>-23.687238938344784</v>
      </c>
      <c r="AE490" s="61">
        <f t="shared" si="324"/>
        <v>169.56940080310028</v>
      </c>
      <c r="AF490" s="31" t="str">
        <f t="shared" si="308"/>
        <v>-9090.90909090909</v>
      </c>
      <c r="AG490" s="31" t="str">
        <f t="shared" si="309"/>
        <v>3297462.52333961i</v>
      </c>
      <c r="AH490" s="31">
        <f t="shared" si="325"/>
        <v>3297462.5233396101</v>
      </c>
      <c r="AI490" s="31">
        <f t="shared" si="326"/>
        <v>1.5707963267948966</v>
      </c>
      <c r="AJ490" s="31" t="str">
        <f t="shared" si="310"/>
        <v>-39389.9906459561+1141.73650631877i</v>
      </c>
      <c r="AK490" s="31">
        <f t="shared" si="327"/>
        <v>39406.534043713742</v>
      </c>
      <c r="AL490" s="31">
        <f t="shared" si="328"/>
        <v>3.1126153194236759</v>
      </c>
      <c r="AM490" s="31" t="str">
        <f t="shared" si="311"/>
        <v>1+4345.39611325694i</v>
      </c>
      <c r="AN490" s="31">
        <f t="shared" si="329"/>
        <v>4345.3962283212468</v>
      </c>
      <c r="AO490" s="31">
        <f t="shared" si="330"/>
        <v>1.5705661981814669</v>
      </c>
      <c r="AP490" s="31" t="str">
        <f t="shared" si="312"/>
        <v>1+725.441755134714i</v>
      </c>
      <c r="AQ490" s="31">
        <f t="shared" si="331"/>
        <v>725.44244436959582</v>
      </c>
      <c r="AR490" s="31">
        <f t="shared" si="332"/>
        <v>1.5694178572492314</v>
      </c>
      <c r="AS490" s="58" t="str">
        <f t="shared" si="333"/>
        <v>-0.00603520565886507+0.220459530772716i</v>
      </c>
      <c r="AT490" s="49">
        <f t="shared" si="334"/>
        <v>-13.130168946450723</v>
      </c>
      <c r="AU490" s="61">
        <f t="shared" si="335"/>
        <v>91.568113063810088</v>
      </c>
      <c r="AV490" s="58" t="str">
        <f t="shared" si="313"/>
        <v>-0.00222243646378793-0.0142532315630986i</v>
      </c>
      <c r="AW490" s="64">
        <f t="shared" si="336"/>
        <v>-36.817407884795507</v>
      </c>
      <c r="AX490" s="49">
        <f t="shared" si="337"/>
        <v>-98.862486133089647</v>
      </c>
      <c r="AY490" s="310"/>
      <c r="BA490" s="31">
        <f t="shared" si="338"/>
        <v>0</v>
      </c>
      <c r="BB490" s="31">
        <f t="shared" si="339"/>
        <v>0</v>
      </c>
    </row>
    <row r="491" spans="14:54" x14ac:dyDescent="0.45">
      <c r="N491" s="10">
        <v>73</v>
      </c>
      <c r="O491" s="50">
        <f t="shared" si="340"/>
        <v>537031.7963702539</v>
      </c>
      <c r="P491" s="48" t="str">
        <f t="shared" si="303"/>
        <v>17.4002386318441</v>
      </c>
      <c r="Q491" s="17" t="str">
        <f t="shared" si="304"/>
        <v>1+288.980327312399i</v>
      </c>
      <c r="R491" s="17">
        <f t="shared" si="314"/>
        <v>288.98205752880455</v>
      </c>
      <c r="S491" s="17">
        <f t="shared" si="315"/>
        <v>1.5673358974370462</v>
      </c>
      <c r="T491" s="17" t="str">
        <f t="shared" si="305"/>
        <v>1+1.01228108773255i</v>
      </c>
      <c r="U491" s="17">
        <f t="shared" si="316"/>
        <v>1.4229241021857051</v>
      </c>
      <c r="V491" s="17">
        <f t="shared" si="317"/>
        <v>0.79150115533587651</v>
      </c>
      <c r="W491" s="31" t="str">
        <f t="shared" si="306"/>
        <v>1-2.49741910080049i</v>
      </c>
      <c r="X491" s="17">
        <f t="shared" si="318"/>
        <v>2.6901862695811842</v>
      </c>
      <c r="Y491" s="17">
        <f t="shared" si="319"/>
        <v>-1.1899336465036674</v>
      </c>
      <c r="Z491" s="31" t="str">
        <f t="shared" si="307"/>
        <v>0.738409840986249+3.49279010626673i</v>
      </c>
      <c r="AA491" s="17">
        <f t="shared" si="320"/>
        <v>3.5699904509256171</v>
      </c>
      <c r="AB491" s="17">
        <f t="shared" si="321"/>
        <v>1.3624543217693732</v>
      </c>
      <c r="AC491" s="66" t="str">
        <f t="shared" si="322"/>
        <v>-0.0634415276966781+0.0119795051160267i</v>
      </c>
      <c r="AD491" s="64">
        <f t="shared" si="323"/>
        <v>-23.800372829712231</v>
      </c>
      <c r="AE491" s="61">
        <f t="shared" si="324"/>
        <v>169.30688541596598</v>
      </c>
      <c r="AF491" s="31" t="str">
        <f t="shared" si="308"/>
        <v>-9090.90909090909</v>
      </c>
      <c r="AG491" s="31" t="str">
        <f t="shared" si="309"/>
        <v>3374270.29244184i</v>
      </c>
      <c r="AH491" s="31">
        <f t="shared" si="325"/>
        <v>3374270.2924418398</v>
      </c>
      <c r="AI491" s="31">
        <f t="shared" si="326"/>
        <v>1.5707963267948966</v>
      </c>
      <c r="AJ491" s="31" t="str">
        <f t="shared" si="310"/>
        <v>-41246.4308413866+1168.33096594711i</v>
      </c>
      <c r="AK491" s="31">
        <f t="shared" si="327"/>
        <v>41262.974376543425</v>
      </c>
      <c r="AL491" s="31">
        <f t="shared" si="328"/>
        <v>3.1132745997408802</v>
      </c>
      <c r="AM491" s="31" t="str">
        <f t="shared" si="311"/>
        <v>1+4446.61339137985i</v>
      </c>
      <c r="AN491" s="31">
        <f t="shared" si="329"/>
        <v>4446.613503824974</v>
      </c>
      <c r="AO491" s="31">
        <f t="shared" si="330"/>
        <v>1.5705714365480674</v>
      </c>
      <c r="AP491" s="31" t="str">
        <f t="shared" si="312"/>
        <v>1+742.339464337204i</v>
      </c>
      <c r="AQ491" s="31">
        <f t="shared" si="331"/>
        <v>742.34013788319908</v>
      </c>
      <c r="AR491" s="31">
        <f t="shared" si="332"/>
        <v>1.5694492350085165</v>
      </c>
      <c r="AS491" s="58" t="str">
        <f t="shared" si="333"/>
        <v>-0.00576378096341384+0.215448704373162i</v>
      </c>
      <c r="AT491" s="49">
        <f t="shared" si="334"/>
        <v>-13.330015158715373</v>
      </c>
      <c r="AU491" s="61">
        <f t="shared" si="335"/>
        <v>91.532437033593609</v>
      </c>
      <c r="AV491" s="58" t="str">
        <f t="shared" si="313"/>
        <v>-0.00221530578665161-0.0137374421892422i</v>
      </c>
      <c r="AW491" s="64">
        <f t="shared" si="336"/>
        <v>-37.130387988427628</v>
      </c>
      <c r="AX491" s="49">
        <f t="shared" si="337"/>
        <v>-99.16067755044044</v>
      </c>
      <c r="AY491" s="310"/>
      <c r="BA491" s="31">
        <f t="shared" si="338"/>
        <v>0</v>
      </c>
      <c r="BB491" s="31">
        <f t="shared" si="339"/>
        <v>0</v>
      </c>
    </row>
    <row r="492" spans="14:54" x14ac:dyDescent="0.45">
      <c r="N492" s="10">
        <v>74</v>
      </c>
      <c r="O492" s="50">
        <f t="shared" si="340"/>
        <v>549540.87385762564</v>
      </c>
      <c r="P492" s="48" t="str">
        <f t="shared" si="303"/>
        <v>17.4002386318441</v>
      </c>
      <c r="Q492" s="17" t="str">
        <f t="shared" si="304"/>
        <v>1+295.711543845776i</v>
      </c>
      <c r="R492" s="17">
        <f t="shared" si="314"/>
        <v>295.71323467787556</v>
      </c>
      <c r="S492" s="17">
        <f t="shared" si="315"/>
        <v>1.5674146658184092</v>
      </c>
      <c r="T492" s="17" t="str">
        <f t="shared" si="305"/>
        <v>1+1.03586014329506i</v>
      </c>
      <c r="U492" s="17">
        <f t="shared" si="316"/>
        <v>1.4397938173458249</v>
      </c>
      <c r="V492" s="17">
        <f t="shared" si="317"/>
        <v>0.80301058899903521</v>
      </c>
      <c r="W492" s="31" t="str">
        <f t="shared" si="306"/>
        <v>1-2.55559146463724i</v>
      </c>
      <c r="X492" s="17">
        <f t="shared" si="318"/>
        <v>2.74427544793279</v>
      </c>
      <c r="Y492" s="17">
        <f t="shared" si="319"/>
        <v>-1.1978133731918414</v>
      </c>
      <c r="Z492" s="31" t="str">
        <f t="shared" si="307"/>
        <v>0.726081476607526+3.57414763925029i</v>
      </c>
      <c r="AA492" s="17">
        <f t="shared" si="320"/>
        <v>3.6471530894426394</v>
      </c>
      <c r="AB492" s="17">
        <f t="shared" si="321"/>
        <v>1.3703755414953211</v>
      </c>
      <c r="AC492" s="66" t="str">
        <f t="shared" si="322"/>
        <v>-0.0625875624144381+0.0121017667662846i</v>
      </c>
      <c r="AD492" s="64">
        <f t="shared" si="323"/>
        <v>-23.910830925129464</v>
      </c>
      <c r="AE492" s="61">
        <f t="shared" si="324"/>
        <v>169.05648675179805</v>
      </c>
      <c r="AF492" s="31" t="str">
        <f t="shared" si="308"/>
        <v>-9090.90909090909</v>
      </c>
      <c r="AG492" s="31" t="str">
        <f t="shared" si="309"/>
        <v>3452867.14431686i</v>
      </c>
      <c r="AH492" s="31">
        <f t="shared" si="325"/>
        <v>3452867.14431686</v>
      </c>
      <c r="AI492" s="31">
        <f t="shared" si="326"/>
        <v>1.5707963267948966</v>
      </c>
      <c r="AJ492" s="31" t="str">
        <f t="shared" si="310"/>
        <v>-43190.3623677712+1195.54489011829i</v>
      </c>
      <c r="AK492" s="31">
        <f t="shared" si="327"/>
        <v>43206.906034147767</v>
      </c>
      <c r="AL492" s="31">
        <f t="shared" si="328"/>
        <v>3.1139188946414516</v>
      </c>
      <c r="AM492" s="31" t="str">
        <f t="shared" si="311"/>
        <v>1+4550.18832278076i</v>
      </c>
      <c r="AN492" s="31">
        <f t="shared" si="329"/>
        <v>4550.1884326663212</v>
      </c>
      <c r="AO492" s="31">
        <f t="shared" si="330"/>
        <v>1.5705765556748985</v>
      </c>
      <c r="AP492" s="31" t="str">
        <f t="shared" si="312"/>
        <v>1+759.630771749709i</v>
      </c>
      <c r="AQ492" s="31">
        <f t="shared" si="331"/>
        <v>759.63142996393879</v>
      </c>
      <c r="AR492" s="31">
        <f t="shared" si="332"/>
        <v>1.5694798985253633</v>
      </c>
      <c r="AS492" s="58" t="str">
        <f t="shared" si="333"/>
        <v>-0.0055045544279684+0.210551441855244i</v>
      </c>
      <c r="AT492" s="49">
        <f t="shared" si="334"/>
        <v>-13.529868287469819</v>
      </c>
      <c r="AU492" s="61">
        <f t="shared" si="335"/>
        <v>91.497571849491621</v>
      </c>
      <c r="AV492" s="58" t="str">
        <f t="shared" si="313"/>
        <v>-0.00220352779781295-0.0132445163424046i</v>
      </c>
      <c r="AW492" s="64">
        <f t="shared" si="336"/>
        <v>-37.440699212599284</v>
      </c>
      <c r="AX492" s="49">
        <f t="shared" si="337"/>
        <v>-99.445941398710303</v>
      </c>
      <c r="AY492" s="310"/>
      <c r="BA492" s="31">
        <f t="shared" si="338"/>
        <v>0</v>
      </c>
      <c r="BB492" s="31">
        <f t="shared" si="339"/>
        <v>0</v>
      </c>
    </row>
    <row r="493" spans="14:54" x14ac:dyDescent="0.45">
      <c r="N493" s="10">
        <v>75</v>
      </c>
      <c r="O493" s="50">
        <f t="shared" si="340"/>
        <v>562341.32519035018</v>
      </c>
      <c r="P493" s="48" t="str">
        <f t="shared" si="303"/>
        <v>17.4002386318441</v>
      </c>
      <c r="Q493" s="17" t="str">
        <f t="shared" si="304"/>
        <v>1+302.599550553907i</v>
      </c>
      <c r="R493" s="17">
        <f t="shared" si="314"/>
        <v>302.60120289818167</v>
      </c>
      <c r="S493" s="17">
        <f t="shared" si="315"/>
        <v>1.5674916412530597</v>
      </c>
      <c r="T493" s="17" t="str">
        <f t="shared" si="305"/>
        <v>1+1.05998842561677i</v>
      </c>
      <c r="U493" s="17">
        <f t="shared" si="316"/>
        <v>1.4572492794445013</v>
      </c>
      <c r="V493" s="17">
        <f t="shared" si="317"/>
        <v>0.81451069451359437</v>
      </c>
      <c r="W493" s="31" t="str">
        <f t="shared" si="306"/>
        <v>1-2.6151188368958i</v>
      </c>
      <c r="X493" s="17">
        <f t="shared" si="318"/>
        <v>2.7997940158317434</v>
      </c>
      <c r="Y493" s="17">
        <f t="shared" si="319"/>
        <v>-1.205560974706924</v>
      </c>
      <c r="Z493" s="31" t="str">
        <f t="shared" si="307"/>
        <v>0.713172094315792+3.65740023262163i</v>
      </c>
      <c r="AA493" s="17">
        <f t="shared" si="320"/>
        <v>3.7262837918885787</v>
      </c>
      <c r="AB493" s="17">
        <f t="shared" si="321"/>
        <v>1.3782185678961936</v>
      </c>
      <c r="AC493" s="66" t="str">
        <f t="shared" si="322"/>
        <v>-0.0617652586736408+0.0122100154338781i</v>
      </c>
      <c r="AD493" s="64">
        <f t="shared" si="323"/>
        <v>-24.018628859891567</v>
      </c>
      <c r="AE493" s="61">
        <f t="shared" si="324"/>
        <v>168.81770671466273</v>
      </c>
      <c r="AF493" s="31" t="str">
        <f t="shared" si="308"/>
        <v>-9090.90909090909</v>
      </c>
      <c r="AG493" s="31" t="str">
        <f t="shared" si="309"/>
        <v>3533294.75205591i</v>
      </c>
      <c r="AH493" s="31">
        <f t="shared" si="325"/>
        <v>3533294.75205591</v>
      </c>
      <c r="AI493" s="31">
        <f t="shared" si="326"/>
        <v>1.5707963267948966</v>
      </c>
      <c r="AJ493" s="31" t="str">
        <f t="shared" si="310"/>
        <v>-45225.9085645044+1223.39270801511i</v>
      </c>
      <c r="AK493" s="31">
        <f t="shared" si="327"/>
        <v>45242.452356199006</v>
      </c>
      <c r="AL493" s="31">
        <f t="shared" si="328"/>
        <v>3.1145485437924059</v>
      </c>
      <c r="AM493" s="31" t="str">
        <f t="shared" si="311"/>
        <v>1+4656.17582425928i</v>
      </c>
      <c r="AN493" s="31">
        <f t="shared" si="329"/>
        <v>4656.17593164354</v>
      </c>
      <c r="AO493" s="31">
        <f t="shared" si="330"/>
        <v>1.5705815582761877</v>
      </c>
      <c r="AP493" s="31" t="str">
        <f t="shared" si="312"/>
        <v>1+777.324845452299i</v>
      </c>
      <c r="AQ493" s="31">
        <f t="shared" si="331"/>
        <v>777.32548868375636</v>
      </c>
      <c r="AR493" s="31">
        <f t="shared" si="332"/>
        <v>1.5695098640577434</v>
      </c>
      <c r="AS493" s="58" t="str">
        <f t="shared" si="333"/>
        <v>-0.00525697862383025+0.205765191273146i</v>
      </c>
      <c r="AT493" s="49">
        <f t="shared" si="334"/>
        <v>-13.729728021868965</v>
      </c>
      <c r="AU493" s="61">
        <f t="shared" si="335"/>
        <v>91.463499137044664</v>
      </c>
      <c r="AV493" s="58" t="str">
        <f t="shared" si="313"/>
        <v>-0.00218769751665732-0.0127733280551496i</v>
      </c>
      <c r="AW493" s="64">
        <f t="shared" si="336"/>
        <v>-37.748356881760515</v>
      </c>
      <c r="AX493" s="49">
        <f t="shared" si="337"/>
        <v>-99.718794148292588</v>
      </c>
      <c r="AY493" s="310"/>
      <c r="BA493" s="31">
        <f t="shared" si="338"/>
        <v>0</v>
      </c>
      <c r="BB493" s="31">
        <f t="shared" si="339"/>
        <v>0</v>
      </c>
    </row>
    <row r="494" spans="14:54" x14ac:dyDescent="0.45">
      <c r="N494" s="10">
        <v>76</v>
      </c>
      <c r="O494" s="50">
        <f t="shared" si="340"/>
        <v>575439.93733715697</v>
      </c>
      <c r="P494" s="48" t="str">
        <f t="shared" si="303"/>
        <v>17.4002386318441</v>
      </c>
      <c r="Q494" s="17" t="str">
        <f t="shared" si="304"/>
        <v>1+309.647999549118i</v>
      </c>
      <c r="R494" s="17">
        <f t="shared" si="314"/>
        <v>309.64961428164349</v>
      </c>
      <c r="S494" s="17">
        <f t="shared" si="315"/>
        <v>1.5675668645507412</v>
      </c>
      <c r="T494" s="17" t="str">
        <f t="shared" si="305"/>
        <v>1+1.08467872783235i</v>
      </c>
      <c r="U494" s="17">
        <f t="shared" si="316"/>
        <v>1.4753060504898654</v>
      </c>
      <c r="V494" s="17">
        <f t="shared" si="317"/>
        <v>0.82599540310980835</v>
      </c>
      <c r="W494" s="31" t="str">
        <f t="shared" si="306"/>
        <v>1-2.67603277977687i</v>
      </c>
      <c r="X494" s="17">
        <f t="shared" si="318"/>
        <v>2.8567729063473566</v>
      </c>
      <c r="Y494" s="17">
        <f t="shared" si="319"/>
        <v>-1.2131768374910086</v>
      </c>
      <c r="Z494" s="31" t="str">
        <f t="shared" si="307"/>
        <v>0.699654311580415+3.74259202800771i</v>
      </c>
      <c r="AA494" s="17">
        <f t="shared" si="320"/>
        <v>3.8074284292445899</v>
      </c>
      <c r="AB494" s="17">
        <f t="shared" si="321"/>
        <v>1.3859857575924253</v>
      </c>
      <c r="AC494" s="66" t="str">
        <f t="shared" si="322"/>
        <v>-0.0609735883481886+0.0123054647818408i</v>
      </c>
      <c r="AD494" s="64">
        <f t="shared" si="323"/>
        <v>-24.123784909518029</v>
      </c>
      <c r="AE494" s="61">
        <f t="shared" si="324"/>
        <v>168.59003808553484</v>
      </c>
      <c r="AF494" s="31" t="str">
        <f t="shared" si="308"/>
        <v>-9090.90909090909</v>
      </c>
      <c r="AG494" s="31" t="str">
        <f t="shared" si="309"/>
        <v>3615595.75944117i</v>
      </c>
      <c r="AH494" s="31">
        <f t="shared" si="325"/>
        <v>3615595.7594411699</v>
      </c>
      <c r="AI494" s="31">
        <f t="shared" si="326"/>
        <v>1.5707963267948966</v>
      </c>
      <c r="AJ494" s="31" t="str">
        <f t="shared" si="310"/>
        <v>-47357.3870979804+1251.88918491924i</v>
      </c>
      <c r="AK494" s="31">
        <f t="shared" si="327"/>
        <v>47373.931009356587</v>
      </c>
      <c r="AL494" s="31">
        <f t="shared" si="328"/>
        <v>3.1151638792251397</v>
      </c>
      <c r="AM494" s="31" t="str">
        <f t="shared" si="311"/>
        <v>1+4764.63209179157i</v>
      </c>
      <c r="AN494" s="31">
        <f t="shared" si="329"/>
        <v>4764.6321967314652</v>
      </c>
      <c r="AO494" s="31">
        <f t="shared" si="330"/>
        <v>1.5705864470043793</v>
      </c>
      <c r="AP494" s="31" t="str">
        <f t="shared" si="312"/>
        <v>1+795.431067077057i</v>
      </c>
      <c r="AQ494" s="31">
        <f t="shared" si="331"/>
        <v>795.43169566679046</v>
      </c>
      <c r="AR494" s="31">
        <f t="shared" si="332"/>
        <v>1.5695391474935634</v>
      </c>
      <c r="AS494" s="58" t="str">
        <f t="shared" si="333"/>
        <v>-0.00502053062193604+0.201087456567914i</v>
      </c>
      <c r="AT494" s="49">
        <f t="shared" si="334"/>
        <v>-13.929594065018895</v>
      </c>
      <c r="AU494" s="61">
        <f t="shared" si="335"/>
        <v>91.43020093453886</v>
      </c>
      <c r="AV494" s="58" t="str">
        <f t="shared" si="313"/>
        <v>-0.002168354847435-0.0123228037615106i</v>
      </c>
      <c r="AW494" s="64">
        <f t="shared" si="336"/>
        <v>-38.053378974536948</v>
      </c>
      <c r="AX494" s="49">
        <f t="shared" si="337"/>
        <v>-99.979760979926269</v>
      </c>
      <c r="AY494" s="310"/>
      <c r="BA494" s="31">
        <f t="shared" si="338"/>
        <v>0</v>
      </c>
      <c r="BB494" s="31">
        <f t="shared" si="339"/>
        <v>0</v>
      </c>
    </row>
    <row r="495" spans="14:54" x14ac:dyDescent="0.45">
      <c r="N495" s="10">
        <v>77</v>
      </c>
      <c r="O495" s="50">
        <f t="shared" si="340"/>
        <v>588843.65535558888</v>
      </c>
      <c r="P495" s="48" t="str">
        <f t="shared" si="303"/>
        <v>17.4002386318441</v>
      </c>
      <c r="Q495" s="17" t="str">
        <f t="shared" si="304"/>
        <v>1+316.860628012366i</v>
      </c>
      <c r="R495" s="17">
        <f t="shared" si="314"/>
        <v>316.86220598927696</v>
      </c>
      <c r="S495" s="17">
        <f t="shared" si="315"/>
        <v>1.5676403755924346</v>
      </c>
      <c r="T495" s="17" t="str">
        <f t="shared" si="305"/>
        <v>1+1.10994414106685i</v>
      </c>
      <c r="U495" s="17">
        <f t="shared" si="316"/>
        <v>1.4939799183016576</v>
      </c>
      <c r="V495" s="17">
        <f t="shared" si="317"/>
        <v>0.83745868663392231</v>
      </c>
      <c r="W495" s="31" t="str">
        <f t="shared" si="306"/>
        <v>1-2.73836559065925i</v>
      </c>
      <c r="X495" s="17">
        <f t="shared" si="318"/>
        <v>2.9152437476318478</v>
      </c>
      <c r="Y495" s="17">
        <f t="shared" si="319"/>
        <v>-1.2206614647270571</v>
      </c>
      <c r="Z495" s="31" t="str">
        <f t="shared" si="307"/>
        <v>0.685499455371853+3.82976819522611i</v>
      </c>
      <c r="AA495" s="17">
        <f t="shared" si="320"/>
        <v>3.8906341298663079</v>
      </c>
      <c r="AB495" s="17">
        <f t="shared" si="321"/>
        <v>1.3936795242123019</v>
      </c>
      <c r="AC495" s="66" t="str">
        <f t="shared" si="322"/>
        <v>-0.0602115342371971+0.0123892625727827i</v>
      </c>
      <c r="AD495" s="64">
        <f t="shared" si="323"/>
        <v>-24.226319937660655</v>
      </c>
      <c r="AE495" s="61">
        <f t="shared" si="324"/>
        <v>168.37296607065991</v>
      </c>
      <c r="AF495" s="31" t="str">
        <f t="shared" si="308"/>
        <v>-9090.90909090909</v>
      </c>
      <c r="AG495" s="31" t="str">
        <f t="shared" si="309"/>
        <v>3699813.80355616i</v>
      </c>
      <c r="AH495" s="31">
        <f t="shared" si="325"/>
        <v>3699813.8035561601</v>
      </c>
      <c r="AI495" s="31">
        <f t="shared" si="326"/>
        <v>1.5707963267948966</v>
      </c>
      <c r="AJ495" s="31" t="str">
        <f t="shared" si="310"/>
        <v>-49589.3191199405+1281.04943003992i</v>
      </c>
      <c r="AK495" s="31">
        <f t="shared" si="327"/>
        <v>49605.863145615178</v>
      </c>
      <c r="AL495" s="31">
        <f t="shared" si="328"/>
        <v>3.1157652255028374</v>
      </c>
      <c r="AM495" s="31" t="str">
        <f t="shared" si="311"/>
        <v>1+4875.61463032631i</v>
      </c>
      <c r="AN495" s="31">
        <f t="shared" si="329"/>
        <v>4875.6147328774823</v>
      </c>
      <c r="AO495" s="31">
        <f t="shared" si="330"/>
        <v>1.5705912244515412</v>
      </c>
      <c r="AP495" s="31" t="str">
        <f t="shared" si="312"/>
        <v>1+813.959036782354i</v>
      </c>
      <c r="AQ495" s="31">
        <f t="shared" si="331"/>
        <v>813.95965106364906</v>
      </c>
      <c r="AR495" s="31">
        <f t="shared" si="332"/>
        <v>1.5695677643590877</v>
      </c>
      <c r="AS495" s="58" t="str">
        <f t="shared" si="333"/>
        <v>-0.00479471090237052+0.196515796441722i</v>
      </c>
      <c r="AT495" s="49">
        <f t="shared" si="334"/>
        <v>-14.129466133351771</v>
      </c>
      <c r="AU495" s="61">
        <f t="shared" si="335"/>
        <v>91.397659683977537</v>
      </c>
      <c r="AV495" s="58" t="str">
        <f t="shared" si="313"/>
        <v>-0.00214598890216047-0.0118919205379309i</v>
      </c>
      <c r="AW495" s="64">
        <f t="shared" si="336"/>
        <v>-38.355786071012389</v>
      </c>
      <c r="AX495" s="49">
        <f t="shared" si="337"/>
        <v>-100.22937424536251</v>
      </c>
      <c r="AY495" s="310"/>
      <c r="BA495" s="31">
        <f t="shared" si="338"/>
        <v>0</v>
      </c>
      <c r="BB495" s="31">
        <f t="shared" si="339"/>
        <v>0</v>
      </c>
    </row>
    <row r="496" spans="14:54" x14ac:dyDescent="0.45">
      <c r="N496" s="10">
        <v>78</v>
      </c>
      <c r="O496" s="50">
        <f t="shared" si="340"/>
        <v>602559.58607435878</v>
      </c>
      <c r="P496" s="48" t="str">
        <f t="shared" si="303"/>
        <v>17.4002386318441</v>
      </c>
      <c r="Q496" s="17" t="str">
        <f t="shared" si="304"/>
        <v>1+324.241260174733i</v>
      </c>
      <c r="R496" s="17">
        <f t="shared" si="314"/>
        <v>324.24280223267704</v>
      </c>
      <c r="S496" s="17">
        <f t="shared" si="315"/>
        <v>1.5677122133514876</v>
      </c>
      <c r="T496" s="17" t="str">
        <f t="shared" si="305"/>
        <v>1+1.13579806137679i</v>
      </c>
      <c r="U496" s="17">
        <f t="shared" si="316"/>
        <v>1.5132868981879393</v>
      </c>
      <c r="V496" s="17">
        <f t="shared" si="317"/>
        <v>0.8488945732329618</v>
      </c>
      <c r="W496" s="31" t="str">
        <f t="shared" si="306"/>
        <v>1-2.80215031922436i</v>
      </c>
      <c r="X496" s="17">
        <f t="shared" si="318"/>
        <v>2.9752388831032008</v>
      </c>
      <c r="Y496" s="17">
        <f t="shared" si="319"/>
        <v>-1.2280154695872916</v>
      </c>
      <c r="Z496" s="31" t="str">
        <f t="shared" si="307"/>
        <v>0.670677501342312+3.91897495623458i</v>
      </c>
      <c r="AA496" s="17">
        <f t="shared" si="320"/>
        <v>3.975949322916553</v>
      </c>
      <c r="AB496" s="17">
        <f t="shared" si="321"/>
        <v>1.4013023343219049</v>
      </c>
      <c r="AC496" s="66" t="str">
        <f t="shared" si="322"/>
        <v>-0.0594780916741244+0.0124624934250972i</v>
      </c>
      <c r="AD496" s="64">
        <f t="shared" si="323"/>
        <v>-24.326257336791951</v>
      </c>
      <c r="AE496" s="61">
        <f t="shared" si="324"/>
        <v>168.16596981905167</v>
      </c>
      <c r="AF496" s="31" t="str">
        <f t="shared" si="308"/>
        <v>-9090.90909090909</v>
      </c>
      <c r="AG496" s="31" t="str">
        <f t="shared" si="309"/>
        <v>3785993.53792262i</v>
      </c>
      <c r="AH496" s="31">
        <f t="shared" si="325"/>
        <v>3785993.5379226198</v>
      </c>
      <c r="AI496" s="31">
        <f t="shared" si="326"/>
        <v>1.5707963267948966</v>
      </c>
      <c r="AJ496" s="31" t="str">
        <f t="shared" si="310"/>
        <v>-51926.4388574439+1310.8889045251i</v>
      </c>
      <c r="AK496" s="31">
        <f t="shared" si="327"/>
        <v>51942.982992275938</v>
      </c>
      <c r="AL496" s="31">
        <f t="shared" si="328"/>
        <v>3.1163528998844927</v>
      </c>
      <c r="AM496" s="31" t="str">
        <f t="shared" si="311"/>
        <v>1+4989.18228427443i</v>
      </c>
      <c r="AN496" s="31">
        <f t="shared" si="329"/>
        <v>4989.1823844912524</v>
      </c>
      <c r="AO496" s="31">
        <f t="shared" si="330"/>
        <v>1.570595893150738</v>
      </c>
      <c r="AP496" s="31" t="str">
        <f t="shared" si="312"/>
        <v>1+832.918578342976i</v>
      </c>
      <c r="AQ496" s="31">
        <f t="shared" si="331"/>
        <v>832.91917864153197</v>
      </c>
      <c r="AR496" s="31">
        <f t="shared" si="332"/>
        <v>1.5695957298271694</v>
      </c>
      <c r="AS496" s="58" t="str">
        <f t="shared" si="333"/>
        <v>-0.00457904231189054+0.192047823248024i</v>
      </c>
      <c r="AT496" s="49">
        <f t="shared" si="334"/>
        <v>-14.329343956030058</v>
      </c>
      <c r="AU496" s="61">
        <f t="shared" si="335"/>
        <v>91.365858222233697</v>
      </c>
      <c r="AV496" s="58" t="str">
        <f t="shared" si="313"/>
        <v>-0.00212104203612641-0.0114797043216672i</v>
      </c>
      <c r="AW496" s="64">
        <f t="shared" si="336"/>
        <v>-38.655601292821999</v>
      </c>
      <c r="AX496" s="49">
        <f t="shared" si="337"/>
        <v>-100.46817195871462</v>
      </c>
      <c r="AY496" s="310"/>
      <c r="BA496" s="31">
        <f t="shared" si="338"/>
        <v>0</v>
      </c>
      <c r="BB496" s="31">
        <f t="shared" si="339"/>
        <v>0</v>
      </c>
    </row>
    <row r="497" spans="14:54" x14ac:dyDescent="0.45">
      <c r="N497" s="10">
        <v>79</v>
      </c>
      <c r="O497" s="50">
        <f t="shared" si="340"/>
        <v>616595.00186148309</v>
      </c>
      <c r="P497" s="48" t="str">
        <f t="shared" si="303"/>
        <v>17.4002386318441</v>
      </c>
      <c r="Q497" s="17" t="str">
        <f t="shared" si="304"/>
        <v>1+331.793809345085i</v>
      </c>
      <c r="R497" s="17">
        <f t="shared" si="314"/>
        <v>331.79531630166599</v>
      </c>
      <c r="S497" s="17">
        <f t="shared" si="315"/>
        <v>1.5677824159142635</v>
      </c>
      <c r="T497" s="17" t="str">
        <f t="shared" si="305"/>
        <v>1+1.16225419685293i</v>
      </c>
      <c r="U497" s="17">
        <f t="shared" si="316"/>
        <v>1.5332432351398944</v>
      </c>
      <c r="V497" s="17">
        <f t="shared" si="317"/>
        <v>0.86029716268022949</v>
      </c>
      <c r="W497" s="31" t="str">
        <f t="shared" si="306"/>
        <v>1-2.86742078497957i</v>
      </c>
      <c r="X497" s="17">
        <f t="shared" si="318"/>
        <v>3.0367913919353851</v>
      </c>
      <c r="Y497" s="17">
        <f t="shared" si="319"/>
        <v>-1.235239568577136</v>
      </c>
      <c r="Z497" s="31" t="str">
        <f t="shared" si="307"/>
        <v>0.65515701014008+4.01025960963863i</v>
      </c>
      <c r="AA497" s="17">
        <f t="shared" si="320"/>
        <v>4.0634237835395242</v>
      </c>
      <c r="AB497" s="17">
        <f t="shared" si="321"/>
        <v>1.4088567035604873</v>
      </c>
      <c r="AC497" s="66" t="str">
        <f t="shared" si="322"/>
        <v>-0.0587722699433199+0.0125261815362005i</v>
      </c>
      <c r="AD497" s="64">
        <f t="shared" si="323"/>
        <v>-24.423622961912944</v>
      </c>
      <c r="AE497" s="61">
        <f t="shared" si="324"/>
        <v>167.96852390218544</v>
      </c>
      <c r="AF497" s="31" t="str">
        <f t="shared" si="308"/>
        <v>-9090.90909090909</v>
      </c>
      <c r="AG497" s="31" t="str">
        <f t="shared" si="309"/>
        <v>3874180.65617644i</v>
      </c>
      <c r="AH497" s="31">
        <f t="shared" si="325"/>
        <v>3874180.65617644</v>
      </c>
      <c r="AI497" s="31">
        <f t="shared" si="326"/>
        <v>1.5707963267948966</v>
      </c>
      <c r="AJ497" s="31" t="str">
        <f t="shared" si="310"/>
        <v>-54373.7036547973+1341.42342965913i</v>
      </c>
      <c r="AK497" s="31">
        <f t="shared" si="327"/>
        <v>54390.247893876665</v>
      </c>
      <c r="AL497" s="31">
        <f t="shared" si="328"/>
        <v>3.1169272124855936</v>
      </c>
      <c r="AM497" s="31" t="str">
        <f t="shared" si="311"/>
        <v>1+5105.39526870931i</v>
      </c>
      <c r="AN497" s="31">
        <f t="shared" si="329"/>
        <v>5105.3953666449179</v>
      </c>
      <c r="AO497" s="31">
        <f t="shared" si="330"/>
        <v>1.5706004555773749</v>
      </c>
      <c r="AP497" s="31" t="str">
        <f t="shared" si="312"/>
        <v>1+852.319744358816i</v>
      </c>
      <c r="AQ497" s="31">
        <f t="shared" si="331"/>
        <v>852.32033099291812</v>
      </c>
      <c r="AR497" s="31">
        <f t="shared" si="332"/>
        <v>1.5696230587252948</v>
      </c>
      <c r="AS497" s="58" t="str">
        <f t="shared" si="333"/>
        <v>-0.00437306906739478+0.187681201897942i</v>
      </c>
      <c r="AT497" s="49">
        <f t="shared" si="334"/>
        <v>-14.5292272743757</v>
      </c>
      <c r="AU497" s="61">
        <f t="shared" si="335"/>
        <v>91.33477977238141</v>
      </c>
      <c r="AV497" s="58" t="str">
        <f t="shared" si="313"/>
        <v>-0.00209391361019621-0.0110852281182411i</v>
      </c>
      <c r="AW497" s="64">
        <f t="shared" si="336"/>
        <v>-38.95285023628864</v>
      </c>
      <c r="AX497" s="49">
        <f t="shared" si="337"/>
        <v>-100.69669632543317</v>
      </c>
      <c r="AY497" s="310"/>
      <c r="BA497" s="31">
        <f t="shared" si="338"/>
        <v>0</v>
      </c>
      <c r="BB497" s="31">
        <f t="shared" si="339"/>
        <v>0</v>
      </c>
    </row>
    <row r="498" spans="14:54" x14ac:dyDescent="0.45">
      <c r="N498" s="10">
        <v>80</v>
      </c>
      <c r="O498" s="50">
        <f t="shared" si="340"/>
        <v>630957.34448019415</v>
      </c>
      <c r="P498" s="48" t="str">
        <f t="shared" si="303"/>
        <v>17.4002386318441</v>
      </c>
      <c r="Q498" s="17" t="str">
        <f t="shared" si="304"/>
        <v>1+339.522279984962i</v>
      </c>
      <c r="R498" s="17">
        <f t="shared" si="314"/>
        <v>339.52375263917384</v>
      </c>
      <c r="S498" s="17">
        <f t="shared" si="315"/>
        <v>1.5678510205003202</v>
      </c>
      <c r="T498" s="17" t="str">
        <f t="shared" si="305"/>
        <v>1+1.1893265748885i</v>
      </c>
      <c r="U498" s="17">
        <f t="shared" si="316"/>
        <v>1.553865406570341</v>
      </c>
      <c r="V498" s="17">
        <f t="shared" si="317"/>
        <v>0.87166064124712828</v>
      </c>
      <c r="W498" s="31" t="str">
        <f t="shared" si="306"/>
        <v>1-2.93421159518977i</v>
      </c>
      <c r="X498" s="17">
        <f t="shared" si="318"/>
        <v>3.0999351098605423</v>
      </c>
      <c r="Y498" s="17">
        <f t="shared" si="319"/>
        <v>-1.2423345749968047</v>
      </c>
      <c r="Z498" s="31" t="str">
        <f t="shared" si="307"/>
        <v>0.638905060722452+4.10367055576976i</v>
      </c>
      <c r="AA498" s="17">
        <f t="shared" si="320"/>
        <v>4.1531086798816679</v>
      </c>
      <c r="AB498" s="17">
        <f t="shared" si="321"/>
        <v>1.4163451929778532</v>
      </c>
      <c r="AC498" s="66" t="str">
        <f t="shared" si="322"/>
        <v>-0.0580930935150022+0.0125812933630939i</v>
      </c>
      <c r="AD498" s="64">
        <f t="shared" si="323"/>
        <v>-24.518445057585815</v>
      </c>
      <c r="AE498" s="61">
        <f t="shared" si="324"/>
        <v>167.78009974941114</v>
      </c>
      <c r="AF498" s="31" t="str">
        <f t="shared" si="308"/>
        <v>-9090.90909090909</v>
      </c>
      <c r="AG498" s="31" t="str">
        <f t="shared" si="309"/>
        <v>3964421.916295i</v>
      </c>
      <c r="AH498" s="31">
        <f t="shared" si="325"/>
        <v>3964421.9162949999</v>
      </c>
      <c r="AI498" s="31">
        <f t="shared" si="326"/>
        <v>1.5707963267948966</v>
      </c>
      <c r="AJ498" s="31" t="str">
        <f t="shared" si="310"/>
        <v>-56936.3044887457+1372.66919525141i</v>
      </c>
      <c r="AK498" s="31">
        <f t="shared" si="327"/>
        <v>56952.848827383124</v>
      </c>
      <c r="AL498" s="31">
        <f t="shared" si="328"/>
        <v>3.1174884664355211</v>
      </c>
      <c r="AM498" s="31" t="str">
        <f t="shared" si="311"/>
        <v>1+5224.31520129355i</v>
      </c>
      <c r="AN498" s="31">
        <f t="shared" si="329"/>
        <v>5224.3152969998719</v>
      </c>
      <c r="AO498" s="31">
        <f t="shared" si="330"/>
        <v>1.5706049141505103</v>
      </c>
      <c r="AP498" s="31" t="str">
        <f t="shared" si="312"/>
        <v>1+872.172821584899i</v>
      </c>
      <c r="AQ498" s="31">
        <f t="shared" si="331"/>
        <v>872.17339486558751</v>
      </c>
      <c r="AR498" s="31">
        <f t="shared" si="332"/>
        <v>1.5696497655434443</v>
      </c>
      <c r="AS498" s="58" t="str">
        <f t="shared" si="333"/>
        <v>-0.00417635580335501+0.183413648783055i</v>
      </c>
      <c r="AT498" s="49">
        <f t="shared" si="334"/>
        <v>-14.72911584132595</v>
      </c>
      <c r="AU498" s="61">
        <f t="shared" si="335"/>
        <v>91.304407935203002</v>
      </c>
      <c r="AV498" s="58" t="str">
        <f t="shared" si="313"/>
        <v>-0.00206496349389886-0.0107076102082325i</v>
      </c>
      <c r="AW498" s="64">
        <f t="shared" si="336"/>
        <v>-39.247560898911729</v>
      </c>
      <c r="AX498" s="49">
        <f t="shared" si="337"/>
        <v>-100.91549231538581</v>
      </c>
      <c r="AY498" s="310"/>
      <c r="BA498" s="31">
        <f t="shared" si="338"/>
        <v>0</v>
      </c>
      <c r="BB498" s="31">
        <f t="shared" si="339"/>
        <v>0</v>
      </c>
    </row>
    <row r="499" spans="14:54" x14ac:dyDescent="0.45">
      <c r="N499" s="10">
        <v>81</v>
      </c>
      <c r="O499" s="50">
        <f t="shared" si="340"/>
        <v>645654.22903465747</v>
      </c>
      <c r="P499" s="48" t="str">
        <f t="shared" si="303"/>
        <v>17.4002386318441</v>
      </c>
      <c r="Q499" s="17" t="str">
        <f t="shared" si="304"/>
        <v>1+347.430769831797i</v>
      </c>
      <c r="R499" s="17">
        <f t="shared" si="314"/>
        <v>347.43220896444694</v>
      </c>
      <c r="S499" s="17">
        <f t="shared" si="315"/>
        <v>1.5679180634821335</v>
      </c>
      <c r="T499" s="17" t="str">
        <f t="shared" si="305"/>
        <v>1+1.21702954961668i</v>
      </c>
      <c r="U499" s="17">
        <f t="shared" si="316"/>
        <v>1.5751701256182391</v>
      </c>
      <c r="V499" s="17">
        <f t="shared" si="317"/>
        <v>0.88297929603220282</v>
      </c>
      <c r="W499" s="31" t="str">
        <f t="shared" si="306"/>
        <v>1-3.00255816322663i</v>
      </c>
      <c r="X499" s="17">
        <f t="shared" si="318"/>
        <v>3.1647046502886922</v>
      </c>
      <c r="Y499" s="17">
        <f t="shared" si="319"/>
        <v>-1.2493013925399317</v>
      </c>
      <c r="Z499" s="31" t="str">
        <f t="shared" si="307"/>
        <v>0.621887180525771+4.19925732234807i</v>
      </c>
      <c r="AA499" s="17">
        <f t="shared" si="320"/>
        <v>4.2450566220718633</v>
      </c>
      <c r="AB499" s="17">
        <f t="shared" si="321"/>
        <v>1.4237704055694675</v>
      </c>
      <c r="AC499" s="66" t="str">
        <f t="shared" si="322"/>
        <v>-0.0574396031096552+0.0126287402518107i</v>
      </c>
      <c r="AD499" s="64">
        <f t="shared" si="323"/>
        <v>-24.610754178665658</v>
      </c>
      <c r="AE499" s="61">
        <f t="shared" si="324"/>
        <v>167.60016703311175</v>
      </c>
      <c r="AF499" s="31" t="str">
        <f t="shared" si="308"/>
        <v>-9090.90909090909</v>
      </c>
      <c r="AG499" s="31" t="str">
        <f t="shared" si="309"/>
        <v>4056765.16538892i</v>
      </c>
      <c r="AH499" s="31">
        <f t="shared" si="325"/>
        <v>4056765.1653889199</v>
      </c>
      <c r="AI499" s="31">
        <f t="shared" si="326"/>
        <v>1.5707963267948966</v>
      </c>
      <c r="AJ499" s="31" t="str">
        <f t="shared" si="310"/>
        <v>-59619.6769792326+1404.64276822043i</v>
      </c>
      <c r="AK499" s="31">
        <f t="shared" si="327"/>
        <v>59636.221412949635</v>
      </c>
      <c r="AL499" s="31">
        <f t="shared" si="328"/>
        <v>3.1180369580317118</v>
      </c>
      <c r="AM499" s="31" t="str">
        <f t="shared" si="311"/>
        <v>1+5346.00513494952i</v>
      </c>
      <c r="AN499" s="31">
        <f t="shared" si="329"/>
        <v>5346.005228477301</v>
      </c>
      <c r="AO499" s="31">
        <f t="shared" si="330"/>
        <v>1.570609271234138</v>
      </c>
      <c r="AP499" s="31" t="str">
        <f t="shared" si="312"/>
        <v>1+892.488336385562i</v>
      </c>
      <c r="AQ499" s="31">
        <f t="shared" si="331"/>
        <v>892.48889661679709</v>
      </c>
      <c r="AR499" s="31">
        <f t="shared" si="332"/>
        <v>1.5696758644417736</v>
      </c>
      <c r="AS499" s="58" t="str">
        <f t="shared" si="333"/>
        <v>-0.00398848666130873+0.179242930714818i</v>
      </c>
      <c r="AT499" s="49">
        <f t="shared" si="334"/>
        <v>-14.929009420912784</v>
      </c>
      <c r="AU499" s="61">
        <f t="shared" si="335"/>
        <v>91.274726680869946</v>
      </c>
      <c r="AV499" s="58" t="str">
        <f t="shared" si="313"/>
        <v>-0.00203451532313701-0.0103460123625141i</v>
      </c>
      <c r="AW499" s="64">
        <f t="shared" si="336"/>
        <v>-39.539763599578407</v>
      </c>
      <c r="AX499" s="49">
        <f t="shared" si="337"/>
        <v>-101.12510628601824</v>
      </c>
      <c r="AY499" s="310"/>
      <c r="BA499" s="31">
        <f t="shared" si="338"/>
        <v>0</v>
      </c>
      <c r="BB499" s="31">
        <f t="shared" si="339"/>
        <v>0</v>
      </c>
    </row>
    <row r="500" spans="14:54" x14ac:dyDescent="0.45">
      <c r="N500" s="10">
        <v>82</v>
      </c>
      <c r="O500" s="50">
        <f t="shared" si="340"/>
        <v>660693.44800759677</v>
      </c>
      <c r="P500" s="48" t="str">
        <f t="shared" si="303"/>
        <v>17.4002386318441</v>
      </c>
      <c r="Q500" s="17" t="str">
        <f t="shared" si="304"/>
        <v>1+355.523472071584i</v>
      </c>
      <c r="R500" s="17">
        <f t="shared" si="314"/>
        <v>355.52487844570652</v>
      </c>
      <c r="S500" s="17">
        <f t="shared" si="315"/>
        <v>1.5679835804043671</v>
      </c>
      <c r="T500" s="17" t="str">
        <f t="shared" si="305"/>
        <v>1+1.24537780952135i</v>
      </c>
      <c r="U500" s="17">
        <f t="shared" si="316"/>
        <v>1.5971743450381977</v>
      </c>
      <c r="V500" s="17">
        <f t="shared" si="317"/>
        <v>0.89424752866462676</v>
      </c>
      <c r="W500" s="31" t="str">
        <f t="shared" si="306"/>
        <v>1-3.07249672734518i</v>
      </c>
      <c r="X500" s="17">
        <f t="shared" si="318"/>
        <v>3.2311354257515794</v>
      </c>
      <c r="Y500" s="17">
        <f t="shared" si="319"/>
        <v>-1.2561410090460845</v>
      </c>
      <c r="Z500" s="31" t="str">
        <f t="shared" si="307"/>
        <v>0.604067272344521+4.29707059074241i</v>
      </c>
      <c r="AA500" s="17">
        <f t="shared" si="320"/>
        <v>4.3393217132797473</v>
      </c>
      <c r="AB500" s="17">
        <f t="shared" si="321"/>
        <v>1.4311349830041971</v>
      </c>
      <c r="AC500" s="66" t="str">
        <f t="shared" si="322"/>
        <v>-0.0568108566027364+0.0126693810084826i</v>
      </c>
      <c r="AD500" s="64">
        <f t="shared" si="323"/>
        <v>-24.700583105167595</v>
      </c>
      <c r="AE500" s="61">
        <f t="shared" si="324"/>
        <v>167.42819499819271</v>
      </c>
      <c r="AF500" s="31" t="str">
        <f t="shared" si="308"/>
        <v>-9090.90909090909</v>
      </c>
      <c r="AG500" s="31" t="str">
        <f t="shared" si="309"/>
        <v>4151259.36507115i</v>
      </c>
      <c r="AH500" s="31">
        <f t="shared" si="325"/>
        <v>4151259.36507115</v>
      </c>
      <c r="AI500" s="31">
        <f t="shared" si="326"/>
        <v>1.5707963267948966</v>
      </c>
      <c r="AJ500" s="31" t="str">
        <f t="shared" si="310"/>
        <v>-62429.5129190751+1437.3611013778i</v>
      </c>
      <c r="AK500" s="31">
        <f t="shared" si="327"/>
        <v>62446.057443594611</v>
      </c>
      <c r="AL500" s="31">
        <f t="shared" si="328"/>
        <v>3.1185729768906327</v>
      </c>
      <c r="AM500" s="31" t="str">
        <f t="shared" si="311"/>
        <v>1+5470.52959129076i</v>
      </c>
      <c r="AN500" s="31">
        <f t="shared" si="329"/>
        <v>5470.5296826895892</v>
      </c>
      <c r="AO500" s="31">
        <f t="shared" si="330"/>
        <v>1.5706135291384404</v>
      </c>
      <c r="AP500" s="31" t="str">
        <f t="shared" si="312"/>
        <v>1+913.277060315652i</v>
      </c>
      <c r="AQ500" s="31">
        <f t="shared" si="331"/>
        <v>913.27760779447499</v>
      </c>
      <c r="AR500" s="31">
        <f t="shared" si="332"/>
        <v>1.5697013692581221</v>
      </c>
      <c r="AS500" s="58" t="str">
        <f t="shared" si="333"/>
        <v>-0.003809064419592+0.175166863880735i</v>
      </c>
      <c r="AT500" s="49">
        <f t="shared" si="334"/>
        <v>-15.128907787765707</v>
      </c>
      <c r="AU500" s="61">
        <f t="shared" si="335"/>
        <v>91.245720340794477</v>
      </c>
      <c r="AV500" s="58" t="str">
        <f t="shared" si="313"/>
        <v>-0.00200285952603401-0.00999963807389715i</v>
      </c>
      <c r="AW500" s="64">
        <f t="shared" si="336"/>
        <v>-39.8294908929333</v>
      </c>
      <c r="AX500" s="49">
        <f t="shared" si="337"/>
        <v>-101.32608466101276</v>
      </c>
      <c r="AY500" s="310"/>
      <c r="BA500" s="31">
        <f t="shared" si="338"/>
        <v>0</v>
      </c>
      <c r="BB500" s="31">
        <f t="shared" si="339"/>
        <v>0</v>
      </c>
    </row>
    <row r="501" spans="14:54" x14ac:dyDescent="0.45">
      <c r="N501" s="10">
        <v>83</v>
      </c>
      <c r="O501" s="50">
        <f t="shared" si="340"/>
        <v>676082.97539198259</v>
      </c>
      <c r="P501" s="48" t="str">
        <f t="shared" si="303"/>
        <v>17.4002386318441</v>
      </c>
      <c r="Q501" s="17" t="str">
        <f t="shared" si="304"/>
        <v>1+363.804677562175i</v>
      </c>
      <c r="R501" s="17">
        <f t="shared" si="314"/>
        <v>363.80605192343643</v>
      </c>
      <c r="S501" s="17">
        <f t="shared" si="315"/>
        <v>1.5680476060027095</v>
      </c>
      <c r="T501" s="17" t="str">
        <f t="shared" si="305"/>
        <v>1+1.27438638522515i</v>
      </c>
      <c r="U501" s="17">
        <f t="shared" si="316"/>
        <v>1.6198952616904663</v>
      </c>
      <c r="V501" s="17">
        <f t="shared" si="317"/>
        <v>0.9054598683064442</v>
      </c>
      <c r="W501" s="31" t="str">
        <f t="shared" si="306"/>
        <v>1-3.14406436989787i</v>
      </c>
      <c r="X501" s="17">
        <f t="shared" si="318"/>
        <v>3.2992636696786284</v>
      </c>
      <c r="Y501" s="17">
        <f t="shared" si="319"/>
        <v>-1.2628544904215968</v>
      </c>
      <c r="Z501" s="31" t="str">
        <f t="shared" si="307"/>
        <v>0.585407537764285+4.39716222284243i</v>
      </c>
      <c r="AA501" s="17">
        <f t="shared" si="320"/>
        <v>4.4359596029792492</v>
      </c>
      <c r="AB501" s="17">
        <f t="shared" si="321"/>
        <v>1.4384416025389704</v>
      </c>
      <c r="AC501" s="66" t="str">
        <f t="shared" si="322"/>
        <v>-0.0562059297804182+0.012704024405869i</v>
      </c>
      <c r="AD501" s="64">
        <f t="shared" si="323"/>
        <v>-24.787966751761878</v>
      </c>
      <c r="AE501" s="61">
        <f t="shared" si="324"/>
        <v>167.26365373106336</v>
      </c>
      <c r="AF501" s="31" t="str">
        <f t="shared" si="308"/>
        <v>-9090.90909090909</v>
      </c>
      <c r="AG501" s="31" t="str">
        <f t="shared" si="309"/>
        <v>4247954.61741716i</v>
      </c>
      <c r="AH501" s="31">
        <f t="shared" si="325"/>
        <v>4247954.6174171604</v>
      </c>
      <c r="AI501" s="31">
        <f t="shared" si="326"/>
        <v>1.5707963267948966</v>
      </c>
      <c r="AJ501" s="31" t="str">
        <f t="shared" si="310"/>
        <v>-65371.7723470243+1470.84154241685i</v>
      </c>
      <c r="AK501" s="31">
        <f t="shared" si="327"/>
        <v>65388.316958261508</v>
      </c>
      <c r="AL501" s="31">
        <f t="shared" si="328"/>
        <v>3.1190968060956248</v>
      </c>
      <c r="AM501" s="31" t="str">
        <f t="shared" si="311"/>
        <v>1+5597.95459483233i</v>
      </c>
      <c r="AN501" s="31">
        <f t="shared" si="329"/>
        <v>5597.9546841506681</v>
      </c>
      <c r="AO501" s="31">
        <f t="shared" si="330"/>
        <v>1.5706176901210147</v>
      </c>
      <c r="AP501" s="31" t="str">
        <f t="shared" si="312"/>
        <v>1+934.550015831774i</v>
      </c>
      <c r="AQ501" s="31">
        <f t="shared" si="331"/>
        <v>934.5505508484647</v>
      </c>
      <c r="AR501" s="31">
        <f t="shared" si="332"/>
        <v>1.5697262935153478</v>
      </c>
      <c r="AS501" s="58" t="str">
        <f t="shared" si="333"/>
        <v>-0.00363770966156435+0.171183312817389i</v>
      </c>
      <c r="AT501" s="49">
        <f t="shared" si="334"/>
        <v>-15.328810726637164</v>
      </c>
      <c r="AU501" s="61">
        <f t="shared" si="335"/>
        <v>91.21737359964942</v>
      </c>
      <c r="AV501" s="58" t="str">
        <f t="shared" si="313"/>
        <v>-0.00197025613011018-0.00966773081211551i</v>
      </c>
      <c r="AW501" s="64">
        <f t="shared" si="336"/>
        <v>-40.116777478399044</v>
      </c>
      <c r="AX501" s="49">
        <f t="shared" si="337"/>
        <v>-101.51897266928718</v>
      </c>
      <c r="AY501" s="310"/>
      <c r="BA501" s="31">
        <f t="shared" si="338"/>
        <v>0</v>
      </c>
      <c r="BB501" s="31">
        <f t="shared" si="339"/>
        <v>0</v>
      </c>
    </row>
    <row r="502" spans="14:54" x14ac:dyDescent="0.45">
      <c r="N502" s="10">
        <v>84</v>
      </c>
      <c r="O502" s="50">
        <f t="shared" si="340"/>
        <v>691830.97091893724</v>
      </c>
      <c r="P502" s="48" t="str">
        <f t="shared" si="303"/>
        <v>17.4002386318441</v>
      </c>
      <c r="Q502" s="17" t="str">
        <f t="shared" si="304"/>
        <v>1+372.278777108333i</v>
      </c>
      <c r="R502" s="17">
        <f t="shared" si="314"/>
        <v>372.28012018542688</v>
      </c>
      <c r="S502" s="17">
        <f t="shared" si="315"/>
        <v>1.5681101742222796</v>
      </c>
      <c r="T502" s="17" t="str">
        <f t="shared" si="305"/>
        <v>1+1.3040706574589i</v>
      </c>
      <c r="U502" s="17">
        <f t="shared" si="316"/>
        <v>1.6433503216433456</v>
      </c>
      <c r="V502" s="17">
        <f t="shared" si="317"/>
        <v>0.91661098388568674</v>
      </c>
      <c r="W502" s="31" t="str">
        <f t="shared" si="306"/>
        <v>1-3.2172990369961i</v>
      </c>
      <c r="X502" s="17">
        <f t="shared" si="318"/>
        <v>3.3691264585135472</v>
      </c>
      <c r="Y502" s="17">
        <f t="shared" si="319"/>
        <v>-1.2694429747408242</v>
      </c>
      <c r="Z502" s="31" t="str">
        <f t="shared" si="307"/>
        <v>0.565868396986269+4.49958528855632i</v>
      </c>
      <c r="AA502" s="17">
        <f t="shared" si="320"/>
        <v>4.535027542551453</v>
      </c>
      <c r="AB502" s="17">
        <f t="shared" si="321"/>
        <v>1.4456929741139788</v>
      </c>
      <c r="AC502" s="66" t="str">
        <f t="shared" si="322"/>
        <v>-0.0556239169568418+0.0127334316201947i</v>
      </c>
      <c r="AD502" s="64">
        <f t="shared" si="323"/>
        <v>-24.872942072439873</v>
      </c>
      <c r="AE502" s="61">
        <f t="shared" si="324"/>
        <v>167.10601536389456</v>
      </c>
      <c r="AF502" s="31" t="str">
        <f t="shared" si="308"/>
        <v>-9090.90909090909</v>
      </c>
      <c r="AG502" s="31" t="str">
        <f t="shared" si="309"/>
        <v>4346902.19152965i</v>
      </c>
      <c r="AH502" s="31">
        <f t="shared" si="325"/>
        <v>4346902.1915296502</v>
      </c>
      <c r="AI502" s="31">
        <f t="shared" si="326"/>
        <v>1.5707963267948966</v>
      </c>
      <c r="AJ502" s="31" t="str">
        <f t="shared" si="310"/>
        <v>-68452.6961898015+1505.10184311058i</v>
      </c>
      <c r="AK502" s="31">
        <f t="shared" si="327"/>
        <v>68469.24088385528</v>
      </c>
      <c r="AL502" s="31">
        <f t="shared" si="328"/>
        <v>3.1196087223416589</v>
      </c>
      <c r="AM502" s="31" t="str">
        <f t="shared" si="311"/>
        <v>1+5728.34770799777i</v>
      </c>
      <c r="AN502" s="31">
        <f t="shared" si="329"/>
        <v>5728.3477952829735</v>
      </c>
      <c r="AO502" s="31">
        <f t="shared" si="330"/>
        <v>1.5706217563880678</v>
      </c>
      <c r="AP502" s="31" t="str">
        <f t="shared" si="312"/>
        <v>1+956.318482136522i</v>
      </c>
      <c r="AQ502" s="31">
        <f t="shared" si="331"/>
        <v>956.31900497475272</v>
      </c>
      <c r="AR502" s="31">
        <f t="shared" si="332"/>
        <v>1.5697506504284982</v>
      </c>
      <c r="AS502" s="58" t="str">
        <f t="shared" si="333"/>
        <v>-0.00347405998065477+0.167290189400432i</v>
      </c>
      <c r="AT502" s="49">
        <f t="shared" si="334"/>
        <v>-15.528718031948065</v>
      </c>
      <c r="AU502" s="61">
        <f t="shared" si="335"/>
        <v>91.189671487553468</v>
      </c>
      <c r="AV502" s="58" t="str">
        <f t="shared" si="313"/>
        <v>-0.00193693736359279-0.00934957230811209i</v>
      </c>
      <c r="AW502" s="64">
        <f t="shared" si="336"/>
        <v>-40.401660104387943</v>
      </c>
      <c r="AX502" s="49">
        <f t="shared" si="337"/>
        <v>-101.70431314855198</v>
      </c>
      <c r="AY502" s="310"/>
      <c r="BA502" s="31">
        <f t="shared" si="338"/>
        <v>0</v>
      </c>
      <c r="BB502" s="31">
        <f t="shared" si="339"/>
        <v>0</v>
      </c>
    </row>
    <row r="503" spans="14:54" x14ac:dyDescent="0.45">
      <c r="N503" s="10">
        <v>85</v>
      </c>
      <c r="O503" s="50">
        <f t="shared" si="340"/>
        <v>707945.78438413853</v>
      </c>
      <c r="P503" s="48" t="str">
        <f t="shared" si="303"/>
        <v>17.4002386318441</v>
      </c>
      <c r="Q503" s="17" t="str">
        <f t="shared" si="304"/>
        <v>1+380.950263789806i</v>
      </c>
      <c r="R503" s="17">
        <f t="shared" si="314"/>
        <v>380.9515762948393</v>
      </c>
      <c r="S503" s="17">
        <f t="shared" si="315"/>
        <v>1.5681713182356147</v>
      </c>
      <c r="T503" s="17" t="str">
        <f t="shared" si="305"/>
        <v>1+1.33444636521665i</v>
      </c>
      <c r="U503" s="17">
        <f t="shared" si="316"/>
        <v>1.6675572258965894</v>
      </c>
      <c r="V503" s="17">
        <f t="shared" si="317"/>
        <v>0.92769569550095687</v>
      </c>
      <c r="W503" s="31" t="str">
        <f t="shared" si="306"/>
        <v>1-3.29223955862973i</v>
      </c>
      <c r="X503" s="17">
        <f t="shared" si="318"/>
        <v>3.4407617341813252</v>
      </c>
      <c r="Y503" s="17">
        <f t="shared" si="319"/>
        <v>-1.2759076665378108</v>
      </c>
      <c r="Z503" s="31" t="str">
        <f t="shared" si="307"/>
        <v>0.545408404873221+4.60439409394927i</v>
      </c>
      <c r="AA503" s="17">
        <f t="shared" si="320"/>
        <v>4.6365844433700625</v>
      </c>
      <c r="AB503" s="17">
        <f t="shared" si="321"/>
        <v>1.4528918376216167</v>
      </c>
      <c r="AC503" s="66" t="str">
        <f t="shared" si="322"/>
        <v>-0.0550639314630654+0.0127583185940744i</v>
      </c>
      <c r="AD503" s="64">
        <f t="shared" si="323"/>
        <v>-24.955547960937537</v>
      </c>
      <c r="AE503" s="61">
        <f t="shared" si="324"/>
        <v>166.95475521056397</v>
      </c>
      <c r="AF503" s="31" t="str">
        <f t="shared" si="308"/>
        <v>-9090.90909090909</v>
      </c>
      <c r="AG503" s="31" t="str">
        <f t="shared" si="309"/>
        <v>4448154.55072215i</v>
      </c>
      <c r="AH503" s="31">
        <f t="shared" si="325"/>
        <v>4448154.5507221501</v>
      </c>
      <c r="AI503" s="31">
        <f t="shared" si="326"/>
        <v>1.5707963267948966</v>
      </c>
      <c r="AJ503" s="31" t="str">
        <f t="shared" si="310"/>
        <v>-71678.8194999444+1540.1601687239i</v>
      </c>
      <c r="AK503" s="31">
        <f t="shared" si="327"/>
        <v>71695.364273089028</v>
      </c>
      <c r="AL503" s="31">
        <f t="shared" si="328"/>
        <v>3.1201089960770645</v>
      </c>
      <c r="AM503" s="31" t="str">
        <f t="shared" si="311"/>
        <v>1+5861.77806694165i</v>
      </c>
      <c r="AN503" s="31">
        <f t="shared" si="329"/>
        <v>5861.778152240001</v>
      </c>
      <c r="AO503" s="31">
        <f t="shared" si="330"/>
        <v>1.5706257300955881</v>
      </c>
      <c r="AP503" s="31" t="str">
        <f t="shared" si="312"/>
        <v>1+978.594001158872i</v>
      </c>
      <c r="AQ503" s="31">
        <f t="shared" si="331"/>
        <v>978.59451209585802</v>
      </c>
      <c r="AR503" s="31">
        <f t="shared" si="332"/>
        <v>1.5697744529118149</v>
      </c>
      <c r="AS503" s="58" t="str">
        <f t="shared" si="333"/>
        <v>-0.00331776922062353+0.163485451851523i</v>
      </c>
      <c r="AT503" s="49">
        <f t="shared" si="334"/>
        <v>-15.72862950735505</v>
      </c>
      <c r="AU503" s="61">
        <f t="shared" si="335"/>
        <v>91.162599372419422</v>
      </c>
      <c r="AV503" s="58" t="str">
        <f t="shared" si="313"/>
        <v>-0.00190311006324326-0.00904448087269887i</v>
      </c>
      <c r="AW503" s="64">
        <f t="shared" si="336"/>
        <v>-40.684177468292582</v>
      </c>
      <c r="AX503" s="49">
        <f t="shared" si="337"/>
        <v>-101.88264541701662</v>
      </c>
      <c r="AY503" s="310"/>
      <c r="BA503" s="31">
        <f t="shared" si="338"/>
        <v>0</v>
      </c>
      <c r="BB503" s="31">
        <f t="shared" si="339"/>
        <v>0</v>
      </c>
    </row>
    <row r="504" spans="14:54" x14ac:dyDescent="0.45">
      <c r="N504" s="10">
        <v>86</v>
      </c>
      <c r="O504" s="50">
        <f t="shared" si="340"/>
        <v>724435.96007499192</v>
      </c>
      <c r="P504" s="48" t="str">
        <f t="shared" si="303"/>
        <v>17.4002386318441</v>
      </c>
      <c r="Q504" s="17" t="str">
        <f t="shared" si="304"/>
        <v>1+389.823735343614i</v>
      </c>
      <c r="R504" s="17">
        <f t="shared" si="314"/>
        <v>389.82501797248466</v>
      </c>
      <c r="S504" s="17">
        <f t="shared" si="315"/>
        <v>1.5682310704602502</v>
      </c>
      <c r="T504" s="17" t="str">
        <f t="shared" si="305"/>
        <v>1+1.36552961410072i</v>
      </c>
      <c r="U504" s="17">
        <f t="shared" si="316"/>
        <v>1.6925339367309777</v>
      </c>
      <c r="V504" s="17">
        <f t="shared" si="317"/>
        <v>0.93870898494692456</v>
      </c>
      <c r="W504" s="31" t="str">
        <f t="shared" si="306"/>
        <v>1-3.36892566925529i</v>
      </c>
      <c r="X504" s="17">
        <f t="shared" si="318"/>
        <v>3.5142083269162065</v>
      </c>
      <c r="Y504" s="17">
        <f t="shared" si="319"/>
        <v>-1.2822498312963484</v>
      </c>
      <c r="Z504" s="31" t="str">
        <f t="shared" si="307"/>
        <v>0.523984163038752+4.71164421003718i</v>
      </c>
      <c r="AA504" s="17">
        <f t="shared" si="320"/>
        <v>4.7406909375208484</v>
      </c>
      <c r="AB504" s="17">
        <f t="shared" si="321"/>
        <v>1.4600409603418543</v>
      </c>
      <c r="AC504" s="66" t="str">
        <f t="shared" si="322"/>
        <v>-0.0545251060175574+0.0127793583221426i</v>
      </c>
      <c r="AD504" s="64">
        <f t="shared" si="323"/>
        <v>-25.035825147536862</v>
      </c>
      <c r="AE504" s="61">
        <f t="shared" si="324"/>
        <v>166.80935283135429</v>
      </c>
      <c r="AF504" s="31" t="str">
        <f t="shared" si="308"/>
        <v>-9090.90909090909</v>
      </c>
      <c r="AG504" s="31" t="str">
        <f t="shared" si="309"/>
        <v>4551765.38033573i</v>
      </c>
      <c r="AH504" s="31">
        <f t="shared" si="325"/>
        <v>4551765.3803357296</v>
      </c>
      <c r="AI504" s="31">
        <f t="shared" si="326"/>
        <v>1.5707963267948966</v>
      </c>
      <c r="AJ504" s="31" t="str">
        <f t="shared" si="310"/>
        <v>-75056.9853175276+1576.03510764511i</v>
      </c>
      <c r="AK504" s="31">
        <f t="shared" si="327"/>
        <v>75073.530166204931</v>
      </c>
      <c r="AL504" s="31">
        <f t="shared" si="328"/>
        <v>3.1205978916422725</v>
      </c>
      <c r="AM504" s="31" t="str">
        <f t="shared" si="311"/>
        <v>1+5998.31641820642i</v>
      </c>
      <c r="AN504" s="31">
        <f t="shared" si="329"/>
        <v>5998.316501563143</v>
      </c>
      <c r="AO504" s="31">
        <f t="shared" si="330"/>
        <v>1.5706296133504873</v>
      </c>
      <c r="AP504" s="31" t="str">
        <f t="shared" si="312"/>
        <v>1+1001.38838367386i</v>
      </c>
      <c r="AQ504" s="31">
        <f t="shared" si="331"/>
        <v>1001.388882980506</v>
      </c>
      <c r="AR504" s="31">
        <f t="shared" si="332"/>
        <v>1.5697977135855825</v>
      </c>
      <c r="AS504" s="58" t="str">
        <f t="shared" si="333"/>
        <v>-0.00316850674950576+0.159767103762285i</v>
      </c>
      <c r="AT504" s="49">
        <f t="shared" si="334"/>
        <v>-15.928544965335636</v>
      </c>
      <c r="AU504" s="61">
        <f t="shared" si="335"/>
        <v>91.136142952462336</v>
      </c>
      <c r="AV504" s="58" t="str">
        <f t="shared" si="313"/>
        <v>-0.00186895790063503-0.00875180975385475i</v>
      </c>
      <c r="AW504" s="64">
        <f t="shared" si="336"/>
        <v>-40.964370112872494</v>
      </c>
      <c r="AX504" s="49">
        <f t="shared" si="337"/>
        <v>-102.05450421618337</v>
      </c>
      <c r="AY504" s="310"/>
      <c r="BA504" s="31">
        <f t="shared" si="338"/>
        <v>0</v>
      </c>
      <c r="BB504" s="31">
        <f t="shared" si="339"/>
        <v>0</v>
      </c>
    </row>
    <row r="505" spans="14:54" x14ac:dyDescent="0.45">
      <c r="N505" s="10">
        <v>87</v>
      </c>
      <c r="O505" s="50">
        <f t="shared" si="340"/>
        <v>741310.24130091805</v>
      </c>
      <c r="P505" s="48" t="str">
        <f t="shared" si="303"/>
        <v>17.4002386318441</v>
      </c>
      <c r="Q505" s="17" t="str">
        <f t="shared" si="304"/>
        <v>1+398.903896601826i</v>
      </c>
      <c r="R505" s="17">
        <f t="shared" si="314"/>
        <v>398.90515003459194</v>
      </c>
      <c r="S505" s="17">
        <f t="shared" si="315"/>
        <v>1.5682894625758994</v>
      </c>
      <c r="T505" s="17" t="str">
        <f t="shared" si="305"/>
        <v>1+1.39733688486111i</v>
      </c>
      <c r="U505" s="17">
        <f t="shared" si="316"/>
        <v>1.7182986846859167</v>
      </c>
      <c r="V505" s="17">
        <f t="shared" si="317"/>
        <v>0.94964600531930254</v>
      </c>
      <c r="W505" s="31" t="str">
        <f t="shared" si="306"/>
        <v>1-3.44739802886368i</v>
      </c>
      <c r="X505" s="17">
        <f t="shared" si="318"/>
        <v>3.5895059784618257</v>
      </c>
      <c r="Y505" s="17">
        <f t="shared" si="319"/>
        <v>-1.2884707901445442</v>
      </c>
      <c r="Z505" s="31" t="str">
        <f t="shared" si="307"/>
        <v>0.501550227793538+4.82139250225123i</v>
      </c>
      <c r="AA505" s="17">
        <f t="shared" si="320"/>
        <v>4.8474094413164774</v>
      </c>
      <c r="AB505" s="17">
        <f t="shared" si="321"/>
        <v>1.4671431345364281</v>
      </c>
      <c r="AC505" s="66" t="str">
        <f t="shared" si="322"/>
        <v>-0.0540065929877103+0.0127971830567758i</v>
      </c>
      <c r="AD505" s="64">
        <f t="shared" si="323"/>
        <v>-25.113816092893252</v>
      </c>
      <c r="AE505" s="61">
        <f t="shared" si="324"/>
        <v>166.66929302411475</v>
      </c>
      <c r="AF505" s="31" t="str">
        <f t="shared" si="308"/>
        <v>-9090.90909090909</v>
      </c>
      <c r="AG505" s="31" t="str">
        <f t="shared" si="309"/>
        <v>4657789.61620368i</v>
      </c>
      <c r="AH505" s="31">
        <f t="shared" si="325"/>
        <v>4657789.6162036797</v>
      </c>
      <c r="AI505" s="31">
        <f t="shared" si="326"/>
        <v>1.5707963267948966</v>
      </c>
      <c r="AJ505" s="31" t="str">
        <f t="shared" si="310"/>
        <v>-78594.3591851677+1612.74568124169i</v>
      </c>
      <c r="AK505" s="31">
        <f t="shared" si="327"/>
        <v>78610.904105979585</v>
      </c>
      <c r="AL505" s="31">
        <f t="shared" si="328"/>
        <v>3.1210756674056341</v>
      </c>
      <c r="AM505" s="31" t="str">
        <f t="shared" si="311"/>
        <v>1+6138.03515623321i</v>
      </c>
      <c r="AN505" s="31">
        <f t="shared" si="329"/>
        <v>6138.0352376925021</v>
      </c>
      <c r="AO505" s="31">
        <f t="shared" si="330"/>
        <v>1.5706334082117182</v>
      </c>
      <c r="AP505" s="31" t="str">
        <f t="shared" si="312"/>
        <v>1+1024.71371556481i</v>
      </c>
      <c r="AQ505" s="31">
        <f t="shared" si="331"/>
        <v>1024.7142035058546</v>
      </c>
      <c r="AR505" s="31">
        <f t="shared" si="332"/>
        <v>1.5698204447828166</v>
      </c>
      <c r="AS505" s="58" t="str">
        <f t="shared" si="333"/>
        <v>-0.0030259567657646+0.156133193135214i</v>
      </c>
      <c r="AT505" s="49">
        <f t="shared" si="334"/>
        <v>-16.128464226793081</v>
      </c>
      <c r="AU505" s="61">
        <f t="shared" si="335"/>
        <v>91.110288248865231</v>
      </c>
      <c r="AV505" s="58" t="str">
        <f t="shared" si="313"/>
        <v>-0.00183464343834321-0.00847094553617845i</v>
      </c>
      <c r="AW505" s="64">
        <f t="shared" si="336"/>
        <v>-41.242280319686337</v>
      </c>
      <c r="AX505" s="49">
        <f t="shared" si="337"/>
        <v>-102.22041872702002</v>
      </c>
      <c r="AY505" s="310"/>
      <c r="BA505" s="31">
        <f t="shared" si="338"/>
        <v>0</v>
      </c>
      <c r="BB505" s="31">
        <f t="shared" si="339"/>
        <v>0</v>
      </c>
    </row>
    <row r="506" spans="14:54" x14ac:dyDescent="0.45">
      <c r="N506" s="10">
        <v>88</v>
      </c>
      <c r="O506" s="50">
        <f t="shared" si="340"/>
        <v>758577.57502918423</v>
      </c>
      <c r="P506" s="48" t="str">
        <f t="shared" si="303"/>
        <v>17.4002386318441</v>
      </c>
      <c r="Q506" s="17" t="str">
        <f t="shared" si="304"/>
        <v>1+408.195561986135i</v>
      </c>
      <c r="R506" s="17">
        <f t="shared" si="314"/>
        <v>408.19678688737446</v>
      </c>
      <c r="S506" s="17">
        <f t="shared" si="315"/>
        <v>1.5683465255412405</v>
      </c>
      <c r="T506" s="17" t="str">
        <f t="shared" si="305"/>
        <v>1+1.42988504213379i</v>
      </c>
      <c r="U506" s="17">
        <f t="shared" si="316"/>
        <v>1.7448699761638258</v>
      </c>
      <c r="V506" s="17">
        <f t="shared" si="317"/>
        <v>0.96050208966717532</v>
      </c>
      <c r="W506" s="31" t="str">
        <f t="shared" si="306"/>
        <v>1-3.52769824453869i</v>
      </c>
      <c r="X506" s="17">
        <f t="shared" si="318"/>
        <v>3.6666953656557504</v>
      </c>
      <c r="Y506" s="17">
        <f t="shared" si="319"/>
        <v>-1.294571914758345</v>
      </c>
      <c r="Z506" s="31" t="str">
        <f t="shared" si="307"/>
        <v>0.478059013753145+4.93369716058865i</v>
      </c>
      <c r="AA506" s="17">
        <f t="shared" si="320"/>
        <v>4.9568042217774897</v>
      </c>
      <c r="AB506" s="17">
        <f t="shared" si="321"/>
        <v>1.4742011751939006</v>
      </c>
      <c r="AC506" s="66" t="str">
        <f t="shared" si="322"/>
        <v>-0.0535075645514505+0.0128123864319815i</v>
      </c>
      <c r="AD506" s="64">
        <f t="shared" si="323"/>
        <v>-25.189564879555533</v>
      </c>
      <c r="AE506" s="61">
        <f t="shared" si="324"/>
        <v>166.53406674024612</v>
      </c>
      <c r="AF506" s="31" t="str">
        <f t="shared" si="308"/>
        <v>-9090.90909090909</v>
      </c>
      <c r="AG506" s="31" t="str">
        <f t="shared" si="309"/>
        <v>4766283.47377929i</v>
      </c>
      <c r="AH506" s="31">
        <f t="shared" si="325"/>
        <v>4766283.47377929</v>
      </c>
      <c r="AI506" s="31">
        <f t="shared" si="326"/>
        <v>1.5707963267948966</v>
      </c>
      <c r="AJ506" s="31" t="str">
        <f t="shared" si="310"/>
        <v>-82298.4443471038+1650.31135394567i</v>
      </c>
      <c r="AK506" s="31">
        <f t="shared" si="327"/>
        <v>82314.98933680488</v>
      </c>
      <c r="AL506" s="31">
        <f t="shared" si="328"/>
        <v>3.1215425758963598</v>
      </c>
      <c r="AM506" s="31" t="str">
        <f t="shared" si="311"/>
        <v>1+6281.00836174635i</v>
      </c>
      <c r="AN506" s="31">
        <f t="shared" si="329"/>
        <v>6281.0084413514023</v>
      </c>
      <c r="AO506" s="31">
        <f t="shared" si="330"/>
        <v>1.570637116691366</v>
      </c>
      <c r="AP506" s="31" t="str">
        <f t="shared" si="312"/>
        <v>1+1048.58236423144i</v>
      </c>
      <c r="AQ506" s="31">
        <f t="shared" si="331"/>
        <v>1048.5828410655954</v>
      </c>
      <c r="AR506" s="31">
        <f t="shared" si="332"/>
        <v>1.5698426585558052</v>
      </c>
      <c r="AS506" s="58" t="str">
        <f t="shared" si="333"/>
        <v>-0.00288981763524586+0.152581811441534i</v>
      </c>
      <c r="AT506" s="49">
        <f t="shared" si="334"/>
        <v>-16.328387120678368</v>
      </c>
      <c r="AU506" s="61">
        <f t="shared" si="335"/>
        <v>91.085021598599369</v>
      </c>
      <c r="AV506" s="58" t="str">
        <f t="shared" si="313"/>
        <v>-0.00180031002702083-0.00820130658534585i</v>
      </c>
      <c r="AW506" s="64">
        <f t="shared" si="336"/>
        <v>-41.517952000233905</v>
      </c>
      <c r="AX506" s="49">
        <f t="shared" si="337"/>
        <v>-102.3809116611545</v>
      </c>
      <c r="AY506" s="310"/>
      <c r="BA506" s="31">
        <f t="shared" si="338"/>
        <v>0</v>
      </c>
      <c r="BB506" s="31">
        <f t="shared" si="339"/>
        <v>0</v>
      </c>
    </row>
    <row r="507" spans="14:54" x14ac:dyDescent="0.45">
      <c r="N507" s="10">
        <v>89</v>
      </c>
      <c r="O507" s="50">
        <f t="shared" si="340"/>
        <v>776247.11662869214</v>
      </c>
      <c r="P507" s="48" t="str">
        <f t="shared" si="303"/>
        <v>17.4002386318441</v>
      </c>
      <c r="Q507" s="17" t="str">
        <f t="shared" si="304"/>
        <v>1+417.703658060517i</v>
      </c>
      <c r="R507" s="17">
        <f t="shared" si="314"/>
        <v>417.70485507968101</v>
      </c>
      <c r="S507" s="17">
        <f t="shared" si="315"/>
        <v>1.5684022896103262</v>
      </c>
      <c r="T507" s="17" t="str">
        <f t="shared" si="305"/>
        <v>1+1.46319134338258i</v>
      </c>
      <c r="U507" s="17">
        <f t="shared" si="316"/>
        <v>1.7722666016572448</v>
      </c>
      <c r="V507" s="17">
        <f t="shared" si="317"/>
        <v>0.97127275866988649</v>
      </c>
      <c r="W507" s="31" t="str">
        <f t="shared" si="306"/>
        <v>1-3.60986889251756i</v>
      </c>
      <c r="X507" s="17">
        <f t="shared" si="318"/>
        <v>3.7458181244110018</v>
      </c>
      <c r="Y507" s="17">
        <f t="shared" si="319"/>
        <v>-1.3005546224768794</v>
      </c>
      <c r="Z507" s="31" t="str">
        <f t="shared" si="307"/>
        <v>0.453460692903076+5.04861773046582i</v>
      </c>
      <c r="AA507" s="17">
        <f t="shared" si="320"/>
        <v>5.0689414662611751</v>
      </c>
      <c r="AB507" s="17">
        <f t="shared" si="321"/>
        <v>1.4812179179173866</v>
      </c>
      <c r="AC507" s="66" t="str">
        <f t="shared" si="322"/>
        <v>-0.05302721276762+0.0128255255041419i</v>
      </c>
      <c r="AD507" s="64">
        <f t="shared" si="323"/>
        <v>-25.26311710185286</v>
      </c>
      <c r="AE507" s="61">
        <f t="shared" si="324"/>
        <v>166.40317192450942</v>
      </c>
      <c r="AF507" s="31" t="str">
        <f t="shared" si="308"/>
        <v>-9090.90909090909</v>
      </c>
      <c r="AG507" s="31" t="str">
        <f t="shared" si="309"/>
        <v>4877304.47794192i</v>
      </c>
      <c r="AH507" s="31">
        <f t="shared" si="325"/>
        <v>4877304.47794192</v>
      </c>
      <c r="AI507" s="31">
        <f t="shared" si="326"/>
        <v>1.5707963267948966</v>
      </c>
      <c r="AJ507" s="31" t="str">
        <f t="shared" si="310"/>
        <v>-86177.0976645786+1688.75204357397i</v>
      </c>
      <c r="AK507" s="31">
        <f t="shared" si="327"/>
        <v>86193.642720069533</v>
      </c>
      <c r="AL507" s="31">
        <f t="shared" si="328"/>
        <v>3.121998863934631</v>
      </c>
      <c r="AM507" s="31" t="str">
        <f t="shared" si="311"/>
        <v>1+6427.31184103186i</v>
      </c>
      <c r="AN507" s="31">
        <f t="shared" si="329"/>
        <v>6427.3119188248802</v>
      </c>
      <c r="AO507" s="31">
        <f t="shared" si="330"/>
        <v>1.570640740755715</v>
      </c>
      <c r="AP507" s="31" t="str">
        <f t="shared" si="312"/>
        <v>1+1073.00698514722i</v>
      </c>
      <c r="AQ507" s="31">
        <f t="shared" si="331"/>
        <v>1073.0074511273097</v>
      </c>
      <c r="AR507" s="31">
        <f t="shared" si="332"/>
        <v>1.569864366682497</v>
      </c>
      <c r="AS507" s="58" t="str">
        <f t="shared" si="333"/>
        <v>-0.00275980125758585+0.149111092695932i</v>
      </c>
      <c r="AT507" s="49">
        <f t="shared" si="334"/>
        <v>-16.528313483628811</v>
      </c>
      <c r="AU507" s="61">
        <f t="shared" si="335"/>
        <v>91.060329647396571</v>
      </c>
      <c r="AV507" s="58" t="str">
        <f t="shared" si="313"/>
        <v>-0.00176608355383979-0.00794234153981502i</v>
      </c>
      <c r="AW507" s="64">
        <f t="shared" si="336"/>
        <v>-41.79143058548167</v>
      </c>
      <c r="AX507" s="49">
        <f t="shared" si="337"/>
        <v>-102.53649842809396</v>
      </c>
      <c r="AY507" s="310"/>
      <c r="BA507" s="31">
        <f t="shared" si="338"/>
        <v>0</v>
      </c>
      <c r="BB507" s="31">
        <f t="shared" si="339"/>
        <v>0</v>
      </c>
    </row>
    <row r="508" spans="14:54" x14ac:dyDescent="0.45">
      <c r="N508" s="10">
        <v>90</v>
      </c>
      <c r="O508" s="50">
        <f t="shared" si="340"/>
        <v>794328.23472428333</v>
      </c>
      <c r="P508" s="48" t="str">
        <f t="shared" si="303"/>
        <v>17.4002386318441</v>
      </c>
      <c r="Q508" s="17" t="str">
        <f t="shared" si="304"/>
        <v>1+427.433226143364i</v>
      </c>
      <c r="R508" s="17">
        <f t="shared" si="314"/>
        <v>427.43439591512072</v>
      </c>
      <c r="S508" s="17">
        <f t="shared" si="315"/>
        <v>1.5684567843486161</v>
      </c>
      <c r="T508" s="17" t="str">
        <f t="shared" si="305"/>
        <v>1+1.49727344804926i</v>
      </c>
      <c r="U508" s="17">
        <f t="shared" si="316"/>
        <v>1.8005076445917469</v>
      </c>
      <c r="V508" s="17">
        <f t="shared" si="317"/>
        <v>0.9819537273247928</v>
      </c>
      <c r="W508" s="31" t="str">
        <f t="shared" si="306"/>
        <v>1-3.69395354076551i</v>
      </c>
      <c r="X508" s="17">
        <f t="shared" si="318"/>
        <v>3.8269168741081963</v>
      </c>
      <c r="Y508" s="17">
        <f t="shared" si="319"/>
        <v>-1.3064203716311122</v>
      </c>
      <c r="Z508" s="31" t="str">
        <f t="shared" si="307"/>
        <v>0.427703088906852+5.16621514429005i</v>
      </c>
      <c r="AA508" s="17">
        <f t="shared" si="320"/>
        <v>5.1838893554311447</v>
      </c>
      <c r="AB508" s="17">
        <f t="shared" si="321"/>
        <v>1.488196216946575</v>
      </c>
      <c r="AC508" s="66" t="str">
        <f t="shared" si="322"/>
        <v>-0.0525647495633541+0.0128371227088544i</v>
      </c>
      <c r="AD508" s="64">
        <f t="shared" si="323"/>
        <v>-25.334519754827909</v>
      </c>
      <c r="AE508" s="61">
        <f t="shared" si="324"/>
        <v>166.27611427826494</v>
      </c>
      <c r="AF508" s="31" t="str">
        <f t="shared" si="308"/>
        <v>-9090.90909090909</v>
      </c>
      <c r="AG508" s="31" t="str">
        <f t="shared" si="309"/>
        <v>4990911.49349752i</v>
      </c>
      <c r="AH508" s="31">
        <f t="shared" si="325"/>
        <v>4990911.4934975198</v>
      </c>
      <c r="AI508" s="31">
        <f t="shared" si="326"/>
        <v>1.5707963267948966</v>
      </c>
      <c r="AJ508" s="31" t="str">
        <f t="shared" si="310"/>
        <v>-90238.5462812991+1728.08813188904i</v>
      </c>
      <c r="AK508" s="31">
        <f t="shared" si="327"/>
        <v>90255.091399619851</v>
      </c>
      <c r="AL508" s="31">
        <f t="shared" si="328"/>
        <v>3.1224447727589406</v>
      </c>
      <c r="AM508" s="31" t="str">
        <f t="shared" si="311"/>
        <v>1+6577.02316613103i</v>
      </c>
      <c r="AN508" s="31">
        <f t="shared" si="329"/>
        <v>6577.0232421532646</v>
      </c>
      <c r="AO508" s="31">
        <f t="shared" si="330"/>
        <v>1.5706442823262921</v>
      </c>
      <c r="AP508" s="31" t="str">
        <f t="shared" si="312"/>
        <v>1+1098.00052856945i</v>
      </c>
      <c r="AQ508" s="31">
        <f t="shared" si="331"/>
        <v>1098.0009839425425</v>
      </c>
      <c r="AR508" s="31">
        <f t="shared" si="332"/>
        <v>1.5698855806727461</v>
      </c>
      <c r="AS508" s="58" t="str">
        <f t="shared" si="333"/>
        <v>-0.00263563246077946+0.145719212548073i</v>
      </c>
      <c r="AT508" s="49">
        <f t="shared" si="334"/>
        <v>-16.728243159623588</v>
      </c>
      <c r="AU508" s="61">
        <f t="shared" si="335"/>
        <v>91.03619934287083</v>
      </c>
      <c r="AV508" s="58" t="str">
        <f t="shared" si="313"/>
        <v>-0.00173207405227533-0.00769352785147309i</v>
      </c>
      <c r="AW508" s="64">
        <f t="shared" si="336"/>
        <v>-42.062762914451497</v>
      </c>
      <c r="AX508" s="49">
        <f t="shared" si="337"/>
        <v>-102.68768637886424</v>
      </c>
      <c r="AY508" s="310"/>
      <c r="BA508" s="31">
        <f t="shared" si="338"/>
        <v>0</v>
      </c>
      <c r="BB508" s="31">
        <f t="shared" si="339"/>
        <v>0</v>
      </c>
    </row>
    <row r="509" spans="14:54" x14ac:dyDescent="0.45">
      <c r="N509" s="10">
        <v>91</v>
      </c>
      <c r="O509" s="50">
        <f t="shared" si="340"/>
        <v>812830.51616410096</v>
      </c>
      <c r="P509" s="48" t="str">
        <f t="shared" si="303"/>
        <v>17.4002386318441</v>
      </c>
      <c r="Q509" s="17" t="str">
        <f t="shared" si="304"/>
        <v>1+437.389424980459i</v>
      </c>
      <c r="R509" s="17">
        <f t="shared" si="314"/>
        <v>437.39056812503003</v>
      </c>
      <c r="S509" s="17">
        <f t="shared" si="315"/>
        <v>1.5685100386486459</v>
      </c>
      <c r="T509" s="17" t="str">
        <f t="shared" si="305"/>
        <v>1+1.53214942691685i</v>
      </c>
      <c r="U509" s="17">
        <f t="shared" si="316"/>
        <v>1.8296124907754736</v>
      </c>
      <c r="V509" s="17">
        <f t="shared" si="317"/>
        <v>0.99254091064116312</v>
      </c>
      <c r="W509" s="31" t="str">
        <f t="shared" si="306"/>
        <v>1-3.77999677207603i</v>
      </c>
      <c r="X509" s="17">
        <f t="shared" si="318"/>
        <v>3.9100352424121714</v>
      </c>
      <c r="Y509" s="17">
        <f t="shared" si="319"/>
        <v>-1.3121706570860123</v>
      </c>
      <c r="Z509" s="31" t="str">
        <f t="shared" si="307"/>
        <v>0.400731566433017+5.28655175376671i</v>
      </c>
      <c r="AA509" s="17">
        <f t="shared" si="320"/>
        <v>5.3017181397722135</v>
      </c>
      <c r="AB509" s="17">
        <f t="shared" si="321"/>
        <v>1.49513894330547</v>
      </c>
      <c r="AC509" s="66" t="str">
        <f t="shared" si="322"/>
        <v>-0.0521194066462718+0.0128476677335862i</v>
      </c>
      <c r="AD509" s="64">
        <f t="shared" si="323"/>
        <v>-25.403821122885727</v>
      </c>
      <c r="AE509" s="61">
        <f t="shared" si="324"/>
        <v>166.15240794635142</v>
      </c>
      <c r="AF509" s="31" t="str">
        <f t="shared" si="308"/>
        <v>-9090.90909090909</v>
      </c>
      <c r="AG509" s="31" t="str">
        <f t="shared" si="309"/>
        <v>5107164.75638948i</v>
      </c>
      <c r="AH509" s="31">
        <f t="shared" si="325"/>
        <v>5107164.7563894801</v>
      </c>
      <c r="AI509" s="31">
        <f t="shared" si="326"/>
        <v>1.5707963267948966</v>
      </c>
      <c r="AJ509" s="31" t="str">
        <f t="shared" si="310"/>
        <v>-94491.4050743086+1768.3404754056i</v>
      </c>
      <c r="AK509" s="31">
        <f t="shared" si="327"/>
        <v>94507.950252632334</v>
      </c>
      <c r="AL509" s="31">
        <f t="shared" si="328"/>
        <v>3.1228805381507034</v>
      </c>
      <c r="AM509" s="31" t="str">
        <f t="shared" si="311"/>
        <v>1+6730.22171597005i</v>
      </c>
      <c r="AN509" s="31">
        <f t="shared" si="329"/>
        <v>6730.2217902618086</v>
      </c>
      <c r="AO509" s="31">
        <f t="shared" si="330"/>
        <v>1.5706477432808843</v>
      </c>
      <c r="AP509" s="31" t="str">
        <f t="shared" si="312"/>
        <v>1+1123.57624640568i</v>
      </c>
      <c r="AQ509" s="31">
        <f t="shared" si="331"/>
        <v>1123.5766914132196</v>
      </c>
      <c r="AR509" s="31">
        <f t="shared" si="332"/>
        <v>1.5699063117744148</v>
      </c>
      <c r="AS509" s="58" t="str">
        <f t="shared" si="333"/>
        <v>-0.00251704842267395+0.142404387390824i</v>
      </c>
      <c r="AT509" s="49">
        <f t="shared" si="334"/>
        <v>-16.928175999653856</v>
      </c>
      <c r="AU509" s="61">
        <f t="shared" si="335"/>
        <v>91.012617927786437</v>
      </c>
      <c r="AV509" s="58" t="str">
        <f t="shared" si="313"/>
        <v>-0.0016983771827125-0.00745437037643944i</v>
      </c>
      <c r="AW509" s="64">
        <f t="shared" si="336"/>
        <v>-42.33199712253959</v>
      </c>
      <c r="AX509" s="49">
        <f t="shared" si="337"/>
        <v>-102.83497412586215</v>
      </c>
      <c r="AY509" s="310"/>
      <c r="BA509" s="31">
        <f t="shared" si="338"/>
        <v>0</v>
      </c>
      <c r="BB509" s="31">
        <f t="shared" si="339"/>
        <v>0</v>
      </c>
    </row>
    <row r="510" spans="14:54" x14ac:dyDescent="0.45">
      <c r="N510" s="10">
        <v>92</v>
      </c>
      <c r="O510" s="50">
        <f t="shared" si="340"/>
        <v>831763.77110267128</v>
      </c>
      <c r="P510" s="48" t="str">
        <f t="shared" si="303"/>
        <v>17.4002386318441</v>
      </c>
      <c r="Q510" s="17" t="str">
        <f t="shared" si="304"/>
        <v>1+447.577533480212i</v>
      </c>
      <c r="R510" s="17">
        <f t="shared" si="314"/>
        <v>447.57865060370153</v>
      </c>
      <c r="S510" s="17">
        <f t="shared" si="315"/>
        <v>1.5685620807453418</v>
      </c>
      <c r="T510" s="17" t="str">
        <f t="shared" si="305"/>
        <v>1+1.56783777169098i</v>
      </c>
      <c r="U510" s="17">
        <f t="shared" si="316"/>
        <v>1.8596008384438143</v>
      </c>
      <c r="V510" s="17">
        <f t="shared" si="317"/>
        <v>1.0030304283439899</v>
      </c>
      <c r="W510" s="31" t="str">
        <f t="shared" si="306"/>
        <v>1-3.86804420770926i</v>
      </c>
      <c r="X510" s="17">
        <f t="shared" si="318"/>
        <v>3.9952178905277687</v>
      </c>
      <c r="Y510" s="17">
        <f t="shared" si="319"/>
        <v>-1.3178070059953166</v>
      </c>
      <c r="Z510" s="31" t="str">
        <f t="shared" si="307"/>
        <v>0.37248891526627+5.409691362959i</v>
      </c>
      <c r="AA510" s="17">
        <f t="shared" si="320"/>
        <v>5.4225002198680867</v>
      </c>
      <c r="AB510" s="17">
        <f t="shared" si="321"/>
        <v>1.5020489830671839</v>
      </c>
      <c r="AC510" s="66" t="str">
        <f t="shared" si="322"/>
        <v>-0.051690435348858+0.0128576193062877i</v>
      </c>
      <c r="AD510" s="64">
        <f t="shared" si="323"/>
        <v>-25.471070668813933</v>
      </c>
      <c r="AE510" s="61">
        <f t="shared" si="324"/>
        <v>166.03157612837325</v>
      </c>
      <c r="AF510" s="31" t="str">
        <f t="shared" si="308"/>
        <v>-9090.90909090909</v>
      </c>
      <c r="AG510" s="31" t="str">
        <f t="shared" si="309"/>
        <v>5226125.90563659i</v>
      </c>
      <c r="AH510" s="31">
        <f t="shared" si="325"/>
        <v>5226125.90563659</v>
      </c>
      <c r="AI510" s="31">
        <f t="shared" si="326"/>
        <v>1.5707963267948966</v>
      </c>
      <c r="AJ510" s="31" t="str">
        <f t="shared" si="310"/>
        <v>-98944.694927298+1809.53041644896i</v>
      </c>
      <c r="AK510" s="31">
        <f t="shared" si="327"/>
        <v>98961.240162925038</v>
      </c>
      <c r="AL510" s="31">
        <f t="shared" si="328"/>
        <v>3.1233063905561989</v>
      </c>
      <c r="AM510" s="31" t="str">
        <f t="shared" si="311"/>
        <v>1+6886.98871844789i</v>
      </c>
      <c r="AN510" s="31">
        <f t="shared" si="329"/>
        <v>6886.9887910485595</v>
      </c>
      <c r="AO510" s="31">
        <f t="shared" si="330"/>
        <v>1.5706511254545352</v>
      </c>
      <c r="AP510" s="31" t="str">
        <f t="shared" si="312"/>
        <v>1+1149.74769924005i</v>
      </c>
      <c r="AQ510" s="31">
        <f t="shared" si="331"/>
        <v>1149.748134117985</v>
      </c>
      <c r="AR510" s="31">
        <f t="shared" si="332"/>
        <v>1.569926570979336</v>
      </c>
      <c r="AS510" s="58" t="str">
        <f t="shared" si="333"/>
        <v>-0.00240379811820353+0.139164873485045i</v>
      </c>
      <c r="AT510" s="49">
        <f t="shared" si="334"/>
        <v>-17.128111861408279</v>
      </c>
      <c r="AU510" s="61">
        <f t="shared" si="335"/>
        <v>90.989572933470114</v>
      </c>
      <c r="AV510" s="58" t="str">
        <f t="shared" si="313"/>
        <v>-0.00166507559285769-0.00722440001680375i</v>
      </c>
      <c r="AW510" s="64">
        <f t="shared" si="336"/>
        <v>-42.599182530222215</v>
      </c>
      <c r="AX510" s="49">
        <f t="shared" si="337"/>
        <v>-102.9788509381566</v>
      </c>
      <c r="AY510" s="310"/>
      <c r="BA510" s="31">
        <f t="shared" si="338"/>
        <v>0</v>
      </c>
      <c r="BB510" s="31">
        <f t="shared" si="339"/>
        <v>0</v>
      </c>
    </row>
    <row r="511" spans="14:54" x14ac:dyDescent="0.45">
      <c r="N511" s="10">
        <v>93</v>
      </c>
      <c r="O511" s="50">
        <f t="shared" si="340"/>
        <v>851138.03820237669</v>
      </c>
      <c r="P511" s="48" t="str">
        <f t="shared" si="303"/>
        <v>17.4002386318441</v>
      </c>
      <c r="Q511" s="17" t="str">
        <f t="shared" si="304"/>
        <v>1+458.002953512605i</v>
      </c>
      <c r="R511" s="17">
        <f t="shared" si="314"/>
        <v>458.00404520732064</v>
      </c>
      <c r="S511" s="17">
        <f t="shared" si="315"/>
        <v>1.5686129382309839</v>
      </c>
      <c r="T511" s="17" t="str">
        <f t="shared" si="305"/>
        <v>1+1.60435740480445i</v>
      </c>
      <c r="U511" s="17">
        <f t="shared" si="316"/>
        <v>1.890492708885932</v>
      </c>
      <c r="V511" s="17">
        <f t="shared" si="317"/>
        <v>1.0134186085995587</v>
      </c>
      <c r="W511" s="31" t="str">
        <f t="shared" si="306"/>
        <v>1-3.95814253158105i</v>
      </c>
      <c r="X511" s="17">
        <f t="shared" si="318"/>
        <v>4.0825105389099541</v>
      </c>
      <c r="Y511" s="17">
        <f t="shared" si="319"/>
        <v>-1.3233309737669776</v>
      </c>
      <c r="Z511" s="31" t="str">
        <f t="shared" si="307"/>
        <v>0.342915228956925+5.53569926211766i</v>
      </c>
      <c r="AA511" s="17">
        <f t="shared" si="320"/>
        <v>5.5463102306723338</v>
      </c>
      <c r="AB511" s="17">
        <f t="shared" si="321"/>
        <v>1.5089292357269946</v>
      </c>
      <c r="AC511" s="66" t="str">
        <f t="shared" si="322"/>
        <v>-0.0512771064119733+0.0128674069004762i</v>
      </c>
      <c r="AD511" s="64">
        <f t="shared" si="323"/>
        <v>-25.536318923811177</v>
      </c>
      <c r="AE511" s="61">
        <f t="shared" si="324"/>
        <v>165.91315161568127</v>
      </c>
      <c r="AF511" s="31" t="str">
        <f t="shared" si="308"/>
        <v>-9090.90909090909</v>
      </c>
      <c r="AG511" s="31" t="str">
        <f t="shared" si="309"/>
        <v>5347858.01601483i</v>
      </c>
      <c r="AH511" s="31">
        <f t="shared" si="325"/>
        <v>5347858.0160148302</v>
      </c>
      <c r="AI511" s="31">
        <f t="shared" si="326"/>
        <v>1.5707963267948966</v>
      </c>
      <c r="AJ511" s="31" t="str">
        <f t="shared" si="310"/>
        <v>-103607.861865109+1851.6797944711i</v>
      </c>
      <c r="AK511" s="31">
        <f t="shared" si="327"/>
        <v>103624.40715546101</v>
      </c>
      <c r="AL511" s="31">
        <f t="shared" si="328"/>
        <v>3.1237225552058843</v>
      </c>
      <c r="AM511" s="31" t="str">
        <f t="shared" si="311"/>
        <v>1+7047.40729350434i</v>
      </c>
      <c r="AN511" s="31">
        <f t="shared" si="329"/>
        <v>7047.4073644524178</v>
      </c>
      <c r="AO511" s="31">
        <f t="shared" si="330"/>
        <v>1.5706544306405179</v>
      </c>
      <c r="AP511" s="31" t="str">
        <f t="shared" si="312"/>
        <v>1+1176.52876352326i</v>
      </c>
      <c r="AQ511" s="31">
        <f t="shared" si="331"/>
        <v>1176.5291885021686</v>
      </c>
      <c r="AR511" s="31">
        <f t="shared" si="332"/>
        <v>1.5699463690291418</v>
      </c>
      <c r="AS511" s="58" t="str">
        <f t="shared" si="333"/>
        <v>-0.00229564179123328+0.135998966100831i</v>
      </c>
      <c r="AT511" s="49">
        <f t="shared" si="334"/>
        <v>-17.328050608972557</v>
      </c>
      <c r="AU511" s="61">
        <f t="shared" si="335"/>
        <v>90.96705217336438</v>
      </c>
      <c r="AV511" s="58" t="str">
        <f t="shared" si="313"/>
        <v>-0.00163224016645062-0.0070031724136962i</v>
      </c>
      <c r="AW511" s="64">
        <f t="shared" si="336"/>
        <v>-42.864369532783726</v>
      </c>
      <c r="AX511" s="49">
        <f t="shared" si="337"/>
        <v>-103.11979621095433</v>
      </c>
      <c r="AY511" s="310"/>
      <c r="BA511" s="31">
        <f t="shared" si="338"/>
        <v>0</v>
      </c>
      <c r="BB511" s="31">
        <f t="shared" si="339"/>
        <v>0</v>
      </c>
    </row>
    <row r="512" spans="14:54" x14ac:dyDescent="0.45">
      <c r="N512" s="10">
        <v>94</v>
      </c>
      <c r="O512" s="50">
        <f t="shared" si="340"/>
        <v>870963.58995608077</v>
      </c>
      <c r="P512" s="48" t="str">
        <f t="shared" si="303"/>
        <v>17.4002386318441</v>
      </c>
      <c r="Q512" s="17" t="str">
        <f t="shared" si="304"/>
        <v>1+468.671212773336i</v>
      </c>
      <c r="R512" s="17">
        <f t="shared" si="314"/>
        <v>468.67227961810329</v>
      </c>
      <c r="S512" s="17">
        <f t="shared" si="315"/>
        <v>1.5686626380698316</v>
      </c>
      <c r="T512" s="17" t="str">
        <f t="shared" si="305"/>
        <v>1+1.64172768945013i</v>
      </c>
      <c r="U512" s="17">
        <f t="shared" si="316"/>
        <v>1.9223084576381757</v>
      </c>
      <c r="V512" s="17">
        <f t="shared" si="317"/>
        <v>1.023701990782097</v>
      </c>
      <c r="W512" s="31" t="str">
        <f t="shared" si="306"/>
        <v>1-4.05033951501529i</v>
      </c>
      <c r="X512" s="17">
        <f t="shared" si="318"/>
        <v>4.1719599934436449</v>
      </c>
      <c r="Y512" s="17">
        <f t="shared" si="319"/>
        <v>-1.3287441402364788</v>
      </c>
      <c r="Z512" s="31" t="str">
        <f t="shared" si="307"/>
        <v>0.311947777751308+5.66464226229874i</v>
      </c>
      <c r="AA512" s="17">
        <f t="shared" si="320"/>
        <v>5.6732251300177534</v>
      </c>
      <c r="AB512" s="17">
        <f t="shared" si="321"/>
        <v>1.5157826126748215</v>
      </c>
      <c r="AC512" s="66" t="str">
        <f t="shared" si="322"/>
        <v>-0.0508787097140241+0.012877432357615i</v>
      </c>
      <c r="AD512" s="64">
        <f t="shared" si="323"/>
        <v>-25.599617379130493</v>
      </c>
      <c r="AE512" s="61">
        <f t="shared" si="324"/>
        <v>165.79667725582547</v>
      </c>
      <c r="AF512" s="31" t="str">
        <f t="shared" si="308"/>
        <v>-9090.90909090909</v>
      </c>
      <c r="AG512" s="31" t="str">
        <f t="shared" si="309"/>
        <v>5472425.63150043i</v>
      </c>
      <c r="AH512" s="31">
        <f t="shared" si="325"/>
        <v>5472425.6315004304</v>
      </c>
      <c r="AI512" s="31">
        <f t="shared" si="326"/>
        <v>1.5707963267948966</v>
      </c>
      <c r="AJ512" s="31" t="str">
        <f t="shared" si="310"/>
        <v>-108490.797090017+1894.81095763014i</v>
      </c>
      <c r="AK512" s="31">
        <f t="shared" si="327"/>
        <v>108507.34243263172</v>
      </c>
      <c r="AL512" s="31">
        <f t="shared" si="328"/>
        <v>3.1241292522311377</v>
      </c>
      <c r="AM512" s="31" t="str">
        <f t="shared" si="311"/>
        <v>1+7211.56249719126i</v>
      </c>
      <c r="AN512" s="31">
        <f t="shared" si="329"/>
        <v>7211.5625665243624</v>
      </c>
      <c r="AO512" s="31">
        <f t="shared" si="330"/>
        <v>1.5706576605912854</v>
      </c>
      <c r="AP512" s="31" t="str">
        <f t="shared" si="312"/>
        <v>1+1203.93363893009i</v>
      </c>
      <c r="AQ512" s="31">
        <f t="shared" si="331"/>
        <v>1203.9340542353009</v>
      </c>
      <c r="AR512" s="31">
        <f t="shared" si="332"/>
        <v>1.5699657164209582</v>
      </c>
      <c r="AS512" s="58" t="str">
        <f t="shared" si="333"/>
        <v>-0.00219235044992795+0.132904998675069i</v>
      </c>
      <c r="AT512" s="49">
        <f t="shared" si="334"/>
        <v>-17.527992112541696</v>
      </c>
      <c r="AU512" s="61">
        <f t="shared" si="335"/>
        <v>90.945043736719512</v>
      </c>
      <c r="AV512" s="58" t="str">
        <f t="shared" si="313"/>
        <v>-0.00159993116829382-0.00679026669175473i</v>
      </c>
      <c r="AW512" s="64">
        <f t="shared" si="336"/>
        <v>-43.127609491672189</v>
      </c>
      <c r="AX512" s="49">
        <f t="shared" si="337"/>
        <v>-103.25827900745502</v>
      </c>
      <c r="AY512" s="310"/>
      <c r="BA512" s="31">
        <f t="shared" si="338"/>
        <v>0</v>
      </c>
      <c r="BB512" s="31">
        <f t="shared" si="339"/>
        <v>0</v>
      </c>
    </row>
    <row r="513" spans="14:54" x14ac:dyDescent="0.45">
      <c r="N513" s="10">
        <v>95</v>
      </c>
      <c r="O513" s="50">
        <f t="shared" si="340"/>
        <v>891250.93813374708</v>
      </c>
      <c r="P513" s="48" t="str">
        <f t="shared" si="303"/>
        <v>17.4002386318441</v>
      </c>
      <c r="Q513" s="17" t="str">
        <f t="shared" si="304"/>
        <v>1+479.587967714678i</v>
      </c>
      <c r="R513" s="17">
        <f t="shared" si="314"/>
        <v>479.5890102751469</v>
      </c>
      <c r="S513" s="17">
        <f t="shared" si="315"/>
        <v>1.5687112066124145</v>
      </c>
      <c r="T513" s="17" t="str">
        <f t="shared" si="305"/>
        <v>1+1.6799684398476i</v>
      </c>
      <c r="U513" s="17">
        <f t="shared" si="316"/>
        <v>1.9550687862282443</v>
      </c>
      <c r="V513" s="17">
        <f t="shared" si="317"/>
        <v>1.033877327307734</v>
      </c>
      <c r="W513" s="31" t="str">
        <f t="shared" si="306"/>
        <v>1-4.14468404207298i</v>
      </c>
      <c r="X513" s="17">
        <f t="shared" si="318"/>
        <v>4.2636141721096674</v>
      </c>
      <c r="Y513" s="17">
        <f t="shared" si="319"/>
        <v>-1.3340481060444738</v>
      </c>
      <c r="Z513" s="31" t="str">
        <f t="shared" si="307"/>
        <v>0.279520875533531+5.79658873078771i</v>
      </c>
      <c r="AA513" s="17">
        <f t="shared" si="320"/>
        <v>5.8033242916240777</v>
      </c>
      <c r="AB513" s="17">
        <f t="shared" si="321"/>
        <v>1.5226120357582265</v>
      </c>
      <c r="AC513" s="66" t="str">
        <f t="shared" si="322"/>
        <v>-0.0504945539519113+0.0128880714278822i</v>
      </c>
      <c r="AD513" s="64">
        <f t="shared" si="323"/>
        <v>-25.66101837991134</v>
      </c>
      <c r="AE513" s="61">
        <f t="shared" si="324"/>
        <v>165.6817063466946</v>
      </c>
      <c r="AF513" s="31" t="str">
        <f t="shared" si="308"/>
        <v>-9090.90909090909</v>
      </c>
      <c r="AG513" s="31" t="str">
        <f t="shared" si="309"/>
        <v>5599894.79949198i</v>
      </c>
      <c r="AH513" s="31">
        <f t="shared" si="325"/>
        <v>5599894.7994919801</v>
      </c>
      <c r="AI513" s="31">
        <f t="shared" si="326"/>
        <v>1.5707963267948966</v>
      </c>
      <c r="AJ513" s="31" t="str">
        <f t="shared" si="310"/>
        <v>-113603.857962303+1938.94677463971i</v>
      </c>
      <c r="AK513" s="31">
        <f t="shared" si="327"/>
        <v>113620.40335482884</v>
      </c>
      <c r="AL513" s="31">
        <f t="shared" si="328"/>
        <v>3.1245266967784735</v>
      </c>
      <c r="AM513" s="31" t="str">
        <f t="shared" si="311"/>
        <v>1+7379.54136677053i</v>
      </c>
      <c r="AN513" s="31">
        <f t="shared" si="329"/>
        <v>7379.5414345254167</v>
      </c>
      <c r="AO513" s="31">
        <f t="shared" si="330"/>
        <v>1.5706608170194001</v>
      </c>
      <c r="AP513" s="31" t="str">
        <f t="shared" si="312"/>
        <v>1+1231.97685588823i</v>
      </c>
      <c r="AQ513" s="31">
        <f t="shared" si="331"/>
        <v>1231.9772617399431</v>
      </c>
      <c r="AR513" s="31">
        <f t="shared" si="332"/>
        <v>1.5699846234129704</v>
      </c>
      <c r="AS513" s="58" t="str">
        <f t="shared" si="333"/>
        <v>-0.00209370538460816+0.129881341985124i</v>
      </c>
      <c r="AT513" s="49">
        <f t="shared" si="334"/>
        <v>-17.72793624814641</v>
      </c>
      <c r="AU513" s="61">
        <f t="shared" si="335"/>
        <v>90.923535982421569</v>
      </c>
      <c r="AV513" s="58" t="str">
        <f t="shared" si="313"/>
        <v>-0.00156819929315097-0.00658528425476026i</v>
      </c>
      <c r="AW513" s="64">
        <f t="shared" si="336"/>
        <v>-43.388954628057739</v>
      </c>
      <c r="AX513" s="49">
        <f t="shared" si="337"/>
        <v>-103.39475767088382</v>
      </c>
      <c r="AY513" s="310"/>
      <c r="BA513" s="31">
        <f t="shared" si="338"/>
        <v>0</v>
      </c>
      <c r="BB513" s="31">
        <f t="shared" si="339"/>
        <v>0</v>
      </c>
    </row>
    <row r="514" spans="14:54" x14ac:dyDescent="0.45">
      <c r="N514" s="10">
        <v>96</v>
      </c>
      <c r="O514" s="50">
        <f t="shared" si="340"/>
        <v>912010.83935591124</v>
      </c>
      <c r="P514" s="48" t="str">
        <f t="shared" si="303"/>
        <v>17.4002386318441</v>
      </c>
      <c r="Q514" s="17" t="str">
        <f t="shared" si="304"/>
        <v>1+490.759006544599i</v>
      </c>
      <c r="R514" s="17">
        <f t="shared" si="314"/>
        <v>490.76002537354418</v>
      </c>
      <c r="S514" s="17">
        <f t="shared" si="315"/>
        <v>1.5687586696094993</v>
      </c>
      <c r="T514" s="17" t="str">
        <f t="shared" si="305"/>
        <v>1+1.71909993174888i</v>
      </c>
      <c r="U514" s="17">
        <f t="shared" si="316"/>
        <v>1.988794754452808</v>
      </c>
      <c r="V514" s="17">
        <f t="shared" si="317"/>
        <v>1.0439415845681268</v>
      </c>
      <c r="W514" s="31" t="str">
        <f t="shared" si="306"/>
        <v>1-4.24122613547115i</v>
      </c>
      <c r="X514" s="17">
        <f t="shared" si="318"/>
        <v>4.3575221321530373</v>
      </c>
      <c r="Y514" s="17">
        <f t="shared" si="319"/>
        <v>-1.3392444892145074</v>
      </c>
      <c r="Z514" s="31" t="str">
        <f t="shared" si="307"/>
        <v>0.245565740496442+5.93160862734865i</v>
      </c>
      <c r="AA514" s="17">
        <f t="shared" si="320"/>
        <v>5.936689602879917</v>
      </c>
      <c r="AB514" s="17">
        <f t="shared" si="321"/>
        <v>1.5294204359269996</v>
      </c>
      <c r="AC514" s="66" t="str">
        <f t="shared" si="322"/>
        <v>-0.0501239662794729+0.0128996752306481i</v>
      </c>
      <c r="AD514" s="64">
        <f t="shared" si="323"/>
        <v>-25.720575021737318</v>
      </c>
      <c r="AE514" s="61">
        <f t="shared" si="324"/>
        <v>165.56780296295034</v>
      </c>
      <c r="AF514" s="31" t="str">
        <f t="shared" si="308"/>
        <v>-9090.90909090909</v>
      </c>
      <c r="AG514" s="31" t="str">
        <f t="shared" si="309"/>
        <v>5730333.10582958i</v>
      </c>
      <c r="AH514" s="31">
        <f t="shared" si="325"/>
        <v>5730333.1058295798</v>
      </c>
      <c r="AI514" s="31">
        <f t="shared" si="326"/>
        <v>1.5707963267948966</v>
      </c>
      <c r="AJ514" s="31" t="str">
        <f t="shared" si="310"/>
        <v>-118957.889969595+1984.11064689419i</v>
      </c>
      <c r="AK514" s="31">
        <f t="shared" si="327"/>
        <v>118974.43540978619</v>
      </c>
      <c r="AL514" s="31">
        <f t="shared" si="328"/>
        <v>3.1249150991212828</v>
      </c>
      <c r="AM514" s="31" t="str">
        <f t="shared" si="311"/>
        <v>1+7551.43296686222i</v>
      </c>
      <c r="AN514" s="31">
        <f t="shared" si="329"/>
        <v>7551.4330330748189</v>
      </c>
      <c r="AO514" s="31">
        <f t="shared" si="330"/>
        <v>1.5706639015984414</v>
      </c>
      <c r="AP514" s="31" t="str">
        <f t="shared" si="312"/>
        <v>1+1260.67328328251i</v>
      </c>
      <c r="AQ514" s="31">
        <f t="shared" si="331"/>
        <v>1260.6736798959134</v>
      </c>
      <c r="AR514" s="31">
        <f t="shared" si="332"/>
        <v>1.570003100029862</v>
      </c>
      <c r="AS514" s="58" t="str">
        <f t="shared" si="333"/>
        <v>-0.00199949770710258+0.126926403338532i</v>
      </c>
      <c r="AT514" s="49">
        <f t="shared" si="334"/>
        <v>-17.927882897390187</v>
      </c>
      <c r="AU514" s="61">
        <f t="shared" si="335"/>
        <v>90.902517532953809</v>
      </c>
      <c r="AV514" s="58" t="str">
        <f t="shared" si="313"/>
        <v>-0.00153708662561462-0.0063878476319614i</v>
      </c>
      <c r="AW514" s="64">
        <f t="shared" si="336"/>
        <v>-43.648457919127502</v>
      </c>
      <c r="AX514" s="49">
        <f t="shared" si="337"/>
        <v>-103.52967950409585</v>
      </c>
      <c r="AY514" s="310"/>
      <c r="BA514" s="31">
        <f t="shared" si="338"/>
        <v>0</v>
      </c>
      <c r="BB514" s="31">
        <f t="shared" si="339"/>
        <v>0</v>
      </c>
    </row>
    <row r="515" spans="14:54" x14ac:dyDescent="0.45">
      <c r="N515" s="10">
        <v>97</v>
      </c>
      <c r="O515" s="50">
        <f t="shared" si="340"/>
        <v>933254.30079699249</v>
      </c>
      <c r="P515" s="48" t="str">
        <f t="shared" si="303"/>
        <v>17.4002386318441</v>
      </c>
      <c r="Q515" s="17" t="str">
        <f t="shared" si="304"/>
        <v>1+502.190252295753i</v>
      </c>
      <c r="R515" s="17">
        <f t="shared" si="314"/>
        <v>502.19124793336658</v>
      </c>
      <c r="S515" s="17">
        <f t="shared" si="315"/>
        <v>1.56880505222574</v>
      </c>
      <c r="T515" s="17" t="str">
        <f t="shared" si="305"/>
        <v>1+1.75914291318895i</v>
      </c>
      <c r="U515" s="17">
        <f t="shared" si="316"/>
        <v>2.0235077931707863</v>
      </c>
      <c r="V515" s="17">
        <f t="shared" si="317"/>
        <v>1.0538919430016314</v>
      </c>
      <c r="W515" s="31" t="str">
        <f t="shared" si="306"/>
        <v>1-4.34001698310561i</v>
      </c>
      <c r="X515" s="17">
        <f t="shared" si="318"/>
        <v>4.4537340977706688</v>
      </c>
      <c r="Y515" s="17">
        <f t="shared" si="319"/>
        <v>-1.3443349219260485</v>
      </c>
      <c r="Z515" s="31" t="str">
        <f t="shared" si="307"/>
        <v>0.210010349246183+6.06977354131794i</v>
      </c>
      <c r="AA515" s="17">
        <f t="shared" si="320"/>
        <v>6.0734055676921361</v>
      </c>
      <c r="AB515" s="17">
        <f t="shared" si="321"/>
        <v>1.5362107519503931</v>
      </c>
      <c r="AC515" s="66" t="str">
        <f t="shared" si="322"/>
        <v>-0.0497662919087554+0.0129125716361636i</v>
      </c>
      <c r="AD515" s="64">
        <f t="shared" si="323"/>
        <v>-25.778341050414099</v>
      </c>
      <c r="AE515" s="61">
        <f t="shared" si="324"/>
        <v>165.45454221771212</v>
      </c>
      <c r="AF515" s="31" t="str">
        <f t="shared" si="308"/>
        <v>-9090.90909090909</v>
      </c>
      <c r="AG515" s="31" t="str">
        <f t="shared" si="309"/>
        <v>5863809.71062982i</v>
      </c>
      <c r="AH515" s="31">
        <f t="shared" si="325"/>
        <v>5863809.7106298199</v>
      </c>
      <c r="AI515" s="31">
        <f t="shared" si="326"/>
        <v>1.5707963267948966</v>
      </c>
      <c r="AJ515" s="31" t="str">
        <f t="shared" si="310"/>
        <v>-124564.249731609+2030.32652087646i</v>
      </c>
      <c r="AK515" s="31">
        <f t="shared" si="327"/>
        <v>124580.79521732083</v>
      </c>
      <c r="AL515" s="31">
        <f t="shared" si="328"/>
        <v>3.1252946647691449</v>
      </c>
      <c r="AM515" s="31" t="str">
        <f t="shared" si="311"/>
        <v>1+7727.32843666797i</v>
      </c>
      <c r="AN515" s="31">
        <f t="shared" si="329"/>
        <v>7727.3285013733848</v>
      </c>
      <c r="AO515" s="31">
        <f t="shared" si="330"/>
        <v>1.5706669159638942</v>
      </c>
      <c r="AP515" s="31" t="str">
        <f t="shared" si="312"/>
        <v>1+1290.03813633856i</v>
      </c>
      <c r="AQ515" s="31">
        <f t="shared" si="331"/>
        <v>1290.0385239239426</v>
      </c>
      <c r="AR515" s="31">
        <f t="shared" si="332"/>
        <v>1.570021156068129</v>
      </c>
      <c r="AS515" s="58" t="str">
        <f t="shared" si="333"/>
        <v>-0.00190952791064527+0.124038625778469i</v>
      </c>
      <c r="AT515" s="49">
        <f t="shared" si="334"/>
        <v>-18.127831947200107</v>
      </c>
      <c r="AU515" s="61">
        <f t="shared" si="335"/>
        <v>90.881977268488953</v>
      </c>
      <c r="AV515" s="58" t="str">
        <f t="shared" si="313"/>
        <v>-0.00150662751760668-0.00619759937438962i</v>
      </c>
      <c r="AW515" s="64">
        <f t="shared" si="336"/>
        <v>-43.906172997614206</v>
      </c>
      <c r="AX515" s="49">
        <f t="shared" si="337"/>
        <v>-103.66348051379893</v>
      </c>
      <c r="AY515" s="310"/>
      <c r="BA515" s="31">
        <f t="shared" si="338"/>
        <v>0</v>
      </c>
      <c r="BB515" s="31">
        <f t="shared" si="339"/>
        <v>0</v>
      </c>
    </row>
    <row r="516" spans="14:54" x14ac:dyDescent="0.45">
      <c r="N516" s="10">
        <v>98</v>
      </c>
      <c r="O516" s="50">
        <f t="shared" si="340"/>
        <v>954992.58602143743</v>
      </c>
      <c r="P516" s="48" t="str">
        <f t="shared" si="303"/>
        <v>17.4002386318441</v>
      </c>
      <c r="Q516" s="17" t="str">
        <f t="shared" si="304"/>
        <v>1+513.887765965947i</v>
      </c>
      <c r="R516" s="17">
        <f t="shared" si="314"/>
        <v>513.88873894012499</v>
      </c>
      <c r="S516" s="17">
        <f t="shared" si="315"/>
        <v>1.5688503790530148</v>
      </c>
      <c r="T516" s="17" t="str">
        <f t="shared" si="305"/>
        <v>1+1.8001186154866i</v>
      </c>
      <c r="U516" s="17">
        <f t="shared" si="316"/>
        <v>2.0592297175937886</v>
      </c>
      <c r="V516" s="17">
        <f t="shared" si="317"/>
        <v>1.0637257963445201</v>
      </c>
      <c r="W516" s="31" t="str">
        <f t="shared" si="306"/>
        <v>1-4.44110896519143i</v>
      </c>
      <c r="X516" s="17">
        <f t="shared" si="318"/>
        <v>4.5523014883357291</v>
      </c>
      <c r="Y516" s="17">
        <f t="shared" si="319"/>
        <v>-1.3493210474775756</v>
      </c>
      <c r="Z516" s="31" t="str">
        <f t="shared" si="307"/>
        <v>0.17277928403092+6.21115672956179i</v>
      </c>
      <c r="AA516" s="17">
        <f t="shared" si="320"/>
        <v>6.2135594147131927</v>
      </c>
      <c r="AB516" s="17">
        <f t="shared" si="321"/>
        <v>1.5429859291980281</v>
      </c>
      <c r="AC516" s="66" t="str">
        <f t="shared" si="322"/>
        <v>-0.0494208936790899+0.0129270665701172i</v>
      </c>
      <c r="AD516" s="64">
        <f t="shared" si="323"/>
        <v>-25.834370765415873</v>
      </c>
      <c r="AE516" s="61">
        <f t="shared" si="324"/>
        <v>165.34151046274124</v>
      </c>
      <c r="AF516" s="31" t="str">
        <f t="shared" si="308"/>
        <v>-9090.90909090909</v>
      </c>
      <c r="AG516" s="31" t="str">
        <f t="shared" si="309"/>
        <v>6000395.38495533i</v>
      </c>
      <c r="AH516" s="31">
        <f t="shared" si="325"/>
        <v>6000395.3849553298</v>
      </c>
      <c r="AI516" s="31">
        <f t="shared" si="326"/>
        <v>1.5707963267948966</v>
      </c>
      <c r="AJ516" s="31" t="str">
        <f t="shared" si="310"/>
        <v>-130434.829089057+2077.61890085465i</v>
      </c>
      <c r="AK516" s="31">
        <f t="shared" si="327"/>
        <v>130451.3746182412</v>
      </c>
      <c r="AL516" s="31">
        <f t="shared" si="328"/>
        <v>3.1256655945747567</v>
      </c>
      <c r="AM516" s="31" t="str">
        <f t="shared" si="311"/>
        <v>1+7907.32103829413i</v>
      </c>
      <c r="AN516" s="31">
        <f t="shared" si="329"/>
        <v>7907.3211015266706</v>
      </c>
      <c r="AO516" s="31">
        <f t="shared" si="330"/>
        <v>1.5706698617140145</v>
      </c>
      <c r="AP516" s="31" t="str">
        <f t="shared" si="312"/>
        <v>1+1320.08698469017i</v>
      </c>
      <c r="AQ516" s="31">
        <f t="shared" si="331"/>
        <v>1320.0873634530351</v>
      </c>
      <c r="AR516" s="31">
        <f t="shared" si="332"/>
        <v>1.5700388011012749</v>
      </c>
      <c r="AS516" s="58" t="str">
        <f t="shared" si="333"/>
        <v>-0.00182360544941114+0.121216487304874i</v>
      </c>
      <c r="AT516" s="49">
        <f t="shared" si="334"/>
        <v>-18.327783289586655</v>
      </c>
      <c r="AU516" s="61">
        <f t="shared" si="335"/>
        <v>90.861904321109805</v>
      </c>
      <c r="AV516" s="58" t="str">
        <f t="shared" si="313"/>
        <v>-0.00147684938975792-0.0060142010002891i</v>
      </c>
      <c r="AW516" s="64">
        <f t="shared" si="336"/>
        <v>-44.162154055002524</v>
      </c>
      <c r="AX516" s="49">
        <f t="shared" si="337"/>
        <v>-103.79658521614896</v>
      </c>
      <c r="AY516" s="310"/>
      <c r="BA516" s="31">
        <f t="shared" si="338"/>
        <v>0</v>
      </c>
      <c r="BB516" s="31">
        <f t="shared" si="339"/>
        <v>0</v>
      </c>
    </row>
    <row r="517" spans="14:54" x14ac:dyDescent="0.45">
      <c r="N517" s="10">
        <v>99</v>
      </c>
      <c r="O517" s="50">
        <f t="shared" si="340"/>
        <v>977237.22095581202</v>
      </c>
      <c r="P517" s="48" t="str">
        <f t="shared" si="303"/>
        <v>17.4002386318441</v>
      </c>
      <c r="Q517" s="17" t="str">
        <f t="shared" si="304"/>
        <v>1+525.857749731766i</v>
      </c>
      <c r="R517" s="17">
        <f t="shared" si="314"/>
        <v>525.85870055838825</v>
      </c>
      <c r="S517" s="17">
        <f t="shared" si="315"/>
        <v>1.568894674123462</v>
      </c>
      <c r="T517" s="17" t="str">
        <f t="shared" si="305"/>
        <v>1+1.84204876450157i</v>
      </c>
      <c r="U517" s="17">
        <f t="shared" si="316"/>
        <v>2.0959827410553169</v>
      </c>
      <c r="V517" s="17">
        <f t="shared" si="317"/>
        <v>1.073440750108783</v>
      </c>
      <c r="W517" s="31" t="str">
        <f t="shared" si="306"/>
        <v>1-4.54455568203562i</v>
      </c>
      <c r="X517" s="17">
        <f t="shared" si="318"/>
        <v>4.6532769471762832</v>
      </c>
      <c r="Y517" s="17">
        <f t="shared" si="319"/>
        <v>-1.3542045174340867</v>
      </c>
      <c r="Z517" s="31" t="str">
        <f t="shared" si="307"/>
        <v>0.133793572769671+6.35583315531802i</v>
      </c>
      <c r="AA517" s="17">
        <f t="shared" si="320"/>
        <v>6.3572412112766559</v>
      </c>
      <c r="AB517" s="17">
        <f t="shared" si="321"/>
        <v>1.54974891847553</v>
      </c>
      <c r="AC517" s="66" t="str">
        <f t="shared" si="322"/>
        <v>-0.0490871515985935+0.0129434452428292i</v>
      </c>
      <c r="AD517" s="64">
        <f t="shared" si="323"/>
        <v>-25.888718927402689</v>
      </c>
      <c r="AE517" s="61">
        <f t="shared" si="324"/>
        <v>165.22830543062824</v>
      </c>
      <c r="AF517" s="31" t="str">
        <f t="shared" si="308"/>
        <v>-9090.90909090909</v>
      </c>
      <c r="AG517" s="31" t="str">
        <f t="shared" si="309"/>
        <v>6140162.54833857i</v>
      </c>
      <c r="AH517" s="31">
        <f t="shared" si="325"/>
        <v>6140162.5483385697</v>
      </c>
      <c r="AI517" s="31">
        <f t="shared" si="326"/>
        <v>1.5707963267948966</v>
      </c>
      <c r="AJ517" s="31" t="str">
        <f t="shared" si="310"/>
        <v>-136582.08032784+2126.0128618746i</v>
      </c>
      <c r="AK517" s="31">
        <f t="shared" si="327"/>
        <v>136598.6258985404</v>
      </c>
      <c r="AL517" s="31">
        <f t="shared" si="328"/>
        <v>3.1260280848385338</v>
      </c>
      <c r="AM517" s="31" t="str">
        <f t="shared" si="311"/>
        <v>1+8091.50620620056i</v>
      </c>
      <c r="AN517" s="31">
        <f t="shared" si="329"/>
        <v>8091.5062679937519</v>
      </c>
      <c r="AO517" s="31">
        <f t="shared" si="330"/>
        <v>1.5706727404106777</v>
      </c>
      <c r="AP517" s="31" t="str">
        <f t="shared" si="312"/>
        <v>1+1350.83576063448i</v>
      </c>
      <c r="AQ517" s="31">
        <f t="shared" si="331"/>
        <v>1350.8361307756518</v>
      </c>
      <c r="AR517" s="31">
        <f t="shared" si="332"/>
        <v>1.5700560444848861</v>
      </c>
      <c r="AS517" s="58" t="str">
        <f t="shared" si="333"/>
        <v>-0.00174154833681955+0.118458500110974i</v>
      </c>
      <c r="AT517" s="49">
        <f t="shared" si="334"/>
        <v>-18.527736821416198</v>
      </c>
      <c r="AU517" s="61">
        <f t="shared" si="335"/>
        <v>90.842288069155529</v>
      </c>
      <c r="AV517" s="58" t="str">
        <f t="shared" si="313"/>
        <v>-0.00144777346250833-0.00583733198862475i</v>
      </c>
      <c r="AW517" s="64">
        <f t="shared" si="336"/>
        <v>-44.41645574881889</v>
      </c>
      <c r="AX517" s="49">
        <f t="shared" si="337"/>
        <v>-103.92940650021622</v>
      </c>
      <c r="AY517" s="310"/>
      <c r="BA517" s="31">
        <f t="shared" si="338"/>
        <v>0</v>
      </c>
      <c r="BB517" s="31">
        <f t="shared" si="339"/>
        <v>0</v>
      </c>
    </row>
    <row r="518" spans="14:54" x14ac:dyDescent="0.45">
      <c r="N518" s="10">
        <v>100</v>
      </c>
      <c r="O518" s="50">
        <f t="shared" si="340"/>
        <v>1000000</v>
      </c>
      <c r="P518" s="48" t="str">
        <f t="shared" si="303"/>
        <v>17.4002386318441</v>
      </c>
      <c r="Q518" s="17" t="str">
        <f t="shared" si="304"/>
        <v>1+538.106550237043i</v>
      </c>
      <c r="R518" s="17">
        <f t="shared" si="314"/>
        <v>538.10747942024682</v>
      </c>
      <c r="S518" s="17">
        <f t="shared" si="315"/>
        <v>1.5689379609222183</v>
      </c>
      <c r="T518" s="17" t="str">
        <f t="shared" si="305"/>
        <v>1+1.88495559215388i</v>
      </c>
      <c r="U518" s="17">
        <f t="shared" si="316"/>
        <v>2.1337894892402542</v>
      </c>
      <c r="V518" s="17">
        <f t="shared" si="317"/>
        <v>1.0830346193361864</v>
      </c>
      <c r="W518" s="31" t="str">
        <f t="shared" si="306"/>
        <v>1-4.65041198245673i</v>
      </c>
      <c r="X518" s="17">
        <f t="shared" si="318"/>
        <v>4.7567143709263373</v>
      </c>
      <c r="Y518" s="17">
        <f t="shared" si="319"/>
        <v>-1.3589869889530921</v>
      </c>
      <c r="Z518" s="31" t="str">
        <f t="shared" si="307"/>
        <v>0.092970521541949+6.5038795279426i</v>
      </c>
      <c r="AA518" s="17">
        <f t="shared" si="320"/>
        <v>6.5045439833908922</v>
      </c>
      <c r="AB518" s="17">
        <f t="shared" si="321"/>
        <v>1.556502674905919</v>
      </c>
      <c r="AC518" s="66" t="str">
        <f t="shared" si="322"/>
        <v>-0.0487644623623916+0.0129619733049471i</v>
      </c>
      <c r="AD518" s="64">
        <f t="shared" si="323"/>
        <v>-25.941440670161263</v>
      </c>
      <c r="AE518" s="61">
        <f t="shared" si="324"/>
        <v>165.11453632268044</v>
      </c>
      <c r="AF518" s="31" t="str">
        <f t="shared" si="308"/>
        <v>-9090.90909090909</v>
      </c>
      <c r="AG518" s="31" t="str">
        <f t="shared" si="309"/>
        <v>6283185.30717959i</v>
      </c>
      <c r="AH518" s="31">
        <f t="shared" si="325"/>
        <v>6283185.3071795898</v>
      </c>
      <c r="AI518" s="31">
        <f t="shared" si="326"/>
        <v>1.5707963267948966</v>
      </c>
      <c r="AJ518" s="31" t="str">
        <f t="shared" si="310"/>
        <v>-143019.04259201+2175.53406305503i</v>
      </c>
      <c r="AK518" s="31">
        <f t="shared" si="327"/>
        <v>143035.58820235851</v>
      </c>
      <c r="AL518" s="31">
        <f t="shared" si="328"/>
        <v>3.1263823274109162</v>
      </c>
      <c r="AM518" s="31" t="str">
        <f t="shared" si="311"/>
        <v>1+8279.98159780126i</v>
      </c>
      <c r="AN518" s="31">
        <f t="shared" si="329"/>
        <v>8279.9816581878677</v>
      </c>
      <c r="AO518" s="31">
        <f t="shared" si="330"/>
        <v>1.5706755535802068</v>
      </c>
      <c r="AP518" s="31" t="str">
        <f t="shared" si="312"/>
        <v>1+1382.30076757951i</v>
      </c>
      <c r="AQ518" s="31">
        <f t="shared" si="331"/>
        <v>1382.3011292952424</v>
      </c>
      <c r="AR518" s="31">
        <f t="shared" si="332"/>
        <v>1.5700728953615914</v>
      </c>
      <c r="AS518" s="58" t="str">
        <f t="shared" si="333"/>
        <v>-0.00166318276177613+0.115763209835058i</v>
      </c>
      <c r="AT518" s="49">
        <f t="shared" si="334"/>
        <v>-18.727692444192428</v>
      </c>
      <c r="AU518" s="61">
        <f t="shared" si="335"/>
        <v>90.823118131691558</v>
      </c>
      <c r="AV518" s="58" t="str">
        <f t="shared" si="313"/>
        <v>-0.0014194154223886-0.00566668881951072i</v>
      </c>
      <c r="AW518" s="64">
        <f t="shared" si="336"/>
        <v>-44.669133114353691</v>
      </c>
      <c r="AX518" s="49">
        <f t="shared" si="337"/>
        <v>-104.06234554562799</v>
      </c>
      <c r="AY518" s="310"/>
      <c r="BA518" s="31">
        <f t="shared" si="338"/>
        <v>0</v>
      </c>
      <c r="BB518" s="31">
        <f t="shared" si="339"/>
        <v>0</v>
      </c>
    </row>
    <row r="519" spans="14:54" x14ac:dyDescent="0.45">
      <c r="N519" s="10">
        <v>1</v>
      </c>
      <c r="O519" s="50">
        <f>10^(6+(N519/100))</f>
        <v>1023292.9922807553</v>
      </c>
      <c r="P519" s="48" t="str">
        <f t="shared" si="303"/>
        <v>17.4002386318441</v>
      </c>
      <c r="Q519" s="17" t="str">
        <f t="shared" si="304"/>
        <v>1+550.640661957938i</v>
      </c>
      <c r="R519" s="17">
        <f t="shared" si="314"/>
        <v>550.64156999038516</v>
      </c>
      <c r="S519" s="17">
        <f t="shared" si="315"/>
        <v>1.5689802623998685</v>
      </c>
      <c r="T519" s="17" t="str">
        <f t="shared" si="305"/>
        <v>1+1.92886184821149i</v>
      </c>
      <c r="U519" s="17">
        <f t="shared" si="316"/>
        <v>2.1726730148565485</v>
      </c>
      <c r="V519" s="17">
        <f t="shared" si="317"/>
        <v>1.0925054256807498</v>
      </c>
      <c r="W519" s="31" t="str">
        <f t="shared" si="306"/>
        <v>1-4.75873399286643i</v>
      </c>
      <c r="X519" s="17">
        <f t="shared" si="318"/>
        <v>4.8626689394675511</v>
      </c>
      <c r="Y519" s="17">
        <f t="shared" si="319"/>
        <v>-1.3636701222829126</v>
      </c>
      <c r="Z519" s="31" t="str">
        <f t="shared" si="307"/>
        <v>0.050223539182855+6.65537434358193i</v>
      </c>
      <c r="AA519" s="17">
        <f t="shared" si="320"/>
        <v>6.6555638421621843</v>
      </c>
      <c r="AB519" s="17">
        <f t="shared" si="321"/>
        <v>1.5632501568478177</v>
      </c>
      <c r="AC519" s="66" t="str">
        <f t="shared" si="322"/>
        <v>-0.0484522388515508+0.0129828979315696i</v>
      </c>
      <c r="AD519" s="64">
        <f t="shared" si="323"/>
        <v>-25.992591417271676</v>
      </c>
      <c r="AE519" s="61">
        <f t="shared" si="324"/>
        <v>164.9998238463657</v>
      </c>
      <c r="AF519" s="31" t="str">
        <f t="shared" si="308"/>
        <v>-9090.90909090909</v>
      </c>
      <c r="AG519" s="31" t="str">
        <f t="shared" si="309"/>
        <v>6429539.49403828i</v>
      </c>
      <c r="AH519" s="31">
        <f t="shared" si="325"/>
        <v>6429539.4940382801</v>
      </c>
      <c r="AI519" s="31">
        <f t="shared" si="326"/>
        <v>1.5707963267948966</v>
      </c>
      <c r="AJ519" s="31" t="str">
        <f t="shared" si="310"/>
        <v>-149759.36954155+2226.20876119229i</v>
      </c>
      <c r="AK519" s="31">
        <f t="shared" si="327"/>
        <v>149775.91518976257</v>
      </c>
      <c r="AL519" s="31">
        <f t="shared" si="328"/>
        <v>3.1267285097924398</v>
      </c>
      <c r="AM519" s="31" t="str">
        <f t="shared" si="311"/>
        <v>1+8472.84714524364i</v>
      </c>
      <c r="AN519" s="31">
        <f t="shared" si="329"/>
        <v>8472.8472042556805</v>
      </c>
      <c r="AO519" s="31">
        <f t="shared" si="330"/>
        <v>1.5706783027141815</v>
      </c>
      <c r="AP519" s="31" t="str">
        <f t="shared" si="312"/>
        <v>1+1414.49868868842i</v>
      </c>
      <c r="AQ519" s="31">
        <f t="shared" si="331"/>
        <v>1414.4990421704993</v>
      </c>
      <c r="AR519" s="31">
        <f t="shared" si="332"/>
        <v>1.5700893626659105</v>
      </c>
      <c r="AS519" s="58" t="str">
        <f t="shared" si="333"/>
        <v>-0.00158834272205656+0.11312919482727i</v>
      </c>
      <c r="AT519" s="49">
        <f t="shared" si="334"/>
        <v>-18.927650063848212</v>
      </c>
      <c r="AU519" s="61">
        <f t="shared" si="335"/>
        <v>90.80438436309997</v>
      </c>
      <c r="AV519" s="58" t="str">
        <f t="shared" si="313"/>
        <v>-0.00139178602857589-0.00550198406029532i</v>
      </c>
      <c r="AW519" s="64">
        <f t="shared" si="336"/>
        <v>-44.920241481119888</v>
      </c>
      <c r="AX519" s="49">
        <f t="shared" si="337"/>
        <v>-104.19579179053432</v>
      </c>
      <c r="AY519" s="310"/>
      <c r="BA519" s="31">
        <f t="shared" si="338"/>
        <v>0</v>
      </c>
      <c r="BB519" s="31">
        <f t="shared" si="339"/>
        <v>0</v>
      </c>
    </row>
    <row r="520" spans="14:54" x14ac:dyDescent="0.45">
      <c r="N520" s="10">
        <v>2</v>
      </c>
      <c r="O520" s="50">
        <f t="shared" ref="O520:O560" si="341">10^(6+(N520/100))</f>
        <v>1047128.5480509007</v>
      </c>
      <c r="P520" s="48" t="str">
        <f t="shared" si="303"/>
        <v>17.4002386318441</v>
      </c>
      <c r="Q520" s="17" t="str">
        <f t="shared" si="304"/>
        <v>1+563.466730646393i</v>
      </c>
      <c r="R520" s="17">
        <f t="shared" si="314"/>
        <v>563.46761800953107</v>
      </c>
      <c r="S520" s="17">
        <f t="shared" si="315"/>
        <v>1.5690216009846101</v>
      </c>
      <c r="T520" s="17" t="str">
        <f t="shared" si="305"/>
        <v>1+1.97379081235251i</v>
      </c>
      <c r="U520" s="17">
        <f t="shared" si="316"/>
        <v>2.2126568127315136</v>
      </c>
      <c r="V520" s="17">
        <f t="shared" si="317"/>
        <v>1.1018513938735395</v>
      </c>
      <c r="W520" s="31" t="str">
        <f t="shared" si="306"/>
        <v>1-4.86957914702842i</v>
      </c>
      <c r="X520" s="17">
        <f t="shared" si="318"/>
        <v>4.9711971464803169</v>
      </c>
      <c r="Y520" s="17">
        <f t="shared" si="319"/>
        <v>-1.3682555784269337</v>
      </c>
      <c r="Z520" s="31" t="str">
        <f t="shared" si="307"/>
        <v>0.00546195361162205+6.81039792679251i</v>
      </c>
      <c r="AA520" s="17">
        <f t="shared" si="320"/>
        <v>6.8104001170413611</v>
      </c>
      <c r="AB520" s="17">
        <f t="shared" si="321"/>
        <v>1.5699943248415191</v>
      </c>
      <c r="AC520" s="66" t="str">
        <f t="shared" si="322"/>
        <v>-0.0481499096164162+0.0130064488367654i</v>
      </c>
      <c r="AD520" s="64">
        <f t="shared" si="323"/>
        <v>-26.042226803753913</v>
      </c>
      <c r="AE520" s="61">
        <f t="shared" si="324"/>
        <v>164.88380020627835</v>
      </c>
      <c r="AF520" s="31" t="str">
        <f t="shared" si="308"/>
        <v>-9090.90909090909</v>
      </c>
      <c r="AG520" s="31" t="str">
        <f t="shared" si="309"/>
        <v>6579302.70784171i</v>
      </c>
      <c r="AH520" s="31">
        <f t="shared" si="325"/>
        <v>6579302.7078417102</v>
      </c>
      <c r="AI520" s="31">
        <f t="shared" si="326"/>
        <v>1.5707963267948966</v>
      </c>
      <c r="AJ520" s="31" t="str">
        <f t="shared" si="310"/>
        <v>-156817.358313609+2278.06382468209i</v>
      </c>
      <c r="AK520" s="31">
        <f t="shared" si="327"/>
        <v>156833.90399798175</v>
      </c>
      <c r="AL520" s="31">
        <f t="shared" si="328"/>
        <v>3.1270668152316081</v>
      </c>
      <c r="AM520" s="31" t="str">
        <f t="shared" si="311"/>
        <v>1+8670.2051083938i</v>
      </c>
      <c r="AN520" s="31">
        <f t="shared" si="329"/>
        <v>8670.2051660625621</v>
      </c>
      <c r="AO520" s="31">
        <f t="shared" si="330"/>
        <v>1.5706809892702287</v>
      </c>
      <c r="AP520" s="31" t="str">
        <f t="shared" si="312"/>
        <v>1+1447.44659572518i</v>
      </c>
      <c r="AQ520" s="31">
        <f t="shared" si="331"/>
        <v>1447.4469411610269</v>
      </c>
      <c r="AR520" s="31">
        <f t="shared" si="332"/>
        <v>1.5701054551289906</v>
      </c>
      <c r="AS520" s="58" t="str">
        <f t="shared" si="333"/>
        <v>-0.00151686967407352+0.110555065431225i</v>
      </c>
      <c r="AT520" s="49">
        <f t="shared" si="334"/>
        <v>-19.127609590546427</v>
      </c>
      <c r="AU520" s="61">
        <f t="shared" si="335"/>
        <v>90.786076847788692</v>
      </c>
      <c r="AV520" s="58" t="str">
        <f t="shared" si="313"/>
        <v>-0.00136489166446996-0.00534294549595834i</v>
      </c>
      <c r="AW520" s="64">
        <f t="shared" si="336"/>
        <v>-45.16983639430034</v>
      </c>
      <c r="AX520" s="49">
        <f t="shared" si="337"/>
        <v>-104.33012294593298</v>
      </c>
      <c r="AY520" s="310"/>
      <c r="BA520" s="31">
        <f t="shared" si="338"/>
        <v>0</v>
      </c>
      <c r="BB520" s="31">
        <f t="shared" si="339"/>
        <v>0</v>
      </c>
    </row>
    <row r="521" spans="14:54" x14ac:dyDescent="0.45">
      <c r="N521" s="10">
        <v>3</v>
      </c>
      <c r="O521" s="50">
        <f t="shared" si="341"/>
        <v>1071519.3052376076</v>
      </c>
      <c r="P521" s="48" t="str">
        <f t="shared" si="303"/>
        <v>17.4002386318441</v>
      </c>
      <c r="Q521" s="17" t="str">
        <f t="shared" si="304"/>
        <v>1+576.591556853801i</v>
      </c>
      <c r="R521" s="17">
        <f t="shared" si="314"/>
        <v>576.59242401811866</v>
      </c>
      <c r="S521" s="17">
        <f t="shared" si="315"/>
        <v>1.5690619985941423</v>
      </c>
      <c r="T521" s="17" t="str">
        <f t="shared" si="305"/>
        <v>1+2.01976630650847i</v>
      </c>
      <c r="U521" s="17">
        <f t="shared" si="316"/>
        <v>2.2537648353159798</v>
      </c>
      <c r="V521" s="17">
        <f t="shared" si="317"/>
        <v>1.1110709476247769</v>
      </c>
      <c r="W521" s="31" t="str">
        <f t="shared" si="306"/>
        <v>1-4.98300621651068i</v>
      </c>
      <c r="X521" s="17">
        <f t="shared" si="318"/>
        <v>5.0823568306233753</v>
      </c>
      <c r="Y521" s="17">
        <f t="shared" si="319"/>
        <v>-1.3727450169673536</v>
      </c>
      <c r="Z521" s="31" t="str">
        <f t="shared" si="307"/>
        <v>-0.0414091804960399+6.96903247313015i</v>
      </c>
      <c r="AA521" s="17">
        <f t="shared" si="320"/>
        <v>6.9691554963117222</v>
      </c>
      <c r="AB521" s="17">
        <f t="shared" si="321"/>
        <v>1.5767381405739864</v>
      </c>
      <c r="AC521" s="66" t="str">
        <f t="shared" si="322"/>
        <v>-0.0478569183477875+0.0130328392204841i</v>
      </c>
      <c r="AD521" s="64">
        <f t="shared" si="323"/>
        <v>-26.090402602897015</v>
      </c>
      <c r="AE521" s="61">
        <f t="shared" si="324"/>
        <v>164.76610905265596</v>
      </c>
      <c r="AF521" s="31" t="str">
        <f t="shared" si="308"/>
        <v>-9090.90909090909</v>
      </c>
      <c r="AG521" s="31" t="str">
        <f t="shared" si="309"/>
        <v>6732554.35502821i</v>
      </c>
      <c r="AH521" s="31">
        <f t="shared" si="325"/>
        <v>6732554.3550282102</v>
      </c>
      <c r="AI521" s="31">
        <f t="shared" si="326"/>
        <v>1.5707963267948966</v>
      </c>
      <c r="AJ521" s="31" t="str">
        <f t="shared" si="310"/>
        <v>-164207.979848655+2331.12674776547i</v>
      </c>
      <c r="AK521" s="31">
        <f t="shared" si="327"/>
        <v>164224.52556756081</v>
      </c>
      <c r="AL521" s="31">
        <f t="shared" si="328"/>
        <v>3.1273974228206125</v>
      </c>
      <c r="AM521" s="31" t="str">
        <f t="shared" si="311"/>
        <v>1+8872.16012905617i</v>
      </c>
      <c r="AN521" s="31">
        <f t="shared" si="329"/>
        <v>8872.1601854122309</v>
      </c>
      <c r="AO521" s="31">
        <f t="shared" si="330"/>
        <v>1.5706836146727956</v>
      </c>
      <c r="AP521" s="31" t="str">
        <f t="shared" si="312"/>
        <v>1+1481.1619581062i</v>
      </c>
      <c r="AQ521" s="31">
        <f t="shared" si="331"/>
        <v>1481.1622956789686</v>
      </c>
      <c r="AR521" s="31">
        <f t="shared" si="332"/>
        <v>1.570121181283235</v>
      </c>
      <c r="AS521" s="58" t="str">
        <f t="shared" si="333"/>
        <v>-0.00144861219829873+0.108039463280223i</v>
      </c>
      <c r="AT521" s="49">
        <f t="shared" si="334"/>
        <v>-19.327570938490389</v>
      </c>
      <c r="AU521" s="61">
        <f t="shared" si="335"/>
        <v>90.768185895016529</v>
      </c>
      <c r="AV521" s="58" t="str">
        <f t="shared" si="313"/>
        <v>-0.00133873483870695-0.00518931530241368i</v>
      </c>
      <c r="AW521" s="64">
        <f t="shared" si="336"/>
        <v>-45.417973541387404</v>
      </c>
      <c r="AX521" s="49">
        <f t="shared" si="337"/>
        <v>-104.46570505232751</v>
      </c>
      <c r="AY521" s="310"/>
      <c r="BA521" s="31">
        <f t="shared" si="338"/>
        <v>0</v>
      </c>
      <c r="BB521" s="31">
        <f t="shared" si="339"/>
        <v>0</v>
      </c>
    </row>
    <row r="522" spans="14:54" x14ac:dyDescent="0.45">
      <c r="N522" s="10">
        <v>4</v>
      </c>
      <c r="O522" s="50">
        <f t="shared" si="341"/>
        <v>1096478.196143186</v>
      </c>
      <c r="P522" s="48" t="str">
        <f t="shared" si="303"/>
        <v>17.4002386318441</v>
      </c>
      <c r="Q522" s="17" t="str">
        <f t="shared" si="304"/>
        <v>1+590.022099536745i</v>
      </c>
      <c r="R522" s="17">
        <f t="shared" si="314"/>
        <v>590.02294696202171</v>
      </c>
      <c r="S522" s="17">
        <f t="shared" si="315"/>
        <v>1.5691014766472846</v>
      </c>
      <c r="T522" s="17" t="str">
        <f t="shared" si="305"/>
        <v>1+2.06681270749489i</v>
      </c>
      <c r="U522" s="17">
        <f t="shared" si="316"/>
        <v>2.2960215085800826</v>
      </c>
      <c r="V522" s="17">
        <f t="shared" si="317"/>
        <v>1.1201627050186227</v>
      </c>
      <c r="W522" s="31" t="str">
        <f t="shared" si="306"/>
        <v>1-5.09907534184681i</v>
      </c>
      <c r="X522" s="17">
        <f t="shared" si="318"/>
        <v>5.1962072073609766</v>
      </c>
      <c r="Y522" s="17">
        <f t="shared" si="319"/>
        <v>-1.3771400940418816</v>
      </c>
      <c r="Z522" s="31" t="str">
        <f t="shared" si="307"/>
        <v>-0.0904892830996999+7.13136209273109i</v>
      </c>
      <c r="AA522" s="17">
        <f t="shared" si="320"/>
        <v>7.1319361752610941</v>
      </c>
      <c r="AB522" s="17">
        <f t="shared" si="321"/>
        <v>1.5834845658538423</v>
      </c>
      <c r="AC522" s="66" t="str">
        <f t="shared" si="322"/>
        <v>-0.0475727233391101+0.0130622666498561i</v>
      </c>
      <c r="AD522" s="64">
        <f t="shared" si="323"/>
        <v>-26.137174658427618</v>
      </c>
      <c r="AE522" s="61">
        <f t="shared" si="324"/>
        <v>164.64640539151034</v>
      </c>
      <c r="AF522" s="31" t="str">
        <f t="shared" si="308"/>
        <v>-9090.90909090909</v>
      </c>
      <c r="AG522" s="31" t="str">
        <f t="shared" si="309"/>
        <v>6889375.69164964i</v>
      </c>
      <c r="AH522" s="31">
        <f t="shared" si="325"/>
        <v>6889375.69164964</v>
      </c>
      <c r="AI522" s="31">
        <f t="shared" si="326"/>
        <v>1.5707963267948966</v>
      </c>
      <c r="AJ522" s="31" t="str">
        <f t="shared" si="310"/>
        <v>-171946.910645841+2385.42566510663i</v>
      </c>
      <c r="AK522" s="31">
        <f t="shared" si="327"/>
        <v>171963.45639772594</v>
      </c>
      <c r="AL522" s="31">
        <f t="shared" si="328"/>
        <v>3.1277205075889474</v>
      </c>
      <c r="AM522" s="31" t="str">
        <f t="shared" si="311"/>
        <v>1+9078.81928645589i</v>
      </c>
      <c r="AN522" s="31">
        <f t="shared" si="329"/>
        <v>9078.8193415291298</v>
      </c>
      <c r="AO522" s="31">
        <f t="shared" si="330"/>
        <v>1.5706861803139056</v>
      </c>
      <c r="AP522" s="31" t="str">
        <f t="shared" si="312"/>
        <v>1+1515.66265216292i</v>
      </c>
      <c r="AQ522" s="31">
        <f t="shared" si="331"/>
        <v>1515.6629820515961</v>
      </c>
      <c r="AR522" s="31">
        <f t="shared" si="332"/>
        <v>1.5701365494668276</v>
      </c>
      <c r="AS522" s="58" t="str">
        <f t="shared" si="333"/>
        <v>-0.00138342567964568+0.105581060607872i</v>
      </c>
      <c r="AT522" s="49">
        <f t="shared" si="334"/>
        <v>-19.527534025741179</v>
      </c>
      <c r="AU522" s="61">
        <f t="shared" si="335"/>
        <v>90.750702033831985</v>
      </c>
      <c r="AV522" s="58" t="str">
        <f t="shared" si="313"/>
        <v>-0.00131331463971664-0.0050408492612659i</v>
      </c>
      <c r="AW522" s="64">
        <f t="shared" si="336"/>
        <v>-45.664708684168794</v>
      </c>
      <c r="AX522" s="49">
        <f t="shared" si="337"/>
        <v>-104.60289257465767</v>
      </c>
      <c r="AY522" s="310"/>
      <c r="BA522" s="31">
        <f t="shared" si="338"/>
        <v>0</v>
      </c>
      <c r="BB522" s="31">
        <f t="shared" si="339"/>
        <v>0</v>
      </c>
    </row>
    <row r="523" spans="14:54" x14ac:dyDescent="0.45">
      <c r="N523" s="10">
        <v>5</v>
      </c>
      <c r="O523" s="50">
        <f t="shared" si="341"/>
        <v>1122018.4543019643</v>
      </c>
      <c r="P523" s="48" t="str">
        <f t="shared" si="303"/>
        <v>17.4002386318441</v>
      </c>
      <c r="Q523" s="17" t="str">
        <f t="shared" si="304"/>
        <v>1+603.765479746728i</v>
      </c>
      <c r="R523" s="17">
        <f t="shared" si="314"/>
        <v>603.76630788227715</v>
      </c>
      <c r="S523" s="17">
        <f t="shared" si="315"/>
        <v>1.569140056075331</v>
      </c>
      <c r="T523" s="17" t="str">
        <f t="shared" si="305"/>
        <v>1+2.11495495993634i</v>
      </c>
      <c r="U523" s="17">
        <f t="shared" si="316"/>
        <v>2.3394517482861934</v>
      </c>
      <c r="V523" s="17">
        <f t="shared" si="317"/>
        <v>1.1291254734560194</v>
      </c>
      <c r="W523" s="31" t="str">
        <f t="shared" si="306"/>
        <v>1-5.21784806442343i</v>
      </c>
      <c r="X523" s="17">
        <f t="shared" si="318"/>
        <v>5.312808901457621</v>
      </c>
      <c r="Y523" s="17">
        <f t="shared" si="319"/>
        <v>-1.3814424604668469</v>
      </c>
      <c r="Z523" s="31" t="str">
        <f t="shared" si="307"/>
        <v>-0.14188245967725+7.29747285490834i</v>
      </c>
      <c r="AA523" s="17">
        <f t="shared" si="320"/>
        <v>7.2988520125077301</v>
      </c>
      <c r="AB523" s="17">
        <f t="shared" si="321"/>
        <v>1.5902365615874179</v>
      </c>
      <c r="AC523" s="66" t="str">
        <f t="shared" si="322"/>
        <v>-0.0472967969426434+0.013094913876875i</v>
      </c>
      <c r="AD523" s="64">
        <f t="shared" si="323"/>
        <v>-26.182598822125392</v>
      </c>
      <c r="AE523" s="61">
        <f t="shared" si="324"/>
        <v>164.52435546042977</v>
      </c>
      <c r="AF523" s="31" t="str">
        <f t="shared" si="308"/>
        <v>-9090.90909090909</v>
      </c>
      <c r="AG523" s="31" t="str">
        <f t="shared" si="309"/>
        <v>7049849.86645445i</v>
      </c>
      <c r="AH523" s="31">
        <f t="shared" si="325"/>
        <v>7049849.8664544504</v>
      </c>
      <c r="AI523" s="31">
        <f t="shared" si="326"/>
        <v>1.5707963267948966</v>
      </c>
      <c r="AJ523" s="31" t="str">
        <f t="shared" si="310"/>
        <v>-180050.566014965+2440.98936671027i</v>
      </c>
      <c r="AK523" s="31">
        <f t="shared" si="327"/>
        <v>180067.11179834499</v>
      </c>
      <c r="AL523" s="31">
        <f t="shared" si="328"/>
        <v>3.1280362405949558</v>
      </c>
      <c r="AM523" s="31" t="str">
        <f t="shared" si="311"/>
        <v>1+9290.29215401367i</v>
      </c>
      <c r="AN523" s="31">
        <f t="shared" si="329"/>
        <v>9290.2922078332904</v>
      </c>
      <c r="AO523" s="31">
        <f t="shared" si="330"/>
        <v>1.5706886875538955</v>
      </c>
      <c r="AP523" s="31" t="str">
        <f t="shared" si="312"/>
        <v>1+1550.96697061998i</v>
      </c>
      <c r="AQ523" s="31">
        <f t="shared" si="331"/>
        <v>1550.9672929994747</v>
      </c>
      <c r="AR523" s="31">
        <f t="shared" si="332"/>
        <v>1.5701515678281541</v>
      </c>
      <c r="AS523" s="58" t="str">
        <f t="shared" si="333"/>
        <v>-0.00132117200214764+0.10317855957285i</v>
      </c>
      <c r="AT523" s="49">
        <f t="shared" si="334"/>
        <v>-19.727498774045646</v>
      </c>
      <c r="AU523" s="61">
        <f t="shared" si="335"/>
        <v>90.733616008123548</v>
      </c>
      <c r="AV523" s="58" t="str">
        <f t="shared" si="313"/>
        <v>-0.0012886271476346-0.00489731601453618i</v>
      </c>
      <c r="AW523" s="64">
        <f t="shared" si="336"/>
        <v>-45.910097596171049</v>
      </c>
      <c r="AX523" s="49">
        <f t="shared" si="337"/>
        <v>-104.74202853144662</v>
      </c>
      <c r="AY523" s="310"/>
      <c r="BA523" s="31">
        <f t="shared" si="338"/>
        <v>0</v>
      </c>
      <c r="BB523" s="31">
        <f t="shared" si="339"/>
        <v>0</v>
      </c>
    </row>
    <row r="524" spans="14:54" x14ac:dyDescent="0.45">
      <c r="N524" s="10">
        <v>6</v>
      </c>
      <c r="O524" s="50">
        <f t="shared" si="341"/>
        <v>1148153.6214968837</v>
      </c>
      <c r="P524" s="48" t="str">
        <f t="shared" si="303"/>
        <v>17.4002386318441</v>
      </c>
      <c r="Q524" s="17" t="str">
        <f t="shared" si="304"/>
        <v>1+617.828984405855i</v>
      </c>
      <c r="R524" s="17">
        <f t="shared" si="314"/>
        <v>617.82979369076259</v>
      </c>
      <c r="S524" s="17">
        <f t="shared" si="315"/>
        <v>1.5691777573331454</v>
      </c>
      <c r="T524" s="17" t="str">
        <f t="shared" si="305"/>
        <v>1+2.16421858949228i</v>
      </c>
      <c r="U524" s="17">
        <f t="shared" si="316"/>
        <v>2.3840809766247357</v>
      </c>
      <c r="V524" s="17">
        <f t="shared" si="317"/>
        <v>1.1379582442000997</v>
      </c>
      <c r="W524" s="31" t="str">
        <f t="shared" si="306"/>
        <v>1-5.3393873591102i</v>
      </c>
      <c r="X524" s="17">
        <f t="shared" si="318"/>
        <v>5.4322239801600398</v>
      </c>
      <c r="Y524" s="17">
        <f t="shared" si="319"/>
        <v>-1.3856537600001695</v>
      </c>
      <c r="Z524" s="31" t="str">
        <f t="shared" si="307"/>
        <v>-0.19569772204663+7.46745283378673i</v>
      </c>
      <c r="AA524" s="17">
        <f t="shared" si="320"/>
        <v>7.470016694977577</v>
      </c>
      <c r="AB524" s="17">
        <f t="shared" si="321"/>
        <v>1.5969970867469441</v>
      </c>
      <c r="AC524" s="66" t="str">
        <f t="shared" si="322"/>
        <v>-0.0470286250223386+0.0131309495944407i</v>
      </c>
      <c r="AD524" s="64">
        <f t="shared" si="323"/>
        <v>-26.226730896952112</v>
      </c>
      <c r="AE524" s="61">
        <f t="shared" si="324"/>
        <v>164.39963657405943</v>
      </c>
      <c r="AF524" s="31" t="str">
        <f t="shared" si="308"/>
        <v>-9090.90909090909</v>
      </c>
      <c r="AG524" s="31" t="str">
        <f t="shared" si="309"/>
        <v>7214061.96497425i</v>
      </c>
      <c r="AH524" s="31">
        <f t="shared" si="325"/>
        <v>7214061.9649742497</v>
      </c>
      <c r="AI524" s="31">
        <f t="shared" si="326"/>
        <v>1.5707963267948966</v>
      </c>
      <c r="AJ524" s="31" t="str">
        <f t="shared" si="310"/>
        <v>-188536.134895541+2497.84731318646i</v>
      </c>
      <c r="AK524" s="31">
        <f t="shared" si="327"/>
        <v>188552.68070899876</v>
      </c>
      <c r="AL524" s="31">
        <f t="shared" si="328"/>
        <v>3.1283447890153595</v>
      </c>
      <c r="AM524" s="31" t="str">
        <f t="shared" si="311"/>
        <v>1+9506.69085744306i</v>
      </c>
      <c r="AN524" s="31">
        <f t="shared" si="329"/>
        <v>9506.690910037596</v>
      </c>
      <c r="AO524" s="31">
        <f t="shared" si="330"/>
        <v>1.5706911377221364</v>
      </c>
      <c r="AP524" s="31" t="str">
        <f t="shared" si="312"/>
        <v>1+1587.09363229433i</v>
      </c>
      <c r="AQ524" s="31">
        <f t="shared" si="331"/>
        <v>1587.0939473355729</v>
      </c>
      <c r="AR524" s="31">
        <f t="shared" si="332"/>
        <v>1.5701662443301212</v>
      </c>
      <c r="AS524" s="58" t="str">
        <f t="shared" si="333"/>
        <v>-0.00126171925729625+0.100830691597644i</v>
      </c>
      <c r="AT524" s="49">
        <f t="shared" si="334"/>
        <v>-19.927465108670003</v>
      </c>
      <c r="AU524" s="61">
        <f t="shared" si="335"/>
        <v>90.716918771779035</v>
      </c>
      <c r="AV524" s="58" t="str">
        <f t="shared" si="313"/>
        <v>-0.00126466580710641-0.00475849635785856i</v>
      </c>
      <c r="AW524" s="64">
        <f t="shared" si="336"/>
        <v>-46.154196005622119</v>
      </c>
      <c r="AX524" s="49">
        <f t="shared" si="337"/>
        <v>-104.88344465416154</v>
      </c>
      <c r="AY524" s="310"/>
      <c r="BA524" s="31">
        <f t="shared" si="338"/>
        <v>0</v>
      </c>
      <c r="BB524" s="31">
        <f t="shared" si="339"/>
        <v>0</v>
      </c>
    </row>
    <row r="525" spans="14:54" x14ac:dyDescent="0.45">
      <c r="N525" s="10">
        <v>7</v>
      </c>
      <c r="O525" s="50">
        <f t="shared" si="341"/>
        <v>1174897.5549395324</v>
      </c>
      <c r="P525" s="48" t="str">
        <f t="shared" si="303"/>
        <v>17.4002386318441</v>
      </c>
      <c r="Q525" s="17" t="str">
        <f t="shared" si="304"/>
        <v>1+632.220070170448i</v>
      </c>
      <c r="R525" s="17">
        <f t="shared" si="314"/>
        <v>632.22086103380536</v>
      </c>
      <c r="S525" s="17">
        <f t="shared" si="315"/>
        <v>1.5692146004100043</v>
      </c>
      <c r="T525" s="17" t="str">
        <f t="shared" si="305"/>
        <v>1+2.21462971639119i</v>
      </c>
      <c r="U525" s="17">
        <f t="shared" si="316"/>
        <v>2.4299351392008228</v>
      </c>
      <c r="V525" s="17">
        <f t="shared" si="317"/>
        <v>1.1466601865777428</v>
      </c>
      <c r="W525" s="31" t="str">
        <f t="shared" si="306"/>
        <v>1-5.46375766764992i</v>
      </c>
      <c r="X525" s="17">
        <f t="shared" si="318"/>
        <v>5.554515987086841</v>
      </c>
      <c r="Y525" s="17">
        <f t="shared" si="319"/>
        <v>-1.3897756277377153</v>
      </c>
      <c r="Z525" s="31" t="str">
        <f t="shared" si="307"/>
        <v>-0.25204921959446+7.64139215500104i</v>
      </c>
      <c r="AA525" s="17">
        <f t="shared" si="320"/>
        <v>7.6455479120602998</v>
      </c>
      <c r="AB525" s="17">
        <f t="shared" si="321"/>
        <v>1.6037690973219261</v>
      </c>
      <c r="AC525" s="66" t="str">
        <f t="shared" si="322"/>
        <v>-0.0467677064059969+0.0131705291327047i</v>
      </c>
      <c r="AD525" s="64">
        <f t="shared" si="323"/>
        <v>-26.269626585714647</v>
      </c>
      <c r="AE525" s="61">
        <f t="shared" si="324"/>
        <v>164.2719369432192</v>
      </c>
      <c r="AF525" s="31" t="str">
        <f t="shared" si="308"/>
        <v>-9090.90909090909</v>
      </c>
      <c r="AG525" s="31" t="str">
        <f t="shared" si="309"/>
        <v>7382099.05463729i</v>
      </c>
      <c r="AH525" s="31">
        <f t="shared" si="325"/>
        <v>7382099.0546372896</v>
      </c>
      <c r="AI525" s="31">
        <f t="shared" si="326"/>
        <v>1.5707963267948966</v>
      </c>
      <c r="AJ525" s="31" t="str">
        <f t="shared" si="310"/>
        <v>-197421.616316846+2556.02965137102i</v>
      </c>
      <c r="AK525" s="31">
        <f t="shared" si="327"/>
        <v>197438.162159028</v>
      </c>
      <c r="AL525" s="31">
        <f t="shared" si="328"/>
        <v>3.1286463162328033</v>
      </c>
      <c r="AM525" s="31" t="str">
        <f t="shared" si="311"/>
        <v>1+9728.13013420102i</v>
      </c>
      <c r="AN525" s="31">
        <f t="shared" si="329"/>
        <v>9728.1301855983584</v>
      </c>
      <c r="AO525" s="31">
        <f t="shared" si="330"/>
        <v>1.5706935321177404</v>
      </c>
      <c r="AP525" s="31" t="str">
        <f t="shared" si="312"/>
        <v>1+1624.0617920202i</v>
      </c>
      <c r="AQ525" s="31">
        <f t="shared" si="331"/>
        <v>1624.06209989023</v>
      </c>
      <c r="AR525" s="31">
        <f t="shared" si="332"/>
        <v>1.5701805867543792</v>
      </c>
      <c r="AS525" s="58" t="str">
        <f t="shared" si="333"/>
        <v>-0.00120494146543219+0.0985362167210057i</v>
      </c>
      <c r="AT525" s="49">
        <f t="shared" si="334"/>
        <v>-20.127432958241499</v>
      </c>
      <c r="AU525" s="61">
        <f t="shared" si="335"/>
        <v>90.700601483951758</v>
      </c>
      <c r="AV525" s="58" t="str">
        <f t="shared" si="313"/>
        <v>-0.00124142176425877-0.00462418257063936i</v>
      </c>
      <c r="AW525" s="64">
        <f t="shared" si="336"/>
        <v>-46.397059543956146</v>
      </c>
      <c r="AX525" s="49">
        <f t="shared" si="337"/>
        <v>-105.02746157282908</v>
      </c>
      <c r="AY525" s="310"/>
      <c r="BA525" s="31">
        <f t="shared" si="338"/>
        <v>0</v>
      </c>
      <c r="BB525" s="31">
        <f t="shared" si="339"/>
        <v>0</v>
      </c>
    </row>
    <row r="526" spans="14:54" x14ac:dyDescent="0.45">
      <c r="N526" s="10">
        <v>8</v>
      </c>
      <c r="O526" s="50">
        <f t="shared" si="341"/>
        <v>1202264.4346174158</v>
      </c>
      <c r="P526" s="48" t="str">
        <f t="shared" si="303"/>
        <v>17.4002386318441</v>
      </c>
      <c r="Q526" s="17" t="str">
        <f t="shared" si="304"/>
        <v>1+646.946367384666i</v>
      </c>
      <c r="R526" s="17">
        <f t="shared" si="314"/>
        <v>646.94714024579719</v>
      </c>
      <c r="S526" s="17">
        <f t="shared" si="315"/>
        <v>1.5692506048401949</v>
      </c>
      <c r="T526" s="17" t="str">
        <f t="shared" si="305"/>
        <v>1+2.26621506927982i</v>
      </c>
      <c r="U526" s="17">
        <f t="shared" si="316"/>
        <v>2.4770407223602398</v>
      </c>
      <c r="V526" s="17">
        <f t="shared" si="317"/>
        <v>1.1552306418891436</v>
      </c>
      <c r="W526" s="31" t="str">
        <f t="shared" si="306"/>
        <v>1-5.5910249328264i</v>
      </c>
      <c r="X526" s="17">
        <f t="shared" si="318"/>
        <v>5.6797499768463799</v>
      </c>
      <c r="Y526" s="17">
        <f t="shared" si="319"/>
        <v>-1.3938096886366338</v>
      </c>
      <c r="Z526" s="31" t="str">
        <f t="shared" si="307"/>
        <v>-0.31105648140221+7.81938304348169i</v>
      </c>
      <c r="AA526" s="17">
        <f t="shared" si="320"/>
        <v>7.8255675395022513</v>
      </c>
      <c r="AB526" s="17">
        <f t="shared" si="321"/>
        <v>1.6105555452447906</v>
      </c>
      <c r="AC526" s="66" t="str">
        <f t="shared" si="322"/>
        <v>-0.0465135523390837+0.0132137950976364i</v>
      </c>
      <c r="AD526" s="64">
        <f t="shared" si="323"/>
        <v>-26.311341445246374</v>
      </c>
      <c r="AE526" s="61">
        <f t="shared" si="324"/>
        <v>164.14095547150202</v>
      </c>
      <c r="AF526" s="31" t="str">
        <f t="shared" si="308"/>
        <v>-9090.90909090909</v>
      </c>
      <c r="AG526" s="31" t="str">
        <f t="shared" si="309"/>
        <v>7554050.23093272i</v>
      </c>
      <c r="AH526" s="31">
        <f t="shared" si="325"/>
        <v>7554050.23093272</v>
      </c>
      <c r="AI526" s="31">
        <f t="shared" si="326"/>
        <v>1.5707963267948966</v>
      </c>
      <c r="AJ526" s="31" t="str">
        <f t="shared" si="310"/>
        <v>-206725.857576269+2615.56723030979i</v>
      </c>
      <c r="AK526" s="31">
        <f t="shared" si="327"/>
        <v>206742.40344588269</v>
      </c>
      <c r="AL526" s="31">
        <f t="shared" si="328"/>
        <v>3.1289409819214633</v>
      </c>
      <c r="AM526" s="31" t="str">
        <f t="shared" si="311"/>
        <v>1+9954.72739432313i</v>
      </c>
      <c r="AN526" s="31">
        <f t="shared" si="329"/>
        <v>9954.7274445505227</v>
      </c>
      <c r="AO526" s="31">
        <f t="shared" si="330"/>
        <v>1.5706958720102475</v>
      </c>
      <c r="AP526" s="31" t="str">
        <f t="shared" si="312"/>
        <v>1+1661.8910508052i</v>
      </c>
      <c r="AQ526" s="31">
        <f t="shared" si="331"/>
        <v>1661.891351667254</v>
      </c>
      <c r="AR526" s="31">
        <f t="shared" si="332"/>
        <v>1.5701946027054474</v>
      </c>
      <c r="AS526" s="58" t="str">
        <f t="shared" si="333"/>
        <v>-0.00115071830960767+0.096293922963903i</v>
      </c>
      <c r="AT526" s="49">
        <f t="shared" si="334"/>
        <v>-20.3274022545978</v>
      </c>
      <c r="AU526" s="61">
        <f t="shared" si="335"/>
        <v>90.684655504431461</v>
      </c>
      <c r="AV526" s="58" t="str">
        <f t="shared" si="313"/>
        <v>-0.00121888417087112-0.00449417778167545i</v>
      </c>
      <c r="AW526" s="64">
        <f t="shared" si="336"/>
        <v>-46.63874369984417</v>
      </c>
      <c r="AX526" s="49">
        <f t="shared" si="337"/>
        <v>-105.17438902406651</v>
      </c>
      <c r="AY526" s="310"/>
      <c r="BA526" s="31">
        <f t="shared" si="338"/>
        <v>0</v>
      </c>
      <c r="BB526" s="31">
        <f t="shared" si="339"/>
        <v>0</v>
      </c>
    </row>
    <row r="527" spans="14:54" x14ac:dyDescent="0.45">
      <c r="N527" s="10">
        <v>9</v>
      </c>
      <c r="O527" s="50">
        <f t="shared" si="341"/>
        <v>1230268.770812382</v>
      </c>
      <c r="P527" s="48" t="str">
        <f t="shared" si="303"/>
        <v>17.4002386318441</v>
      </c>
      <c r="Q527" s="17" t="str">
        <f t="shared" si="304"/>
        <v>1+662.015684126218i</v>
      </c>
      <c r="R527" s="17">
        <f t="shared" si="314"/>
        <v>662.01643939490248</v>
      </c>
      <c r="S527" s="17">
        <f t="shared" si="315"/>
        <v>1.5692857897133685</v>
      </c>
      <c r="T527" s="17" t="str">
        <f t="shared" si="305"/>
        <v>1+2.31900199939508i</v>
      </c>
      <c r="U527" s="17">
        <f t="shared" si="316"/>
        <v>2.52542477084517</v>
      </c>
      <c r="V527" s="17">
        <f t="shared" si="317"/>
        <v>1.1636691170754603</v>
      </c>
      <c r="W527" s="31" t="str">
        <f t="shared" si="306"/>
        <v>1-5.72125663342822i</v>
      </c>
      <c r="X527" s="17">
        <f t="shared" si="318"/>
        <v>5.8079925504038323</v>
      </c>
      <c r="Y527" s="17">
        <f t="shared" si="319"/>
        <v>-1.397757556159382</v>
      </c>
      <c r="Z527" s="31" t="str">
        <f t="shared" si="307"/>
        <v>-0.37284466978341+8.00151987235376i</v>
      </c>
      <c r="AA527" s="17">
        <f t="shared" si="320"/>
        <v>8.0102018336280416</v>
      </c>
      <c r="AB527" s="17">
        <f t="shared" si="321"/>
        <v>1.6173593772818462</v>
      </c>
      <c r="AC527" s="66" t="str">
        <f t="shared" si="322"/>
        <v>-0.0462656859424396+0.0132608779536782i</v>
      </c>
      <c r="AD527" s="64">
        <f t="shared" si="323"/>
        <v>-26.351930846052575</v>
      </c>
      <c r="AE527" s="61">
        <f t="shared" si="324"/>
        <v>164.00640153309877</v>
      </c>
      <c r="AF527" s="31" t="str">
        <f t="shared" si="308"/>
        <v>-9090.90909090909</v>
      </c>
      <c r="AG527" s="31" t="str">
        <f t="shared" si="309"/>
        <v>7730006.66465025i</v>
      </c>
      <c r="AH527" s="31">
        <f t="shared" si="325"/>
        <v>7730006.6646502502</v>
      </c>
      <c r="AI527" s="31">
        <f t="shared" si="326"/>
        <v>1.5707963267948966</v>
      </c>
      <c r="AJ527" s="31" t="str">
        <f t="shared" si="310"/>
        <v>-216468.594216962+2676.49161761518i</v>
      </c>
      <c r="AK527" s="31">
        <f t="shared" si="327"/>
        <v>216485.1401127729</v>
      </c>
      <c r="AL527" s="31">
        <f t="shared" si="328"/>
        <v>3.1292289421307578</v>
      </c>
      <c r="AM527" s="31" t="str">
        <f t="shared" si="311"/>
        <v>1+10186.6027826761i</v>
      </c>
      <c r="AN527" s="31">
        <f t="shared" si="329"/>
        <v>10186.602831760176</v>
      </c>
      <c r="AO527" s="31">
        <f t="shared" si="330"/>
        <v>1.5706981586402997</v>
      </c>
      <c r="AP527" s="31" t="str">
        <f t="shared" si="312"/>
        <v>1+1700.60146622305i</v>
      </c>
      <c r="AQ527" s="31">
        <f t="shared" si="331"/>
        <v>1700.6017602366487</v>
      </c>
      <c r="AR527" s="31">
        <f t="shared" si="332"/>
        <v>1.5702082996147471</v>
      </c>
      <c r="AS527" s="58" t="str">
        <f t="shared" si="333"/>
        <v>-0.001098934881365+0.0941026257087561i</v>
      </c>
      <c r="AT527" s="49">
        <f t="shared" si="334"/>
        <v>-20.527372932642464</v>
      </c>
      <c r="AU527" s="61">
        <f t="shared" si="335"/>
        <v>90.669072389117716</v>
      </c>
      <c r="AV527" s="58" t="str">
        <f t="shared" si="313"/>
        <v>-0.00119704045855205-0.00436829536874107i</v>
      </c>
      <c r="AW527" s="64">
        <f t="shared" si="336"/>
        <v>-46.879303778695053</v>
      </c>
      <c r="AX527" s="49">
        <f t="shared" si="337"/>
        <v>-105.32452607778352</v>
      </c>
      <c r="AY527" s="310"/>
      <c r="BA527" s="31">
        <f t="shared" si="338"/>
        <v>0</v>
      </c>
      <c r="BB527" s="31">
        <f t="shared" si="339"/>
        <v>0</v>
      </c>
    </row>
    <row r="528" spans="14:54" x14ac:dyDescent="0.45">
      <c r="N528" s="10">
        <v>10</v>
      </c>
      <c r="O528" s="50">
        <f t="shared" si="341"/>
        <v>1258925.4117941677</v>
      </c>
      <c r="P528" s="48" t="str">
        <f t="shared" si="303"/>
        <v>17.4002386318441</v>
      </c>
      <c r="Q528" s="17" t="str">
        <f t="shared" si="304"/>
        <v>1+677.436010346307i</v>
      </c>
      <c r="R528" s="17">
        <f t="shared" si="314"/>
        <v>677.43674842299617</v>
      </c>
      <c r="S528" s="17">
        <f t="shared" si="315"/>
        <v>1.5693201736846627</v>
      </c>
      <c r="T528" s="17" t="str">
        <f t="shared" si="305"/>
        <v>1+2.37301849506604i</v>
      </c>
      <c r="U528" s="17">
        <f t="shared" si="316"/>
        <v>2.5751149057712923</v>
      </c>
      <c r="V528" s="17">
        <f t="shared" si="317"/>
        <v>1.1719752781923602</v>
      </c>
      <c r="W528" s="31" t="str">
        <f t="shared" si="306"/>
        <v>1-5.85452182002687i</v>
      </c>
      <c r="X528" s="17">
        <f t="shared" si="318"/>
        <v>5.9393118912186056</v>
      </c>
      <c r="Y528" s="17">
        <f t="shared" si="319"/>
        <v>-1.4016208310322722</v>
      </c>
      <c r="Z528" s="31" t="str">
        <f t="shared" si="307"/>
        <v>-0.43754484576972+8.18789921297479i</v>
      </c>
      <c r="AA528" s="17">
        <f t="shared" si="320"/>
        <v>8.1995816365161485</v>
      </c>
      <c r="AB528" s="17">
        <f t="shared" si="321"/>
        <v>1.624183533880615</v>
      </c>
      <c r="AC528" s="66" t="str">
        <f t="shared" si="322"/>
        <v>-0.0460236416759898+0.0133118965523202i</v>
      </c>
      <c r="AD528" s="64">
        <f t="shared" si="323"/>
        <v>-26.391449937332233</v>
      </c>
      <c r="AE528" s="61">
        <f t="shared" si="324"/>
        <v>163.86799473545338</v>
      </c>
      <c r="AF528" s="31" t="str">
        <f t="shared" si="308"/>
        <v>-9090.90909090909</v>
      </c>
      <c r="AG528" s="31" t="str">
        <f t="shared" si="309"/>
        <v>7910061.65022012i</v>
      </c>
      <c r="AH528" s="31">
        <f t="shared" si="325"/>
        <v>7910061.6502201203</v>
      </c>
      <c r="AI528" s="31">
        <f t="shared" si="326"/>
        <v>1.5707963267948966</v>
      </c>
      <c r="AJ528" s="31" t="str">
        <f t="shared" si="310"/>
        <v>-226670.491889575+2738.8351162038i</v>
      </c>
      <c r="AK528" s="31">
        <f t="shared" si="327"/>
        <v>226687.03781040426</v>
      </c>
      <c r="AL528" s="31">
        <f t="shared" si="328"/>
        <v>3.1295103493671972</v>
      </c>
      <c r="AM528" s="31" t="str">
        <f t="shared" si="311"/>
        <v>1+10423.8792426601i</v>
      </c>
      <c r="AN528" s="31">
        <f t="shared" si="329"/>
        <v>10423.879290626886</v>
      </c>
      <c r="AO528" s="31">
        <f t="shared" si="330"/>
        <v>1.5707003932202981</v>
      </c>
      <c r="AP528" s="31" t="str">
        <f t="shared" si="312"/>
        <v>1+1740.21356304842i</v>
      </c>
      <c r="AQ528" s="31">
        <f t="shared" si="331"/>
        <v>1740.2138503694532</v>
      </c>
      <c r="AR528" s="31">
        <f t="shared" si="332"/>
        <v>1.5702216847445398</v>
      </c>
      <c r="AS528" s="58" t="str">
        <f t="shared" si="333"/>
        <v>-0.00104948143790053+0.0919611670917218i</v>
      </c>
      <c r="AT528" s="49">
        <f t="shared" si="334"/>
        <v>-20.727344930207195</v>
      </c>
      <c r="AU528" s="61">
        <f t="shared" si="335"/>
        <v>90.653843885593545</v>
      </c>
      <c r="AV528" s="58" t="str">
        <f t="shared" si="313"/>
        <v>-0.0011758765855121-0.00424635839067014i</v>
      </c>
      <c r="AW528" s="64">
        <f t="shared" si="336"/>
        <v>-47.118794867539428</v>
      </c>
      <c r="AX528" s="49">
        <f t="shared" si="337"/>
        <v>-105.4781613789531</v>
      </c>
      <c r="AY528" s="310"/>
      <c r="BA528" s="31">
        <f t="shared" si="338"/>
        <v>0</v>
      </c>
      <c r="BB528" s="31">
        <f t="shared" si="339"/>
        <v>0</v>
      </c>
    </row>
    <row r="529" spans="14:54" x14ac:dyDescent="0.45">
      <c r="N529" s="10">
        <v>11</v>
      </c>
      <c r="O529" s="50">
        <f t="shared" si="341"/>
        <v>1288249.5516931366</v>
      </c>
      <c r="P529" s="48" t="str">
        <f t="shared" si="303"/>
        <v>17.4002386318441</v>
      </c>
      <c r="Q529" s="17" t="str">
        <f t="shared" si="304"/>
        <v>1+693.21552210601i</v>
      </c>
      <c r="R529" s="17">
        <f t="shared" si="314"/>
        <v>693.21624338204026</v>
      </c>
      <c r="S529" s="17">
        <f t="shared" si="315"/>
        <v>1.5693537749845881</v>
      </c>
      <c r="T529" s="17" t="str">
        <f t="shared" si="305"/>
        <v>1+2.4282931965537i</v>
      </c>
      <c r="U529" s="17">
        <f t="shared" si="316"/>
        <v>2.6261393429193713</v>
      </c>
      <c r="V529" s="17">
        <f t="shared" si="317"/>
        <v>1.1801489437348374</v>
      </c>
      <c r="W529" s="31" t="str">
        <f t="shared" si="306"/>
        <v>1-5.99089115158827i</v>
      </c>
      <c r="X529" s="17">
        <f t="shared" si="318"/>
        <v>6.0737778021737538</v>
      </c>
      <c r="Y529" s="17">
        <f t="shared" si="319"/>
        <v>-1.4054011001125237</v>
      </c>
      <c r="Z529" s="31" t="str">
        <f t="shared" si="307"/>
        <v>-0.5052942471089+8.37861988613822i</v>
      </c>
      <c r="AA529" s="17">
        <f t="shared" si="320"/>
        <v>8.3938425927909908</v>
      </c>
      <c r="AB529" s="17">
        <f t="shared" si="321"/>
        <v>1.6310309479645644</v>
      </c>
      <c r="AC529" s="66" t="str">
        <f t="shared" si="322"/>
        <v>-0.0457869648104338+0.0133669586083765i</v>
      </c>
      <c r="AD529" s="64">
        <f t="shared" si="323"/>
        <v>-26.429953617258523</v>
      </c>
      <c r="AE529" s="61">
        <f t="shared" si="324"/>
        <v>163.72546467020607</v>
      </c>
      <c r="AF529" s="31" t="str">
        <f t="shared" si="308"/>
        <v>-9090.90909090909</v>
      </c>
      <c r="AG529" s="31" t="str">
        <f t="shared" si="309"/>
        <v>8094310.655179i</v>
      </c>
      <c r="AH529" s="31">
        <f t="shared" si="325"/>
        <v>8094310.6551790005</v>
      </c>
      <c r="AI529" s="31">
        <f t="shared" si="326"/>
        <v>1.5707963267948966</v>
      </c>
      <c r="AJ529" s="31" t="str">
        <f t="shared" si="310"/>
        <v>-237353.190186863+2802.63078142379i</v>
      </c>
      <c r="AK529" s="31">
        <f t="shared" si="327"/>
        <v>237369.73613158468</v>
      </c>
      <c r="AL529" s="31">
        <f t="shared" si="328"/>
        <v>3.1297853526744164</v>
      </c>
      <c r="AM529" s="31" t="str">
        <f t="shared" si="311"/>
        <v>1+10666.6825813949i</v>
      </c>
      <c r="AN529" s="31">
        <f t="shared" si="329"/>
        <v>10666.682628269829</v>
      </c>
      <c r="AO529" s="31">
        <f t="shared" si="330"/>
        <v>1.5707025769350467</v>
      </c>
      <c r="AP529" s="31" t="str">
        <f t="shared" si="312"/>
        <v>1+1780.74834413938i</v>
      </c>
      <c r="AQ529" s="31">
        <f t="shared" si="331"/>
        <v>1780.7486249201888</v>
      </c>
      <c r="AR529" s="31">
        <f t="shared" si="332"/>
        <v>1.5702347651917796</v>
      </c>
      <c r="AS529" s="58" t="str">
        <f t="shared" si="333"/>
        <v>-0.00100225317010661+0.0898684154078069i</v>
      </c>
      <c r="AT529" s="49">
        <f t="shared" si="334"/>
        <v>-20.927318187920076</v>
      </c>
      <c r="AU529" s="61">
        <f t="shared" si="335"/>
        <v>90.638961928797485</v>
      </c>
      <c r="AV529" s="58" t="str">
        <f t="shared" si="313"/>
        <v>-0.00115537725832572-0.00412819905048663i</v>
      </c>
      <c r="AW529" s="64">
        <f t="shared" si="336"/>
        <v>-47.357271805178598</v>
      </c>
      <c r="AX529" s="49">
        <f t="shared" si="337"/>
        <v>-105.63557340099642</v>
      </c>
      <c r="AY529" s="310"/>
      <c r="BA529" s="31">
        <f t="shared" si="338"/>
        <v>0</v>
      </c>
      <c r="BB529" s="31">
        <f t="shared" si="339"/>
        <v>0</v>
      </c>
    </row>
    <row r="530" spans="14:54" x14ac:dyDescent="0.45">
      <c r="N530" s="10">
        <v>12</v>
      </c>
      <c r="O530" s="50">
        <f t="shared" si="341"/>
        <v>1318256.7385564097</v>
      </c>
      <c r="P530" s="48" t="str">
        <f t="shared" si="303"/>
        <v>17.4002386318441</v>
      </c>
      <c r="Q530" s="17" t="str">
        <f t="shared" si="304"/>
        <v>1+709.362585911325i</v>
      </c>
      <c r="R530" s="17">
        <f t="shared" si="314"/>
        <v>709.36329076912477</v>
      </c>
      <c r="S530" s="17">
        <f t="shared" si="315"/>
        <v>1.5693866114286954</v>
      </c>
      <c r="T530" s="17" t="str">
        <f t="shared" si="305"/>
        <v>1+2.48485541123644i</v>
      </c>
      <c r="U530" s="17">
        <f t="shared" si="316"/>
        <v>2.6785269113359709</v>
      </c>
      <c r="V530" s="17">
        <f t="shared" si="317"/>
        <v>1.1881900778560635</v>
      </c>
      <c r="W530" s="31" t="str">
        <f t="shared" si="306"/>
        <v>1-6.13043693293706i</v>
      </c>
      <c r="X530" s="17">
        <f t="shared" si="318"/>
        <v>6.2114617433192603</v>
      </c>
      <c r="Y530" s="17">
        <f t="shared" si="319"/>
        <v>-1.4090999353579663</v>
      </c>
      <c r="Z530" s="31" t="str">
        <f t="shared" si="307"/>
        <v>-0.57623657936452+8.57378301446942i</v>
      </c>
      <c r="AA530" s="17">
        <f t="shared" si="320"/>
        <v>8.5931253787316546</v>
      </c>
      <c r="AB530" s="17">
        <f t="shared" si="321"/>
        <v>1.6379045436663036</v>
      </c>
      <c r="AC530" s="66" t="str">
        <f t="shared" si="322"/>
        <v>-0.0455552109088044+0.0134261611257016i</v>
      </c>
      <c r="AD530" s="64">
        <f t="shared" si="323"/>
        <v>-26.467496508371301</v>
      </c>
      <c r="AE530" s="61">
        <f t="shared" si="324"/>
        <v>163.57855065572235</v>
      </c>
      <c r="AF530" s="31" t="str">
        <f t="shared" si="308"/>
        <v>-9090.90909090909</v>
      </c>
      <c r="AG530" s="31" t="str">
        <f t="shared" si="309"/>
        <v>8282851.37078812i</v>
      </c>
      <c r="AH530" s="31">
        <f t="shared" si="325"/>
        <v>8282851.3707881197</v>
      </c>
      <c r="AI530" s="31">
        <f t="shared" si="326"/>
        <v>1.5707963267948966</v>
      </c>
      <c r="AJ530" s="31" t="str">
        <f t="shared" si="310"/>
        <v>-248539.348544167+2867.9124385813i</v>
      </c>
      <c r="AK530" s="31">
        <f t="shared" si="327"/>
        <v>248555.89451170596</v>
      </c>
      <c r="AL530" s="31">
        <f t="shared" si="328"/>
        <v>3.1300540977114264</v>
      </c>
      <c r="AM530" s="31" t="str">
        <f t="shared" si="311"/>
        <v>1+10915.1415364246i</v>
      </c>
      <c r="AN530" s="31">
        <f t="shared" si="329"/>
        <v>10915.141582232527</v>
      </c>
      <c r="AO530" s="31">
        <f t="shared" si="330"/>
        <v>1.5707047109423797</v>
      </c>
      <c r="AP530" s="31" t="str">
        <f t="shared" si="312"/>
        <v>1+1822.22730157338i</v>
      </c>
      <c r="AQ530" s="31">
        <f t="shared" si="331"/>
        <v>1822.2275759628385</v>
      </c>
      <c r="AR530" s="31">
        <f t="shared" si="332"/>
        <v>1.5702475478918747</v>
      </c>
      <c r="AS530" s="58" t="str">
        <f t="shared" si="333"/>
        <v>-0.000957149981006139+0.0878232645285791i</v>
      </c>
      <c r="AT530" s="49">
        <f t="shared" si="334"/>
        <v>-21.127292649080029</v>
      </c>
      <c r="AU530" s="61">
        <f t="shared" si="335"/>
        <v>90.624418636791589</v>
      </c>
      <c r="AV530" s="58" t="str">
        <f t="shared" si="313"/>
        <v>-0.00113552613088972-0.00401365818816559i</v>
      </c>
      <c r="AW530" s="64">
        <f t="shared" si="336"/>
        <v>-47.594789157451338</v>
      </c>
      <c r="AX530" s="49">
        <f t="shared" si="337"/>
        <v>-105.797030707486</v>
      </c>
      <c r="AY530" s="310"/>
      <c r="BA530" s="31">
        <f t="shared" si="338"/>
        <v>0</v>
      </c>
      <c r="BB530" s="31">
        <f t="shared" si="339"/>
        <v>0</v>
      </c>
    </row>
    <row r="531" spans="14:54" x14ac:dyDescent="0.45">
      <c r="N531" s="10">
        <v>13</v>
      </c>
      <c r="O531" s="50">
        <f t="shared" si="341"/>
        <v>1348962.8825916562</v>
      </c>
      <c r="P531" s="48" t="str">
        <f t="shared" ref="P531:P560" si="342">COMPLEX(Adc,0)</f>
        <v>17.4002386318441</v>
      </c>
      <c r="Q531" s="17" t="str">
        <f t="shared" ref="Q531:Q560" si="343">IMSUM(COMPLEX(1,0),IMDIV(COMPLEX(0,2*PI()*O531),COMPLEX(wp_lf,0)))</f>
        <v>1+725.885763149212i</v>
      </c>
      <c r="R531" s="17">
        <f t="shared" si="314"/>
        <v>725.88645196250491</v>
      </c>
      <c r="S531" s="17">
        <f t="shared" si="315"/>
        <v>1.5694187004270184</v>
      </c>
      <c r="T531" s="17" t="str">
        <f t="shared" ref="T531:T560" si="344">IMSUM(COMPLEX(1,0),IMDIV(COMPLEX(0,2*PI()*O531),COMPLEX(wz_esr,0)))</f>
        <v>1+2.54273512914916i</v>
      </c>
      <c r="U531" s="17">
        <f t="shared" si="316"/>
        <v>2.7323070722393545</v>
      </c>
      <c r="V531" s="17">
        <f t="shared" si="317"/>
        <v>1.1960987835202341</v>
      </c>
      <c r="W531" s="31" t="str">
        <f t="shared" ref="W531:W560" si="345">IMSUB(COMPLEX(1,0),IMDIV(COMPLEX(0,2*PI()*O531),COMPLEX(wz_rhp,0)))</f>
        <v>1-6.27323315309361i</v>
      </c>
      <c r="X531" s="17">
        <f t="shared" si="318"/>
        <v>6.3524368704515917</v>
      </c>
      <c r="Y531" s="17">
        <f t="shared" si="319"/>
        <v>-1.4127188928937131</v>
      </c>
      <c r="Z531" s="31" t="str">
        <f t="shared" ref="Z531:Z560" si="346">IMSUM(COMPLEX(1,0),IMDIV(COMPLEX(0,2*PI()*O531),COMPLEX(Q*(wsl/2),0)),IMDIV(IMPOWER(COMPLEX(0,2*PI()*O531),2),IMPOWER(COMPLEX(wsl/2,0),2)))</f>
        <v>-0.65052232073468+8.7734920760423i</v>
      </c>
      <c r="AA531" s="17">
        <f t="shared" si="320"/>
        <v>8.7975759444378259</v>
      </c>
      <c r="AB531" s="17">
        <f t="shared" si="321"/>
        <v>1.6448072349902556</v>
      </c>
      <c r="AC531" s="66" t="str">
        <f t="shared" si="322"/>
        <v>-0.0453279453196935+0.0134895907740379i</v>
      </c>
      <c r="AD531" s="64">
        <f t="shared" si="323"/>
        <v>-26.504132937911212</v>
      </c>
      <c r="AE531" s="61">
        <f t="shared" si="324"/>
        <v>163.42700147433843</v>
      </c>
      <c r="AF531" s="31" t="str">
        <f t="shared" ref="AF531:AF560" si="347">IF(FB_type=1,COMPLEX(Adc_ea_iso,0),COMPLEX(Adc_ea,0))</f>
        <v>-9090.90909090909</v>
      </c>
      <c r="AG531" s="31" t="str">
        <f t="shared" ref="AG531:AG560" si="348">IF(FB_type=1,COMPLEX(0,2*PI()*O531),COMPLEX(0,2*PI()*O531*wp0_ea))</f>
        <v>8475783.76383051i</v>
      </c>
      <c r="AH531" s="31">
        <f t="shared" si="325"/>
        <v>8475783.7638305109</v>
      </c>
      <c r="AI531" s="31">
        <f t="shared" si="326"/>
        <v>1.5707963267948966</v>
      </c>
      <c r="AJ531" s="31" t="str">
        <f t="shared" ref="AJ531:AJ560" si="349">IF(FB_type=1,IMSUM(IMPRODUCT(COMPLEX(wpA_ea_iso,0),IMPOWER(COMPLEX(0,2*PI()*O531),2)),COMPLEX(0,wpB_ea_iso*2*PI()*O531),COMPLEX(1,0)),IMSUM(COMPLEX(1,0),IMDIV(COMPLEX(0,2*PI()*O531),COMPLEX(wp1_ea,0))))</f>
        <v>-260252.694303117+2934.71470087505i</v>
      </c>
      <c r="AK531" s="31">
        <f t="shared" si="327"/>
        <v>260269.2402924464</v>
      </c>
      <c r="AL531" s="31">
        <f t="shared" si="328"/>
        <v>3.1303167268291214</v>
      </c>
      <c r="AM531" s="31" t="str">
        <f t="shared" ref="AM531:AM560" si="350">IMSUM(COMPLEX(1,0),IMDIV(COMPLEX(0,2*PI()*O531),COMPLEX(wz1_ea_iso,0)))</f>
        <v>1+11169.3878439758i</v>
      </c>
      <c r="AN531" s="31">
        <f t="shared" si="329"/>
        <v>11169.387888741008</v>
      </c>
      <c r="AO531" s="31">
        <f t="shared" si="330"/>
        <v>1.5707067963737762</v>
      </c>
      <c r="AP531" s="31" t="str">
        <f t="shared" ref="AP531:AP560" si="351">IF(FB_type=1,IMSUM(COMPLEX(1,0),IMDIV(COMPLEX(0,2*PI()*O531),COMPLEX(wz2_ea_iso,0))),1)</f>
        <v>1+1864.67242804271i</v>
      </c>
      <c r="AQ531" s="31">
        <f t="shared" si="331"/>
        <v>1864.6726961863028</v>
      </c>
      <c r="AR531" s="31">
        <f t="shared" si="332"/>
        <v>1.5702600396223654</v>
      </c>
      <c r="AS531" s="58" t="str">
        <f t="shared" si="333"/>
        <v>-0.000914076274116586+0.0858246333322603i</v>
      </c>
      <c r="AT531" s="49">
        <f t="shared" si="334"/>
        <v>-21.327268259536464</v>
      </c>
      <c r="AU531" s="61">
        <f t="shared" si="335"/>
        <v>90.610206306623823</v>
      </c>
      <c r="AV531" s="58" t="str">
        <f t="shared" ref="AV531:AV560" si="352">IMPRODUCT(AC531,AS531)</f>
        <v>-0.00111630598261286-0.00390258480164153i</v>
      </c>
      <c r="AW531" s="64">
        <f t="shared" si="336"/>
        <v>-47.831401197447676</v>
      </c>
      <c r="AX531" s="49">
        <f t="shared" si="337"/>
        <v>-105.96279221903777</v>
      </c>
      <c r="AY531" s="310"/>
      <c r="BA531" s="31">
        <f t="shared" si="338"/>
        <v>0</v>
      </c>
      <c r="BB531" s="31">
        <f t="shared" si="339"/>
        <v>0</v>
      </c>
    </row>
    <row r="532" spans="14:54" x14ac:dyDescent="0.45">
      <c r="N532" s="10">
        <v>14</v>
      </c>
      <c r="O532" s="50">
        <f t="shared" si="341"/>
        <v>1380384.2646028849</v>
      </c>
      <c r="P532" s="48" t="str">
        <f t="shared" si="342"/>
        <v>17.4002386318441</v>
      </c>
      <c r="Q532" s="17" t="str">
        <f t="shared" si="343"/>
        <v>1+742.793814626955i</v>
      </c>
      <c r="R532" s="17">
        <f t="shared" ref="R532:R560" si="353">IMABS(Q532)</f>
        <v>742.79448776095762</v>
      </c>
      <c r="S532" s="17">
        <f t="shared" ref="S532:S560" si="354">IMARGUMENT(Q532)</f>
        <v>1.5694500589933043</v>
      </c>
      <c r="T532" s="17" t="str">
        <f t="shared" si="344"/>
        <v>1+2.60196303888442i</v>
      </c>
      <c r="U532" s="17">
        <f t="shared" ref="U532:U560" si="355">IMABS(T532)</f>
        <v>2.7875099382281392</v>
      </c>
      <c r="V532" s="17">
        <f t="shared" ref="V532:V560" si="356">IMARGUMENT(T532)</f>
        <v>1.2038752956265328</v>
      </c>
      <c r="W532" s="31" t="str">
        <f t="shared" si="345"/>
        <v>1-6.41935552450397i</v>
      </c>
      <c r="X532" s="17">
        <f t="shared" ref="X532:X560" si="357">IMABS(W532)</f>
        <v>6.4967780745520036</v>
      </c>
      <c r="Y532" s="17">
        <f t="shared" ref="Y532:Y560" si="358">IMARGUMENT(W532)</f>
        <v>-1.416259512170309</v>
      </c>
      <c r="Z532" s="31" t="str">
        <f t="shared" si="346"/>
        <v>-0.7283090412365+8.9778529592448i</v>
      </c>
      <c r="AA532" s="17">
        <f t="shared" ref="AA532:AA560" si="359">IMABS(Z532)</f>
        <v>9.0073457698351653</v>
      </c>
      <c r="AB532" s="17">
        <f t="shared" ref="AB532:AB560" si="360">IMARGUMENT(Z532)</f>
        <v>1.6517419243958804</v>
      </c>
      <c r="AC532" s="66" t="str">
        <f t="shared" ref="AC532:AC560" si="361">(IMDIV(IMPRODUCT(P532,T532,W532),IMPRODUCT(Q532,Z532)))</f>
        <v>-0.0451047426838764+0.0135573242186474i</v>
      </c>
      <c r="AD532" s="64">
        <f t="shared" ref="AD532:AD560" si="362">20*LOG(IMABS(AC532))</f>
        <v>-26.539916922902375</v>
      </c>
      <c r="AE532" s="61">
        <f t="shared" ref="AE532:AE560" si="363">(180/PI())*IMARGUMENT(AC532)</f>
        <v>163.27057510727397</v>
      </c>
      <c r="AF532" s="31" t="str">
        <f t="shared" si="347"/>
        <v>-9090.90909090909</v>
      </c>
      <c r="AG532" s="31" t="str">
        <f t="shared" si="348"/>
        <v>8673210.12961474i</v>
      </c>
      <c r="AH532" s="31">
        <f t="shared" ref="AH532:AH560" si="364">IMABS(AG532)</f>
        <v>8673210.1296147406</v>
      </c>
      <c r="AI532" s="31">
        <f t="shared" ref="AI532:AI560" si="365">IMARGUMENT(AG532)</f>
        <v>1.5707963267948966</v>
      </c>
      <c r="AJ532" s="31" t="str">
        <f t="shared" si="349"/>
        <v>-272518.073040505+3003.07298774875i</v>
      </c>
      <c r="AK532" s="31">
        <f t="shared" ref="AK532:AK560" si="366">IMABS(AJ532)</f>
        <v>272534.61905064416</v>
      </c>
      <c r="AL532" s="31">
        <f t="shared" ref="AL532:AL560" si="367">IMARGUMENT(AJ532)</f>
        <v>3.1305733791450829</v>
      </c>
      <c r="AM532" s="31" t="str">
        <f t="shared" si="350"/>
        <v>1+11429.5563088063i</v>
      </c>
      <c r="AN532" s="31">
        <f t="shared" ref="AN532:AN560" si="368">IMABS(AM532)</f>
        <v>11429.55635255253</v>
      </c>
      <c r="AO532" s="31">
        <f t="shared" ref="AO532:AO560" si="369">IMARGUMENT(AM532)</f>
        <v>1.5707088343349593</v>
      </c>
      <c r="AP532" s="31" t="str">
        <f t="shared" si="351"/>
        <v>1+1908.10622851524i</v>
      </c>
      <c r="AQ532" s="31">
        <f t="shared" ref="AQ532:AQ560" si="370">IMABS(AP532)</f>
        <v>1908.10649055514</v>
      </c>
      <c r="AR532" s="31">
        <f t="shared" ref="AR532:AR560" si="371">IMARGUMENT(AP532)</f>
        <v>1.5702722470065167</v>
      </c>
      <c r="AS532" s="58" t="str">
        <f t="shared" ref="AS532:AS560" si="372">IMDIV(IMPRODUCT(AF532,AM532,AP532),IMPRODUCT(AG532,AJ532))</f>
        <v>-0.000872940751299841+0.0838714651459666i</v>
      </c>
      <c r="AT532" s="49">
        <f t="shared" ref="AT532:AT560" si="373">20*LOG(IMABS(AS532))</f>
        <v>-21.527244967575005</v>
      </c>
      <c r="AU532" s="61">
        <f t="shared" ref="AU532:AU560" si="374">(180/PI())*IMARGUMENT(AS532)</f>
        <v>90.596317410282367</v>
      </c>
      <c r="AV532" s="58" t="str">
        <f t="shared" si="352"/>
        <v>-0.00109769887771121-0.00379483559471757i</v>
      </c>
      <c r="AW532" s="64">
        <f t="shared" ref="AW532:AW560" si="375">20*LOG(IMABS(AV532))</f>
        <v>-48.067161890477379</v>
      </c>
      <c r="AX532" s="49">
        <f t="shared" ref="AX532:AX560" si="376">(180/PI())*IMARGUMENT(AV532)</f>
        <v>-106.13310748244376</v>
      </c>
      <c r="AY532" s="310"/>
      <c r="BA532" s="31">
        <f t="shared" ref="BA532:BA559" si="377">SUM((AW533&lt;0)*(AW532&gt;0))*O532</f>
        <v>0</v>
      </c>
      <c r="BB532" s="31">
        <f t="shared" ref="BB532:BB559" si="378">IF(BA532&gt;0,AX532,0)</f>
        <v>0</v>
      </c>
    </row>
    <row r="533" spans="14:54" x14ac:dyDescent="0.45">
      <c r="N533" s="10">
        <v>15</v>
      </c>
      <c r="O533" s="50">
        <f t="shared" si="341"/>
        <v>1412537.5446227565</v>
      </c>
      <c r="P533" s="48" t="str">
        <f t="shared" si="342"/>
        <v>17.4002386318441</v>
      </c>
      <c r="Q533" s="17" t="str">
        <f t="shared" si="343"/>
        <v>1+760.095705217254i</v>
      </c>
      <c r="R533" s="17">
        <f t="shared" si="353"/>
        <v>760.09636302886929</v>
      </c>
      <c r="S533" s="17">
        <f t="shared" si="354"/>
        <v>1.569480703754033</v>
      </c>
      <c r="T533" s="17" t="str">
        <f t="shared" si="344"/>
        <v>1+2.66257054386397i</v>
      </c>
      <c r="U533" s="17">
        <f t="shared" si="355"/>
        <v>2.8441662927916287</v>
      </c>
      <c r="V533" s="17">
        <f t="shared" si="356"/>
        <v>1.2115199741383846</v>
      </c>
      <c r="W533" s="31" t="str">
        <f t="shared" si="345"/>
        <v>1-6.56888152318367i</v>
      </c>
      <c r="X533" s="17">
        <f t="shared" si="357"/>
        <v>6.6445620221067845</v>
      </c>
      <c r="Y533" s="17">
        <f t="shared" si="358"/>
        <v>-1.4197233152080448</v>
      </c>
      <c r="Z533" s="31" t="str">
        <f t="shared" si="346"/>
        <v>-0.80976173693323+9.18697401892225i</v>
      </c>
      <c r="AA533" s="17">
        <f t="shared" si="359"/>
        <v>9.2225921353464155</v>
      </c>
      <c r="AB533" s="17">
        <f t="shared" si="360"/>
        <v>1.6587115012924893</v>
      </c>
      <c r="AC533" s="66" t="str">
        <f t="shared" si="361"/>
        <v>-0.0448851864560103+0.0136294284043398i</v>
      </c>
      <c r="AD533" s="64">
        <f t="shared" si="362"/>
        <v>-26.57490215977143</v>
      </c>
      <c r="AE533" s="61">
        <f t="shared" si="363"/>
        <v>163.10903846998912</v>
      </c>
      <c r="AF533" s="31" t="str">
        <f t="shared" si="347"/>
        <v>-9090.90909090909</v>
      </c>
      <c r="AG533" s="31" t="str">
        <f t="shared" si="348"/>
        <v>8875235.14621323i</v>
      </c>
      <c r="AH533" s="31">
        <f t="shared" si="364"/>
        <v>8875235.1462132297</v>
      </c>
      <c r="AI533" s="31">
        <f t="shared" si="365"/>
        <v>1.5707963267948966</v>
      </c>
      <c r="AJ533" s="31" t="str">
        <f t="shared" si="349"/>
        <v>-285361.501269082+3073.02354367092i</v>
      </c>
      <c r="AK533" s="31">
        <f t="shared" si="366"/>
        <v>285378.04729909456</v>
      </c>
      <c r="AL533" s="31">
        <f t="shared" si="367"/>
        <v>3.13082419061671</v>
      </c>
      <c r="AM533" s="31" t="str">
        <f t="shared" si="350"/>
        <v>1+11695.7848756798i</v>
      </c>
      <c r="AN533" s="31">
        <f t="shared" si="368"/>
        <v>11695.784918430245</v>
      </c>
      <c r="AO533" s="31">
        <f t="shared" si="369"/>
        <v>1.5707108259064833</v>
      </c>
      <c r="AP533" s="31" t="str">
        <f t="shared" si="351"/>
        <v>1+1952.55173216691i</v>
      </c>
      <c r="AQ533" s="31">
        <f t="shared" si="370"/>
        <v>1952.5519882420544</v>
      </c>
      <c r="AR533" s="31">
        <f t="shared" si="371"/>
        <v>1.5702841765168307</v>
      </c>
      <c r="AS533" s="58" t="str">
        <f t="shared" si="372"/>
        <v>-0.000833656219674896+0.081962727199889i</v>
      </c>
      <c r="AT533" s="49">
        <f t="shared" si="373"/>
        <v>-21.7272227238075</v>
      </c>
      <c r="AU533" s="61">
        <f t="shared" si="374"/>
        <v>90.582744590740205</v>
      </c>
      <c r="AV533" s="58" t="str">
        <f t="shared" si="352"/>
        <v>-0.001079686307335-0.00369027455057002i</v>
      </c>
      <c r="AW533" s="64">
        <f t="shared" si="375"/>
        <v>-48.302124883578927</v>
      </c>
      <c r="AX533" s="49">
        <f t="shared" si="376"/>
        <v>-106.30821693927065</v>
      </c>
      <c r="AY533" s="310"/>
      <c r="BA533" s="31">
        <f t="shared" si="377"/>
        <v>0</v>
      </c>
      <c r="BB533" s="31">
        <f t="shared" si="378"/>
        <v>0</v>
      </c>
    </row>
    <row r="534" spans="14:54" x14ac:dyDescent="0.45">
      <c r="N534" s="10">
        <v>16</v>
      </c>
      <c r="O534" s="50">
        <f t="shared" si="341"/>
        <v>1445439.7707459298</v>
      </c>
      <c r="P534" s="48" t="str">
        <f t="shared" si="342"/>
        <v>17.4002386318441</v>
      </c>
      <c r="Q534" s="17" t="str">
        <f t="shared" si="343"/>
        <v>1+777.800608611514i</v>
      </c>
      <c r="R534" s="17">
        <f t="shared" si="353"/>
        <v>777.80125144952137</v>
      </c>
      <c r="S534" s="17">
        <f t="shared" si="354"/>
        <v>1.5695106509572323</v>
      </c>
      <c r="T534" s="17" t="str">
        <f t="shared" si="344"/>
        <v>1+2.72458977898916i</v>
      </c>
      <c r="U534" s="17">
        <f t="shared" si="355"/>
        <v>2.9023076101220218</v>
      </c>
      <c r="V534" s="17">
        <f t="shared" si="356"/>
        <v>1.219033297249241</v>
      </c>
      <c r="W534" s="31" t="str">
        <f t="shared" si="345"/>
        <v>1-6.72189042979638i</v>
      </c>
      <c r="X534" s="17">
        <f t="shared" si="357"/>
        <v>6.7958671963324999</v>
      </c>
      <c r="Y534" s="17">
        <f t="shared" si="358"/>
        <v>-1.4231118059223253</v>
      </c>
      <c r="Z534" s="31" t="str">
        <f t="shared" si="346"/>
        <v>-0.89505317991297+9.4009661338285i</v>
      </c>
      <c r="AA534" s="17">
        <f t="shared" si="359"/>
        <v>9.443478408100626</v>
      </c>
      <c r="AB534" s="17">
        <f t="shared" si="360"/>
        <v>1.6657188404367498</v>
      </c>
      <c r="AC534" s="66" t="str">
        <f t="shared" si="361"/>
        <v>-0.0446688684430346+0.0137059607954784i</v>
      </c>
      <c r="AD534" s="64">
        <f t="shared" si="362"/>
        <v>-26.609142018274863</v>
      </c>
      <c r="AE534" s="61">
        <f t="shared" si="363"/>
        <v>162.94216715057723</v>
      </c>
      <c r="AF534" s="31" t="str">
        <f t="shared" si="347"/>
        <v>-9090.90909090909</v>
      </c>
      <c r="AG534" s="31" t="str">
        <f t="shared" si="348"/>
        <v>9081965.92996386i</v>
      </c>
      <c r="AH534" s="31">
        <f t="shared" si="364"/>
        <v>9081965.9299638607</v>
      </c>
      <c r="AI534" s="31">
        <f t="shared" si="365"/>
        <v>1.5707963267948966</v>
      </c>
      <c r="AJ534" s="31" t="str">
        <f t="shared" si="349"/>
        <v>-298810.221622067+3144.60345735224i</v>
      </c>
      <c r="AK534" s="31">
        <f t="shared" si="366"/>
        <v>298826.76767105848</v>
      </c>
      <c r="AL534" s="31">
        <f t="shared" si="367"/>
        <v>3.1310692941127223</v>
      </c>
      <c r="AM534" s="31" t="str">
        <f t="shared" si="350"/>
        <v>1+11968.2147025064i</v>
      </c>
      <c r="AN534" s="31">
        <f t="shared" si="368"/>
        <v>11968.214744283725</v>
      </c>
      <c r="AO534" s="31">
        <f t="shared" si="369"/>
        <v>1.570712772144305</v>
      </c>
      <c r="AP534" s="31" t="str">
        <f t="shared" si="351"/>
        <v>1+1998.03250459205i</v>
      </c>
      <c r="AQ534" s="31">
        <f t="shared" si="370"/>
        <v>1998.0327548382134</v>
      </c>
      <c r="AR534" s="31">
        <f t="shared" si="371"/>
        <v>1.5702958344784783</v>
      </c>
      <c r="AS534" s="58" t="str">
        <f t="shared" si="372"/>
        <v>-0.000796139407188189+0.0800974100931767i</v>
      </c>
      <c r="AT534" s="49">
        <f t="shared" si="373"/>
        <v>-21.92720148106779</v>
      </c>
      <c r="AU534" s="61">
        <f t="shared" si="374"/>
        <v>90.569480658088054</v>
      </c>
      <c r="AV534" s="58" t="str">
        <f t="shared" si="352"/>
        <v>-0.00106224931611443-0.00358877252958256i</v>
      </c>
      <c r="AW534" s="64">
        <f t="shared" si="375"/>
        <v>-48.536343499342649</v>
      </c>
      <c r="AX534" s="49">
        <f t="shared" si="376"/>
        <v>-106.48835219133468</v>
      </c>
      <c r="AY534" s="310"/>
      <c r="BA534" s="31">
        <f t="shared" si="377"/>
        <v>0</v>
      </c>
      <c r="BB534" s="31">
        <f t="shared" si="378"/>
        <v>0</v>
      </c>
    </row>
    <row r="535" spans="14:54" x14ac:dyDescent="0.45">
      <c r="N535" s="10">
        <v>17</v>
      </c>
      <c r="O535" s="50">
        <f t="shared" si="341"/>
        <v>1479108.3881682095</v>
      </c>
      <c r="P535" s="48" t="str">
        <f t="shared" si="342"/>
        <v>17.4002386318441</v>
      </c>
      <c r="Q535" s="17" t="str">
        <f t="shared" si="343"/>
        <v>1+795.917912183867i</v>
      </c>
      <c r="R535" s="17">
        <f t="shared" si="353"/>
        <v>795.91854038910662</v>
      </c>
      <c r="S535" s="17">
        <f t="shared" si="354"/>
        <v>1.5695399164810904</v>
      </c>
      <c r="T535" s="17" t="str">
        <f t="shared" si="344"/>
        <v>1+2.78805362767937i</v>
      </c>
      <c r="U535" s="17">
        <f t="shared" si="355"/>
        <v>2.9619660752304533</v>
      </c>
      <c r="V535" s="17">
        <f t="shared" si="356"/>
        <v>1.2264158546132706</v>
      </c>
      <c r="W535" s="31" t="str">
        <f t="shared" si="345"/>
        <v>1-6.8784633716897i</v>
      </c>
      <c r="X535" s="17">
        <f t="shared" si="357"/>
        <v>6.9507739393305581</v>
      </c>
      <c r="Y535" s="17">
        <f t="shared" si="358"/>
        <v>-1.4264264695251894</v>
      </c>
      <c r="Z535" s="31" t="str">
        <f t="shared" si="346"/>
        <v>-0.9843642847615+9.61994276541539i</v>
      </c>
      <c r="AA535" s="17">
        <f t="shared" si="359"/>
        <v>9.6701743446011328</v>
      </c>
      <c r="AB535" s="17">
        <f t="shared" si="360"/>
        <v>1.6727668002240337</v>
      </c>
      <c r="AC535" s="66" t="str">
        <f t="shared" si="361"/>
        <v>-0.0444553883608778+0.0137869695735188i</v>
      </c>
      <c r="AD535" s="64">
        <f t="shared" si="362"/>
        <v>-26.642689539490924</v>
      </c>
      <c r="AE535" s="61">
        <f t="shared" si="363"/>
        <v>162.76974515360797</v>
      </c>
      <c r="AF535" s="31" t="str">
        <f t="shared" si="347"/>
        <v>-9090.90909090909</v>
      </c>
      <c r="AG535" s="31" t="str">
        <f t="shared" si="348"/>
        <v>9293512.09226457i</v>
      </c>
      <c r="AH535" s="31">
        <f t="shared" si="364"/>
        <v>9293512.0922645703</v>
      </c>
      <c r="AI535" s="31">
        <f t="shared" si="365"/>
        <v>1.5707963267948966</v>
      </c>
      <c r="AJ535" s="31" t="str">
        <f t="shared" si="349"/>
        <v>-312892.76063843+3217.85068141037i</v>
      </c>
      <c r="AK535" s="31">
        <f t="shared" si="366"/>
        <v>312909.30670554645</v>
      </c>
      <c r="AL535" s="31">
        <f t="shared" si="367"/>
        <v>3.1313088194830576</v>
      </c>
      <c r="AM535" s="31" t="str">
        <f t="shared" si="350"/>
        <v>1+12246.9902351862i</v>
      </c>
      <c r="AN535" s="31">
        <f t="shared" si="368"/>
        <v>12246.990276012559</v>
      </c>
      <c r="AO535" s="31">
        <f t="shared" si="369"/>
        <v>1.5707146740803459</v>
      </c>
      <c r="AP535" s="31" t="str">
        <f t="shared" si="351"/>
        <v>1+2044.5726602982i</v>
      </c>
      <c r="AQ535" s="31">
        <f t="shared" si="370"/>
        <v>2044.5729048480662</v>
      </c>
      <c r="AR535" s="31">
        <f t="shared" si="371"/>
        <v>1.5703072270726521</v>
      </c>
      <c r="AS535" s="58" t="str">
        <f t="shared" si="372"/>
        <v>-0.000760310786455008+0.0782745272713172i</v>
      </c>
      <c r="AT535" s="49">
        <f t="shared" si="373"/>
        <v>-22.127181194311689</v>
      </c>
      <c r="AU535" s="61">
        <f t="shared" si="374"/>
        <v>90.556518585753452</v>
      </c>
      <c r="AV535" s="58" t="str">
        <f t="shared" si="352"/>
        <v>-0.0010453686145844-0.0034902068902898i</v>
      </c>
      <c r="AW535" s="64">
        <f t="shared" si="375"/>
        <v>-48.769870733802605</v>
      </c>
      <c r="AX535" s="49">
        <f t="shared" si="376"/>
        <v>-106.67373626063862</v>
      </c>
      <c r="AY535" s="310"/>
      <c r="BA535" s="31">
        <f t="shared" si="377"/>
        <v>0</v>
      </c>
      <c r="BB535" s="31">
        <f t="shared" si="378"/>
        <v>0</v>
      </c>
    </row>
    <row r="536" spans="14:54" x14ac:dyDescent="0.45">
      <c r="N536" s="10">
        <v>18</v>
      </c>
      <c r="O536" s="50">
        <f t="shared" si="341"/>
        <v>1513561.2484362102</v>
      </c>
      <c r="P536" s="48" t="str">
        <f t="shared" si="342"/>
        <v>17.4002386318441</v>
      </c>
      <c r="Q536" s="17" t="str">
        <f t="shared" si="343"/>
        <v>1+814.45722196848i</v>
      </c>
      <c r="R536" s="17">
        <f t="shared" si="353"/>
        <v>814.45783587403332</v>
      </c>
      <c r="S536" s="17">
        <f t="shared" si="354"/>
        <v>1.5695685158423749</v>
      </c>
      <c r="T536" s="17" t="str">
        <f t="shared" si="344"/>
        <v>1+2.85299573930724i</v>
      </c>
      <c r="U536" s="17">
        <f t="shared" si="355"/>
        <v>3.0231746043695957</v>
      </c>
      <c r="V536" s="17">
        <f t="shared" si="356"/>
        <v>1.2336683406663926</v>
      </c>
      <c r="W536" s="31" t="str">
        <f t="shared" si="345"/>
        <v>1-7.03868336590992i</v>
      </c>
      <c r="X536" s="17">
        <f t="shared" si="357"/>
        <v>7.1093644951948409</v>
      </c>
      <c r="Y536" s="17">
        <f t="shared" si="358"/>
        <v>-1.4296687719982601</v>
      </c>
      <c r="Z536" s="31" t="str">
        <f t="shared" si="346"/>
        <v>-1.07788449230637+9.84402001799151i</v>
      </c>
      <c r="AA536" s="17">
        <f t="shared" si="359"/>
        <v>9.9028564108226931</v>
      </c>
      <c r="AB536" s="17">
        <f t="shared" si="360"/>
        <v>1.679858220864793</v>
      </c>
      <c r="AC536" s="66" t="str">
        <f t="shared" si="361"/>
        <v>-0.0442443534110481+0.0138724937936184i</v>
      </c>
      <c r="AD536" s="64">
        <f t="shared" si="362"/>
        <v>-26.675597437621615</v>
      </c>
      <c r="AE536" s="61">
        <f t="shared" si="363"/>
        <v>162.59156465165182</v>
      </c>
      <c r="AF536" s="31" t="str">
        <f t="shared" si="347"/>
        <v>-9090.90909090909</v>
      </c>
      <c r="AG536" s="31" t="str">
        <f t="shared" si="348"/>
        <v>9509985.79769079i</v>
      </c>
      <c r="AH536" s="31">
        <f t="shared" si="364"/>
        <v>9509985.7976907901</v>
      </c>
      <c r="AI536" s="31">
        <f t="shared" si="365"/>
        <v>1.5707963267948966</v>
      </c>
      <c r="AJ536" s="31" t="str">
        <f t="shared" si="349"/>
        <v>-327638.989271505+3292.80405249308i</v>
      </c>
      <c r="AK536" s="31">
        <f t="shared" si="366"/>
        <v>327655.53535593062</v>
      </c>
      <c r="AL536" s="31">
        <f t="shared" si="367"/>
        <v>3.1315428936272105</v>
      </c>
      <c r="AM536" s="31" t="str">
        <f t="shared" si="350"/>
        <v>1+12532.2592841969i</v>
      </c>
      <c r="AN536" s="31">
        <f t="shared" si="368"/>
        <v>12532.259324093937</v>
      </c>
      <c r="AO536" s="31">
        <f t="shared" si="369"/>
        <v>1.5707165327230377</v>
      </c>
      <c r="AP536" s="31" t="str">
        <f t="shared" si="351"/>
        <v>1+2092.19687549197i</v>
      </c>
      <c r="AQ536" s="31">
        <f t="shared" si="370"/>
        <v>2092.1971144752019</v>
      </c>
      <c r="AR536" s="31">
        <f t="shared" si="371"/>
        <v>1.5703183603398447</v>
      </c>
      <c r="AS536" s="58" t="str">
        <f t="shared" si="372"/>
        <v>-0.000726094406502373+0.0764931145147939i</v>
      </c>
      <c r="AT536" s="49">
        <f t="shared" si="373"/>
        <v>-22.327161820521177</v>
      </c>
      <c r="AU536" s="61">
        <f t="shared" si="374"/>
        <v>90.543851506804558</v>
      </c>
      <c r="AV536" s="58" t="str">
        <f t="shared" si="352"/>
        <v>-0.00102902467882994-0.0033944611322521i</v>
      </c>
      <c r="AW536" s="64">
        <f t="shared" si="375"/>
        <v>-49.002759258142788</v>
      </c>
      <c r="AX536" s="49">
        <f t="shared" si="376"/>
        <v>-106.86458384154356</v>
      </c>
      <c r="AY536" s="310"/>
      <c r="BA536" s="31">
        <f t="shared" si="377"/>
        <v>0</v>
      </c>
      <c r="BB536" s="31">
        <f t="shared" si="378"/>
        <v>0</v>
      </c>
    </row>
    <row r="537" spans="14:54" x14ac:dyDescent="0.45">
      <c r="N537" s="10">
        <v>19</v>
      </c>
      <c r="O537" s="50">
        <f t="shared" si="341"/>
        <v>1548816.6189124861</v>
      </c>
      <c r="P537" s="48" t="str">
        <f t="shared" si="342"/>
        <v>17.4002386318441</v>
      </c>
      <c r="Q537" s="17" t="str">
        <f t="shared" si="343"/>
        <v>1+833.428367752798i</v>
      </c>
      <c r="R537" s="17">
        <f t="shared" si="353"/>
        <v>833.42896768416517</v>
      </c>
      <c r="S537" s="17">
        <f t="shared" si="354"/>
        <v>1.5695964642046585</v>
      </c>
      <c r="T537" s="17" t="str">
        <f t="shared" si="344"/>
        <v>1+2.91945054703995i</v>
      </c>
      <c r="U537" s="17">
        <f t="shared" si="355"/>
        <v>3.0859668657670101</v>
      </c>
      <c r="V537" s="17">
        <f t="shared" si="356"/>
        <v>1.2407915480603384</v>
      </c>
      <c r="W537" s="31" t="str">
        <f t="shared" si="345"/>
        <v>1-7.20263536321875i</v>
      </c>
      <c r="X537" s="17">
        <f t="shared" si="357"/>
        <v>7.2717230540972393</v>
      </c>
      <c r="Y537" s="17">
        <f t="shared" si="358"/>
        <v>-1.4328401596326223</v>
      </c>
      <c r="Z537" s="31" t="str">
        <f t="shared" si="346"/>
        <v>-1.17581217144626+10.0733167002822i</v>
      </c>
      <c r="AA537" s="17">
        <f t="shared" si="359"/>
        <v>10.141708120760795</v>
      </c>
      <c r="AB537" s="17">
        <f t="shared" si="360"/>
        <v>1.6869959224372588</v>
      </c>
      <c r="AC537" s="66" t="str">
        <f t="shared" si="361"/>
        <v>-0.0440353778786771+0.0139625635018448i</v>
      </c>
      <c r="AD537" s="64">
        <f t="shared" si="362"/>
        <v>-26.707918105339758</v>
      </c>
      <c r="AE537" s="61">
        <f t="shared" si="363"/>
        <v>162.40742574654297</v>
      </c>
      <c r="AF537" s="31" t="str">
        <f t="shared" si="347"/>
        <v>-9090.90909090909</v>
      </c>
      <c r="AG537" s="31" t="str">
        <f t="shared" si="348"/>
        <v>9731501.8234665i</v>
      </c>
      <c r="AH537" s="31">
        <f t="shared" si="364"/>
        <v>9731501.8234665003</v>
      </c>
      <c r="AI537" s="31">
        <f t="shared" si="365"/>
        <v>1.5707963267948966</v>
      </c>
      <c r="AJ537" s="31" t="str">
        <f t="shared" si="349"/>
        <v>-343080.186249285+3369.50331186984i</v>
      </c>
      <c r="AK537" s="31">
        <f t="shared" si="366"/>
        <v>343096.73235024081</v>
      </c>
      <c r="AL537" s="31">
        <f t="shared" si="367"/>
        <v>3.1317716405610381</v>
      </c>
      <c r="AM537" s="31" t="str">
        <f t="shared" si="350"/>
        <v>1+12824.1731029641i</v>
      </c>
      <c r="AN537" s="31">
        <f t="shared" si="368"/>
        <v>12824.173141952966</v>
      </c>
      <c r="AO537" s="31">
        <f t="shared" si="369"/>
        <v>1.5707183490578571</v>
      </c>
      <c r="AP537" s="31" t="str">
        <f t="shared" si="351"/>
        <v>1+2140.93040116263i</v>
      </c>
      <c r="AQ537" s="31">
        <f t="shared" si="370"/>
        <v>2140.9306347059405</v>
      </c>
      <c r="AR537" s="31">
        <f t="shared" si="371"/>
        <v>1.5703292401830509</v>
      </c>
      <c r="AS537" s="58" t="str">
        <f t="shared" si="372"/>
        <v>-0.000693417732059897+0.0747522294387925i</v>
      </c>
      <c r="AT537" s="49">
        <f t="shared" si="373"/>
        <v>-22.527143318614044</v>
      </c>
      <c r="AU537" s="61">
        <f t="shared" si="374"/>
        <v>90.531472710336487</v>
      </c>
      <c r="AV537" s="58" t="str">
        <f t="shared" si="352"/>
        <v>-0.00101319783858458-0.00330142455972799i</v>
      </c>
      <c r="AW537" s="64">
        <f t="shared" si="375"/>
        <v>-49.235061423953809</v>
      </c>
      <c r="AX537" s="49">
        <f t="shared" si="376"/>
        <v>-107.06110154312053</v>
      </c>
      <c r="AY537" s="310"/>
      <c r="BA537" s="31">
        <f t="shared" si="377"/>
        <v>0</v>
      </c>
      <c r="BB537" s="31">
        <f t="shared" si="378"/>
        <v>0</v>
      </c>
    </row>
    <row r="538" spans="14:54" x14ac:dyDescent="0.45">
      <c r="N538" s="10">
        <v>20</v>
      </c>
      <c r="O538" s="50">
        <f t="shared" si="341"/>
        <v>1584893.1924611153</v>
      </c>
      <c r="P538" s="48" t="str">
        <f t="shared" si="342"/>
        <v>17.4002386318441</v>
      </c>
      <c r="Q538" s="17" t="str">
        <f t="shared" si="343"/>
        <v>1+852.841408289424i</v>
      </c>
      <c r="R538" s="17">
        <f t="shared" si="353"/>
        <v>852.84199456469548</v>
      </c>
      <c r="S538" s="17">
        <f t="shared" si="354"/>
        <v>1.5696237763863579</v>
      </c>
      <c r="T538" s="17" t="str">
        <f t="shared" si="344"/>
        <v>1+2.98745328609619i</v>
      </c>
      <c r="U538" s="17">
        <f t="shared" si="355"/>
        <v>3.1503773006747817</v>
      </c>
      <c r="V538" s="17">
        <f t="shared" si="356"/>
        <v>1.2477863612297395</v>
      </c>
      <c r="W538" s="31" t="str">
        <f t="shared" si="345"/>
        <v>1-7.37040629313527i</v>
      </c>
      <c r="X538" s="17">
        <f t="shared" si="357"/>
        <v>7.4379357973760429</v>
      </c>
      <c r="Y538" s="17">
        <f t="shared" si="358"/>
        <v>-1.4359420586313107</v>
      </c>
      <c r="Z538" s="31" t="str">
        <f t="shared" si="346"/>
        <v>-1.27835503991799+10.3079543884234i</v>
      </c>
      <c r="AA538" s="17">
        <f t="shared" si="359"/>
        <v>10.386920394510636</v>
      </c>
      <c r="AB538" s="17">
        <f t="shared" si="360"/>
        <v>1.6941827028078837</v>
      </c>
      <c r="AC538" s="66" t="str">
        <f t="shared" si="361"/>
        <v>-0.0438280827535863+0.014057199814511i</v>
      </c>
      <c r="AD538" s="64">
        <f t="shared" si="362"/>
        <v>-26.739703622407681</v>
      </c>
      <c r="AE538" s="61">
        <f t="shared" si="363"/>
        <v>162.21713624226646</v>
      </c>
      <c r="AF538" s="31" t="str">
        <f t="shared" si="347"/>
        <v>-9090.90909090909</v>
      </c>
      <c r="AG538" s="31" t="str">
        <f t="shared" si="348"/>
        <v>9958177.62032063i</v>
      </c>
      <c r="AH538" s="31">
        <f t="shared" si="364"/>
        <v>9958177.6203206293</v>
      </c>
      <c r="AI538" s="31">
        <f t="shared" si="365"/>
        <v>1.5707963267948966</v>
      </c>
      <c r="AJ538" s="31" t="str">
        <f t="shared" si="349"/>
        <v>-359249.104420793+3447.9891265032i</v>
      </c>
      <c r="AK538" s="31">
        <f t="shared" si="366"/>
        <v>359265.65053753514</v>
      </c>
      <c r="AL538" s="31">
        <f t="shared" si="367"/>
        <v>3.1319951814820697</v>
      </c>
      <c r="AM538" s="31" t="str">
        <f t="shared" si="350"/>
        <v>1+13122.8864680585i</v>
      </c>
      <c r="AN538" s="31">
        <f t="shared" si="368"/>
        <v>13122.886506159872</v>
      </c>
      <c r="AO538" s="31">
        <f t="shared" si="369"/>
        <v>1.5707201240478488</v>
      </c>
      <c r="AP538" s="31" t="str">
        <f t="shared" si="351"/>
        <v>1+2190.79907647054i</v>
      </c>
      <c r="AQ538" s="31">
        <f t="shared" si="370"/>
        <v>2190.7993046977563</v>
      </c>
      <c r="AR538" s="31">
        <f t="shared" si="371"/>
        <v>1.5703398723708968</v>
      </c>
      <c r="AS538" s="58" t="str">
        <f t="shared" si="372"/>
        <v>-0.000662211490061381+0.073050951003768i</v>
      </c>
      <c r="AT538" s="49">
        <f t="shared" si="373"/>
        <v>-22.727125649356058</v>
      </c>
      <c r="AU538" s="61">
        <f t="shared" si="374"/>
        <v>90.519375637938651</v>
      </c>
      <c r="AV538" s="58" t="str">
        <f t="shared" si="352"/>
        <v>-0.000997868354913234-0.00321099196505658i</v>
      </c>
      <c r="AW538" s="64">
        <f t="shared" si="375"/>
        <v>-49.466829271763743</v>
      </c>
      <c r="AX538" s="49">
        <f t="shared" si="376"/>
        <v>-107.26348811979489</v>
      </c>
      <c r="AY538" s="310"/>
      <c r="BA538" s="31">
        <f t="shared" si="377"/>
        <v>0</v>
      </c>
      <c r="BB538" s="31">
        <f t="shared" si="378"/>
        <v>0</v>
      </c>
    </row>
    <row r="539" spans="14:54" x14ac:dyDescent="0.45">
      <c r="N539" s="10">
        <v>21</v>
      </c>
      <c r="O539" s="50">
        <f t="shared" si="341"/>
        <v>1621810.0973589318</v>
      </c>
      <c r="P539" s="48" t="str">
        <f t="shared" si="342"/>
        <v>17.4002386318441</v>
      </c>
      <c r="Q539" s="17" t="str">
        <f t="shared" si="343"/>
        <v>1+872.706636629414i</v>
      </c>
      <c r="R539" s="17">
        <f t="shared" si="353"/>
        <v>872.70720955943989</v>
      </c>
      <c r="S539" s="17">
        <f t="shared" si="354"/>
        <v>1.5696504668685907</v>
      </c>
      <c r="T539" s="17" t="str">
        <f t="shared" si="344"/>
        <v>1+3.05704001242833i</v>
      </c>
      <c r="U539" s="17">
        <f t="shared" si="355"/>
        <v>3.2164411447417787</v>
      </c>
      <c r="V539" s="17">
        <f t="shared" si="356"/>
        <v>1.2546537501096235</v>
      </c>
      <c r="W539" s="31" t="str">
        <f t="shared" si="345"/>
        <v>1-7.54208511002727i</v>
      </c>
      <c r="X539" s="17">
        <f t="shared" si="357"/>
        <v>7.608090943653016</v>
      </c>
      <c r="Y539" s="17">
        <f t="shared" si="358"/>
        <v>-1.4389758747703054</v>
      </c>
      <c r="Z539" s="31" t="str">
        <f t="shared" si="346"/>
        <v>-1.38573060489376+10.5480574904233i</v>
      </c>
      <c r="AA539" s="17">
        <f t="shared" si="359"/>
        <v>10.638691937010599</v>
      </c>
      <c r="AB539" s="17">
        <f t="shared" si="360"/>
        <v>1.701421335411087</v>
      </c>
      <c r="AC539" s="66" t="str">
        <f t="shared" si="361"/>
        <v>-0.0436220953759455+0.0141564149611801i</v>
      </c>
      <c r="AD539" s="64">
        <f t="shared" si="362"/>
        <v>-26.771005767288155</v>
      </c>
      <c r="AE539" s="61">
        <f t="shared" si="363"/>
        <v>162.02051143118155</v>
      </c>
      <c r="AF539" s="31" t="str">
        <f t="shared" si="347"/>
        <v>-9090.90909090909</v>
      </c>
      <c r="AG539" s="31" t="str">
        <f t="shared" si="348"/>
        <v>10190133.3747611i</v>
      </c>
      <c r="AH539" s="31">
        <f t="shared" si="364"/>
        <v>10190133.374761101</v>
      </c>
      <c r="AI539" s="31">
        <f t="shared" si="365"/>
        <v>1.5707963267948966</v>
      </c>
      <c r="AJ539" s="31" t="str">
        <f t="shared" si="349"/>
        <v>-376180.040229276+3528.30311061097i</v>
      </c>
      <c r="AK539" s="31">
        <f t="shared" si="366"/>
        <v>376196.58636109397</v>
      </c>
      <c r="AL539" s="31">
        <f t="shared" si="367"/>
        <v>3.1322136348333527</v>
      </c>
      <c r="AM539" s="31" t="str">
        <f t="shared" si="350"/>
        <v>1+13428.5577612602i</v>
      </c>
      <c r="AN539" s="31">
        <f t="shared" si="368"/>
        <v>13428.557798494277</v>
      </c>
      <c r="AO539" s="31">
        <f t="shared" si="369"/>
        <v>1.5707218586341358</v>
      </c>
      <c r="AP539" s="31" t="str">
        <f t="shared" si="351"/>
        <v>1+2241.82934244744i</v>
      </c>
      <c r="AQ539" s="31">
        <f t="shared" si="370"/>
        <v>2241.8295654795711</v>
      </c>
      <c r="AR539" s="31">
        <f t="shared" si="371"/>
        <v>1.5703502625406998</v>
      </c>
      <c r="AS539" s="58" t="str">
        <f t="shared" si="372"/>
        <v>-0.000632409523034346+0.0713883790366358i</v>
      </c>
      <c r="AT539" s="49">
        <f t="shared" si="373"/>
        <v>-22.927108775278334</v>
      </c>
      <c r="AU539" s="61">
        <f t="shared" si="374"/>
        <v>90.507553880241247</v>
      </c>
      <c r="AV539" s="58" t="str">
        <f t="shared" si="352"/>
        <v>-0.000983016488518166-0.00312306333070375i</v>
      </c>
      <c r="AW539" s="64">
        <f t="shared" si="375"/>
        <v>-49.698114542566501</v>
      </c>
      <c r="AX539" s="49">
        <f t="shared" si="376"/>
        <v>-107.47193468857719</v>
      </c>
      <c r="AY539" s="310"/>
      <c r="BA539" s="31">
        <f t="shared" si="377"/>
        <v>0</v>
      </c>
      <c r="BB539" s="31">
        <f t="shared" si="378"/>
        <v>0</v>
      </c>
    </row>
    <row r="540" spans="14:54" x14ac:dyDescent="0.45">
      <c r="N540" s="10">
        <v>22</v>
      </c>
      <c r="O540" s="50">
        <f t="shared" si="341"/>
        <v>1659586.9074375622</v>
      </c>
      <c r="P540" s="48" t="str">
        <f t="shared" si="342"/>
        <v>17.4002386318441</v>
      </c>
      <c r="Q540" s="17" t="str">
        <f t="shared" si="343"/>
        <v>1+893.034585579789i</v>
      </c>
      <c r="R540" s="17">
        <f t="shared" si="353"/>
        <v>893.03514546834344</v>
      </c>
      <c r="S540" s="17">
        <f t="shared" si="354"/>
        <v>1.5696765498028511</v>
      </c>
      <c r="T540" s="17" t="str">
        <f t="shared" si="344"/>
        <v>1+3.12824762183979i</v>
      </c>
      <c r="U540" s="17">
        <f t="shared" si="355"/>
        <v>3.2841944497161406</v>
      </c>
      <c r="V540" s="17">
        <f t="shared" si="356"/>
        <v>1.2613947640182641</v>
      </c>
      <c r="W540" s="31" t="str">
        <f t="shared" si="345"/>
        <v>1-7.71776284027595i</v>
      </c>
      <c r="X540" s="17">
        <f t="shared" si="357"/>
        <v>7.7822787960046949</v>
      </c>
      <c r="Y540" s="17">
        <f t="shared" si="358"/>
        <v>-1.4419429931141046</v>
      </c>
      <c r="Z540" s="31" t="str">
        <f t="shared" si="346"/>
        <v>-1.49816662434301+10.7937533121247i</v>
      </c>
      <c r="AA540" s="17">
        <f t="shared" si="359"/>
        <v>10.897229638642029</v>
      </c>
      <c r="AB540" s="17">
        <f t="shared" si="360"/>
        <v>1.7087145668800618</v>
      </c>
      <c r="AC540" s="66" t="str">
        <f t="shared" si="361"/>
        <v>-0.0434170491081113+0.0142602122929045i</v>
      </c>
      <c r="AD540" s="64">
        <f t="shared" si="362"/>
        <v>-26.801876031461926</v>
      </c>
      <c r="AE540" s="61">
        <f t="shared" si="363"/>
        <v>161.81737389513532</v>
      </c>
      <c r="AF540" s="31" t="str">
        <f t="shared" si="347"/>
        <v>-9090.90909090909</v>
      </c>
      <c r="AG540" s="31" t="str">
        <f t="shared" si="348"/>
        <v>10427492.0727993i</v>
      </c>
      <c r="AH540" s="31">
        <f t="shared" si="364"/>
        <v>10427492.072799301</v>
      </c>
      <c r="AI540" s="31">
        <f t="shared" si="365"/>
        <v>1.5707963267948966</v>
      </c>
      <c r="AJ540" s="31" t="str">
        <f t="shared" si="349"/>
        <v>-393908.906459561+3610.48784773059i</v>
      </c>
      <c r="AK540" s="31">
        <f t="shared" si="366"/>
        <v>393925.45260577643</v>
      </c>
      <c r="AL540" s="31">
        <f t="shared" si="367"/>
        <v>3.132427116365863</v>
      </c>
      <c r="AM540" s="31" t="str">
        <f t="shared" si="350"/>
        <v>1+13741.3490535349i</v>
      </c>
      <c r="AN540" s="31">
        <f t="shared" si="368"/>
        <v>13741.349089921428</v>
      </c>
      <c r="AO540" s="31">
        <f t="shared" si="369"/>
        <v>1.570723553736419</v>
      </c>
      <c r="AP540" s="31" t="str">
        <f t="shared" si="351"/>
        <v>1+2294.04825601584i</v>
      </c>
      <c r="AQ540" s="31">
        <f t="shared" si="370"/>
        <v>2294.0484739711396</v>
      </c>
      <c r="AR540" s="31">
        <f t="shared" si="371"/>
        <v>1.5703604162014562</v>
      </c>
      <c r="AS540" s="58" t="str">
        <f t="shared" si="372"/>
        <v>-0.000603948649069397+0.0697636337623952i</v>
      </c>
      <c r="AT540" s="49">
        <f t="shared" si="373"/>
        <v>-23.127092660597928</v>
      </c>
      <c r="AU540" s="61">
        <f t="shared" si="374"/>
        <v>90.496001173539042</v>
      </c>
      <c r="AV540" s="58" t="str">
        <f t="shared" si="352"/>
        <v>-0.000968622559620772-0.00303754354897195i</v>
      </c>
      <c r="AW540" s="64">
        <f t="shared" si="375"/>
        <v>-49.928968692059847</v>
      </c>
      <c r="AX540" s="49">
        <f t="shared" si="376"/>
        <v>-107.6866249313256</v>
      </c>
      <c r="AY540" s="310"/>
      <c r="BA540" s="31">
        <f t="shared" si="377"/>
        <v>0</v>
      </c>
      <c r="BB540" s="31">
        <f t="shared" si="378"/>
        <v>0</v>
      </c>
    </row>
    <row r="541" spans="14:54" x14ac:dyDescent="0.45">
      <c r="N541" s="10">
        <v>23</v>
      </c>
      <c r="O541" s="50">
        <f t="shared" si="341"/>
        <v>1698243.6524617488</v>
      </c>
      <c r="P541" s="48" t="str">
        <f t="shared" si="342"/>
        <v>17.4002386318441</v>
      </c>
      <c r="Q541" s="17" t="str">
        <f t="shared" si="343"/>
        <v>1+913.83603328815i</v>
      </c>
      <c r="R541" s="17">
        <f t="shared" si="353"/>
        <v>913.83658043209277</v>
      </c>
      <c r="S541" s="17">
        <f t="shared" si="354"/>
        <v>1.5697020390185146</v>
      </c>
      <c r="T541" s="17" t="str">
        <f t="shared" si="344"/>
        <v>1+3.20111386954761i</v>
      </c>
      <c r="U541" s="17">
        <f t="shared" si="355"/>
        <v>3.3536741054864097</v>
      </c>
      <c r="V541" s="17">
        <f t="shared" si="356"/>
        <v>1.2680105257179872</v>
      </c>
      <c r="W541" s="31" t="str">
        <f t="shared" si="345"/>
        <v>1-7.89753263053923i</v>
      </c>
      <c r="X541" s="17">
        <f t="shared" si="357"/>
        <v>7.960591790214588</v>
      </c>
      <c r="Y541" s="17">
        <f t="shared" si="358"/>
        <v>-1.4448447777821543</v>
      </c>
      <c r="Z541" s="31" t="str">
        <f t="shared" si="346"/>
        <v>-1.61590159013754+11.0451721247045i</v>
      </c>
      <c r="AA541" s="17">
        <f t="shared" si="359"/>
        <v>11.162748998941003</v>
      </c>
      <c r="AB541" s="17">
        <f t="shared" si="360"/>
        <v>1.7160651145206236</v>
      </c>
      <c r="AC541" s="66" t="str">
        <f t="shared" si="361"/>
        <v>-0.0432125830342428+0.0143685862572976i</v>
      </c>
      <c r="AD541" s="64">
        <f t="shared" si="362"/>
        <v>-26.83236563616348</v>
      </c>
      <c r="AE541" s="61">
        <f t="shared" si="363"/>
        <v>161.60755332286411</v>
      </c>
      <c r="AF541" s="31" t="str">
        <f t="shared" si="347"/>
        <v>-9090.90909090909</v>
      </c>
      <c r="AG541" s="31" t="str">
        <f t="shared" si="348"/>
        <v>10670379.5651587i</v>
      </c>
      <c r="AH541" s="31">
        <f t="shared" si="364"/>
        <v>10670379.565158701</v>
      </c>
      <c r="AI541" s="31">
        <f t="shared" si="365"/>
        <v>1.5707963267948966</v>
      </c>
      <c r="AJ541" s="31" t="str">
        <f t="shared" si="349"/>
        <v>-412473.30841387+3694.58691329754i</v>
      </c>
      <c r="AK541" s="31">
        <f t="shared" si="366"/>
        <v>412489.85457383486</v>
      </c>
      <c r="AL541" s="31">
        <f t="shared" si="367"/>
        <v>3.1326357391995159</v>
      </c>
      <c r="AM541" s="31" t="str">
        <f t="shared" si="350"/>
        <v>1+14061.4261909661i</v>
      </c>
      <c r="AN541" s="31">
        <f t="shared" si="368"/>
        <v>14061.426226524371</v>
      </c>
      <c r="AO541" s="31">
        <f t="shared" si="369"/>
        <v>1.5707252102534639</v>
      </c>
      <c r="AP541" s="31" t="str">
        <f t="shared" si="351"/>
        <v>1+2347.48350433491i</v>
      </c>
      <c r="AQ541" s="31">
        <f t="shared" si="370"/>
        <v>2347.483717328942</v>
      </c>
      <c r="AR541" s="31">
        <f t="shared" si="371"/>
        <v>1.5703703387367633</v>
      </c>
      <c r="AS541" s="58" t="str">
        <f t="shared" si="372"/>
        <v>-0.000576768528075037+0.0681758553459759i</v>
      </c>
      <c r="AT541" s="49">
        <f t="shared" si="373"/>
        <v>-23.327077271141672</v>
      </c>
      <c r="AU541" s="61">
        <f t="shared" si="374"/>
        <v>90.484711396491207</v>
      </c>
      <c r="AV541" s="58" t="str">
        <f t="shared" si="352"/>
        <v>-0.000954667000292718-0.00295434215841465i</v>
      </c>
      <c r="AW541" s="64">
        <f t="shared" si="375"/>
        <v>-50.159442907305156</v>
      </c>
      <c r="AX541" s="49">
        <f t="shared" si="376"/>
        <v>-107.9077352806447</v>
      </c>
      <c r="AY541" s="310"/>
      <c r="BA541" s="31">
        <f t="shared" si="377"/>
        <v>0</v>
      </c>
      <c r="BB541" s="31">
        <f t="shared" si="378"/>
        <v>0</v>
      </c>
    </row>
    <row r="542" spans="14:54" x14ac:dyDescent="0.45">
      <c r="N542" s="10">
        <v>24</v>
      </c>
      <c r="O542" s="50">
        <f t="shared" si="341"/>
        <v>1737800.8287493798</v>
      </c>
      <c r="P542" s="48" t="str">
        <f t="shared" si="342"/>
        <v>17.4002386318441</v>
      </c>
      <c r="Q542" s="17" t="str">
        <f t="shared" si="343"/>
        <v>1+935.122008957401i</v>
      </c>
      <c r="R542" s="17">
        <f t="shared" si="353"/>
        <v>935.12254364683429</v>
      </c>
      <c r="S542" s="17">
        <f t="shared" si="354"/>
        <v>1.5697269480301677</v>
      </c>
      <c r="T542" s="17" t="str">
        <f t="shared" si="344"/>
        <v>1+3.27567739020078i</v>
      </c>
      <c r="U542" s="17">
        <f t="shared" si="355"/>
        <v>3.4249178624709518</v>
      </c>
      <c r="V542" s="17">
        <f t="shared" si="356"/>
        <v>1.2745022256643859</v>
      </c>
      <c r="W542" s="31" t="str">
        <f t="shared" si="345"/>
        <v>1-8.08148979713934i</v>
      </c>
      <c r="X542" s="17">
        <f t="shared" si="357"/>
        <v>8.1431245441333662</v>
      </c>
      <c r="Y542" s="17">
        <f t="shared" si="358"/>
        <v>-1.4476825717625919</v>
      </c>
      <c r="Z542" s="31" t="str">
        <f t="shared" si="346"/>
        <v>-1.73918523392474+11.3024472337448i</v>
      </c>
      <c r="AA542" s="17">
        <f t="shared" si="359"/>
        <v>11.435474574738354</v>
      </c>
      <c r="AB542" s="17">
        <f t="shared" si="360"/>
        <v>1.7234756636204118</v>
      </c>
      <c r="AC542" s="66" t="str">
        <f t="shared" si="361"/>
        <v>-0.0430083416893156+0.0144815223420958i</v>
      </c>
      <c r="AD542" s="64">
        <f t="shared" si="362"/>
        <v>-26.862525551242221</v>
      </c>
      <c r="AE542" s="61">
        <f t="shared" si="363"/>
        <v>161.39088634491938</v>
      </c>
      <c r="AF542" s="31" t="str">
        <f t="shared" si="347"/>
        <v>-9090.90909090909</v>
      </c>
      <c r="AG542" s="31" t="str">
        <f t="shared" si="348"/>
        <v>10918924.6340026i</v>
      </c>
      <c r="AH542" s="31">
        <f t="shared" si="364"/>
        <v>10918924.6340026</v>
      </c>
      <c r="AI542" s="31">
        <f t="shared" si="365"/>
        <v>1.5707963267948966</v>
      </c>
      <c r="AJ542" s="31" t="str">
        <f t="shared" si="349"/>
        <v>-431912.623677712+3780.64489774955i</v>
      </c>
      <c r="AK542" s="31">
        <f t="shared" si="366"/>
        <v>431929.16985080752</v>
      </c>
      <c r="AL542" s="31">
        <f t="shared" si="367"/>
        <v>3.1328396138828074</v>
      </c>
      <c r="AM542" s="31" t="str">
        <f t="shared" si="350"/>
        <v>1+14388.9588826886i</v>
      </c>
      <c r="AN542" s="31">
        <f t="shared" si="368"/>
        <v>14388.958917437465</v>
      </c>
      <c r="AO542" s="31">
        <f t="shared" si="369"/>
        <v>1.5707268290635776</v>
      </c>
      <c r="AP542" s="31" t="str">
        <f t="shared" si="351"/>
        <v>1+2402.16341948057i</v>
      </c>
      <c r="AQ542" s="31">
        <f t="shared" si="370"/>
        <v>2402.1636276262666</v>
      </c>
      <c r="AR542" s="31">
        <f t="shared" si="371"/>
        <v>1.5703800354076729</v>
      </c>
      <c r="AS542" s="58" t="str">
        <f t="shared" si="372"/>
        <v>-0.000550811534036297+0.0666242034440994i</v>
      </c>
      <c r="AT542" s="49">
        <f t="shared" si="373"/>
        <v>-23.52706257427387</v>
      </c>
      <c r="AU542" s="61">
        <f t="shared" si="374"/>
        <v>90.473678566894819</v>
      </c>
      <c r="AV542" s="58" t="str">
        <f t="shared" si="352"/>
        <v>-0.000941130400037812-0.00287337309603874i</v>
      </c>
      <c r="AW542" s="64">
        <f t="shared" si="375"/>
        <v>-50.389588125516084</v>
      </c>
      <c r="AX542" s="49">
        <f t="shared" si="376"/>
        <v>-108.13543508818576</v>
      </c>
      <c r="AY542" s="310"/>
      <c r="BA542" s="31">
        <f t="shared" si="377"/>
        <v>0</v>
      </c>
      <c r="BB542" s="31">
        <f t="shared" si="378"/>
        <v>0</v>
      </c>
    </row>
    <row r="543" spans="14:54" x14ac:dyDescent="0.45">
      <c r="N543" s="10">
        <v>25</v>
      </c>
      <c r="O543" s="50">
        <f t="shared" si="341"/>
        <v>1778279.4100389241</v>
      </c>
      <c r="P543" s="48" t="str">
        <f t="shared" si="342"/>
        <v>17.4002386318441</v>
      </c>
      <c r="Q543" s="17" t="str">
        <f t="shared" si="343"/>
        <v>1+956.903798693604i</v>
      </c>
      <c r="R543" s="17">
        <f t="shared" si="353"/>
        <v>956.90432121202662</v>
      </c>
      <c r="S543" s="17">
        <f t="shared" si="354"/>
        <v>1.5697512900447748</v>
      </c>
      <c r="T543" s="17" t="str">
        <f t="shared" si="344"/>
        <v>1+3.35197771836495i</v>
      </c>
      <c r="U543" s="17">
        <f t="shared" si="355"/>
        <v>3.4979643543659926</v>
      </c>
      <c r="V543" s="17">
        <f t="shared" si="356"/>
        <v>1.2808711164523463</v>
      </c>
      <c r="W543" s="31" t="str">
        <f t="shared" si="345"/>
        <v>1-8.26973187660106i</v>
      </c>
      <c r="X543" s="17">
        <f t="shared" si="357"/>
        <v>8.3299739081747255</v>
      </c>
      <c r="Y543" s="17">
        <f t="shared" si="358"/>
        <v>-1.4504576967699505</v>
      </c>
      <c r="Z543" s="31" t="str">
        <f t="shared" si="346"/>
        <v>-1.86827905684205+11.5657150499139i</v>
      </c>
      <c r="AA543" s="17">
        <f t="shared" si="359"/>
        <v>11.715640454112592</v>
      </c>
      <c r="AB543" s="17">
        <f t="shared" si="360"/>
        <v>1.7309488645860662</v>
      </c>
      <c r="AC543" s="66" t="str">
        <f t="shared" si="361"/>
        <v>-0.0428039748191735+0.0145989969889231i</v>
      </c>
      <c r="AD543" s="64">
        <f t="shared" si="362"/>
        <v>-26.892406515854994</v>
      </c>
      <c r="AE543" s="61">
        <f t="shared" si="363"/>
        <v>161.16721638721947</v>
      </c>
      <c r="AF543" s="31" t="str">
        <f t="shared" si="347"/>
        <v>-9090.90909090909</v>
      </c>
      <c r="AG543" s="31" t="str">
        <f t="shared" si="348"/>
        <v>11173259.0612165i</v>
      </c>
      <c r="AH543" s="31">
        <f t="shared" si="364"/>
        <v>11173259.0612165</v>
      </c>
      <c r="AI543" s="31">
        <f t="shared" si="365"/>
        <v>1.5707963267948966</v>
      </c>
      <c r="AJ543" s="31" t="str">
        <f t="shared" si="349"/>
        <v>-452268.085645041+3868.70743016911i</v>
      </c>
      <c r="AK543" s="31">
        <f t="shared" si="366"/>
        <v>452284.63183067623</v>
      </c>
      <c r="AL543" s="31">
        <f t="shared" si="367"/>
        <v>3.1330388484511111</v>
      </c>
      <c r="AM543" s="31" t="str">
        <f t="shared" si="350"/>
        <v>1+14724.1207908711i</v>
      </c>
      <c r="AN543" s="31">
        <f t="shared" si="368"/>
        <v>14724.120824828984</v>
      </c>
      <c r="AO543" s="31">
        <f t="shared" si="369"/>
        <v>1.5707284110250748</v>
      </c>
      <c r="AP543" s="31" t="str">
        <f t="shared" si="351"/>
        <v>1+2458.11699346763i</v>
      </c>
      <c r="AQ543" s="31">
        <f t="shared" si="370"/>
        <v>2458.1171968753529</v>
      </c>
      <c r="AR543" s="31">
        <f t="shared" si="371"/>
        <v>1.5703895113554804</v>
      </c>
      <c r="AS543" s="58" t="str">
        <f t="shared" si="372"/>
        <v>-0.000526022633008476+0.0651078567669555i</v>
      </c>
      <c r="AT543" s="49">
        <f t="shared" si="373"/>
        <v>-23.727048538827535</v>
      </c>
      <c r="AU543" s="61">
        <f t="shared" si="374"/>
        <v>90.462896838531307</v>
      </c>
      <c r="AV543" s="58" t="str">
        <f t="shared" si="352"/>
        <v>-0.00092799354535841-0.00279455446441851i</v>
      </c>
      <c r="AW543" s="64">
        <f t="shared" si="375"/>
        <v>-50.619455054682533</v>
      </c>
      <c r="AX543" s="49">
        <f t="shared" si="376"/>
        <v>-108.36988677424927</v>
      </c>
      <c r="AY543" s="310"/>
      <c r="BA543" s="31">
        <f t="shared" si="377"/>
        <v>0</v>
      </c>
      <c r="BB543" s="31">
        <f t="shared" si="378"/>
        <v>0</v>
      </c>
    </row>
    <row r="544" spans="14:54" x14ac:dyDescent="0.45">
      <c r="N544" s="10">
        <v>26</v>
      </c>
      <c r="O544" s="50">
        <f t="shared" si="341"/>
        <v>1819700.8586099846</v>
      </c>
      <c r="P544" s="48" t="str">
        <f t="shared" si="342"/>
        <v>17.4002386318441</v>
      </c>
      <c r="Q544" s="17" t="str">
        <f t="shared" si="343"/>
        <v>1+979.19295149i</v>
      </c>
      <c r="R544" s="17">
        <f t="shared" si="353"/>
        <v>979.19346211445747</v>
      </c>
      <c r="S544" s="17">
        <f t="shared" si="354"/>
        <v>1.5697750779686785</v>
      </c>
      <c r="T544" s="17" t="str">
        <f t="shared" si="344"/>
        <v>1+3.43005530948409i</v>
      </c>
      <c r="U544" s="17">
        <f t="shared" si="355"/>
        <v>3.5728531212631731</v>
      </c>
      <c r="V544" s="17">
        <f t="shared" si="356"/>
        <v>1.2871185074653799</v>
      </c>
      <c r="W544" s="31" t="str">
        <f t="shared" si="345"/>
        <v>1-8.46235867736665i</v>
      </c>
      <c r="X544" s="17">
        <f t="shared" si="357"/>
        <v>8.5212390169741514</v>
      </c>
      <c r="Y544" s="17">
        <f t="shared" si="358"/>
        <v>-1.4531714531436266</v>
      </c>
      <c r="Z544" s="31" t="str">
        <f t="shared" si="346"/>
        <v>-2.00345688419583+11.835115161293i</v>
      </c>
      <c r="AA544" s="17">
        <f t="shared" si="359"/>
        <v>12.003490757604604</v>
      </c>
      <c r="AB544" s="17">
        <f t="shared" si="360"/>
        <v>1.7384873299014101</v>
      </c>
      <c r="AC544" s="66" t="str">
        <f t="shared" si="361"/>
        <v>-0.0425991371732702+0.0147209774790557i</v>
      </c>
      <c r="AD544" s="64">
        <f t="shared" si="362"/>
        <v>-26.922059060695325</v>
      </c>
      <c r="AE544" s="61">
        <f t="shared" si="363"/>
        <v>160.93639354417786</v>
      </c>
      <c r="AF544" s="31" t="str">
        <f t="shared" si="347"/>
        <v>-9090.90909090909</v>
      </c>
      <c r="AG544" s="31" t="str">
        <f t="shared" si="348"/>
        <v>11433517.6982803i</v>
      </c>
      <c r="AH544" s="31">
        <f t="shared" si="364"/>
        <v>11433517.698280299</v>
      </c>
      <c r="AI544" s="31">
        <f t="shared" si="365"/>
        <v>1.5707963267948966</v>
      </c>
      <c r="AJ544" s="31" t="str">
        <f t="shared" si="349"/>
        <v>-473582.8709798+3958.82120247653i</v>
      </c>
      <c r="AK544" s="31">
        <f t="shared" si="366"/>
        <v>473599.41717741068</v>
      </c>
      <c r="AL544" s="31">
        <f t="shared" si="367"/>
        <v>3.133233548483668</v>
      </c>
      <c r="AM544" s="31" t="str">
        <f t="shared" si="350"/>
        <v>1+15067.0896227938i</v>
      </c>
      <c r="AN544" s="31">
        <f t="shared" si="368"/>
        <v>15067.089655978709</v>
      </c>
      <c r="AO544" s="31">
        <f t="shared" si="369"/>
        <v>1.5707299569767321</v>
      </c>
      <c r="AP544" s="31" t="str">
        <f t="shared" si="351"/>
        <v>1+2515.37389362166i</v>
      </c>
      <c r="AQ544" s="31">
        <f t="shared" si="370"/>
        <v>2515.3740923992577</v>
      </c>
      <c r="AR544" s="31">
        <f t="shared" si="371"/>
        <v>1.5703987716044525</v>
      </c>
      <c r="AS544" s="58" t="str">
        <f t="shared" si="372"/>
        <v>-0.000502349266589176+0.0636260126495047i</v>
      </c>
      <c r="AT544" s="49">
        <f t="shared" si="373"/>
        <v>-23.927035135037894</v>
      </c>
      <c r="AU544" s="61">
        <f t="shared" si="374"/>
        <v>90.452360498083394</v>
      </c>
      <c r="AV544" s="58" t="str">
        <f t="shared" si="352"/>
        <v>-0.000915237453979148-0.00271780831288455i</v>
      </c>
      <c r="AW544" s="64">
        <f t="shared" si="375"/>
        <v>-50.84909419573323</v>
      </c>
      <c r="AX544" s="49">
        <f t="shared" si="376"/>
        <v>-108.61124595773877</v>
      </c>
      <c r="AY544" s="310"/>
      <c r="BA544" s="31">
        <f t="shared" si="377"/>
        <v>0</v>
      </c>
      <c r="BB544" s="31">
        <f t="shared" si="378"/>
        <v>0</v>
      </c>
    </row>
    <row r="545" spans="14:54" x14ac:dyDescent="0.45">
      <c r="N545" s="10">
        <v>27</v>
      </c>
      <c r="O545" s="50">
        <f t="shared" si="341"/>
        <v>1862087.1366628683</v>
      </c>
      <c r="P545" s="48" t="str">
        <f t="shared" si="342"/>
        <v>17.4002386318441</v>
      </c>
      <c r="Q545" s="17" t="str">
        <f t="shared" si="343"/>
        <v>1+1002.00128535042i</v>
      </c>
      <c r="R545" s="17">
        <f t="shared" si="353"/>
        <v>1002.0017843516517</v>
      </c>
      <c r="S545" s="17">
        <f t="shared" si="354"/>
        <v>1.5697983244144433</v>
      </c>
      <c r="T545" s="17" t="str">
        <f t="shared" si="344"/>
        <v>1+3.50995156133046i</v>
      </c>
      <c r="U545" s="17">
        <f t="shared" si="355"/>
        <v>3.6496246331487479</v>
      </c>
      <c r="V545" s="17">
        <f t="shared" si="356"/>
        <v>1.293245759733076</v>
      </c>
      <c r="W545" s="31" t="str">
        <f t="shared" si="345"/>
        <v>1-8.65947233271552i</v>
      </c>
      <c r="X545" s="17">
        <f t="shared" si="357"/>
        <v>8.7170213422398799</v>
      </c>
      <c r="Y545" s="17">
        <f t="shared" si="358"/>
        <v>-1.4558251197841099</v>
      </c>
      <c r="Z545" s="31" t="str">
        <f t="shared" si="346"/>
        <v>-2.14500544628145+12.1107904073868i</v>
      </c>
      <c r="AA545" s="17">
        <f t="shared" si="359"/>
        <v>12.299280168214285</v>
      </c>
      <c r="AB545" s="17">
        <f t="shared" si="360"/>
        <v>1.7460936309002033</v>
      </c>
      <c r="AC545" s="66" t="str">
        <f t="shared" si="361"/>
        <v>-0.042393488331793+0.0148474217930842i</v>
      </c>
      <c r="AD545" s="64">
        <f t="shared" si="362"/>
        <v>-26.951533531459511</v>
      </c>
      <c r="AE545" s="61">
        <f t="shared" si="363"/>
        <v>160.69827447222656</v>
      </c>
      <c r="AF545" s="31" t="str">
        <f t="shared" si="347"/>
        <v>-9090.90909090909</v>
      </c>
      <c r="AG545" s="31" t="str">
        <f t="shared" si="348"/>
        <v>11699838.5377682i</v>
      </c>
      <c r="AH545" s="31">
        <f t="shared" si="364"/>
        <v>11699838.5377682</v>
      </c>
      <c r="AI545" s="31">
        <f t="shared" si="365"/>
        <v>1.5707963267948966</v>
      </c>
      <c r="AJ545" s="31" t="str">
        <f t="shared" si="349"/>
        <v>-495902.191199401+4051.0339941867i</v>
      </c>
      <c r="AK545" s="31">
        <f t="shared" si="366"/>
        <v>495918.73740844819</v>
      </c>
      <c r="AL545" s="31">
        <f t="shared" si="367"/>
        <v>3.1334238171592883</v>
      </c>
      <c r="AM545" s="31" t="str">
        <f t="shared" si="350"/>
        <v>1+15418.0472250709i</v>
      </c>
      <c r="AN545" s="31">
        <f t="shared" si="368"/>
        <v>15418.04725750043</v>
      </c>
      <c r="AO545" s="31">
        <f t="shared" si="369"/>
        <v>1.570731467738234</v>
      </c>
      <c r="AP545" s="31" t="str">
        <f t="shared" si="351"/>
        <v>1+2573.964478309i</v>
      </c>
      <c r="AQ545" s="31">
        <f t="shared" si="370"/>
        <v>2573.9646725618672</v>
      </c>
      <c r="AR545" s="31">
        <f t="shared" si="371"/>
        <v>1.5704078210644894</v>
      </c>
      <c r="AS545" s="58" t="str">
        <f t="shared" si="372"/>
        <v>-0.000479741240623131+0.0621778866322002i</v>
      </c>
      <c r="AT545" s="49">
        <f t="shared" si="373"/>
        <v>-24.127022334479477</v>
      </c>
      <c r="AU545" s="61">
        <f t="shared" si="374"/>
        <v>90.442063962121665</v>
      </c>
      <c r="AV545" s="58" t="str">
        <f t="shared" si="352"/>
        <v>-0.000902843404344211-0.0026430604319888i</v>
      </c>
      <c r="AW545" s="64">
        <f t="shared" si="375"/>
        <v>-51.078555865938981</v>
      </c>
      <c r="AX545" s="49">
        <f t="shared" si="376"/>
        <v>-108.85966156565175</v>
      </c>
      <c r="AY545" s="310"/>
      <c r="BA545" s="31">
        <f t="shared" si="377"/>
        <v>0</v>
      </c>
      <c r="BB545" s="31">
        <f t="shared" si="378"/>
        <v>0</v>
      </c>
    </row>
    <row r="546" spans="14:54" x14ac:dyDescent="0.45">
      <c r="N546" s="10">
        <v>28</v>
      </c>
      <c r="O546" s="50">
        <f t="shared" si="341"/>
        <v>1905460.7179632513</v>
      </c>
      <c r="P546" s="48" t="str">
        <f t="shared" si="342"/>
        <v>17.4002386318441</v>
      </c>
      <c r="Q546" s="17" t="str">
        <f t="shared" si="343"/>
        <v>1+1025.34089355541i</v>
      </c>
      <c r="R546" s="17">
        <f t="shared" si="353"/>
        <v>1025.3413811979924</v>
      </c>
      <c r="S546" s="17">
        <f t="shared" si="354"/>
        <v>1.5698210417075418</v>
      </c>
      <c r="T546" s="17" t="str">
        <f t="shared" si="344"/>
        <v>1+3.59170883595438i</v>
      </c>
      <c r="U546" s="17">
        <f t="shared" si="355"/>
        <v>3.7283203137971883</v>
      </c>
      <c r="V546" s="17">
        <f t="shared" si="356"/>
        <v>1.2992542809998886</v>
      </c>
      <c r="W546" s="31" t="str">
        <f t="shared" si="345"/>
        <v>1-8.86117735491693i</v>
      </c>
      <c r="X546" s="17">
        <f t="shared" si="357"/>
        <v>8.9174247468253185</v>
      </c>
      <c r="Y546" s="17">
        <f t="shared" si="358"/>
        <v>-1.4584199541241316</v>
      </c>
      <c r="Z546" s="31" t="str">
        <f t="shared" si="346"/>
        <v>-2.29322498657692+12.39288695486i</v>
      </c>
      <c r="AA546" s="17">
        <f t="shared" si="359"/>
        <v>12.603274491773949</v>
      </c>
      <c r="AB546" s="17">
        <f t="shared" si="360"/>
        <v>1.7537702943475597</v>
      </c>
      <c r="AC546" s="66" t="str">
        <f t="shared" si="361"/>
        <v>-0.0421866925688368+0.0149782784464713i</v>
      </c>
      <c r="AD546" s="64">
        <f t="shared" si="362"/>
        <v>-26.980880113256269</v>
      </c>
      <c r="AE546" s="61">
        <f t="shared" si="363"/>
        <v>160.45272230441819</v>
      </c>
      <c r="AF546" s="31" t="str">
        <f t="shared" si="347"/>
        <v>-9090.90909090909</v>
      </c>
      <c r="AG546" s="31" t="str">
        <f t="shared" si="348"/>
        <v>11972362.7865146i</v>
      </c>
      <c r="AH546" s="31">
        <f t="shared" si="364"/>
        <v>11972362.786514601</v>
      </c>
      <c r="AI546" s="31">
        <f t="shared" si="365"/>
        <v>1.5707963267948966</v>
      </c>
      <c r="AJ546" s="31" t="str">
        <f t="shared" si="349"/>
        <v>-519273.388574446+4145.39469774237i</v>
      </c>
      <c r="AK546" s="31">
        <f t="shared" si="366"/>
        <v>519289.9347944149</v>
      </c>
      <c r="AL546" s="31">
        <f t="shared" si="367"/>
        <v>3.1336097553108049</v>
      </c>
      <c r="AM546" s="31" t="str">
        <f t="shared" si="350"/>
        <v>1+15777.1796800689i</v>
      </c>
      <c r="AN546" s="31">
        <f t="shared" si="368"/>
        <v>15777.179711760244</v>
      </c>
      <c r="AO546" s="31">
        <f t="shared" si="369"/>
        <v>1.5707329441106059</v>
      </c>
      <c r="AP546" s="31" t="str">
        <f t="shared" si="351"/>
        <v>1+2633.91981303321i</v>
      </c>
      <c r="AQ546" s="31">
        <f t="shared" si="370"/>
        <v>2633.9200028643431</v>
      </c>
      <c r="AR546" s="31">
        <f t="shared" si="371"/>
        <v>1.5704166645337283</v>
      </c>
      <c r="AS546" s="58" t="str">
        <f t="shared" si="372"/>
        <v>-0.000458150618905288+0.0607627120509437i</v>
      </c>
      <c r="AT546" s="49">
        <f t="shared" si="373"/>
        <v>-24.327010110005812</v>
      </c>
      <c r="AU546" s="61">
        <f t="shared" si="374"/>
        <v>90.432001774158849</v>
      </c>
      <c r="AV546" s="58" t="str">
        <f t="shared" si="352"/>
        <v>-0.000890792960951812-0.0025702401604823i</v>
      </c>
      <c r="AW546" s="64">
        <f t="shared" si="375"/>
        <v>-51.307890223262092</v>
      </c>
      <c r="AX546" s="49">
        <f t="shared" si="376"/>
        <v>-109.11527592142299</v>
      </c>
      <c r="AY546" s="310"/>
      <c r="BA546" s="31">
        <f t="shared" si="377"/>
        <v>0</v>
      </c>
      <c r="BB546" s="31">
        <f t="shared" si="378"/>
        <v>0</v>
      </c>
    </row>
    <row r="547" spans="14:54" x14ac:dyDescent="0.45">
      <c r="N547" s="10">
        <v>29</v>
      </c>
      <c r="O547" s="50">
        <f t="shared" si="341"/>
        <v>1949844.5997580495</v>
      </c>
      <c r="P547" s="48" t="str">
        <f t="shared" si="342"/>
        <v>17.4002386318441</v>
      </c>
      <c r="Q547" s="17" t="str">
        <f t="shared" si="343"/>
        <v>1+1049.22415107413i</v>
      </c>
      <c r="R547" s="17">
        <f t="shared" si="353"/>
        <v>1049.2246276166172</v>
      </c>
      <c r="S547" s="17">
        <f t="shared" si="354"/>
        <v>1.5698432418928898</v>
      </c>
      <c r="T547" s="17" t="str">
        <f t="shared" si="344"/>
        <v>1+3.67537048214496i</v>
      </c>
      <c r="U547" s="17">
        <f t="shared" si="355"/>
        <v>3.8089825650720002</v>
      </c>
      <c r="V547" s="17">
        <f t="shared" si="356"/>
        <v>1.3051455210069942</v>
      </c>
      <c r="W547" s="31" t="str">
        <f t="shared" si="345"/>
        <v>1-9.06758069064335i</v>
      </c>
      <c r="X547" s="17">
        <f t="shared" si="357"/>
        <v>9.1225555400517084</v>
      </c>
      <c r="Y547" s="17">
        <f t="shared" si="358"/>
        <v>-1.4609571921320263</v>
      </c>
      <c r="Z547" s="31" t="str">
        <f t="shared" si="346"/>
        <v>-2.44842989859918+12.6815543750358i</v>
      </c>
      <c r="AA547" s="17">
        <f t="shared" si="359"/>
        <v>12.915751249359985</v>
      </c>
      <c r="AB547" s="17">
        <f t="shared" si="360"/>
        <v>1.7615197988247624</v>
      </c>
      <c r="AC547" s="66" t="str">
        <f t="shared" si="361"/>
        <v>-0.0419784187533426+0.0151134863031434i</v>
      </c>
      <c r="AD547" s="64">
        <f t="shared" si="362"/>
        <v>-27.010148855658681</v>
      </c>
      <c r="AE547" s="61">
        <f t="shared" si="363"/>
        <v>160.19960658666525</v>
      </c>
      <c r="AF547" s="31" t="str">
        <f t="shared" si="347"/>
        <v>-9090.90909090909</v>
      </c>
      <c r="AG547" s="31" t="str">
        <f t="shared" si="348"/>
        <v>12251234.9404832i</v>
      </c>
      <c r="AH547" s="31">
        <f t="shared" si="364"/>
        <v>12251234.940483199</v>
      </c>
      <c r="AI547" s="31">
        <f t="shared" si="365"/>
        <v>1.5707963267948966</v>
      </c>
      <c r="AJ547" s="31" t="str">
        <f t="shared" si="349"/>
        <v>-543746.036547969+4241.95334443757i</v>
      </c>
      <c r="AK547" s="31">
        <f t="shared" si="366"/>
        <v>543762.58277836803</v>
      </c>
      <c r="AL547" s="31">
        <f t="shared" si="367"/>
        <v>3.1337914614782942</v>
      </c>
      <c r="AM547" s="31" t="str">
        <f t="shared" si="350"/>
        <v>1+16144.6774045688i</v>
      </c>
      <c r="AN547" s="31">
        <f t="shared" si="368"/>
        <v>16144.677435538757</v>
      </c>
      <c r="AO547" s="31">
        <f t="shared" si="369"/>
        <v>1.5707343868766399</v>
      </c>
      <c r="AP547" s="31" t="str">
        <f t="shared" si="351"/>
        <v>1+2695.2716869063i</v>
      </c>
      <c r="AQ547" s="31">
        <f t="shared" si="370"/>
        <v>2695.2718724163492</v>
      </c>
      <c r="AR547" s="31">
        <f t="shared" si="371"/>
        <v>1.5704253067010883</v>
      </c>
      <c r="AS547" s="58" t="str">
        <f t="shared" si="372"/>
        <v>-0.000437531621658331+0.059379739636085i</v>
      </c>
      <c r="AT547" s="49">
        <f t="shared" si="373"/>
        <v>-24.526998435691681</v>
      </c>
      <c r="AU547" s="61">
        <f t="shared" si="374"/>
        <v>90.422168601770366</v>
      </c>
      <c r="AV547" s="58" t="str">
        <f t="shared" si="352"/>
        <v>-0.000879067996042389-0.00249928020407916i</v>
      </c>
      <c r="AW547" s="64">
        <f t="shared" si="375"/>
        <v>-51.537147291350351</v>
      </c>
      <c r="AX547" s="49">
        <f t="shared" si="376"/>
        <v>-109.37822481156434</v>
      </c>
      <c r="AY547" s="310"/>
      <c r="BA547" s="31">
        <f t="shared" si="377"/>
        <v>0</v>
      </c>
      <c r="BB547" s="31">
        <f t="shared" si="378"/>
        <v>0</v>
      </c>
    </row>
    <row r="548" spans="14:54" x14ac:dyDescent="0.45">
      <c r="N548" s="10">
        <v>30</v>
      </c>
      <c r="O548" s="50">
        <f t="shared" si="341"/>
        <v>1995262.31496888</v>
      </c>
      <c r="P548" s="48" t="str">
        <f t="shared" si="342"/>
        <v>17.4002386318441</v>
      </c>
      <c r="Q548" s="17" t="str">
        <f t="shared" si="343"/>
        <v>1+1073.66372112588i</v>
      </c>
      <c r="R548" s="17">
        <f t="shared" si="353"/>
        <v>1073.6641868209406</v>
      </c>
      <c r="S548" s="17">
        <f t="shared" si="354"/>
        <v>1.5698649367412316</v>
      </c>
      <c r="T548" s="17" t="str">
        <f t="shared" si="344"/>
        <v>1+3.76098085841448i</v>
      </c>
      <c r="U548" s="17">
        <f t="shared" si="355"/>
        <v>3.8916547916484214</v>
      </c>
      <c r="V548" s="17">
        <f t="shared" si="356"/>
        <v>1.3109209669877548</v>
      </c>
      <c r="W548" s="31" t="str">
        <f t="shared" si="345"/>
        <v>1-9.27879177767564i</v>
      </c>
      <c r="X548" s="17">
        <f t="shared" si="357"/>
        <v>9.3325225343130604</v>
      </c>
      <c r="Y548" s="17">
        <f t="shared" si="358"/>
        <v>-1.4634380483447982</v>
      </c>
      <c r="Z548" s="31" t="str">
        <f t="shared" si="346"/>
        <v>-2.61094939277548+12.9769457232015i</v>
      </c>
      <c r="AA548" s="17">
        <f t="shared" si="359"/>
        <v>13.237000303488413</v>
      </c>
      <c r="AB548" s="17">
        <f t="shared" si="360"/>
        <v>1.7693445709130662</v>
      </c>
      <c r="AC548" s="66" t="str">
        <f t="shared" si="361"/>
        <v>-0.0417683402894767+0.0152529743693936i</v>
      </c>
      <c r="AD548" s="64">
        <f t="shared" si="362"/>
        <v>-27.039389698103694</v>
      </c>
      <c r="AE548" s="61">
        <f t="shared" si="363"/>
        <v>159.93880323603915</v>
      </c>
      <c r="AF548" s="31" t="str">
        <f t="shared" si="347"/>
        <v>-9090.90909090909</v>
      </c>
      <c r="AG548" s="31" t="str">
        <f t="shared" si="348"/>
        <v>12536602.8613816i</v>
      </c>
      <c r="AH548" s="31">
        <f t="shared" si="364"/>
        <v>12536602.8613816</v>
      </c>
      <c r="AI548" s="31">
        <f t="shared" si="365"/>
        <v>1.5707963267948966</v>
      </c>
      <c r="AJ548" s="31" t="str">
        <f t="shared" si="349"/>
        <v>-569372.044887457+4340.76113094486i</v>
      </c>
      <c r="AK548" s="31">
        <f t="shared" si="366"/>
        <v>569388.59112781705</v>
      </c>
      <c r="AL548" s="31">
        <f t="shared" si="367"/>
        <v>3.1339690319611027</v>
      </c>
      <c r="AM548" s="31" t="str">
        <f t="shared" si="350"/>
        <v>1+16520.7352507287i</v>
      </c>
      <c r="AN548" s="31">
        <f t="shared" si="368"/>
        <v>16520.735280993693</v>
      </c>
      <c r="AO548" s="31">
        <f t="shared" si="369"/>
        <v>1.5707357968013096</v>
      </c>
      <c r="AP548" s="31" t="str">
        <f t="shared" si="351"/>
        <v>1+2758.05262950395i</v>
      </c>
      <c r="AQ548" s="31">
        <f t="shared" si="370"/>
        <v>2758.0528107912751</v>
      </c>
      <c r="AR548" s="31">
        <f t="shared" si="371"/>
        <v>1.5704337521487559</v>
      </c>
      <c r="AS548" s="58" t="str">
        <f t="shared" si="372"/>
        <v>-0.00041784052857029+0.0580282371202705i</v>
      </c>
      <c r="AT548" s="49">
        <f t="shared" si="373"/>
        <v>-24.726987286779035</v>
      </c>
      <c r="AU548" s="61">
        <f t="shared" si="374"/>
        <v>90.412559233779803</v>
      </c>
      <c r="AV548" s="58" t="str">
        <f t="shared" si="352"/>
        <v>-0.000867650708112522-0.00243011646531068i</v>
      </c>
      <c r="AW548" s="64">
        <f t="shared" si="375"/>
        <v>-51.766376984882719</v>
      </c>
      <c r="AX548" s="49">
        <f t="shared" si="376"/>
        <v>-109.64863753018103</v>
      </c>
      <c r="AY548" s="310"/>
      <c r="BA548" s="31">
        <f t="shared" si="377"/>
        <v>0</v>
      </c>
      <c r="BB548" s="31">
        <f t="shared" si="378"/>
        <v>0</v>
      </c>
    </row>
    <row r="549" spans="14:54" x14ac:dyDescent="0.45">
      <c r="N549" s="10">
        <v>31</v>
      </c>
      <c r="O549" s="50">
        <f t="shared" si="341"/>
        <v>2041737.9446695296</v>
      </c>
      <c r="P549" s="48" t="str">
        <f t="shared" si="342"/>
        <v>17.4002386318441</v>
      </c>
      <c r="Q549" s="17" t="str">
        <f t="shared" si="343"/>
        <v>1+1098.67256189419i</v>
      </c>
      <c r="R549" s="17">
        <f t="shared" si="353"/>
        <v>1098.6730169887412</v>
      </c>
      <c r="S549" s="17">
        <f t="shared" si="354"/>
        <v>1.5698861377553817</v>
      </c>
      <c r="T549" s="17" t="str">
        <f t="shared" si="344"/>
        <v>1+3.84858535651758i</v>
      </c>
      <c r="U549" s="17">
        <f t="shared" si="355"/>
        <v>3.976381426171482</v>
      </c>
      <c r="V549" s="17">
        <f t="shared" si="356"/>
        <v>1.3165821393760295</v>
      </c>
      <c r="W549" s="31" t="str">
        <f t="shared" si="345"/>
        <v>1-9.49492260292773i</v>
      </c>
      <c r="X549" s="17">
        <f t="shared" si="357"/>
        <v>9.5474371029919816</v>
      </c>
      <c r="Y549" s="17">
        <f t="shared" si="358"/>
        <v>-1.4658637159284691</v>
      </c>
      <c r="Z549" s="31" t="str">
        <f t="shared" si="346"/>
        <v>-2.78112819474224+13.2792176197597i</v>
      </c>
      <c r="AA549" s="17">
        <f t="shared" si="359"/>
        <v>13.5673245199091</v>
      </c>
      <c r="AB549" s="17">
        <f t="shared" si="360"/>
        <v>1.7772469811727285</v>
      </c>
      <c r="AC549" s="66" t="str">
        <f t="shared" si="361"/>
        <v>-0.0415561350981388+0.0153966615705311i</v>
      </c>
      <c r="AD549" s="64">
        <f t="shared" si="362"/>
        <v>-27.068652495340157</v>
      </c>
      <c r="AE549" s="61">
        <f t="shared" si="363"/>
        <v>159.67019452144547</v>
      </c>
      <c r="AF549" s="31" t="str">
        <f t="shared" si="347"/>
        <v>-9090.90909090909</v>
      </c>
      <c r="AG549" s="31" t="str">
        <f t="shared" si="348"/>
        <v>12828617.8550586i</v>
      </c>
      <c r="AH549" s="31">
        <f t="shared" si="364"/>
        <v>12828617.855058599</v>
      </c>
      <c r="AI549" s="31">
        <f t="shared" si="365"/>
        <v>1.5707963267948966</v>
      </c>
      <c r="AJ549" s="31" t="str">
        <f t="shared" si="349"/>
        <v>-596205.769792318+4441.87044646056i</v>
      </c>
      <c r="AK549" s="31">
        <f t="shared" si="366"/>
        <v>596222.31604219053</v>
      </c>
      <c r="AL549" s="31">
        <f t="shared" si="367"/>
        <v>3.1341425608686957</v>
      </c>
      <c r="AM549" s="31" t="str">
        <f t="shared" si="350"/>
        <v>1+16905.5526093962i</v>
      </c>
      <c r="AN549" s="31">
        <f t="shared" si="368"/>
        <v>16905.552638972284</v>
      </c>
      <c r="AO549" s="31">
        <f t="shared" si="369"/>
        <v>1.5707371746321759</v>
      </c>
      <c r="AP549" s="31" t="str">
        <f t="shared" si="351"/>
        <v>1+2822.29592811289i</v>
      </c>
      <c r="AQ549" s="31">
        <f t="shared" si="370"/>
        <v>2822.2961052736123</v>
      </c>
      <c r="AR549" s="31">
        <f t="shared" si="371"/>
        <v>1.5704420053546142</v>
      </c>
      <c r="AS549" s="58" t="str">
        <f t="shared" si="372"/>
        <v>-0.000399035586188298+0.0567074888549791i</v>
      </c>
      <c r="AT549" s="49">
        <f t="shared" si="373"/>
        <v>-24.926976639623245</v>
      </c>
      <c r="AU549" s="61">
        <f t="shared" si="374"/>
        <v>90.40316857750787</v>
      </c>
      <c r="AV549" s="58" t="str">
        <f t="shared" si="352"/>
        <v>-0.000856523637686172-0.00236268788380885i</v>
      </c>
      <c r="AW549" s="64">
        <f t="shared" si="375"/>
        <v>-51.995629134963409</v>
      </c>
      <c r="AX549" s="49">
        <f t="shared" si="376"/>
        <v>-109.92663690104666</v>
      </c>
      <c r="AY549" s="310"/>
      <c r="BA549" s="31">
        <f t="shared" si="377"/>
        <v>0</v>
      </c>
      <c r="BB549" s="31">
        <f t="shared" si="378"/>
        <v>0</v>
      </c>
    </row>
    <row r="550" spans="14:54" x14ac:dyDescent="0.45">
      <c r="N550" s="10">
        <v>32</v>
      </c>
      <c r="O550" s="50">
        <f t="shared" si="341"/>
        <v>2089296.1308540432</v>
      </c>
      <c r="P550" s="48" t="str">
        <f t="shared" si="342"/>
        <v>17.4002386318441</v>
      </c>
      <c r="Q550" s="17" t="str">
        <f t="shared" si="343"/>
        <v>1+1124.26393339747i</v>
      </c>
      <c r="R550" s="17">
        <f t="shared" si="353"/>
        <v>1124.2643781328086</v>
      </c>
      <c r="S550" s="17">
        <f t="shared" si="354"/>
        <v>1.5699068561763216</v>
      </c>
      <c r="T550" s="17" t="str">
        <f t="shared" si="344"/>
        <v>1+3.93823042551879i</v>
      </c>
      <c r="U550" s="17">
        <f t="shared" si="355"/>
        <v>4.0632079548654545</v>
      </c>
      <c r="V550" s="17">
        <f t="shared" si="356"/>
        <v>1.3221305877256981</v>
      </c>
      <c r="W550" s="31" t="str">
        <f t="shared" si="345"/>
        <v>1-9.71608776182414i</v>
      </c>
      <c r="X550" s="17">
        <f t="shared" si="357"/>
        <v>9.7674132397205771</v>
      </c>
      <c r="Y550" s="17">
        <f t="shared" si="358"/>
        <v>-1.4682353667634973</v>
      </c>
      <c r="Z550" s="31" t="str">
        <f t="shared" si="346"/>
        <v>-2.95932727655481+13.5885303332713i</v>
      </c>
      <c r="AA550" s="17">
        <f t="shared" si="359"/>
        <v>13.907040466900051</v>
      </c>
      <c r="AB550" s="17">
        <f t="shared" si="360"/>
        <v>1.7852293399147392</v>
      </c>
      <c r="AC550" s="66" t="str">
        <f t="shared" si="361"/>
        <v>-0.0413414856412424+0.0155444565129012i</v>
      </c>
      <c r="AD550" s="64">
        <f t="shared" si="362"/>
        <v>-27.097987042628834</v>
      </c>
      <c r="AE550" s="61">
        <f t="shared" si="363"/>
        <v>159.39366906684751</v>
      </c>
      <c r="AF550" s="31" t="str">
        <f t="shared" si="347"/>
        <v>-9090.90909090909</v>
      </c>
      <c r="AG550" s="31" t="str">
        <f t="shared" si="348"/>
        <v>13127434.7517293i</v>
      </c>
      <c r="AH550" s="31">
        <f t="shared" si="364"/>
        <v>13127434.7517293</v>
      </c>
      <c r="AI550" s="31">
        <f t="shared" si="365"/>
        <v>1.5707963267948966</v>
      </c>
      <c r="AJ550" s="31" t="str">
        <f t="shared" si="349"/>
        <v>-624304.129190755+4545.33490048209i</v>
      </c>
      <c r="AK550" s="31">
        <f t="shared" si="366"/>
        <v>624320.67544971174</v>
      </c>
      <c r="AL550" s="31">
        <f t="shared" si="367"/>
        <v>3.134312140170362</v>
      </c>
      <c r="AM550" s="31" t="str">
        <f t="shared" si="350"/>
        <v>1+17299.3335158289i</v>
      </c>
      <c r="AN550" s="31">
        <f t="shared" si="368"/>
        <v>17299.333544731748</v>
      </c>
      <c r="AO550" s="31">
        <f t="shared" si="369"/>
        <v>1.5707385210997828</v>
      </c>
      <c r="AP550" s="31" t="str">
        <f t="shared" si="351"/>
        <v>1+2888.03564538044i</v>
      </c>
      <c r="AQ550" s="31">
        <f t="shared" si="370"/>
        <v>2888.0358185084924</v>
      </c>
      <c r="AR550" s="31">
        <f t="shared" si="371"/>
        <v>1.5704500706946178</v>
      </c>
      <c r="AS550" s="58" t="str">
        <f t="shared" si="372"/>
        <v>-0.000381076919472559+0.0554167954355345i</v>
      </c>
      <c r="AT550" s="49">
        <f t="shared" si="373"/>
        <v>-25.126966471644071</v>
      </c>
      <c r="AU550" s="61">
        <f t="shared" si="374"/>
        <v>90.393991656083287</v>
      </c>
      <c r="AV550" s="58" t="str">
        <f t="shared" si="352"/>
        <v>-0.000845669680737424-0.00229693628638463i</v>
      </c>
      <c r="AW550" s="64">
        <f t="shared" si="375"/>
        <v>-52.224953514272904</v>
      </c>
      <c r="AX550" s="49">
        <f t="shared" si="376"/>
        <v>-110.21233927706919</v>
      </c>
      <c r="AY550" s="310"/>
      <c r="BA550" s="31">
        <f t="shared" si="377"/>
        <v>0</v>
      </c>
      <c r="BB550" s="31">
        <f t="shared" si="378"/>
        <v>0</v>
      </c>
    </row>
    <row r="551" spans="14:54" x14ac:dyDescent="0.45">
      <c r="N551" s="10">
        <v>33</v>
      </c>
      <c r="O551" s="50">
        <f t="shared" si="341"/>
        <v>2137962.0895022359</v>
      </c>
      <c r="P551" s="48" t="str">
        <f t="shared" si="342"/>
        <v>17.4002386318441</v>
      </c>
      <c r="Q551" s="17" t="str">
        <f t="shared" si="343"/>
        <v>1+1150.45140451963i</v>
      </c>
      <c r="R551" s="17">
        <f t="shared" si="353"/>
        <v>1150.4518391315603</v>
      </c>
      <c r="S551" s="17">
        <f t="shared" si="354"/>
        <v>1.5699271029891615</v>
      </c>
      <c r="T551" s="17" t="str">
        <f t="shared" si="344"/>
        <v>1+4.02996359642022i</v>
      </c>
      <c r="U551" s="17">
        <f t="shared" si="355"/>
        <v>4.1521809436092978</v>
      </c>
      <c r="V551" s="17">
        <f t="shared" si="356"/>
        <v>1.3275678868387175</v>
      </c>
      <c r="W551" s="31" t="str">
        <f t="shared" si="345"/>
        <v>1-9.94240451905941i</v>
      </c>
      <c r="X551" s="17">
        <f t="shared" si="357"/>
        <v>9.9925676190162953</v>
      </c>
      <c r="Y551" s="17">
        <f t="shared" si="358"/>
        <v>-1.4705541515531189</v>
      </c>
      <c r="Z551" s="31" t="str">
        <f t="shared" si="346"/>
        <v>-3.14592462235715+13.905047865431i</v>
      </c>
      <c r="AA551" s="17">
        <f t="shared" si="359"/>
        <v>14.256479154036603</v>
      </c>
      <c r="AB551" s="17">
        <f t="shared" si="360"/>
        <v>1.793293892763564</v>
      </c>
      <c r="AC551" s="66" t="str">
        <f t="shared" si="361"/>
        <v>-0.04112407899037+0.0156962572340789i</v>
      </c>
      <c r="AD551" s="64">
        <f t="shared" si="362"/>
        <v>-27.127443100398217</v>
      </c>
      <c r="AE551" s="61">
        <f t="shared" si="363"/>
        <v>159.10912187710707</v>
      </c>
      <c r="AF551" s="31" t="str">
        <f t="shared" si="347"/>
        <v>-9090.90909090909</v>
      </c>
      <c r="AG551" s="31" t="str">
        <f t="shared" si="348"/>
        <v>13433211.9880674i</v>
      </c>
      <c r="AH551" s="31">
        <f t="shared" si="364"/>
        <v>13433211.9880674</v>
      </c>
      <c r="AI551" s="31">
        <f t="shared" si="365"/>
        <v>1.5707963267948966</v>
      </c>
      <c r="AJ551" s="31" t="str">
        <f t="shared" si="349"/>
        <v>-653726.723470243+4651.20935123246i</v>
      </c>
      <c r="AK551" s="31">
        <f t="shared" si="366"/>
        <v>653743.26973787544</v>
      </c>
      <c r="AL551" s="31">
        <f t="shared" si="367"/>
        <v>3.1344778597437961</v>
      </c>
      <c r="AM551" s="31" t="str">
        <f t="shared" si="350"/>
        <v>1+17702.2867578752i</v>
      </c>
      <c r="AN551" s="31">
        <f t="shared" si="368"/>
        <v>17702.286786120138</v>
      </c>
      <c r="AO551" s="31">
        <f t="shared" si="369"/>
        <v>1.5707398369180454</v>
      </c>
      <c r="AP551" s="31" t="str">
        <f t="shared" si="351"/>
        <v>1+2955.30663737483i</v>
      </c>
      <c r="AQ551" s="31">
        <f t="shared" si="370"/>
        <v>2955.3068065620064</v>
      </c>
      <c r="AR551" s="31">
        <f t="shared" si="371"/>
        <v>1.5704579524451125</v>
      </c>
      <c r="AS551" s="58" t="str">
        <f t="shared" si="372"/>
        <v>-0.000363926447324467+0.0541554733344448i</v>
      </c>
      <c r="AT551" s="49">
        <f t="shared" si="373"/>
        <v>-25.326956761276975</v>
      </c>
      <c r="AU551" s="61">
        <f t="shared" si="374"/>
        <v>90.385023605814382</v>
      </c>
      <c r="AV551" s="58" t="str">
        <f t="shared" si="352"/>
        <v>-0.00083507210012429-0.00223280624629807i</v>
      </c>
      <c r="AW551" s="64">
        <f t="shared" si="375"/>
        <v>-52.454399861675199</v>
      </c>
      <c r="AX551" s="49">
        <f t="shared" si="376"/>
        <v>-110.50585451707857</v>
      </c>
      <c r="AY551" s="310"/>
      <c r="BA551" s="31">
        <f t="shared" si="377"/>
        <v>0</v>
      </c>
      <c r="BB551" s="31">
        <f t="shared" si="378"/>
        <v>0</v>
      </c>
    </row>
    <row r="552" spans="14:54" x14ac:dyDescent="0.45">
      <c r="N552" s="10">
        <v>34</v>
      </c>
      <c r="O552" s="50">
        <f t="shared" si="341"/>
        <v>2187761.6239495561</v>
      </c>
      <c r="P552" s="48" t="str">
        <f t="shared" si="342"/>
        <v>17.4002386318441</v>
      </c>
      <c r="Q552" s="17" t="str">
        <f t="shared" si="343"/>
        <v>1+1177.24886020449i</v>
      </c>
      <c r="R552" s="17">
        <f t="shared" si="353"/>
        <v>1177.2492849234486</v>
      </c>
      <c r="S552" s="17">
        <f t="shared" si="354"/>
        <v>1.5699468889289627</v>
      </c>
      <c r="T552" s="17" t="str">
        <f t="shared" si="344"/>
        <v>1+4.12383350736336i</v>
      </c>
      <c r="U552" s="17">
        <f t="shared" si="355"/>
        <v>4.2433480644949206</v>
      </c>
      <c r="V552" s="17">
        <f t="shared" si="356"/>
        <v>1.3328956330983595</v>
      </c>
      <c r="W552" s="31" t="str">
        <f t="shared" si="345"/>
        <v>1-10.173992870774i</v>
      </c>
      <c r="X552" s="17">
        <f t="shared" si="357"/>
        <v>10.223019658327974</v>
      </c>
      <c r="Y552" s="17">
        <f t="shared" si="358"/>
        <v>-1.4728211999526577</v>
      </c>
      <c r="Z552" s="31" t="str">
        <f t="shared" si="346"/>
        <v>-3.34131603013731+14.228938038024i</v>
      </c>
      <c r="AA552" s="17">
        <f t="shared" si="359"/>
        <v>14.615986812500168</v>
      </c>
      <c r="AB552" s="17">
        <f t="shared" si="360"/>
        <v>1.8014428160106115</v>
      </c>
      <c r="AC552" s="66" t="str">
        <f t="shared" si="361"/>
        <v>-0.0409036069413408+0.0158519509442556i</v>
      </c>
      <c r="AD552" s="64">
        <f t="shared" si="362"/>
        <v>-27.157070418060091</v>
      </c>
      <c r="AE552" s="61">
        <f t="shared" si="363"/>
        <v>158.81645438637958</v>
      </c>
      <c r="AF552" s="31" t="str">
        <f t="shared" si="347"/>
        <v>-9090.90909090909</v>
      </c>
      <c r="AG552" s="31" t="str">
        <f t="shared" si="348"/>
        <v>13746111.6912112i</v>
      </c>
      <c r="AH552" s="31">
        <f t="shared" si="364"/>
        <v>13746111.691211199</v>
      </c>
      <c r="AI552" s="31">
        <f t="shared" si="365"/>
        <v>1.5707963267948966</v>
      </c>
      <c r="AJ552" s="31" t="str">
        <f t="shared" si="349"/>
        <v>-684535.961898015+4759.54993474688i</v>
      </c>
      <c r="AK552" s="31">
        <f t="shared" si="366"/>
        <v>684552.50817393244</v>
      </c>
      <c r="AL552" s="31">
        <f t="shared" si="367"/>
        <v>3.1346398074225812</v>
      </c>
      <c r="AM552" s="31" t="str">
        <f t="shared" si="350"/>
        <v>1+18114.6259866781i</v>
      </c>
      <c r="AN552" s="31">
        <f t="shared" si="368"/>
        <v>18114.626014280104</v>
      </c>
      <c r="AO552" s="31">
        <f t="shared" si="369"/>
        <v>1.5707411227846277</v>
      </c>
      <c r="AP552" s="31" t="str">
        <f t="shared" si="351"/>
        <v>1+3024.14457206646i</v>
      </c>
      <c r="AQ552" s="31">
        <f t="shared" si="370"/>
        <v>3024.1447374024669</v>
      </c>
      <c r="AR552" s="31">
        <f t="shared" si="371"/>
        <v>1.5704656547851028</v>
      </c>
      <c r="AS552" s="58" t="str">
        <f t="shared" si="372"/>
        <v>-0.000347547801910214+0.0529228545428728i</v>
      </c>
      <c r="AT552" s="49">
        <f t="shared" si="373"/>
        <v>-25.52694748792808</v>
      </c>
      <c r="AU552" s="61">
        <f t="shared" si="374"/>
        <v>90.376259673620055</v>
      </c>
      <c r="AV552" s="58" t="str">
        <f t="shared" si="352"/>
        <v>-0.000824714535360932-0.00217024495114209i</v>
      </c>
      <c r="AW552" s="64">
        <f t="shared" si="375"/>
        <v>-52.684017905988156</v>
      </c>
      <c r="AX552" s="49">
        <f t="shared" si="376"/>
        <v>-110.80728594000033</v>
      </c>
      <c r="AY552" s="310"/>
      <c r="BA552" s="31">
        <f t="shared" si="377"/>
        <v>0</v>
      </c>
      <c r="BB552" s="31">
        <f t="shared" si="378"/>
        <v>0</v>
      </c>
    </row>
    <row r="553" spans="14:54" x14ac:dyDescent="0.45">
      <c r="N553" s="10">
        <v>35</v>
      </c>
      <c r="O553" s="50">
        <f t="shared" si="341"/>
        <v>2238721.1385683389</v>
      </c>
      <c r="P553" s="48" t="str">
        <f t="shared" si="342"/>
        <v>17.4002386318441</v>
      </c>
      <c r="Q553" s="17" t="str">
        <f t="shared" si="343"/>
        <v>1+1204.67050881775i</v>
      </c>
      <c r="R553" s="17">
        <f t="shared" si="353"/>
        <v>1204.6709238689282</v>
      </c>
      <c r="S553" s="17">
        <f t="shared" si="354"/>
        <v>1.569966224486431</v>
      </c>
      <c r="T553" s="17" t="str">
        <f t="shared" si="344"/>
        <v>1+4.21988992941747i</v>
      </c>
      <c r="U553" s="17">
        <f t="shared" si="355"/>
        <v>4.3367581228838414</v>
      </c>
      <c r="V553" s="17">
        <f t="shared" si="356"/>
        <v>1.3381154410034879</v>
      </c>
      <c r="W553" s="31" t="str">
        <f t="shared" si="345"/>
        <v>1-10.4109756081773i</v>
      </c>
      <c r="X553" s="17">
        <f t="shared" si="357"/>
        <v>10.458891581523478</v>
      </c>
      <c r="Y553" s="17">
        <f t="shared" si="358"/>
        <v>-1.4750376207179137</v>
      </c>
      <c r="Z553" s="31" t="str">
        <f t="shared" si="346"/>
        <v>-3.54591595126775+14.5603725819069i</v>
      </c>
      <c r="AA553" s="17">
        <f t="shared" si="359"/>
        <v>14.98592571906725</v>
      </c>
      <c r="AB553" s="17">
        <f t="shared" si="360"/>
        <v>1.8096782117593333</v>
      </c>
      <c r="AC553" s="66" t="str">
        <f t="shared" si="361"/>
        <v>-0.0406797661761362+0.016011413762055i</v>
      </c>
      <c r="AD553" s="64">
        <f t="shared" si="362"/>
        <v>-27.186918756690286</v>
      </c>
      <c r="AE553" s="61">
        <f t="shared" si="363"/>
        <v>158.51557452887886</v>
      </c>
      <c r="AF553" s="31" t="str">
        <f t="shared" si="347"/>
        <v>-9090.90909090909</v>
      </c>
      <c r="AG553" s="31" t="str">
        <f t="shared" si="348"/>
        <v>14066299.7647249i</v>
      </c>
      <c r="AH553" s="31">
        <f t="shared" si="364"/>
        <v>14066299.764724899</v>
      </c>
      <c r="AI553" s="31">
        <f t="shared" si="365"/>
        <v>1.5707963267948966</v>
      </c>
      <c r="AJ553" s="31" t="str">
        <f t="shared" si="349"/>
        <v>-716797.194999437+4870.41409463681i</v>
      </c>
      <c r="AK553" s="31">
        <f t="shared" si="366"/>
        <v>716813.74128326681</v>
      </c>
      <c r="AL553" s="31">
        <f t="shared" si="367"/>
        <v>3.1347980690426041</v>
      </c>
      <c r="AM553" s="31" t="str">
        <f t="shared" si="350"/>
        <v>1+18536.5698299545i</v>
      </c>
      <c r="AN553" s="31">
        <f t="shared" si="368"/>
        <v>18536.569856928207</v>
      </c>
      <c r="AO553" s="31">
        <f t="shared" si="369"/>
        <v>1.5707423793813136</v>
      </c>
      <c r="AP553" s="31" t="str">
        <f t="shared" si="351"/>
        <v>1+3094.58594823947i</v>
      </c>
      <c r="AQ553" s="31">
        <f t="shared" si="370"/>
        <v>3094.5861098119694</v>
      </c>
      <c r="AR553" s="31">
        <f t="shared" si="371"/>
        <v>1.5704731817984678</v>
      </c>
      <c r="AS553" s="58" t="str">
        <f t="shared" si="372"/>
        <v>-0.000331906251609897+0.0517182862200824i</v>
      </c>
      <c r="AT553" s="49">
        <f t="shared" si="373"/>
        <v>-25.726938631930018</v>
      </c>
      <c r="AU553" s="61">
        <f t="shared" si="374"/>
        <v>90.367695214518633</v>
      </c>
      <c r="AV553" s="58" t="str">
        <f t="shared" si="352"/>
        <v>-0.000814581011026238-0.00210920207878818i</v>
      </c>
      <c r="AW553" s="64">
        <f t="shared" si="375"/>
        <v>-52.913857388620293</v>
      </c>
      <c r="AX553" s="49">
        <f t="shared" si="376"/>
        <v>-111.11673025660248</v>
      </c>
      <c r="AY553" s="310"/>
      <c r="BA553" s="31">
        <f t="shared" si="377"/>
        <v>0</v>
      </c>
      <c r="BB553" s="31">
        <f t="shared" si="378"/>
        <v>0</v>
      </c>
    </row>
    <row r="554" spans="14:54" x14ac:dyDescent="0.45">
      <c r="N554" s="10">
        <v>36</v>
      </c>
      <c r="O554" s="50">
        <f t="shared" si="341"/>
        <v>2290867.6527677765</v>
      </c>
      <c r="P554" s="48" t="str">
        <f t="shared" si="342"/>
        <v>17.4002386318441</v>
      </c>
      <c r="Q554" s="17" t="str">
        <f t="shared" si="343"/>
        <v>1+1232.7308896805i</v>
      </c>
      <c r="R554" s="17">
        <f t="shared" si="353"/>
        <v>1232.7312952839632</v>
      </c>
      <c r="S554" s="17">
        <f t="shared" si="354"/>
        <v>1.5699851199134767</v>
      </c>
      <c r="T554" s="17" t="str">
        <f t="shared" si="344"/>
        <v>1+4.31818379296905i</v>
      </c>
      <c r="U554" s="17">
        <f t="shared" si="355"/>
        <v>4.4324610849798294</v>
      </c>
      <c r="V554" s="17">
        <f t="shared" si="356"/>
        <v>1.3432289398992567</v>
      </c>
      <c r="W554" s="31" t="str">
        <f t="shared" si="345"/>
        <v>1-10.6534783826538i</v>
      </c>
      <c r="X554" s="17">
        <f t="shared" si="357"/>
        <v>10.700308483855586</v>
      </c>
      <c r="Y554" s="17">
        <f t="shared" si="358"/>
        <v>-1.4772045018709075</v>
      </c>
      <c r="Z554" s="31" t="str">
        <f t="shared" si="346"/>
        <v>-3.76015836961248+14.8995272280623i</v>
      </c>
      <c r="AA554" s="17">
        <f t="shared" si="359"/>
        <v>15.366675066010107</v>
      </c>
      <c r="AB554" s="17">
        <f t="shared" si="360"/>
        <v>1.8180021028644588</v>
      </c>
      <c r="AC554" s="66" t="str">
        <f t="shared" si="361"/>
        <v>-0.0404522584735185+0.0161745104482451i</v>
      </c>
      <c r="AD554" s="64">
        <f t="shared" si="362"/>
        <v>-27.217037910280695</v>
      </c>
      <c r="AE554" s="61">
        <f t="shared" si="363"/>
        <v>158.20639683170629</v>
      </c>
      <c r="AF554" s="31" t="str">
        <f t="shared" si="347"/>
        <v>-9090.90909090909</v>
      </c>
      <c r="AG554" s="31" t="str">
        <f t="shared" si="348"/>
        <v>14393945.9765635i</v>
      </c>
      <c r="AH554" s="31">
        <f t="shared" si="364"/>
        <v>14393945.9765635</v>
      </c>
      <c r="AI554" s="31">
        <f t="shared" si="365"/>
        <v>1.5707963267948966</v>
      </c>
      <c r="AJ554" s="31" t="str">
        <f t="shared" si="349"/>
        <v>-750578.853175276+4983.86061254727i</v>
      </c>
      <c r="AK554" s="31">
        <f t="shared" si="366"/>
        <v>750595.39946666197</v>
      </c>
      <c r="AL554" s="31">
        <f t="shared" si="367"/>
        <v>3.1349527284874177</v>
      </c>
      <c r="AM554" s="31" t="str">
        <f t="shared" si="350"/>
        <v>1+18968.3420079154i</v>
      </c>
      <c r="AN554" s="31">
        <f t="shared" si="368"/>
        <v>18968.342034275109</v>
      </c>
      <c r="AO554" s="31">
        <f t="shared" si="369"/>
        <v>1.5707436073743666</v>
      </c>
      <c r="AP554" s="31" t="str">
        <f t="shared" si="351"/>
        <v>1+3166.66811484397i</v>
      </c>
      <c r="AQ554" s="31">
        <f t="shared" si="370"/>
        <v>3166.668272738631</v>
      </c>
      <c r="AR554" s="31">
        <f t="shared" si="371"/>
        <v>1.5704805374761261</v>
      </c>
      <c r="AS554" s="58" t="str">
        <f t="shared" si="372"/>
        <v>-0.000316968627429219+0.0505411303506786i</v>
      </c>
      <c r="AT554" s="49">
        <f t="shared" si="373"/>
        <v>-25.926930174500772</v>
      </c>
      <c r="AU554" s="61">
        <f t="shared" si="374"/>
        <v>90.359325689173474</v>
      </c>
      <c r="AV554" s="58" t="str">
        <f t="shared" si="352"/>
        <v>-0.000804655944078405-0.00204962968086556i</v>
      </c>
      <c r="AW554" s="64">
        <f t="shared" si="375"/>
        <v>-53.14396808478147</v>
      </c>
      <c r="AX554" s="49">
        <f t="shared" si="376"/>
        <v>-111.43427747912027</v>
      </c>
      <c r="AY554" s="310"/>
      <c r="BA554" s="31">
        <f t="shared" si="377"/>
        <v>0</v>
      </c>
      <c r="BB554" s="31">
        <f t="shared" si="378"/>
        <v>0</v>
      </c>
    </row>
    <row r="555" spans="14:54" x14ac:dyDescent="0.45">
      <c r="N555" s="10">
        <v>37</v>
      </c>
      <c r="O555" s="50">
        <f t="shared" si="341"/>
        <v>2344228.8153199251</v>
      </c>
      <c r="P555" s="48" t="str">
        <f t="shared" si="342"/>
        <v>17.4002386318441</v>
      </c>
      <c r="Q555" s="17" t="str">
        <f t="shared" si="343"/>
        <v>1+1261.44488077808i</v>
      </c>
      <c r="R555" s="17">
        <f t="shared" si="353"/>
        <v>1261.4452771488841</v>
      </c>
      <c r="S555" s="17">
        <f t="shared" si="354"/>
        <v>1.5700035852286511</v>
      </c>
      <c r="T555" s="17" t="str">
        <f t="shared" si="344"/>
        <v>1+4.41876721472556i</v>
      </c>
      <c r="U555" s="17">
        <f t="shared" si="355"/>
        <v>4.5305081059339773</v>
      </c>
      <c r="V555" s="17">
        <f t="shared" si="356"/>
        <v>1.348237770899025</v>
      </c>
      <c r="W555" s="31" t="str">
        <f t="shared" si="345"/>
        <v>1-10.9016297723842i</v>
      </c>
      <c r="X555" s="17">
        <f t="shared" si="357"/>
        <v>10.947398398438491</v>
      </c>
      <c r="Y555" s="17">
        <f t="shared" si="358"/>
        <v>-1.4793229108813191</v>
      </c>
      <c r="Z555" s="31" t="str">
        <f t="shared" si="346"/>
        <v>-3.98449772206466+15.2465818007724i</v>
      </c>
      <c r="AA555" s="17">
        <f t="shared" si="359"/>
        <v>15.758631879220435</v>
      </c>
      <c r="AB555" s="17">
        <f t="shared" si="360"/>
        <v>1.8264164276694241</v>
      </c>
      <c r="AC555" s="66" t="str">
        <f t="shared" si="361"/>
        <v>-0.040220790969531+0.0163410941410578i</v>
      </c>
      <c r="AD555" s="64">
        <f t="shared" si="362"/>
        <v>-27.247477725270329</v>
      </c>
      <c r="AE555" s="61">
        <f t="shared" si="363"/>
        <v>157.88884252930455</v>
      </c>
      <c r="AF555" s="31" t="str">
        <f t="shared" si="347"/>
        <v>-9090.90909090909</v>
      </c>
      <c r="AG555" s="31" t="str">
        <f t="shared" si="348"/>
        <v>14729224.0490852i</v>
      </c>
      <c r="AH555" s="31">
        <f t="shared" si="364"/>
        <v>14729224.0490852</v>
      </c>
      <c r="AI555" s="31">
        <f t="shared" si="365"/>
        <v>1.5707963267948966</v>
      </c>
      <c r="AJ555" s="31" t="str">
        <f t="shared" si="349"/>
        <v>-785952.591851684+5099.94963932369i</v>
      </c>
      <c r="AK555" s="31">
        <f t="shared" si="366"/>
        <v>785969.13815028616</v>
      </c>
      <c r="AL555" s="31">
        <f t="shared" si="367"/>
        <v>3.1351038677325787</v>
      </c>
      <c r="AM555" s="31" t="str">
        <f t="shared" si="350"/>
        <v>1+19410.1714518845i</v>
      </c>
      <c r="AN555" s="31">
        <f t="shared" si="368"/>
        <v>19410.171477644191</v>
      </c>
      <c r="AO555" s="31">
        <f t="shared" si="369"/>
        <v>1.5707448074148853</v>
      </c>
      <c r="AP555" s="31" t="str">
        <f t="shared" si="351"/>
        <v>1+3240.42929079874i</v>
      </c>
      <c r="AQ555" s="31">
        <f t="shared" si="370"/>
        <v>3240.4294450992793</v>
      </c>
      <c r="AR555" s="31">
        <f t="shared" si="371"/>
        <v>1.570487725718152</v>
      </c>
      <c r="AS555" s="58" t="str">
        <f t="shared" si="372"/>
        <v>-0.000302703252718641+0.0493907634094903i</v>
      </c>
      <c r="AT555" s="49">
        <f t="shared" si="373"/>
        <v>-26.126922097703059</v>
      </c>
      <c r="AU555" s="61">
        <f t="shared" si="374"/>
        <v>90.351146661494141</v>
      </c>
      <c r="AV555" s="58" t="str">
        <f t="shared" si="352"/>
        <v>-0.0007949241503198-0.00199148207326815i</v>
      </c>
      <c r="AW555" s="64">
        <f t="shared" si="375"/>
        <v>-53.374399822973388</v>
      </c>
      <c r="AX555" s="49">
        <f t="shared" si="376"/>
        <v>-111.76001080920129</v>
      </c>
      <c r="AY555" s="310"/>
      <c r="BA555" s="31">
        <f t="shared" si="377"/>
        <v>0</v>
      </c>
      <c r="BB555" s="31">
        <f t="shared" si="378"/>
        <v>0</v>
      </c>
    </row>
    <row r="556" spans="14:54" x14ac:dyDescent="0.45">
      <c r="N556" s="10">
        <v>38</v>
      </c>
      <c r="O556" s="50">
        <f t="shared" si="341"/>
        <v>2398832.9190194933</v>
      </c>
      <c r="P556" s="48" t="str">
        <f t="shared" si="342"/>
        <v>17.4002386318441</v>
      </c>
      <c r="Q556" s="17" t="str">
        <f t="shared" si="343"/>
        <v>1+1290.82770664863i</v>
      </c>
      <c r="R556" s="17">
        <f t="shared" si="353"/>
        <v>1290.8280939969356</v>
      </c>
      <c r="S556" s="17">
        <f t="shared" si="354"/>
        <v>1.5700216302224588</v>
      </c>
      <c r="T556" s="17" t="str">
        <f t="shared" si="344"/>
        <v>1+4.5216935253486i</v>
      </c>
      <c r="U556" s="17">
        <f t="shared" si="355"/>
        <v>4.6309515585006347</v>
      </c>
      <c r="V556" s="17">
        <f t="shared" si="356"/>
        <v>1.3531435839919819</v>
      </c>
      <c r="W556" s="31" t="str">
        <f t="shared" si="345"/>
        <v>1-11.1555613505199i</v>
      </c>
      <c r="X556" s="17">
        <f t="shared" si="357"/>
        <v>11.200292364273952</v>
      </c>
      <c r="Y556" s="17">
        <f t="shared" si="358"/>
        <v>-1.481393894862121</v>
      </c>
      <c r="Z556" s="31" t="str">
        <f t="shared" si="346"/>
        <v>-4.21940986246855+15.6017203129657i</v>
      </c>
      <c r="AA556" s="17">
        <f t="shared" si="359"/>
        <v>16.162211986962163</v>
      </c>
      <c r="AB556" s="17">
        <f t="shared" si="360"/>
        <v>1.8349230345478511</v>
      </c>
      <c r="AC556" s="66" t="str">
        <f t="shared" si="361"/>
        <v>-0.0399850764688933+0.0165110060970691i</v>
      </c>
      <c r="AD556" s="64">
        <f t="shared" si="362"/>
        <v>-27.278288118065515</v>
      </c>
      <c r="AE556" s="61">
        <f t="shared" si="363"/>
        <v>157.56283969897456</v>
      </c>
      <c r="AF556" s="31" t="str">
        <f t="shared" si="347"/>
        <v>-9090.90909090909</v>
      </c>
      <c r="AG556" s="31" t="str">
        <f t="shared" si="348"/>
        <v>15072311.751162i</v>
      </c>
      <c r="AH556" s="31">
        <f t="shared" si="364"/>
        <v>15072311.751162</v>
      </c>
      <c r="AI556" s="31">
        <f t="shared" si="365"/>
        <v>1.5707963267948966</v>
      </c>
      <c r="AJ556" s="31" t="str">
        <f t="shared" si="349"/>
        <v>-822993.443471038+5218.74272690469i</v>
      </c>
      <c r="AK556" s="31">
        <f t="shared" si="366"/>
        <v>823009.98977653123</v>
      </c>
      <c r="AL556" s="31">
        <f t="shared" si="367"/>
        <v>3.1352515668889849</v>
      </c>
      <c r="AM556" s="31" t="str">
        <f t="shared" si="350"/>
        <v>1+19862.2924256813i</v>
      </c>
      <c r="AN556" s="31">
        <f t="shared" si="368"/>
        <v>19862.292450854628</v>
      </c>
      <c r="AO556" s="31">
        <f t="shared" si="369"/>
        <v>1.570745980139147</v>
      </c>
      <c r="AP556" s="31" t="str">
        <f t="shared" si="351"/>
        <v>1+3315.90858525564i</v>
      </c>
      <c r="AQ556" s="31">
        <f t="shared" si="370"/>
        <v>3315.9087360438702</v>
      </c>
      <c r="AR556" s="31">
        <f t="shared" si="371"/>
        <v>1.570494750335844</v>
      </c>
      <c r="AS556" s="58" t="str">
        <f t="shared" si="372"/>
        <v>-0.000289079876051239+0.0482665760339158i</v>
      </c>
      <c r="AT556" s="49">
        <f t="shared" si="373"/>
        <v>-26.326914384407004</v>
      </c>
      <c r="AU556" s="61">
        <f t="shared" si="374"/>
        <v>90.34315379629156</v>
      </c>
      <c r="AV556" s="58" t="str">
        <f t="shared" si="352"/>
        <v>-0.000785370850231106-0.0019347157332038i</v>
      </c>
      <c r="AW556" s="64">
        <f t="shared" si="375"/>
        <v>-53.605202502472508</v>
      </c>
      <c r="AX556" s="49">
        <f t="shared" si="376"/>
        <v>-112.09400650473385</v>
      </c>
      <c r="AY556" s="310"/>
      <c r="BA556" s="31">
        <f t="shared" si="377"/>
        <v>0</v>
      </c>
      <c r="BB556" s="31">
        <f t="shared" si="378"/>
        <v>0</v>
      </c>
    </row>
    <row r="557" spans="14:54" x14ac:dyDescent="0.45">
      <c r="N557" s="10">
        <v>39</v>
      </c>
      <c r="O557" s="50">
        <f t="shared" si="341"/>
        <v>2454708.915685033</v>
      </c>
      <c r="P557" s="48" t="str">
        <f t="shared" si="342"/>
        <v>17.4002386318441</v>
      </c>
      <c r="Q557" s="17" t="str">
        <f t="shared" si="343"/>
        <v>1+1320.89494645538i</v>
      </c>
      <c r="R557" s="17">
        <f t="shared" si="353"/>
        <v>1320.8953249865644</v>
      </c>
      <c r="S557" s="17">
        <f t="shared" si="354"/>
        <v>1.5700392644625472</v>
      </c>
      <c r="T557" s="17" t="str">
        <f t="shared" si="344"/>
        <v>1+4.62701729773047i</v>
      </c>
      <c r="U557" s="17">
        <f t="shared" si="355"/>
        <v>4.7338450622614356</v>
      </c>
      <c r="V557" s="17">
        <f t="shared" si="356"/>
        <v>1.3579480353305642</v>
      </c>
      <c r="W557" s="31" t="str">
        <f t="shared" si="345"/>
        <v>1-11.415407754945i</v>
      </c>
      <c r="X557" s="17">
        <f t="shared" si="357"/>
        <v>11.459124495861735</v>
      </c>
      <c r="Y557" s="17">
        <f t="shared" si="358"/>
        <v>-1.4834184807779534</v>
      </c>
      <c r="Z557" s="31" t="str">
        <f t="shared" si="346"/>
        <v>-4.46539307096922+15.965131063782i</v>
      </c>
      <c r="AA557" s="17">
        <f t="shared" si="359"/>
        <v>16.577851041736288</v>
      </c>
      <c r="AB557" s="17">
        <f t="shared" si="360"/>
        <v>1.8435236762568499</v>
      </c>
      <c r="AC557" s="66" t="str">
        <f t="shared" si="361"/>
        <v>-0.0397448338080968+0.0166840754418503i</v>
      </c>
      <c r="AD557" s="64">
        <f t="shared" si="362"/>
        <v>-27.30951909026107</v>
      </c>
      <c r="AE557" s="61">
        <f t="shared" si="363"/>
        <v>157.22832341675073</v>
      </c>
      <c r="AF557" s="31" t="str">
        <f t="shared" si="347"/>
        <v>-9090.90909090909</v>
      </c>
      <c r="AG557" s="31" t="str">
        <f t="shared" si="348"/>
        <v>15423390.9924349i</v>
      </c>
      <c r="AH557" s="31">
        <f t="shared" si="364"/>
        <v>15423390.9924349</v>
      </c>
      <c r="AI557" s="31">
        <f t="shared" si="365"/>
        <v>1.5707963267948966</v>
      </c>
      <c r="AJ557" s="31" t="str">
        <f t="shared" si="349"/>
        <v>-861779.976645783+5340.30286095773i</v>
      </c>
      <c r="AK557" s="31">
        <f t="shared" si="366"/>
        <v>861796.52295785747</v>
      </c>
      <c r="AL557" s="31">
        <f t="shared" si="367"/>
        <v>3.135395904245232</v>
      </c>
      <c r="AM557" s="31" t="str">
        <f t="shared" si="350"/>
        <v>1+20324.9446498307i</v>
      </c>
      <c r="AN557" s="31">
        <f t="shared" si="368"/>
        <v>20324.944674431012</v>
      </c>
      <c r="AO557" s="31">
        <f t="shared" si="369"/>
        <v>1.5707471261689456</v>
      </c>
      <c r="AP557" s="31" t="str">
        <f t="shared" si="351"/>
        <v>1+3393.14601833567i</v>
      </c>
      <c r="AQ557" s="31">
        <f t="shared" si="370"/>
        <v>3393.1461656915412</v>
      </c>
      <c r="AR557" s="31">
        <f t="shared" si="371"/>
        <v>1.5705016150537441</v>
      </c>
      <c r="AS557" s="58" t="str">
        <f t="shared" si="372"/>
        <v>-0.00027606960711774+0.0471679727035859i</v>
      </c>
      <c r="AT557" s="49">
        <f t="shared" si="373"/>
        <v>-26.526907018253688</v>
      </c>
      <c r="AU557" s="61">
        <f t="shared" si="374"/>
        <v>90.335342856986429</v>
      </c>
      <c r="AV557" s="58" t="str">
        <f t="shared" si="352"/>
        <v>-0.000775981674371402-0.00187928920232122i</v>
      </c>
      <c r="AW557" s="64">
        <f t="shared" si="375"/>
        <v>-53.836426108514758</v>
      </c>
      <c r="AX557" s="49">
        <f t="shared" si="376"/>
        <v>-112.43633372626287</v>
      </c>
      <c r="AY557" s="310"/>
      <c r="BA557" s="31">
        <f t="shared" si="377"/>
        <v>0</v>
      </c>
      <c r="BB557" s="31">
        <f t="shared" si="378"/>
        <v>0</v>
      </c>
    </row>
    <row r="558" spans="14:54" x14ac:dyDescent="0.45">
      <c r="N558" s="10">
        <v>40</v>
      </c>
      <c r="O558" s="50">
        <f t="shared" si="341"/>
        <v>2511886.431509587</v>
      </c>
      <c r="P558" s="48" t="str">
        <f t="shared" si="342"/>
        <v>17.4002386318441</v>
      </c>
      <c r="Q558" s="17" t="str">
        <f t="shared" si="343"/>
        <v>1+1351.66254224686i</v>
      </c>
      <c r="R558" s="17">
        <f t="shared" si="353"/>
        <v>1351.6629121616249</v>
      </c>
      <c r="S558" s="17">
        <f t="shared" si="354"/>
        <v>1.5700564972987796</v>
      </c>
      <c r="T558" s="17" t="str">
        <f t="shared" si="344"/>
        <v>1+4.73479437592944i</v>
      </c>
      <c r="U558" s="17">
        <f t="shared" si="355"/>
        <v>4.8392435134360676</v>
      </c>
      <c r="V558" s="17">
        <f t="shared" si="356"/>
        <v>1.3626527846915517</v>
      </c>
      <c r="W558" s="31" t="str">
        <f t="shared" si="345"/>
        <v>1-11.6813067596627i</v>
      </c>
      <c r="X558" s="17">
        <f t="shared" si="357"/>
        <v>11.72403205443168</v>
      </c>
      <c r="Y558" s="17">
        <f t="shared" si="358"/>
        <v>-1.4853976756649079</v>
      </c>
      <c r="Z558" s="31" t="str">
        <f t="shared" si="346"/>
        <v>-4.72296911093148+16.337006738412i</v>
      </c>
      <c r="AA558" s="17">
        <f t="shared" si="359"/>
        <v>17.006005597839021</v>
      </c>
      <c r="AB558" s="17">
        <f t="shared" si="360"/>
        <v>1.8522200041119348</v>
      </c>
      <c r="AC558" s="66" t="str">
        <f t="shared" si="361"/>
        <v>-0.0394997882707537+0.0168601189348431i</v>
      </c>
      <c r="AD558" s="64">
        <f t="shared" si="362"/>
        <v>-27.34122074127896</v>
      </c>
      <c r="AE558" s="61">
        <f t="shared" si="363"/>
        <v>156.8852359328022</v>
      </c>
      <c r="AF558" s="31" t="str">
        <f t="shared" si="347"/>
        <v>-9090.90909090909</v>
      </c>
      <c r="AG558" s="31" t="str">
        <f t="shared" si="348"/>
        <v>15782647.9197648i</v>
      </c>
      <c r="AH558" s="31">
        <f t="shared" si="364"/>
        <v>15782647.9197648</v>
      </c>
      <c r="AI558" s="31">
        <f t="shared" si="365"/>
        <v>1.5707963267948966</v>
      </c>
      <c r="AJ558" s="31" t="str">
        <f t="shared" si="349"/>
        <v>-902394.462812991+5464.69449427491i</v>
      </c>
      <c r="AK558" s="31">
        <f t="shared" si="366"/>
        <v>902411.00913135044</v>
      </c>
      <c r="AL558" s="31">
        <f t="shared" si="367"/>
        <v>3.1355369563090076</v>
      </c>
      <c r="AM558" s="31" t="str">
        <f t="shared" si="350"/>
        <v>1+20798.373428666i</v>
      </c>
      <c r="AN558" s="31">
        <f t="shared" si="368"/>
        <v>20798.373452706343</v>
      </c>
      <c r="AO558" s="31">
        <f t="shared" si="369"/>
        <v>1.5707482461119211</v>
      </c>
      <c r="AP558" s="31" t="str">
        <f t="shared" si="351"/>
        <v>1+3472.18254234825i</v>
      </c>
      <c r="AQ558" s="31">
        <f t="shared" si="370"/>
        <v>3472.1826863498927</v>
      </c>
      <c r="AR558" s="31">
        <f t="shared" si="371"/>
        <v>1.5705083235116144</v>
      </c>
      <c r="AS558" s="58" t="str">
        <f t="shared" si="372"/>
        <v>-0.000263644855503167+0.0460943714271828i</v>
      </c>
      <c r="AT558" s="49">
        <f t="shared" si="373"/>
        <v>-26.726899983620221</v>
      </c>
      <c r="AU558" s="61">
        <f t="shared" si="374"/>
        <v>90.327709703369266</v>
      </c>
      <c r="AV558" s="58" t="str">
        <f t="shared" si="352"/>
        <v>-0.000766742668518087-0.00182516299546754i</v>
      </c>
      <c r="AW558" s="64">
        <f t="shared" si="375"/>
        <v>-54.068120724899195</v>
      </c>
      <c r="AX558" s="49">
        <f t="shared" si="376"/>
        <v>-112.78705436382853</v>
      </c>
      <c r="AY558" s="310"/>
      <c r="BA558" s="31">
        <f t="shared" si="377"/>
        <v>0</v>
      </c>
      <c r="BB558" s="31">
        <f t="shared" si="378"/>
        <v>0</v>
      </c>
    </row>
    <row r="559" spans="14:54" x14ac:dyDescent="0.45">
      <c r="N559" s="10">
        <v>41</v>
      </c>
      <c r="O559" s="50">
        <f t="shared" si="341"/>
        <v>2570395.782768866</v>
      </c>
      <c r="P559" s="48" t="str">
        <f t="shared" si="342"/>
        <v>17.4002386318441</v>
      </c>
      <c r="Q559" s="17" t="str">
        <f t="shared" si="343"/>
        <v>1+1383.1468074096i</v>
      </c>
      <c r="R559" s="17">
        <f t="shared" si="353"/>
        <v>1383.1471689040791</v>
      </c>
      <c r="S559" s="17">
        <f t="shared" si="354"/>
        <v>1.5700733378681933</v>
      </c>
      <c r="T559" s="17" t="str">
        <f t="shared" si="344"/>
        <v>1+4.84508190477891i</v>
      </c>
      <c r="U559" s="17">
        <f t="shared" si="355"/>
        <v>4.9472031152981817</v>
      </c>
      <c r="V559" s="17">
        <f t="shared" si="356"/>
        <v>1.3672594931045188</v>
      </c>
      <c r="W559" s="31" t="str">
        <f t="shared" si="345"/>
        <v>1-11.9533993478446i</v>
      </c>
      <c r="X559" s="17">
        <f t="shared" si="357"/>
        <v>11.99515552083639</v>
      </c>
      <c r="Y559" s="17">
        <f t="shared" si="358"/>
        <v>-1.4873324668604782</v>
      </c>
      <c r="Z559" s="31" t="str">
        <f t="shared" si="346"/>
        <v>-4.9926843356698+16.7175445102604i</v>
      </c>
      <c r="AA559" s="17">
        <f t="shared" si="359"/>
        <v>17.447154247274259</v>
      </c>
      <c r="AB559" s="17">
        <f t="shared" si="360"/>
        <v>1.86101356199565</v>
      </c>
      <c r="AC559" s="66" t="str">
        <f t="shared" si="361"/>
        <v>-0.0392496720554688+0.0170389407531663i</v>
      </c>
      <c r="AD559" s="64">
        <f t="shared" si="362"/>
        <v>-27.373443278143665</v>
      </c>
      <c r="AE559" s="61">
        <f t="shared" si="363"/>
        <v>156.53352686537448</v>
      </c>
      <c r="AF559" s="31" t="str">
        <f t="shared" si="347"/>
        <v>-9090.90909090909</v>
      </c>
      <c r="AG559" s="31" t="str">
        <f t="shared" si="348"/>
        <v>16150273.0159297i</v>
      </c>
      <c r="AH559" s="31">
        <f t="shared" si="364"/>
        <v>16150273.015929701</v>
      </c>
      <c r="AI559" s="31">
        <f t="shared" si="365"/>
        <v>1.5707963267948966</v>
      </c>
      <c r="AJ559" s="31" t="str">
        <f t="shared" si="349"/>
        <v>-944923.050743083+5591.98358094673i</v>
      </c>
      <c r="AK559" s="31">
        <f t="shared" si="366"/>
        <v>944939.5970674447</v>
      </c>
      <c r="AL559" s="31">
        <f t="shared" si="367"/>
        <v>3.1356747978475572</v>
      </c>
      <c r="AM559" s="31" t="str">
        <f t="shared" si="350"/>
        <v>1+21282.8297803921i</v>
      </c>
      <c r="AN559" s="31">
        <f t="shared" si="368"/>
        <v>21282.829803885215</v>
      </c>
      <c r="AO559" s="31">
        <f t="shared" si="369"/>
        <v>1.5707493405618824</v>
      </c>
      <c r="AP559" s="31" t="str">
        <f t="shared" si="351"/>
        <v>1+3553.06006350453i</v>
      </c>
      <c r="AQ559" s="31">
        <f t="shared" si="370"/>
        <v>3553.0602042282944</v>
      </c>
      <c r="AR559" s="31">
        <f t="shared" si="371"/>
        <v>1.5705148792663655</v>
      </c>
      <c r="AS559" s="58" t="str">
        <f t="shared" si="372"/>
        <v>-0.000251779272215735+0.0450452034362591i</v>
      </c>
      <c r="AT559" s="49">
        <f t="shared" si="373"/>
        <v>-26.92689326558672</v>
      </c>
      <c r="AU559" s="61">
        <f t="shared" si="374"/>
        <v>90.320250289411234</v>
      </c>
      <c r="AV559" s="58" t="str">
        <f t="shared" si="352"/>
        <v>-0.00075764029869991-0.00177229951464721i</v>
      </c>
      <c r="AW559" s="64">
        <f t="shared" si="375"/>
        <v>-54.300336543730367</v>
      </c>
      <c r="AX559" s="49">
        <f t="shared" si="376"/>
        <v>-113.14622284521424</v>
      </c>
      <c r="AY559" s="310"/>
      <c r="BA559" s="31">
        <f t="shared" si="377"/>
        <v>0</v>
      </c>
      <c r="BB559" s="31">
        <f t="shared" si="378"/>
        <v>0</v>
      </c>
    </row>
    <row r="560" spans="14:54" ht="14.65" thickBot="1" x14ac:dyDescent="0.5">
      <c r="N560" s="10">
        <v>42</v>
      </c>
      <c r="O560" s="50">
        <f t="shared" si="341"/>
        <v>2630267.9918953842</v>
      </c>
      <c r="P560" s="48" t="str">
        <f t="shared" si="342"/>
        <v>17.4002386318441</v>
      </c>
      <c r="Q560" s="17" t="str">
        <f t="shared" si="343"/>
        <v>1+1415.36443531774i</v>
      </c>
      <c r="R560" s="17">
        <f t="shared" si="353"/>
        <v>1415.3647885836021</v>
      </c>
      <c r="S560" s="17">
        <f t="shared" si="354"/>
        <v>1.5700897950998425</v>
      </c>
      <c r="T560" s="17" t="str">
        <f t="shared" si="344"/>
        <v>1+4.95793836018654i</v>
      </c>
      <c r="U560" s="17">
        <f t="shared" si="355"/>
        <v>5.0577814092158233</v>
      </c>
      <c r="V560" s="17">
        <f t="shared" si="356"/>
        <v>1.371769820641211</v>
      </c>
      <c r="W560" s="31" t="str">
        <f t="shared" si="345"/>
        <v>1-12.2318297865827i</v>
      </c>
      <c r="X560" s="17">
        <f t="shared" si="357"/>
        <v>12.27263867014473</v>
      </c>
      <c r="Y560" s="17">
        <f t="shared" si="358"/>
        <v>-1.489223822242524</v>
      </c>
      <c r="Z560" s="31" t="str">
        <f t="shared" si="346"/>
        <v>-5.27511084733728+17.106946145491i</v>
      </c>
      <c r="AA560" s="17">
        <f t="shared" si="359"/>
        <v>17.901798816778857</v>
      </c>
      <c r="AB560" s="17">
        <f t="shared" si="360"/>
        <v>1.8699057802142582</v>
      </c>
      <c r="AC560" s="59" t="str">
        <f t="shared" si="361"/>
        <v>-0.0389942247961733+0.0172203322992929i</v>
      </c>
      <c r="AD560" s="65">
        <f t="shared" si="362"/>
        <v>-27.406237022119239</v>
      </c>
      <c r="AE560" s="63">
        <f t="shared" si="363"/>
        <v>156.17315341214655</v>
      </c>
      <c r="AF560" s="31" t="str">
        <f t="shared" si="347"/>
        <v>-9090.90909090909</v>
      </c>
      <c r="AG560" s="31" t="str">
        <f t="shared" si="348"/>
        <v>16526461.2006218i</v>
      </c>
      <c r="AH560" s="31">
        <f t="shared" si="364"/>
        <v>16526461.2006218</v>
      </c>
      <c r="AI560" s="31">
        <f t="shared" si="365"/>
        <v>1.5707963267948966</v>
      </c>
      <c r="AJ560" s="31" t="str">
        <f t="shared" si="349"/>
        <v>-989455.949272977+5722.23761133183i</v>
      </c>
      <c r="AK560" s="31">
        <f t="shared" si="366"/>
        <v>989472.49560307059</v>
      </c>
      <c r="AL560" s="31">
        <f t="shared" si="367"/>
        <v>3.1358095019272243</v>
      </c>
      <c r="AM560" s="31" t="str">
        <f t="shared" si="350"/>
        <v>1+21778.5705701794i</v>
      </c>
      <c r="AN560" s="31">
        <f t="shared" si="368"/>
        <v>21778.570593137745</v>
      </c>
      <c r="AO560" s="31">
        <f t="shared" si="369"/>
        <v>1.570750410099121</v>
      </c>
      <c r="AP560" s="31" t="str">
        <f t="shared" si="351"/>
        <v>1+3635.82146413679i</v>
      </c>
      <c r="AQ560" s="31">
        <f t="shared" si="370"/>
        <v>3635.821601657291</v>
      </c>
      <c r="AR560" s="31">
        <f t="shared" si="371"/>
        <v>1.5705212857939432</v>
      </c>
      <c r="AS560" s="58" t="str">
        <f t="shared" si="372"/>
        <v>-0.000240447693844381+0.0440199128859075i</v>
      </c>
      <c r="AT560" s="55">
        <f t="shared" si="373"/>
        <v>-27.126886849904778</v>
      </c>
      <c r="AU560" s="63">
        <f t="shared" si="374"/>
        <v>90.312960661124436</v>
      </c>
      <c r="AV560" s="62" t="str">
        <f t="shared" si="352"/>
        <v>-0.000748661456255763-0.00172066296776964i</v>
      </c>
      <c r="AW560" s="65">
        <f t="shared" si="375"/>
        <v>-54.533123872024021</v>
      </c>
      <c r="AX560" s="55">
        <f t="shared" si="376"/>
        <v>-113.51388592672903</v>
      </c>
      <c r="AY560" s="310"/>
    </row>
    <row r="561" spans="14:30" x14ac:dyDescent="0.45">
      <c r="N561" s="10"/>
      <c r="P561" s="48"/>
      <c r="Q561" s="17"/>
      <c r="R561" s="17"/>
      <c r="S561" s="17"/>
      <c r="T561" s="17"/>
      <c r="U561" s="17"/>
      <c r="V561" s="17"/>
      <c r="X561" s="17"/>
      <c r="Y561" s="17"/>
      <c r="AA561" s="17"/>
      <c r="AB561" s="17"/>
      <c r="AC561" s="17"/>
      <c r="AD561" s="32"/>
    </row>
    <row r="562" spans="14:30" x14ac:dyDescent="0.45">
      <c r="N562" s="10"/>
      <c r="P562" s="48"/>
      <c r="Q562" s="17"/>
      <c r="R562" s="17"/>
      <c r="S562" s="17"/>
      <c r="T562" s="17"/>
      <c r="U562" s="17"/>
      <c r="V562" s="17"/>
      <c r="X562" s="17"/>
      <c r="Y562" s="17"/>
      <c r="AA562" s="17"/>
      <c r="AB562" s="17"/>
      <c r="AC562" s="17"/>
      <c r="AD562" s="32"/>
    </row>
    <row r="563" spans="14:30" x14ac:dyDescent="0.45">
      <c r="N563" s="10"/>
      <c r="P563" s="48"/>
      <c r="Q563" s="17"/>
      <c r="R563" s="17"/>
      <c r="S563" s="17"/>
      <c r="T563" s="17"/>
      <c r="U563" s="17"/>
      <c r="V563" s="17"/>
      <c r="X563" s="17"/>
      <c r="Y563" s="17"/>
      <c r="AA563" s="17"/>
      <c r="AB563" s="17"/>
      <c r="AC563" s="17"/>
      <c r="AD563" s="32"/>
    </row>
    <row r="564" spans="14:30" x14ac:dyDescent="0.45">
      <c r="N564" s="10"/>
      <c r="P564" s="48"/>
      <c r="Q564" s="17"/>
      <c r="R564" s="17"/>
      <c r="S564" s="17"/>
      <c r="T564" s="17"/>
      <c r="U564" s="17"/>
      <c r="V564" s="17"/>
      <c r="X564" s="17"/>
      <c r="Y564" s="17"/>
      <c r="AA564" s="17"/>
      <c r="AB564" s="17"/>
      <c r="AC564" s="17"/>
      <c r="AD564" s="32"/>
    </row>
    <row r="565" spans="14:30" x14ac:dyDescent="0.45">
      <c r="N565" s="10"/>
      <c r="P565" s="48"/>
      <c r="Q565" s="17"/>
      <c r="R565" s="17"/>
      <c r="S565" s="17"/>
      <c r="T565" s="17"/>
      <c r="U565" s="17"/>
      <c r="V565" s="17"/>
      <c r="X565" s="17"/>
      <c r="Y565" s="17"/>
      <c r="AA565" s="17"/>
      <c r="AB565" s="17"/>
      <c r="AC565" s="17"/>
      <c r="AD565" s="32"/>
    </row>
    <row r="566" spans="14:30" x14ac:dyDescent="0.45">
      <c r="N566" s="10"/>
      <c r="P566" s="48"/>
      <c r="Q566" s="17"/>
      <c r="R566" s="17"/>
      <c r="S566" s="17"/>
      <c r="T566" s="17"/>
      <c r="U566" s="17"/>
      <c r="V566" s="17"/>
      <c r="X566" s="17"/>
      <c r="Y566" s="17"/>
      <c r="AA566" s="17"/>
      <c r="AB566" s="17"/>
      <c r="AC566" s="17"/>
      <c r="AD566" s="32"/>
    </row>
    <row r="567" spans="14:30" x14ac:dyDescent="0.45">
      <c r="N567" s="10"/>
      <c r="P567" s="48"/>
      <c r="Q567" s="17"/>
      <c r="R567" s="17"/>
      <c r="S567" s="17"/>
      <c r="T567" s="17"/>
      <c r="U567" s="17"/>
      <c r="V567" s="17"/>
      <c r="X567" s="17"/>
      <c r="Y567" s="17"/>
      <c r="AA567" s="17"/>
      <c r="AB567" s="17"/>
      <c r="AC567" s="17"/>
      <c r="AD567" s="32"/>
    </row>
    <row r="568" spans="14:30" x14ac:dyDescent="0.45">
      <c r="N568" s="10"/>
      <c r="P568" s="48"/>
      <c r="Q568" s="17"/>
      <c r="R568" s="17"/>
      <c r="S568" s="17"/>
      <c r="T568" s="17"/>
      <c r="U568" s="17"/>
      <c r="V568" s="17"/>
      <c r="X568" s="17"/>
      <c r="Y568" s="17"/>
      <c r="AA568" s="17"/>
      <c r="AB568" s="17"/>
      <c r="AC568" s="17"/>
      <c r="AD568" s="32"/>
    </row>
    <row r="569" spans="14:30" x14ac:dyDescent="0.45">
      <c r="N569" s="10"/>
      <c r="P569" s="48"/>
      <c r="Q569" s="17"/>
      <c r="R569" s="17"/>
      <c r="S569" s="17"/>
      <c r="T569" s="17"/>
      <c r="U569" s="17"/>
      <c r="V569" s="17"/>
      <c r="X569" s="17"/>
      <c r="Y569" s="17"/>
      <c r="AA569" s="17"/>
      <c r="AB569" s="17"/>
      <c r="AC569" s="17"/>
      <c r="AD569" s="32"/>
    </row>
    <row r="570" spans="14:30" x14ac:dyDescent="0.45">
      <c r="N570" s="10"/>
      <c r="P570" s="48"/>
      <c r="Q570" s="17"/>
      <c r="R570" s="17"/>
      <c r="S570" s="17"/>
      <c r="T570" s="17"/>
      <c r="U570" s="17"/>
      <c r="V570" s="17"/>
      <c r="X570" s="17"/>
      <c r="Y570" s="17"/>
      <c r="AA570" s="17"/>
      <c r="AB570" s="17"/>
      <c r="AC570" s="17"/>
      <c r="AD570" s="32"/>
    </row>
    <row r="571" spans="14:30" x14ac:dyDescent="0.45">
      <c r="N571" s="10"/>
      <c r="P571" s="48"/>
      <c r="Q571" s="17"/>
      <c r="R571" s="17"/>
      <c r="S571" s="17"/>
      <c r="T571" s="17"/>
      <c r="U571" s="17"/>
      <c r="V571" s="17"/>
      <c r="X571" s="17"/>
      <c r="Y571" s="17"/>
      <c r="AA571" s="17"/>
      <c r="AB571" s="17"/>
      <c r="AC571" s="17"/>
      <c r="AD571" s="32"/>
    </row>
    <row r="572" spans="14:30" x14ac:dyDescent="0.45">
      <c r="N572" s="10"/>
      <c r="P572" s="48"/>
      <c r="Q572" s="17"/>
      <c r="R572" s="17"/>
      <c r="S572" s="17"/>
      <c r="T572" s="17"/>
      <c r="U572" s="17"/>
      <c r="V572" s="17"/>
      <c r="X572" s="17"/>
      <c r="Y572" s="17"/>
      <c r="AA572" s="17"/>
      <c r="AB572" s="17"/>
      <c r="AC572" s="17"/>
      <c r="AD572" s="32"/>
    </row>
    <row r="573" spans="14:30" x14ac:dyDescent="0.45">
      <c r="N573" s="10"/>
      <c r="P573" s="48"/>
      <c r="Q573" s="17"/>
      <c r="R573" s="17"/>
      <c r="S573" s="17"/>
      <c r="T573" s="17"/>
      <c r="U573" s="17"/>
      <c r="V573" s="17"/>
      <c r="X573" s="17"/>
      <c r="Y573" s="17"/>
      <c r="AA573" s="17"/>
      <c r="AB573" s="17"/>
      <c r="AC573" s="17"/>
      <c r="AD573" s="32"/>
    </row>
    <row r="574" spans="14:30" x14ac:dyDescent="0.45">
      <c r="N574" s="10"/>
      <c r="P574" s="48"/>
      <c r="Q574" s="17"/>
      <c r="R574" s="17"/>
      <c r="S574" s="17"/>
      <c r="T574" s="17"/>
      <c r="U574" s="17"/>
      <c r="V574" s="17"/>
      <c r="X574" s="17"/>
      <c r="Y574" s="17"/>
      <c r="AA574" s="17"/>
      <c r="AB574" s="17"/>
      <c r="AC574" s="17"/>
      <c r="AD574" s="32"/>
    </row>
    <row r="575" spans="14:30" x14ac:dyDescent="0.45">
      <c r="N575" s="10"/>
      <c r="P575" s="48"/>
      <c r="Q575" s="17"/>
      <c r="R575" s="17"/>
      <c r="S575" s="17"/>
      <c r="T575" s="17"/>
      <c r="U575" s="17"/>
      <c r="V575" s="17"/>
      <c r="X575" s="17"/>
      <c r="Y575" s="17"/>
      <c r="AA575" s="17"/>
      <c r="AB575" s="17"/>
      <c r="AC575" s="17"/>
      <c r="AD575" s="32"/>
    </row>
    <row r="576" spans="14:30" x14ac:dyDescent="0.45">
      <c r="N576" s="10"/>
      <c r="P576" s="48"/>
      <c r="Q576" s="17"/>
      <c r="R576" s="17"/>
      <c r="S576" s="17"/>
      <c r="T576" s="17"/>
      <c r="U576" s="17"/>
      <c r="V576" s="17"/>
      <c r="X576" s="17"/>
      <c r="Y576" s="17"/>
      <c r="AA576" s="17"/>
      <c r="AB576" s="17"/>
      <c r="AC576" s="17"/>
      <c r="AD576" s="32"/>
    </row>
    <row r="577" spans="14:30" x14ac:dyDescent="0.45">
      <c r="N577" s="10"/>
      <c r="P577" s="48"/>
      <c r="Q577" s="17"/>
      <c r="R577" s="17"/>
      <c r="S577" s="17"/>
      <c r="T577" s="17"/>
      <c r="U577" s="17"/>
      <c r="V577" s="17"/>
      <c r="X577" s="17"/>
      <c r="Y577" s="17"/>
      <c r="AA577" s="17"/>
      <c r="AB577" s="17"/>
      <c r="AC577" s="17"/>
      <c r="AD577" s="32"/>
    </row>
    <row r="578" spans="14:30" x14ac:dyDescent="0.45">
      <c r="N578" s="10"/>
      <c r="P578" s="48"/>
      <c r="Q578" s="17"/>
      <c r="R578" s="17"/>
      <c r="S578" s="17"/>
      <c r="T578" s="17"/>
      <c r="U578" s="17"/>
      <c r="V578" s="17"/>
      <c r="X578" s="17"/>
      <c r="Y578" s="17"/>
      <c r="AA578" s="17"/>
      <c r="AB578" s="17"/>
      <c r="AC578" s="17"/>
      <c r="AD578" s="32"/>
    </row>
    <row r="579" spans="14:30" x14ac:dyDescent="0.45">
      <c r="N579" s="10"/>
      <c r="P579" s="48"/>
      <c r="Q579" s="17"/>
      <c r="R579" s="17"/>
      <c r="S579" s="17"/>
      <c r="T579" s="17"/>
      <c r="U579" s="17"/>
      <c r="V579" s="17"/>
      <c r="X579" s="17"/>
      <c r="Y579" s="17"/>
      <c r="AA579" s="17"/>
      <c r="AB579" s="17"/>
      <c r="AC579" s="17"/>
      <c r="AD579" s="32"/>
    </row>
    <row r="580" spans="14:30" x14ac:dyDescent="0.45">
      <c r="N580" s="10"/>
      <c r="P580" s="48"/>
      <c r="Q580" s="17"/>
      <c r="R580" s="17"/>
      <c r="S580" s="17"/>
      <c r="T580" s="17"/>
      <c r="U580" s="17"/>
      <c r="V580" s="17"/>
      <c r="X580" s="17"/>
      <c r="Y580" s="17"/>
      <c r="AA580" s="17"/>
      <c r="AB580" s="17"/>
      <c r="AC580" s="17"/>
      <c r="AD580" s="32"/>
    </row>
    <row r="581" spans="14:30" x14ac:dyDescent="0.45">
      <c r="N581" s="10"/>
      <c r="P581" s="48"/>
      <c r="Q581" s="17"/>
      <c r="R581" s="17"/>
      <c r="S581" s="17"/>
      <c r="T581" s="17"/>
      <c r="U581" s="17"/>
      <c r="V581" s="17"/>
      <c r="X581" s="17"/>
      <c r="Y581" s="17"/>
      <c r="AA581" s="17"/>
      <c r="AB581" s="17"/>
      <c r="AC581" s="17"/>
      <c r="AD581" s="32"/>
    </row>
    <row r="582" spans="14:30" x14ac:dyDescent="0.45">
      <c r="N582" s="10"/>
      <c r="P582" s="48"/>
      <c r="Q582" s="17"/>
      <c r="R582" s="17"/>
      <c r="S582" s="17"/>
      <c r="T582" s="17"/>
      <c r="U582" s="17"/>
      <c r="V582" s="17"/>
      <c r="X582" s="17"/>
      <c r="Y582" s="17"/>
      <c r="AA582" s="17"/>
      <c r="AB582" s="17"/>
      <c r="AC582" s="17"/>
      <c r="AD582" s="32"/>
    </row>
    <row r="583" spans="14:30" x14ac:dyDescent="0.45">
      <c r="N583" s="10"/>
      <c r="P583" s="48"/>
      <c r="Q583" s="17"/>
      <c r="R583" s="17"/>
      <c r="S583" s="17"/>
      <c r="T583" s="17"/>
      <c r="U583" s="17"/>
      <c r="V583" s="17"/>
      <c r="X583" s="17"/>
      <c r="Y583" s="17"/>
      <c r="AA583" s="17"/>
      <c r="AB583" s="17"/>
      <c r="AC583" s="17"/>
      <c r="AD583" s="32"/>
    </row>
    <row r="584" spans="14:30" x14ac:dyDescent="0.45">
      <c r="N584" s="10"/>
      <c r="P584" s="48"/>
      <c r="Q584" s="17"/>
      <c r="R584" s="17"/>
      <c r="S584" s="17"/>
      <c r="T584" s="17"/>
      <c r="U584" s="17"/>
      <c r="V584" s="17"/>
      <c r="X584" s="17"/>
      <c r="Y584" s="17"/>
      <c r="AA584" s="17"/>
      <c r="AB584" s="17"/>
      <c r="AC584" s="17"/>
      <c r="AD584" s="32"/>
    </row>
    <row r="585" spans="14:30" x14ac:dyDescent="0.45">
      <c r="N585" s="10"/>
      <c r="P585" s="48"/>
      <c r="Q585" s="17"/>
      <c r="R585" s="17"/>
      <c r="S585" s="17"/>
      <c r="T585" s="17"/>
      <c r="U585" s="17"/>
      <c r="V585" s="17"/>
      <c r="X585" s="17"/>
      <c r="Y585" s="17"/>
      <c r="AA585" s="17"/>
      <c r="AB585" s="17"/>
      <c r="AC585" s="17"/>
      <c r="AD585" s="32"/>
    </row>
    <row r="586" spans="14:30" x14ac:dyDescent="0.45">
      <c r="N586" s="10"/>
      <c r="P586" s="48"/>
      <c r="Q586" s="17"/>
      <c r="R586" s="17"/>
      <c r="S586" s="17"/>
      <c r="T586" s="17"/>
      <c r="U586" s="17"/>
      <c r="V586" s="17"/>
      <c r="X586" s="17"/>
      <c r="Y586" s="17"/>
      <c r="AA586" s="17"/>
      <c r="AB586" s="17"/>
      <c r="AC586" s="17"/>
      <c r="AD586" s="32"/>
    </row>
    <row r="587" spans="14:30" x14ac:dyDescent="0.45">
      <c r="N587" s="10"/>
      <c r="P587" s="48"/>
      <c r="Q587" s="17"/>
      <c r="R587" s="17"/>
      <c r="S587" s="17"/>
      <c r="T587" s="17"/>
      <c r="U587" s="17"/>
      <c r="V587" s="17"/>
      <c r="X587" s="17"/>
      <c r="Y587" s="17"/>
      <c r="AA587" s="17"/>
      <c r="AB587" s="17"/>
      <c r="AC587" s="17"/>
      <c r="AD587" s="32"/>
    </row>
    <row r="588" spans="14:30" x14ac:dyDescent="0.45">
      <c r="N588" s="10"/>
      <c r="P588" s="48"/>
      <c r="Q588" s="17"/>
      <c r="R588" s="17"/>
      <c r="S588" s="17"/>
      <c r="T588" s="17"/>
      <c r="U588" s="17"/>
      <c r="V588" s="17"/>
      <c r="X588" s="17"/>
      <c r="Y588" s="17"/>
      <c r="AA588" s="17"/>
      <c r="AB588" s="17"/>
      <c r="AC588" s="17"/>
      <c r="AD588" s="32"/>
    </row>
    <row r="589" spans="14:30" x14ac:dyDescent="0.45">
      <c r="N589" s="10"/>
      <c r="P589" s="48"/>
      <c r="Q589" s="17"/>
      <c r="R589" s="17"/>
      <c r="S589" s="17"/>
      <c r="T589" s="17"/>
      <c r="U589" s="17"/>
      <c r="V589" s="17"/>
      <c r="X589" s="17"/>
      <c r="Y589" s="17"/>
      <c r="AA589" s="17"/>
      <c r="AB589" s="17"/>
      <c r="AC589" s="17"/>
      <c r="AD589" s="32"/>
    </row>
    <row r="590" spans="14:30" x14ac:dyDescent="0.45">
      <c r="N590" s="10"/>
      <c r="P590" s="48"/>
      <c r="Q590" s="17"/>
      <c r="R590" s="17"/>
      <c r="S590" s="17"/>
      <c r="T590" s="17"/>
      <c r="U590" s="17"/>
      <c r="V590" s="17"/>
      <c r="X590" s="17"/>
      <c r="Y590" s="17"/>
      <c r="AA590" s="17"/>
      <c r="AB590" s="17"/>
      <c r="AC590" s="17"/>
      <c r="AD590" s="32"/>
    </row>
    <row r="591" spans="14:30" x14ac:dyDescent="0.45">
      <c r="N591" s="10"/>
      <c r="P591" s="48"/>
      <c r="Q591" s="17"/>
      <c r="R591" s="17"/>
      <c r="S591" s="17"/>
      <c r="T591" s="17"/>
      <c r="U591" s="17"/>
      <c r="V591" s="17"/>
      <c r="X591" s="17"/>
      <c r="Y591" s="17"/>
      <c r="AA591" s="17"/>
      <c r="AB591" s="17"/>
      <c r="AC591" s="17"/>
      <c r="AD591" s="32"/>
    </row>
    <row r="592" spans="14:30" x14ac:dyDescent="0.45">
      <c r="N592" s="10"/>
      <c r="P592" s="48"/>
      <c r="Q592" s="17"/>
      <c r="R592" s="17"/>
      <c r="S592" s="17"/>
      <c r="T592" s="17"/>
      <c r="U592" s="17"/>
      <c r="V592" s="17"/>
      <c r="X592" s="17"/>
      <c r="Y592" s="17"/>
      <c r="AA592" s="17"/>
      <c r="AB592" s="17"/>
      <c r="AC592" s="17"/>
      <c r="AD592" s="32"/>
    </row>
    <row r="593" spans="14:30" x14ac:dyDescent="0.45">
      <c r="N593" s="10"/>
      <c r="P593" s="48"/>
      <c r="Q593" s="17"/>
      <c r="R593" s="17"/>
      <c r="S593" s="17"/>
      <c r="T593" s="17"/>
      <c r="U593" s="17"/>
      <c r="V593" s="17"/>
      <c r="X593" s="17"/>
      <c r="Y593" s="17"/>
      <c r="AA593" s="17"/>
      <c r="AB593" s="17"/>
      <c r="AC593" s="17"/>
      <c r="AD593" s="32"/>
    </row>
    <row r="594" spans="14:30" x14ac:dyDescent="0.45">
      <c r="N594" s="10"/>
      <c r="P594" s="48"/>
      <c r="Q594" s="17"/>
      <c r="R594" s="17"/>
      <c r="S594" s="17"/>
      <c r="T594" s="17"/>
      <c r="U594" s="17"/>
      <c r="V594" s="17"/>
      <c r="X594" s="17"/>
      <c r="Y594" s="17"/>
      <c r="AA594" s="17"/>
      <c r="AB594" s="17"/>
      <c r="AC594" s="17"/>
      <c r="AD594" s="32"/>
    </row>
    <row r="595" spans="14:30" x14ac:dyDescent="0.45">
      <c r="N595" s="10"/>
      <c r="P595" s="48"/>
      <c r="Q595" s="17"/>
      <c r="R595" s="17"/>
      <c r="S595" s="17"/>
      <c r="T595" s="17"/>
      <c r="U595" s="17"/>
      <c r="V595" s="17"/>
      <c r="X595" s="17"/>
      <c r="Y595" s="17"/>
      <c r="AA595" s="17"/>
      <c r="AB595" s="17"/>
      <c r="AC595" s="17"/>
      <c r="AD595" s="32"/>
    </row>
    <row r="596" spans="14:30" x14ac:dyDescent="0.45">
      <c r="N596" s="10"/>
      <c r="P596" s="48"/>
      <c r="Q596" s="17"/>
      <c r="R596" s="17"/>
      <c r="S596" s="17"/>
      <c r="T596" s="17"/>
      <c r="U596" s="17"/>
      <c r="V596" s="17"/>
      <c r="X596" s="17"/>
      <c r="Y596" s="17"/>
      <c r="AA596" s="17"/>
      <c r="AB596" s="17"/>
      <c r="AC596" s="17"/>
      <c r="AD596" s="32"/>
    </row>
    <row r="597" spans="14:30" x14ac:dyDescent="0.45">
      <c r="N597" s="10"/>
      <c r="P597" s="48"/>
      <c r="Q597" s="17"/>
      <c r="R597" s="17"/>
      <c r="S597" s="17"/>
      <c r="T597" s="17"/>
      <c r="U597" s="17"/>
      <c r="V597" s="17"/>
      <c r="X597" s="17"/>
      <c r="Y597" s="17"/>
      <c r="AA597" s="17"/>
      <c r="AB597" s="17"/>
      <c r="AC597" s="17"/>
      <c r="AD597" s="32"/>
    </row>
    <row r="598" spans="14:30" x14ac:dyDescent="0.45">
      <c r="N598" s="10"/>
      <c r="P598" s="48"/>
      <c r="Q598" s="17"/>
      <c r="R598" s="17"/>
      <c r="S598" s="17"/>
      <c r="T598" s="17"/>
      <c r="U598" s="17"/>
      <c r="V598" s="17"/>
      <c r="X598" s="17"/>
      <c r="Y598" s="17"/>
      <c r="AA598" s="17"/>
      <c r="AB598" s="17"/>
      <c r="AC598" s="17"/>
      <c r="AD598" s="32"/>
    </row>
    <row r="599" spans="14:30" x14ac:dyDescent="0.45">
      <c r="N599" s="10"/>
      <c r="P599" s="48"/>
      <c r="Q599" s="17"/>
      <c r="R599" s="17"/>
      <c r="S599" s="17"/>
      <c r="T599" s="17"/>
      <c r="U599" s="17"/>
      <c r="V599" s="17"/>
      <c r="X599" s="17"/>
      <c r="Y599" s="17"/>
      <c r="AA599" s="17"/>
      <c r="AB599" s="17"/>
      <c r="AC599" s="17"/>
      <c r="AD599" s="32"/>
    </row>
    <row r="600" spans="14:30" x14ac:dyDescent="0.45">
      <c r="N600" s="10"/>
      <c r="P600" s="48"/>
      <c r="Q600" s="17"/>
      <c r="R600" s="17"/>
      <c r="S600" s="17"/>
      <c r="T600" s="17"/>
      <c r="U600" s="17"/>
      <c r="V600" s="17"/>
      <c r="X600" s="17"/>
      <c r="Y600" s="17"/>
      <c r="AA600" s="17"/>
      <c r="AB600" s="17"/>
      <c r="AC600" s="17"/>
      <c r="AD600" s="32"/>
    </row>
    <row r="601" spans="14:30" x14ac:dyDescent="0.45">
      <c r="N601" s="10"/>
      <c r="P601" s="48"/>
      <c r="Q601" s="17"/>
      <c r="R601" s="17"/>
      <c r="S601" s="17"/>
      <c r="T601" s="17"/>
      <c r="U601" s="17"/>
      <c r="V601" s="17"/>
      <c r="X601" s="17"/>
      <c r="Y601" s="17"/>
      <c r="AA601" s="17"/>
      <c r="AB601" s="17"/>
      <c r="AC601" s="17"/>
      <c r="AD601" s="32"/>
    </row>
    <row r="602" spans="14:30" x14ac:dyDescent="0.45">
      <c r="N602" s="10"/>
      <c r="P602" s="48"/>
      <c r="Q602" s="17"/>
      <c r="R602" s="17"/>
      <c r="S602" s="17"/>
      <c r="T602" s="17"/>
      <c r="U602" s="17"/>
      <c r="V602" s="17"/>
      <c r="X602" s="17"/>
      <c r="Y602" s="17"/>
      <c r="AA602" s="17"/>
      <c r="AB602" s="17"/>
      <c r="AC602" s="17"/>
      <c r="AD602" s="32"/>
    </row>
    <row r="603" spans="14:30" x14ac:dyDescent="0.45">
      <c r="N603" s="10"/>
      <c r="P603" s="48"/>
      <c r="Q603" s="17"/>
      <c r="R603" s="17"/>
      <c r="S603" s="17"/>
      <c r="T603" s="17"/>
      <c r="U603" s="17"/>
      <c r="V603" s="17"/>
      <c r="X603" s="17"/>
      <c r="Y603" s="17"/>
      <c r="AA603" s="17"/>
      <c r="AB603" s="17"/>
      <c r="AC603" s="17"/>
      <c r="AD603" s="32"/>
    </row>
    <row r="604" spans="14:30" x14ac:dyDescent="0.45">
      <c r="N604" s="10"/>
      <c r="P604" s="48"/>
      <c r="Q604" s="17"/>
      <c r="R604" s="17"/>
      <c r="S604" s="17"/>
      <c r="T604" s="17"/>
      <c r="U604" s="17"/>
      <c r="V604" s="17"/>
      <c r="X604" s="17"/>
      <c r="Y604" s="17"/>
      <c r="AA604" s="17"/>
      <c r="AB604" s="17"/>
      <c r="AC604" s="17"/>
      <c r="AD604" s="32"/>
    </row>
    <row r="605" spans="14:30" x14ac:dyDescent="0.45">
      <c r="N605" s="10"/>
      <c r="P605" s="48"/>
      <c r="Q605" s="17"/>
      <c r="R605" s="17"/>
      <c r="S605" s="17"/>
      <c r="T605" s="17"/>
      <c r="U605" s="17"/>
      <c r="V605" s="17"/>
      <c r="X605" s="17"/>
      <c r="Y605" s="17"/>
      <c r="AA605" s="17"/>
      <c r="AB605" s="17"/>
      <c r="AC605" s="17"/>
      <c r="AD605" s="32"/>
    </row>
    <row r="606" spans="14:30" x14ac:dyDescent="0.45">
      <c r="N606" s="10"/>
      <c r="P606" s="48"/>
      <c r="Q606" s="17"/>
      <c r="R606" s="17"/>
      <c r="S606" s="17"/>
      <c r="T606" s="17"/>
      <c r="U606" s="17"/>
      <c r="V606" s="17"/>
      <c r="X606" s="17"/>
      <c r="Y606" s="17"/>
      <c r="AA606" s="17"/>
      <c r="AB606" s="17"/>
      <c r="AC606" s="17"/>
      <c r="AD606" s="32"/>
    </row>
    <row r="607" spans="14:30" x14ac:dyDescent="0.45">
      <c r="N607" s="10"/>
      <c r="P607" s="48"/>
      <c r="Q607" s="17"/>
      <c r="R607" s="17"/>
      <c r="S607" s="17"/>
      <c r="T607" s="17"/>
      <c r="U607" s="17"/>
      <c r="V607" s="17"/>
      <c r="X607" s="17"/>
      <c r="Y607" s="17"/>
      <c r="AA607" s="17"/>
      <c r="AB607" s="17"/>
      <c r="AC607" s="17"/>
      <c r="AD607" s="32"/>
    </row>
    <row r="608" spans="14:30" x14ac:dyDescent="0.45">
      <c r="N608" s="10"/>
      <c r="P608" s="48"/>
      <c r="Q608" s="17"/>
      <c r="R608" s="17"/>
      <c r="S608" s="17"/>
      <c r="T608" s="17"/>
      <c r="U608" s="17"/>
      <c r="V608" s="17"/>
      <c r="X608" s="17"/>
      <c r="Y608" s="17"/>
      <c r="AA608" s="17"/>
      <c r="AB608" s="17"/>
      <c r="AC608" s="17"/>
      <c r="AD608" s="32"/>
    </row>
    <row r="609" spans="14:30" x14ac:dyDescent="0.45">
      <c r="N609" s="10"/>
      <c r="P609" s="48"/>
      <c r="Q609" s="17"/>
      <c r="R609" s="17"/>
      <c r="S609" s="17"/>
      <c r="T609" s="17"/>
      <c r="U609" s="17"/>
      <c r="V609" s="17"/>
      <c r="X609" s="17"/>
      <c r="Y609" s="17"/>
      <c r="AA609" s="17"/>
      <c r="AB609" s="17"/>
      <c r="AC609" s="17"/>
      <c r="AD609" s="32"/>
    </row>
    <row r="610" spans="14:30" x14ac:dyDescent="0.45">
      <c r="N610" s="10"/>
      <c r="P610" s="48"/>
      <c r="Q610" s="17"/>
      <c r="R610" s="17"/>
      <c r="S610" s="17"/>
      <c r="T610" s="17"/>
      <c r="U610" s="17"/>
      <c r="V610" s="17"/>
      <c r="X610" s="17"/>
      <c r="Y610" s="17"/>
      <c r="AA610" s="17"/>
      <c r="AB610" s="17"/>
      <c r="AC610" s="17"/>
      <c r="AD610" s="32"/>
    </row>
    <row r="611" spans="14:30" x14ac:dyDescent="0.45">
      <c r="N611" s="10"/>
      <c r="P611" s="48"/>
      <c r="Q611" s="17"/>
      <c r="R611" s="17"/>
      <c r="S611" s="17"/>
      <c r="T611" s="17"/>
      <c r="U611" s="17"/>
      <c r="V611" s="17"/>
      <c r="X611" s="17"/>
      <c r="Y611" s="17"/>
      <c r="AA611" s="17"/>
      <c r="AB611" s="17"/>
      <c r="AC611" s="17"/>
      <c r="AD611" s="32"/>
    </row>
    <row r="612" spans="14:30" x14ac:dyDescent="0.45">
      <c r="N612" s="10"/>
      <c r="P612" s="48"/>
      <c r="Q612" s="17"/>
      <c r="R612" s="17"/>
      <c r="S612" s="17"/>
      <c r="T612" s="17"/>
      <c r="U612" s="17"/>
      <c r="V612" s="17"/>
      <c r="X612" s="17"/>
      <c r="Y612" s="17"/>
      <c r="AA612" s="17"/>
      <c r="AB612" s="17"/>
      <c r="AC612" s="17"/>
      <c r="AD612" s="32"/>
    </row>
    <row r="613" spans="14:30" x14ac:dyDescent="0.45">
      <c r="N613" s="10"/>
      <c r="P613" s="48"/>
      <c r="Q613" s="17"/>
      <c r="R613" s="17"/>
      <c r="S613" s="17"/>
      <c r="T613" s="17"/>
      <c r="U613" s="17"/>
      <c r="V613" s="17"/>
      <c r="X613" s="17"/>
      <c r="Y613" s="17"/>
      <c r="AA613" s="17"/>
      <c r="AB613" s="17"/>
      <c r="AC613" s="17"/>
      <c r="AD613" s="32"/>
    </row>
    <row r="614" spans="14:30" x14ac:dyDescent="0.45">
      <c r="N614" s="10"/>
      <c r="P614" s="48"/>
      <c r="Q614" s="17"/>
      <c r="R614" s="17"/>
      <c r="S614" s="17"/>
      <c r="T614" s="17"/>
      <c r="U614" s="17"/>
      <c r="V614" s="17"/>
      <c r="X614" s="17"/>
      <c r="Y614" s="17"/>
      <c r="AA614" s="17"/>
      <c r="AB614" s="17"/>
      <c r="AC614" s="17"/>
      <c r="AD614" s="32"/>
    </row>
    <row r="615" spans="14:30" x14ac:dyDescent="0.45">
      <c r="N615" s="10"/>
      <c r="P615" s="48"/>
      <c r="Q615" s="17"/>
      <c r="R615" s="17"/>
      <c r="S615" s="17"/>
      <c r="T615" s="17"/>
      <c r="U615" s="17"/>
      <c r="V615" s="17"/>
      <c r="X615" s="17"/>
      <c r="Y615" s="17"/>
      <c r="AA615" s="17"/>
      <c r="AB615" s="17"/>
      <c r="AC615" s="17"/>
      <c r="AD615" s="32"/>
    </row>
    <row r="616" spans="14:30" x14ac:dyDescent="0.45">
      <c r="N616" s="10"/>
      <c r="P616" s="48"/>
      <c r="Q616" s="17"/>
      <c r="R616" s="17"/>
      <c r="S616" s="17"/>
      <c r="T616" s="17"/>
      <c r="U616" s="17"/>
      <c r="V616" s="17"/>
      <c r="X616" s="17"/>
      <c r="Y616" s="17"/>
      <c r="AA616" s="17"/>
      <c r="AB616" s="17"/>
      <c r="AC616" s="17"/>
      <c r="AD616" s="32"/>
    </row>
    <row r="617" spans="14:30" x14ac:dyDescent="0.45">
      <c r="N617" s="10"/>
      <c r="P617" s="48"/>
      <c r="Q617" s="17"/>
      <c r="R617" s="17"/>
      <c r="S617" s="17"/>
      <c r="T617" s="17"/>
      <c r="U617" s="17"/>
      <c r="V617" s="17"/>
      <c r="X617" s="17"/>
      <c r="Y617" s="17"/>
      <c r="AA617" s="17"/>
      <c r="AB617" s="17"/>
      <c r="AC617" s="17"/>
      <c r="AD617" s="32"/>
    </row>
    <row r="618" spans="14:30" x14ac:dyDescent="0.45">
      <c r="N618" s="10"/>
      <c r="P618" s="48"/>
      <c r="Q618" s="17"/>
      <c r="R618" s="17"/>
      <c r="S618" s="17"/>
      <c r="T618" s="17"/>
      <c r="U618" s="17"/>
      <c r="V618" s="17"/>
      <c r="X618" s="17"/>
      <c r="Y618" s="17"/>
      <c r="AA618" s="17"/>
      <c r="AB618" s="17"/>
      <c r="AC618" s="17"/>
      <c r="AD618" s="32"/>
    </row>
    <row r="619" spans="14:30" x14ac:dyDescent="0.45">
      <c r="N619" s="10"/>
      <c r="P619" s="48"/>
      <c r="Q619" s="17"/>
      <c r="R619" s="17"/>
      <c r="S619" s="17"/>
      <c r="T619" s="17"/>
      <c r="U619" s="17"/>
      <c r="V619" s="17"/>
      <c r="X619" s="17"/>
      <c r="Y619" s="17"/>
      <c r="AA619" s="17"/>
      <c r="AB619" s="17"/>
      <c r="AC619" s="17"/>
      <c r="AD619" s="32"/>
    </row>
    <row r="620" spans="14:30" x14ac:dyDescent="0.45">
      <c r="N620" s="10"/>
      <c r="P620" s="48"/>
      <c r="Q620" s="17"/>
      <c r="R620" s="17"/>
      <c r="S620" s="17"/>
      <c r="T620" s="17"/>
      <c r="U620" s="17"/>
      <c r="V620" s="17"/>
      <c r="X620" s="17"/>
      <c r="Y620" s="17"/>
      <c r="AA620" s="17"/>
      <c r="AB620" s="17"/>
      <c r="AC620" s="17"/>
      <c r="AD620" s="32"/>
    </row>
    <row r="621" spans="14:30" x14ac:dyDescent="0.45">
      <c r="N621" s="10"/>
      <c r="P621" s="48"/>
      <c r="Q621" s="17"/>
      <c r="R621" s="17"/>
      <c r="S621" s="17"/>
      <c r="T621" s="17"/>
      <c r="U621" s="17"/>
      <c r="V621" s="17"/>
      <c r="X621" s="17"/>
      <c r="Y621" s="17"/>
      <c r="AA621" s="17"/>
      <c r="AB621" s="17"/>
      <c r="AC621" s="17"/>
      <c r="AD621" s="32"/>
    </row>
    <row r="622" spans="14:30" x14ac:dyDescent="0.45">
      <c r="N622" s="10"/>
      <c r="P622" s="48"/>
      <c r="Q622" s="17"/>
      <c r="R622" s="17"/>
      <c r="S622" s="17"/>
      <c r="T622" s="17"/>
      <c r="U622" s="17"/>
      <c r="V622" s="17"/>
      <c r="X622" s="17"/>
      <c r="Y622" s="17"/>
      <c r="AA622" s="17"/>
      <c r="AB622" s="17"/>
      <c r="AC622" s="17"/>
      <c r="AD622" s="32"/>
    </row>
    <row r="623" spans="14:30" x14ac:dyDescent="0.45">
      <c r="N623" s="10"/>
      <c r="P623" s="48"/>
      <c r="Q623" s="17"/>
      <c r="R623" s="17"/>
      <c r="S623" s="17"/>
      <c r="T623" s="17"/>
      <c r="U623" s="17"/>
      <c r="V623" s="17"/>
      <c r="X623" s="17"/>
      <c r="Y623" s="17"/>
      <c r="AA623" s="17"/>
      <c r="AB623" s="17"/>
      <c r="AC623" s="17"/>
      <c r="AD623" s="32"/>
    </row>
    <row r="624" spans="14:30" x14ac:dyDescent="0.45">
      <c r="N624" s="10"/>
      <c r="P624" s="48"/>
      <c r="Q624" s="17"/>
      <c r="R624" s="17"/>
      <c r="S624" s="17"/>
      <c r="T624" s="17"/>
      <c r="U624" s="17"/>
      <c r="V624" s="17"/>
      <c r="X624" s="17"/>
      <c r="Y624" s="17"/>
      <c r="AA624" s="17"/>
      <c r="AB624" s="17"/>
      <c r="AC624" s="17"/>
      <c r="AD624" s="32"/>
    </row>
    <row r="625" spans="14:30" x14ac:dyDescent="0.45">
      <c r="N625" s="10"/>
      <c r="P625" s="48"/>
      <c r="Q625" s="17"/>
      <c r="R625" s="17"/>
      <c r="S625" s="17"/>
      <c r="T625" s="17"/>
      <c r="U625" s="17"/>
      <c r="V625" s="17"/>
      <c r="X625" s="17"/>
      <c r="Y625" s="17"/>
      <c r="AA625" s="17"/>
      <c r="AB625" s="17"/>
      <c r="AC625" s="17"/>
      <c r="AD625" s="32"/>
    </row>
    <row r="626" spans="14:30" x14ac:dyDescent="0.45">
      <c r="N626" s="10"/>
      <c r="P626" s="48"/>
      <c r="Q626" s="17"/>
      <c r="R626" s="17"/>
      <c r="S626" s="17"/>
      <c r="T626" s="17"/>
      <c r="U626" s="17"/>
      <c r="V626" s="17"/>
      <c r="X626" s="17"/>
      <c r="Y626" s="17"/>
      <c r="AA626" s="17"/>
      <c r="AB626" s="17"/>
      <c r="AC626" s="17"/>
      <c r="AD626" s="32"/>
    </row>
    <row r="627" spans="14:30" x14ac:dyDescent="0.45">
      <c r="N627" s="10"/>
      <c r="P627" s="48"/>
      <c r="Q627" s="17"/>
      <c r="R627" s="17"/>
      <c r="S627" s="17"/>
      <c r="T627" s="17"/>
      <c r="U627" s="17"/>
      <c r="V627" s="17"/>
      <c r="X627" s="17"/>
      <c r="Y627" s="17"/>
      <c r="AA627" s="17"/>
      <c r="AB627" s="17"/>
      <c r="AC627" s="17"/>
      <c r="AD627" s="32"/>
    </row>
    <row r="628" spans="14:30" x14ac:dyDescent="0.45">
      <c r="N628" s="10"/>
      <c r="P628" s="48"/>
      <c r="Q628" s="17"/>
      <c r="R628" s="17"/>
      <c r="S628" s="17"/>
      <c r="T628" s="17"/>
      <c r="U628" s="17"/>
      <c r="V628" s="17"/>
      <c r="X628" s="17"/>
      <c r="Y628" s="17"/>
      <c r="AA628" s="17"/>
      <c r="AB628" s="17"/>
      <c r="AC628" s="17"/>
      <c r="AD628" s="32"/>
    </row>
    <row r="629" spans="14:30" x14ac:dyDescent="0.45">
      <c r="N629" s="10"/>
      <c r="P629" s="48"/>
      <c r="Q629" s="17"/>
      <c r="R629" s="17"/>
      <c r="S629" s="17"/>
      <c r="T629" s="17"/>
      <c r="U629" s="17"/>
      <c r="V629" s="17"/>
      <c r="X629" s="17"/>
      <c r="Y629" s="17"/>
      <c r="AA629" s="17"/>
      <c r="AB629" s="17"/>
      <c r="AC629" s="17"/>
      <c r="AD629" s="32"/>
    </row>
    <row r="630" spans="14:30" x14ac:dyDescent="0.45">
      <c r="N630" s="10"/>
      <c r="P630" s="48"/>
      <c r="Q630" s="17"/>
      <c r="R630" s="17"/>
      <c r="S630" s="17"/>
      <c r="T630" s="17"/>
      <c r="U630" s="17"/>
      <c r="V630" s="17"/>
      <c r="X630" s="17"/>
      <c r="Y630" s="17"/>
      <c r="AA630" s="17"/>
      <c r="AB630" s="17"/>
      <c r="AC630" s="17"/>
      <c r="AD630" s="32"/>
    </row>
    <row r="631" spans="14:30" x14ac:dyDescent="0.45">
      <c r="N631" s="10"/>
      <c r="P631" s="48"/>
      <c r="Q631" s="17"/>
      <c r="R631" s="17"/>
      <c r="S631" s="17"/>
      <c r="T631" s="17"/>
      <c r="U631" s="17"/>
      <c r="V631" s="17"/>
      <c r="X631" s="17"/>
      <c r="Y631" s="17"/>
      <c r="AA631" s="17"/>
      <c r="AB631" s="17"/>
      <c r="AC631" s="17"/>
      <c r="AD631" s="32"/>
    </row>
    <row r="632" spans="14:30" x14ac:dyDescent="0.45">
      <c r="N632" s="10"/>
      <c r="P632" s="48"/>
      <c r="Q632" s="17"/>
      <c r="R632" s="17"/>
      <c r="S632" s="17"/>
      <c r="T632" s="17"/>
      <c r="U632" s="17"/>
      <c r="V632" s="17"/>
      <c r="X632" s="17"/>
      <c r="Y632" s="17"/>
      <c r="AA632" s="17"/>
      <c r="AB632" s="17"/>
      <c r="AC632" s="17"/>
      <c r="AD632" s="32"/>
    </row>
    <row r="633" spans="14:30" x14ac:dyDescent="0.45">
      <c r="N633" s="10"/>
      <c r="P633" s="48"/>
      <c r="Q633" s="17"/>
      <c r="R633" s="17"/>
      <c r="S633" s="17"/>
      <c r="T633" s="17"/>
      <c r="U633" s="17"/>
      <c r="V633" s="17"/>
      <c r="X633" s="17"/>
      <c r="Y633" s="17"/>
      <c r="AA633" s="17"/>
      <c r="AB633" s="17"/>
      <c r="AC633" s="17"/>
      <c r="AD633" s="32"/>
    </row>
    <row r="634" spans="14:30" x14ac:dyDescent="0.45">
      <c r="N634" s="10"/>
      <c r="P634" s="48"/>
      <c r="Q634" s="17"/>
      <c r="R634" s="17"/>
      <c r="S634" s="17"/>
      <c r="T634" s="17"/>
      <c r="U634" s="17"/>
      <c r="V634" s="17"/>
      <c r="X634" s="17"/>
      <c r="Y634" s="17"/>
      <c r="AA634" s="17"/>
      <c r="AB634" s="17"/>
      <c r="AC634" s="17"/>
      <c r="AD634" s="32"/>
    </row>
    <row r="635" spans="14:30" x14ac:dyDescent="0.45">
      <c r="N635" s="10"/>
      <c r="P635" s="48"/>
      <c r="Q635" s="17"/>
      <c r="R635" s="17"/>
      <c r="S635" s="17"/>
      <c r="T635" s="17"/>
      <c r="U635" s="17"/>
      <c r="V635" s="17"/>
      <c r="X635" s="17"/>
      <c r="Y635" s="17"/>
      <c r="AA635" s="17"/>
      <c r="AB635" s="17"/>
      <c r="AC635" s="17"/>
      <c r="AD635" s="32"/>
    </row>
    <row r="636" spans="14:30" x14ac:dyDescent="0.45">
      <c r="N636" s="10"/>
      <c r="P636" s="48"/>
      <c r="Q636" s="17"/>
      <c r="R636" s="17"/>
      <c r="S636" s="17"/>
      <c r="T636" s="17"/>
      <c r="U636" s="17"/>
      <c r="V636" s="17"/>
      <c r="X636" s="17"/>
      <c r="Y636" s="17"/>
      <c r="AA636" s="17"/>
      <c r="AB636" s="17"/>
      <c r="AC636" s="17"/>
      <c r="AD636" s="32"/>
    </row>
    <row r="637" spans="14:30" x14ac:dyDescent="0.45">
      <c r="N637" s="10"/>
      <c r="P637" s="48"/>
      <c r="Q637" s="17"/>
      <c r="R637" s="17"/>
      <c r="S637" s="17"/>
      <c r="T637" s="17"/>
      <c r="U637" s="17"/>
      <c r="V637" s="17"/>
      <c r="X637" s="17"/>
      <c r="Y637" s="17"/>
      <c r="AA637" s="17"/>
      <c r="AB637" s="17"/>
      <c r="AC637" s="17"/>
      <c r="AD637" s="32"/>
    </row>
    <row r="638" spans="14:30" x14ac:dyDescent="0.45">
      <c r="N638" s="10"/>
      <c r="P638" s="48"/>
      <c r="Q638" s="17"/>
      <c r="R638" s="17"/>
      <c r="S638" s="17"/>
      <c r="T638" s="17"/>
      <c r="U638" s="17"/>
      <c r="V638" s="17"/>
      <c r="X638" s="17"/>
      <c r="Y638" s="17"/>
      <c r="AA638" s="17"/>
      <c r="AB638" s="17"/>
      <c r="AC638" s="17"/>
      <c r="AD638" s="32"/>
    </row>
    <row r="639" spans="14:30" x14ac:dyDescent="0.45">
      <c r="N639" s="10"/>
      <c r="P639" s="48"/>
      <c r="Q639" s="17"/>
      <c r="R639" s="17"/>
      <c r="S639" s="17"/>
      <c r="T639" s="17"/>
      <c r="U639" s="17"/>
      <c r="V639" s="17"/>
      <c r="X639" s="17"/>
      <c r="Y639" s="17"/>
      <c r="AA639" s="17"/>
      <c r="AB639" s="17"/>
      <c r="AC639" s="17"/>
      <c r="AD639" s="32"/>
    </row>
    <row r="640" spans="14:30" x14ac:dyDescent="0.45">
      <c r="N640" s="10"/>
      <c r="P640" s="48"/>
      <c r="Q640" s="17"/>
      <c r="R640" s="17"/>
      <c r="S640" s="17"/>
      <c r="T640" s="17"/>
      <c r="U640" s="17"/>
      <c r="V640" s="17"/>
      <c r="X640" s="17"/>
      <c r="Y640" s="17"/>
      <c r="AA640" s="17"/>
      <c r="AB640" s="17"/>
      <c r="AC640" s="17"/>
      <c r="AD640" s="32"/>
    </row>
    <row r="641" spans="14:30" x14ac:dyDescent="0.45">
      <c r="N641" s="10"/>
      <c r="P641" s="48"/>
      <c r="Q641" s="17"/>
      <c r="R641" s="17"/>
      <c r="S641" s="17"/>
      <c r="T641" s="17"/>
      <c r="U641" s="17"/>
      <c r="V641" s="17"/>
      <c r="X641" s="17"/>
      <c r="Y641" s="17"/>
      <c r="AA641" s="17"/>
      <c r="AB641" s="17"/>
      <c r="AC641" s="17"/>
      <c r="AD641" s="32"/>
    </row>
    <row r="642" spans="14:30" x14ac:dyDescent="0.45">
      <c r="N642" s="10"/>
      <c r="P642" s="48"/>
      <c r="Q642" s="17"/>
      <c r="R642" s="17"/>
      <c r="S642" s="17"/>
      <c r="T642" s="17"/>
      <c r="U642" s="17"/>
      <c r="V642" s="17"/>
      <c r="X642" s="17"/>
      <c r="Y642" s="17"/>
      <c r="AA642" s="17"/>
      <c r="AB642" s="17"/>
      <c r="AC642" s="17"/>
      <c r="AD642" s="32"/>
    </row>
    <row r="643" spans="14:30" x14ac:dyDescent="0.45">
      <c r="N643" s="10"/>
      <c r="P643" s="48"/>
      <c r="Q643" s="17"/>
      <c r="R643" s="17"/>
      <c r="S643" s="17"/>
      <c r="T643" s="17"/>
      <c r="U643" s="17"/>
      <c r="V643" s="17"/>
      <c r="X643" s="17"/>
      <c r="Y643" s="17"/>
      <c r="AA643" s="17"/>
      <c r="AB643" s="17"/>
      <c r="AC643" s="17"/>
      <c r="AD643" s="32"/>
    </row>
    <row r="644" spans="14:30" x14ac:dyDescent="0.45">
      <c r="N644" s="10"/>
      <c r="P644" s="48"/>
      <c r="Q644" s="17"/>
      <c r="R644" s="17"/>
      <c r="S644" s="17"/>
      <c r="T644" s="17"/>
      <c r="U644" s="17"/>
      <c r="V644" s="17"/>
      <c r="X644" s="17"/>
      <c r="Y644" s="17"/>
      <c r="AA644" s="17"/>
      <c r="AB644" s="17"/>
      <c r="AC644" s="17"/>
      <c r="AD644" s="32"/>
    </row>
    <row r="645" spans="14:30" x14ac:dyDescent="0.45">
      <c r="N645" s="10"/>
      <c r="P645" s="48"/>
      <c r="Q645" s="17"/>
      <c r="R645" s="17"/>
      <c r="S645" s="17"/>
      <c r="T645" s="17"/>
      <c r="U645" s="17"/>
      <c r="V645" s="17"/>
      <c r="X645" s="17"/>
      <c r="Y645" s="17"/>
      <c r="AA645" s="17"/>
      <c r="AB645" s="17"/>
      <c r="AC645" s="17"/>
      <c r="AD645" s="32"/>
    </row>
    <row r="646" spans="14:30" x14ac:dyDescent="0.45">
      <c r="N646" s="10"/>
      <c r="P646" s="48"/>
      <c r="Q646" s="17"/>
      <c r="R646" s="17"/>
      <c r="S646" s="17"/>
      <c r="T646" s="17"/>
      <c r="U646" s="17"/>
      <c r="V646" s="17"/>
      <c r="X646" s="17"/>
      <c r="Y646" s="17"/>
      <c r="AA646" s="17"/>
      <c r="AB646" s="17"/>
      <c r="AC646" s="17"/>
      <c r="AD646" s="32"/>
    </row>
    <row r="647" spans="14:30" x14ac:dyDescent="0.45">
      <c r="N647" s="10"/>
      <c r="P647" s="48"/>
      <c r="Q647" s="17"/>
      <c r="R647" s="17"/>
      <c r="S647" s="17"/>
      <c r="T647" s="17"/>
      <c r="U647" s="17"/>
      <c r="V647" s="17"/>
      <c r="X647" s="17"/>
      <c r="Y647" s="17"/>
      <c r="AA647" s="17"/>
      <c r="AB647" s="17"/>
      <c r="AC647" s="17"/>
      <c r="AD647" s="32"/>
    </row>
    <row r="648" spans="14:30" x14ac:dyDescent="0.45">
      <c r="N648" s="10"/>
      <c r="P648" s="48"/>
      <c r="Q648" s="17"/>
      <c r="R648" s="17"/>
      <c r="S648" s="17"/>
      <c r="T648" s="17"/>
      <c r="U648" s="17"/>
      <c r="V648" s="17"/>
      <c r="X648" s="17"/>
      <c r="Y648" s="17"/>
      <c r="AA648" s="17"/>
      <c r="AB648" s="17"/>
      <c r="AC648" s="17"/>
      <c r="AD648" s="32"/>
    </row>
    <row r="649" spans="14:30" x14ac:dyDescent="0.45">
      <c r="N649" s="10"/>
      <c r="P649" s="48"/>
      <c r="Q649" s="17"/>
      <c r="R649" s="17"/>
      <c r="S649" s="17"/>
      <c r="T649" s="17"/>
      <c r="U649" s="17"/>
      <c r="V649" s="17"/>
      <c r="X649" s="17"/>
      <c r="Y649" s="17"/>
      <c r="AA649" s="17"/>
      <c r="AB649" s="17"/>
      <c r="AC649" s="17"/>
      <c r="AD649" s="32"/>
    </row>
    <row r="650" spans="14:30" x14ac:dyDescent="0.45">
      <c r="N650" s="10"/>
      <c r="P650" s="48"/>
      <c r="Q650" s="17"/>
      <c r="R650" s="17"/>
      <c r="S650" s="17"/>
      <c r="T650" s="17"/>
      <c r="U650" s="17"/>
      <c r="V650" s="17"/>
      <c r="X650" s="17"/>
      <c r="Y650" s="17"/>
      <c r="AA650" s="17"/>
      <c r="AB650" s="17"/>
      <c r="AC650" s="17"/>
      <c r="AD650" s="32"/>
    </row>
    <row r="651" spans="14:30" x14ac:dyDescent="0.45">
      <c r="N651" s="10"/>
      <c r="P651" s="48"/>
      <c r="Q651" s="17"/>
      <c r="R651" s="17"/>
      <c r="S651" s="17"/>
      <c r="T651" s="17"/>
      <c r="U651" s="17"/>
      <c r="V651" s="17"/>
      <c r="X651" s="17"/>
      <c r="Y651" s="17"/>
      <c r="AA651" s="17"/>
      <c r="AB651" s="17"/>
      <c r="AC651" s="17"/>
      <c r="AD651" s="32"/>
    </row>
    <row r="652" spans="14:30" x14ac:dyDescent="0.45">
      <c r="N652" s="10"/>
      <c r="P652" s="48"/>
      <c r="Q652" s="17"/>
      <c r="R652" s="17"/>
      <c r="S652" s="17"/>
      <c r="T652" s="17"/>
      <c r="U652" s="17"/>
      <c r="V652" s="17"/>
      <c r="X652" s="17"/>
      <c r="Y652" s="17"/>
      <c r="AA652" s="17"/>
      <c r="AB652" s="17"/>
      <c r="AC652" s="17"/>
      <c r="AD652" s="32"/>
    </row>
    <row r="653" spans="14:30" x14ac:dyDescent="0.45">
      <c r="N653" s="10"/>
      <c r="P653" s="48"/>
      <c r="Q653" s="17"/>
      <c r="R653" s="17"/>
      <c r="S653" s="17"/>
      <c r="T653" s="17"/>
      <c r="U653" s="17"/>
      <c r="V653" s="17"/>
      <c r="X653" s="17"/>
      <c r="Y653" s="17"/>
      <c r="AA653" s="17"/>
      <c r="AB653" s="17"/>
      <c r="AC653" s="17"/>
      <c r="AD653" s="32"/>
    </row>
    <row r="654" spans="14:30" x14ac:dyDescent="0.45">
      <c r="N654" s="10"/>
      <c r="P654" s="48"/>
      <c r="Q654" s="17"/>
      <c r="R654" s="17"/>
      <c r="S654" s="17"/>
      <c r="T654" s="17"/>
      <c r="U654" s="17"/>
      <c r="V654" s="17"/>
      <c r="X654" s="17"/>
      <c r="Y654" s="17"/>
      <c r="AA654" s="17"/>
      <c r="AB654" s="17"/>
      <c r="AC654" s="17"/>
      <c r="AD654" s="32"/>
    </row>
    <row r="655" spans="14:30" x14ac:dyDescent="0.45">
      <c r="N655" s="10"/>
      <c r="P655" s="48"/>
      <c r="Q655" s="17"/>
      <c r="R655" s="17"/>
      <c r="S655" s="17"/>
      <c r="T655" s="17"/>
      <c r="U655" s="17"/>
      <c r="V655" s="17"/>
      <c r="X655" s="17"/>
      <c r="Y655" s="17"/>
      <c r="AA655" s="17"/>
      <c r="AB655" s="17"/>
      <c r="AC655" s="17"/>
      <c r="AD655" s="32"/>
    </row>
    <row r="656" spans="14:30" x14ac:dyDescent="0.45">
      <c r="N656" s="10"/>
      <c r="P656" s="48"/>
      <c r="Q656" s="17"/>
      <c r="R656" s="17"/>
      <c r="S656" s="17"/>
      <c r="T656" s="17"/>
      <c r="U656" s="17"/>
      <c r="V656" s="17"/>
      <c r="X656" s="17"/>
      <c r="Y656" s="17"/>
      <c r="AA656" s="17"/>
      <c r="AB656" s="17"/>
      <c r="AC656" s="17"/>
      <c r="AD656" s="32"/>
    </row>
    <row r="657" spans="14:30" x14ac:dyDescent="0.45">
      <c r="N657" s="10"/>
      <c r="P657" s="48"/>
      <c r="Q657" s="17"/>
      <c r="R657" s="17"/>
      <c r="S657" s="17"/>
      <c r="T657" s="17"/>
      <c r="U657" s="17"/>
      <c r="V657" s="17"/>
      <c r="X657" s="17"/>
      <c r="Y657" s="17"/>
      <c r="AA657" s="17"/>
      <c r="AB657" s="17"/>
      <c r="AC657" s="17"/>
      <c r="AD657" s="32"/>
    </row>
    <row r="658" spans="14:30" x14ac:dyDescent="0.45">
      <c r="N658" s="10"/>
      <c r="P658" s="48"/>
      <c r="Q658" s="17"/>
      <c r="R658" s="17"/>
      <c r="S658" s="17"/>
      <c r="T658" s="17"/>
      <c r="U658" s="17"/>
      <c r="V658" s="17"/>
      <c r="X658" s="17"/>
      <c r="Y658" s="17"/>
      <c r="AA658" s="17"/>
      <c r="AB658" s="17"/>
      <c r="AC658" s="17"/>
      <c r="AD658" s="32"/>
    </row>
    <row r="659" spans="14:30" x14ac:dyDescent="0.45">
      <c r="N659" s="10"/>
      <c r="P659" s="48"/>
      <c r="Q659" s="17"/>
      <c r="R659" s="17"/>
      <c r="S659" s="17"/>
      <c r="T659" s="17"/>
      <c r="U659" s="17"/>
      <c r="V659" s="17"/>
      <c r="X659" s="17"/>
      <c r="Y659" s="17"/>
      <c r="AA659" s="17"/>
      <c r="AB659" s="17"/>
      <c r="AC659" s="17"/>
      <c r="AD659" s="32"/>
    </row>
    <row r="660" spans="14:30" x14ac:dyDescent="0.45">
      <c r="N660" s="10"/>
      <c r="P660" s="48"/>
      <c r="Q660" s="17"/>
      <c r="R660" s="17"/>
      <c r="S660" s="17"/>
      <c r="T660" s="17"/>
      <c r="U660" s="17"/>
      <c r="V660" s="17"/>
      <c r="X660" s="17"/>
      <c r="Y660" s="17"/>
      <c r="AA660" s="17"/>
      <c r="AB660" s="17"/>
      <c r="AC660" s="17"/>
      <c r="AD660" s="32"/>
    </row>
    <row r="661" spans="14:30" x14ac:dyDescent="0.45">
      <c r="N661" s="10"/>
      <c r="P661" s="48"/>
      <c r="Q661" s="17"/>
      <c r="R661" s="17"/>
      <c r="S661" s="17"/>
      <c r="T661" s="17"/>
      <c r="U661" s="17"/>
      <c r="V661" s="17"/>
      <c r="X661" s="17"/>
      <c r="Y661" s="17"/>
      <c r="AA661" s="17"/>
      <c r="AB661" s="17"/>
      <c r="AC661" s="17"/>
      <c r="AD661" s="32"/>
    </row>
    <row r="662" spans="14:30" x14ac:dyDescent="0.45">
      <c r="N662" s="10"/>
      <c r="P662" s="48"/>
      <c r="Q662" s="17"/>
      <c r="R662" s="17"/>
      <c r="S662" s="17"/>
      <c r="T662" s="17"/>
      <c r="U662" s="17"/>
      <c r="V662" s="17"/>
      <c r="X662" s="17"/>
      <c r="Y662" s="17"/>
      <c r="AA662" s="17"/>
      <c r="AB662" s="17"/>
      <c r="AC662" s="17"/>
      <c r="AD662" s="32"/>
    </row>
    <row r="663" spans="14:30" x14ac:dyDescent="0.45">
      <c r="N663" s="10"/>
      <c r="P663" s="48"/>
      <c r="Q663" s="17"/>
      <c r="R663" s="17"/>
      <c r="S663" s="17"/>
      <c r="T663" s="17"/>
      <c r="U663" s="17"/>
      <c r="V663" s="17"/>
      <c r="X663" s="17"/>
      <c r="Y663" s="17"/>
      <c r="AA663" s="17"/>
      <c r="AB663" s="17"/>
      <c r="AC663" s="17"/>
      <c r="AD663" s="32"/>
    </row>
    <row r="664" spans="14:30" x14ac:dyDescent="0.45">
      <c r="N664" s="10"/>
      <c r="P664" s="48"/>
      <c r="Q664" s="17"/>
      <c r="R664" s="17"/>
      <c r="S664" s="17"/>
      <c r="T664" s="17"/>
      <c r="U664" s="17"/>
      <c r="V664" s="17"/>
      <c r="X664" s="17"/>
      <c r="Y664" s="17"/>
      <c r="AA664" s="17"/>
      <c r="AB664" s="17"/>
      <c r="AC664" s="17"/>
      <c r="AD664" s="32"/>
    </row>
    <row r="665" spans="14:30" x14ac:dyDescent="0.45">
      <c r="N665" s="10"/>
      <c r="P665" s="48"/>
      <c r="Q665" s="17"/>
      <c r="R665" s="17"/>
      <c r="S665" s="17"/>
      <c r="T665" s="17"/>
      <c r="U665" s="17"/>
      <c r="V665" s="17"/>
      <c r="X665" s="17"/>
      <c r="Y665" s="17"/>
      <c r="AA665" s="17"/>
      <c r="AB665" s="17"/>
      <c r="AC665" s="17"/>
      <c r="AD665" s="32"/>
    </row>
    <row r="666" spans="14:30" x14ac:dyDescent="0.45">
      <c r="N666" s="10"/>
      <c r="P666" s="48"/>
      <c r="Q666" s="17"/>
      <c r="R666" s="17"/>
      <c r="S666" s="17"/>
      <c r="T666" s="17"/>
      <c r="U666" s="17"/>
      <c r="V666" s="17"/>
      <c r="X666" s="17"/>
      <c r="Y666" s="17"/>
      <c r="AA666" s="17"/>
      <c r="AB666" s="17"/>
      <c r="AC666" s="17"/>
      <c r="AD666" s="32"/>
    </row>
    <row r="667" spans="14:30" x14ac:dyDescent="0.45">
      <c r="N667" s="10"/>
      <c r="P667" s="48"/>
      <c r="Q667" s="17"/>
      <c r="R667" s="17"/>
      <c r="S667" s="17"/>
      <c r="T667" s="17"/>
      <c r="U667" s="17"/>
      <c r="V667" s="17"/>
      <c r="X667" s="17"/>
      <c r="Y667" s="17"/>
      <c r="AA667" s="17"/>
      <c r="AB667" s="17"/>
      <c r="AC667" s="17"/>
      <c r="AD667" s="32"/>
    </row>
    <row r="668" spans="14:30" x14ac:dyDescent="0.45">
      <c r="N668" s="10"/>
      <c r="P668" s="48"/>
      <c r="Q668" s="17"/>
      <c r="R668" s="17"/>
      <c r="S668" s="17"/>
      <c r="T668" s="17"/>
      <c r="U668" s="17"/>
      <c r="V668" s="17"/>
      <c r="X668" s="17"/>
      <c r="Y668" s="17"/>
      <c r="AA668" s="17"/>
      <c r="AB668" s="17"/>
      <c r="AC668" s="17"/>
      <c r="AD668" s="32"/>
    </row>
    <row r="669" spans="14:30" x14ac:dyDescent="0.45">
      <c r="N669" s="10"/>
      <c r="P669" s="48"/>
      <c r="Q669" s="17"/>
      <c r="R669" s="17"/>
      <c r="S669" s="17"/>
      <c r="T669" s="17"/>
      <c r="U669" s="17"/>
      <c r="V669" s="17"/>
      <c r="X669" s="17"/>
      <c r="Y669" s="17"/>
      <c r="AA669" s="17"/>
      <c r="AB669" s="17"/>
      <c r="AC669" s="17"/>
      <c r="AD669" s="32"/>
    </row>
    <row r="670" spans="14:30" x14ac:dyDescent="0.45">
      <c r="N670" s="10"/>
      <c r="P670" s="48"/>
      <c r="Q670" s="17"/>
      <c r="R670" s="17"/>
      <c r="S670" s="17"/>
      <c r="T670" s="17"/>
      <c r="U670" s="17"/>
      <c r="V670" s="17"/>
      <c r="X670" s="17"/>
      <c r="Y670" s="17"/>
      <c r="AA670" s="17"/>
      <c r="AB670" s="17"/>
      <c r="AC670" s="17"/>
      <c r="AD670" s="32"/>
    </row>
    <row r="671" spans="14:30" x14ac:dyDescent="0.45">
      <c r="N671" s="10"/>
      <c r="P671" s="48"/>
      <c r="Q671" s="17"/>
      <c r="R671" s="17"/>
      <c r="S671" s="17"/>
      <c r="T671" s="17"/>
      <c r="U671" s="17"/>
      <c r="V671" s="17"/>
      <c r="X671" s="17"/>
      <c r="Y671" s="17"/>
      <c r="AA671" s="17"/>
      <c r="AB671" s="17"/>
      <c r="AC671" s="17"/>
      <c r="AD671" s="32"/>
    </row>
    <row r="672" spans="14:30" x14ac:dyDescent="0.45">
      <c r="N672" s="10"/>
      <c r="P672" s="48"/>
      <c r="Q672" s="17"/>
      <c r="R672" s="17"/>
      <c r="S672" s="17"/>
      <c r="T672" s="17"/>
      <c r="U672" s="17"/>
      <c r="V672" s="17"/>
      <c r="X672" s="17"/>
      <c r="Y672" s="17"/>
      <c r="AA672" s="17"/>
      <c r="AB672" s="17"/>
      <c r="AC672" s="17"/>
      <c r="AD672" s="32"/>
    </row>
    <row r="673" spans="14:30" x14ac:dyDescent="0.45">
      <c r="N673" s="10"/>
      <c r="P673" s="48"/>
      <c r="Q673" s="17"/>
      <c r="R673" s="17"/>
      <c r="S673" s="17"/>
      <c r="T673" s="17"/>
      <c r="U673" s="17"/>
      <c r="V673" s="17"/>
      <c r="X673" s="17"/>
      <c r="Y673" s="17"/>
      <c r="AA673" s="17"/>
      <c r="AB673" s="17"/>
      <c r="AC673" s="17"/>
      <c r="AD673" s="32"/>
    </row>
    <row r="674" spans="14:30" x14ac:dyDescent="0.45">
      <c r="N674" s="10"/>
      <c r="P674" s="48"/>
      <c r="Q674" s="17"/>
      <c r="R674" s="17"/>
      <c r="S674" s="17"/>
      <c r="T674" s="17"/>
      <c r="U674" s="17"/>
      <c r="V674" s="17"/>
      <c r="X674" s="17"/>
      <c r="Y674" s="17"/>
      <c r="AA674" s="17"/>
      <c r="AB674" s="17"/>
      <c r="AC674" s="17"/>
      <c r="AD674" s="32"/>
    </row>
    <row r="675" spans="14:30" x14ac:dyDescent="0.45">
      <c r="N675" s="10"/>
      <c r="P675" s="48"/>
      <c r="Q675" s="17"/>
      <c r="R675" s="17"/>
      <c r="S675" s="17"/>
      <c r="T675" s="17"/>
      <c r="U675" s="17"/>
      <c r="V675" s="17"/>
      <c r="X675" s="17"/>
      <c r="Y675" s="17"/>
      <c r="AA675" s="17"/>
      <c r="AB675" s="17"/>
      <c r="AC675" s="17"/>
      <c r="AD675" s="32"/>
    </row>
    <row r="676" spans="14:30" x14ac:dyDescent="0.45">
      <c r="N676" s="10"/>
      <c r="P676" s="48"/>
      <c r="Q676" s="17"/>
      <c r="R676" s="17"/>
      <c r="S676" s="17"/>
      <c r="T676" s="17"/>
      <c r="U676" s="17"/>
      <c r="V676" s="17"/>
      <c r="X676" s="17"/>
      <c r="Y676" s="17"/>
      <c r="AA676" s="17"/>
      <c r="AB676" s="17"/>
      <c r="AC676" s="17"/>
      <c r="AD676" s="32"/>
    </row>
    <row r="677" spans="14:30" x14ac:dyDescent="0.45">
      <c r="N677" s="10"/>
      <c r="P677" s="48"/>
      <c r="Q677" s="17"/>
      <c r="R677" s="17"/>
      <c r="S677" s="17"/>
      <c r="T677" s="17"/>
      <c r="U677" s="17"/>
      <c r="V677" s="17"/>
      <c r="X677" s="17"/>
      <c r="Y677" s="17"/>
      <c r="AA677" s="17"/>
      <c r="AB677" s="17"/>
      <c r="AC677" s="17"/>
      <c r="AD677" s="32"/>
    </row>
    <row r="678" spans="14:30" x14ac:dyDescent="0.45">
      <c r="N678" s="10"/>
      <c r="P678" s="48"/>
      <c r="Q678" s="17"/>
      <c r="R678" s="17"/>
      <c r="S678" s="17"/>
      <c r="T678" s="17"/>
      <c r="U678" s="17"/>
      <c r="V678" s="17"/>
      <c r="X678" s="17"/>
      <c r="Y678" s="17"/>
      <c r="AA678" s="17"/>
      <c r="AB678" s="17"/>
      <c r="AC678" s="17"/>
      <c r="AD678" s="32"/>
    </row>
    <row r="679" spans="14:30" x14ac:dyDescent="0.45">
      <c r="N679" s="10"/>
      <c r="P679" s="48"/>
      <c r="Q679" s="17"/>
      <c r="R679" s="17"/>
      <c r="S679" s="17"/>
      <c r="T679" s="17"/>
      <c r="U679" s="17"/>
      <c r="V679" s="17"/>
      <c r="X679" s="17"/>
      <c r="Y679" s="17"/>
      <c r="AA679" s="17"/>
      <c r="AB679" s="17"/>
      <c r="AC679" s="17"/>
      <c r="AD679" s="32"/>
    </row>
    <row r="680" spans="14:30" x14ac:dyDescent="0.45">
      <c r="N680" s="10"/>
      <c r="P680" s="48"/>
      <c r="Q680" s="17"/>
      <c r="R680" s="17"/>
      <c r="S680" s="17"/>
      <c r="T680" s="17"/>
      <c r="U680" s="17"/>
      <c r="V680" s="17"/>
      <c r="X680" s="17"/>
      <c r="Y680" s="17"/>
      <c r="AA680" s="17"/>
      <c r="AB680" s="17"/>
      <c r="AC680" s="17"/>
      <c r="AD680" s="32"/>
    </row>
    <row r="681" spans="14:30" x14ac:dyDescent="0.45">
      <c r="N681" s="10"/>
      <c r="P681" s="48"/>
      <c r="Q681" s="17"/>
      <c r="R681" s="17"/>
      <c r="S681" s="17"/>
      <c r="T681" s="17"/>
      <c r="U681" s="17"/>
      <c r="V681" s="17"/>
      <c r="X681" s="17"/>
      <c r="Y681" s="17"/>
      <c r="AA681" s="17"/>
      <c r="AB681" s="17"/>
      <c r="AC681" s="17"/>
      <c r="AD681" s="32"/>
    </row>
    <row r="682" spans="14:30" x14ac:dyDescent="0.45">
      <c r="N682" s="10"/>
      <c r="P682" s="48"/>
      <c r="Q682" s="17"/>
      <c r="R682" s="17"/>
      <c r="S682" s="17"/>
      <c r="T682" s="17"/>
      <c r="U682" s="17"/>
      <c r="V682" s="17"/>
      <c r="X682" s="17"/>
      <c r="Y682" s="17"/>
      <c r="AA682" s="17"/>
      <c r="AB682" s="17"/>
      <c r="AC682" s="17"/>
      <c r="AD682" s="32"/>
    </row>
    <row r="683" spans="14:30" x14ac:dyDescent="0.45">
      <c r="N683" s="10"/>
      <c r="P683" s="48"/>
      <c r="Q683" s="17"/>
      <c r="R683" s="17"/>
      <c r="S683" s="17"/>
      <c r="T683" s="17"/>
      <c r="U683" s="17"/>
      <c r="V683" s="17"/>
      <c r="X683" s="17"/>
      <c r="Y683" s="17"/>
      <c r="AA683" s="17"/>
      <c r="AB683" s="17"/>
      <c r="AC683" s="17"/>
      <c r="AD683" s="32"/>
    </row>
    <row r="684" spans="14:30" x14ac:dyDescent="0.45">
      <c r="N684" s="10"/>
      <c r="P684" s="48"/>
      <c r="Q684" s="17"/>
      <c r="R684" s="17"/>
      <c r="S684" s="17"/>
      <c r="T684" s="17"/>
      <c r="U684" s="17"/>
      <c r="V684" s="17"/>
      <c r="X684" s="17"/>
      <c r="Y684" s="17"/>
      <c r="AA684" s="17"/>
      <c r="AB684" s="17"/>
      <c r="AC684" s="17"/>
      <c r="AD684" s="32"/>
    </row>
    <row r="685" spans="14:30" x14ac:dyDescent="0.45">
      <c r="N685" s="10"/>
      <c r="P685" s="48"/>
      <c r="Q685" s="17"/>
      <c r="R685" s="17"/>
      <c r="S685" s="17"/>
      <c r="T685" s="17"/>
      <c r="U685" s="17"/>
      <c r="V685" s="17"/>
      <c r="X685" s="17"/>
      <c r="Y685" s="17"/>
      <c r="AA685" s="17"/>
      <c r="AB685" s="17"/>
      <c r="AC685" s="17"/>
      <c r="AD685" s="32"/>
    </row>
    <row r="686" spans="14:30" x14ac:dyDescent="0.45">
      <c r="N686" s="10"/>
      <c r="P686" s="48"/>
      <c r="Q686" s="17"/>
      <c r="R686" s="17"/>
      <c r="S686" s="17"/>
      <c r="T686" s="17"/>
      <c r="U686" s="17"/>
      <c r="V686" s="17"/>
      <c r="X686" s="17"/>
      <c r="Y686" s="17"/>
      <c r="AA686" s="17"/>
      <c r="AB686" s="17"/>
      <c r="AC686" s="17"/>
      <c r="AD686" s="32"/>
    </row>
    <row r="687" spans="14:30" x14ac:dyDescent="0.45">
      <c r="N687" s="10"/>
      <c r="P687" s="48"/>
      <c r="Q687" s="17"/>
      <c r="R687" s="17"/>
      <c r="S687" s="17"/>
      <c r="T687" s="17"/>
      <c r="U687" s="17"/>
      <c r="V687" s="17"/>
      <c r="X687" s="17"/>
      <c r="Y687" s="17"/>
      <c r="AA687" s="17"/>
      <c r="AB687" s="17"/>
      <c r="AC687" s="17"/>
      <c r="AD687" s="32"/>
    </row>
    <row r="688" spans="14:30" x14ac:dyDescent="0.45">
      <c r="N688" s="10"/>
      <c r="P688" s="48"/>
      <c r="Q688" s="17"/>
      <c r="R688" s="17"/>
      <c r="S688" s="17"/>
      <c r="T688" s="17"/>
      <c r="U688" s="17"/>
      <c r="V688" s="17"/>
      <c r="X688" s="17"/>
      <c r="Y688" s="17"/>
      <c r="AA688" s="17"/>
      <c r="AB688" s="17"/>
      <c r="AC688" s="17"/>
      <c r="AD688" s="32"/>
    </row>
    <row r="689" spans="14:30" x14ac:dyDescent="0.45">
      <c r="N689" s="10"/>
      <c r="P689" s="48"/>
      <c r="Q689" s="17"/>
      <c r="R689" s="17"/>
      <c r="S689" s="17"/>
      <c r="T689" s="17"/>
      <c r="U689" s="17"/>
      <c r="V689" s="17"/>
      <c r="X689" s="17"/>
      <c r="Y689" s="17"/>
      <c r="AA689" s="17"/>
      <c r="AB689" s="17"/>
      <c r="AC689" s="17"/>
      <c r="AD689" s="32"/>
    </row>
    <row r="690" spans="14:30" x14ac:dyDescent="0.45">
      <c r="N690" s="10"/>
      <c r="P690" s="48"/>
      <c r="Q690" s="17"/>
      <c r="R690" s="17"/>
      <c r="S690" s="17"/>
      <c r="T690" s="17"/>
      <c r="U690" s="17"/>
      <c r="V690" s="17"/>
      <c r="X690" s="17"/>
      <c r="Y690" s="17"/>
      <c r="AA690" s="17"/>
      <c r="AB690" s="17"/>
      <c r="AC690" s="17"/>
      <c r="AD690" s="32"/>
    </row>
    <row r="691" spans="14:30" x14ac:dyDescent="0.45">
      <c r="N691" s="10"/>
      <c r="P691" s="48"/>
      <c r="Q691" s="17"/>
      <c r="R691" s="17"/>
      <c r="S691" s="17"/>
      <c r="T691" s="17"/>
      <c r="U691" s="17"/>
      <c r="V691" s="17"/>
      <c r="X691" s="17"/>
      <c r="Y691" s="17"/>
      <c r="AA691" s="17"/>
      <c r="AB691" s="17"/>
      <c r="AC691" s="17"/>
      <c r="AD691" s="32"/>
    </row>
    <row r="692" spans="14:30" x14ac:dyDescent="0.45">
      <c r="N692" s="10"/>
      <c r="P692" s="48"/>
      <c r="Q692" s="17"/>
      <c r="R692" s="17"/>
      <c r="S692" s="17"/>
      <c r="T692" s="17"/>
      <c r="U692" s="17"/>
      <c r="V692" s="17"/>
      <c r="X692" s="17"/>
      <c r="Y692" s="17"/>
      <c r="AA692" s="17"/>
      <c r="AB692" s="17"/>
      <c r="AC692" s="17"/>
      <c r="AD692" s="32"/>
    </row>
    <row r="693" spans="14:30" x14ac:dyDescent="0.45">
      <c r="N693" s="10"/>
      <c r="P693" s="48"/>
      <c r="Q693" s="17"/>
      <c r="R693" s="17"/>
      <c r="S693" s="17"/>
      <c r="T693" s="17"/>
      <c r="U693" s="17"/>
      <c r="V693" s="17"/>
      <c r="X693" s="17"/>
      <c r="Y693" s="17"/>
      <c r="AA693" s="17"/>
      <c r="AB693" s="17"/>
      <c r="AC693" s="17"/>
      <c r="AD693" s="32"/>
    </row>
    <row r="694" spans="14:30" x14ac:dyDescent="0.45">
      <c r="N694" s="10"/>
      <c r="P694" s="48"/>
      <c r="Q694" s="17"/>
      <c r="R694" s="17"/>
      <c r="S694" s="17"/>
      <c r="T694" s="17"/>
      <c r="U694" s="17"/>
      <c r="V694" s="17"/>
      <c r="X694" s="17"/>
      <c r="Y694" s="17"/>
      <c r="AA694" s="17"/>
      <c r="AB694" s="17"/>
      <c r="AC694" s="17"/>
      <c r="AD694" s="32"/>
    </row>
    <row r="695" spans="14:30" x14ac:dyDescent="0.45">
      <c r="N695" s="10"/>
      <c r="P695" s="48"/>
      <c r="Q695" s="17"/>
      <c r="R695" s="17"/>
      <c r="S695" s="17"/>
      <c r="T695" s="17"/>
      <c r="U695" s="17"/>
      <c r="V695" s="17"/>
      <c r="X695" s="17"/>
      <c r="Y695" s="17"/>
      <c r="AA695" s="17"/>
      <c r="AB695" s="17"/>
      <c r="AC695" s="17"/>
      <c r="AD695" s="32"/>
    </row>
    <row r="696" spans="14:30" x14ac:dyDescent="0.45">
      <c r="N696" s="10"/>
      <c r="P696" s="48"/>
      <c r="Q696" s="17"/>
      <c r="R696" s="17"/>
      <c r="S696" s="17"/>
      <c r="T696" s="17"/>
      <c r="U696" s="17"/>
      <c r="V696" s="17"/>
      <c r="X696" s="17"/>
      <c r="Y696" s="17"/>
      <c r="AA696" s="17"/>
      <c r="AB696" s="17"/>
      <c r="AC696" s="17"/>
      <c r="AD696" s="32"/>
    </row>
    <row r="697" spans="14:30" x14ac:dyDescent="0.45">
      <c r="N697" s="10"/>
      <c r="P697" s="48"/>
      <c r="Q697" s="17"/>
      <c r="R697" s="17"/>
      <c r="S697" s="17"/>
      <c r="T697" s="17"/>
      <c r="U697" s="17"/>
      <c r="V697" s="17"/>
      <c r="X697" s="17"/>
      <c r="Y697" s="17"/>
      <c r="AA697" s="17"/>
      <c r="AB697" s="17"/>
      <c r="AC697" s="17"/>
      <c r="AD697" s="32"/>
    </row>
    <row r="698" spans="14:30" x14ac:dyDescent="0.45">
      <c r="N698" s="10"/>
      <c r="P698" s="48"/>
      <c r="Q698" s="17"/>
      <c r="R698" s="17"/>
      <c r="S698" s="17"/>
      <c r="T698" s="17"/>
      <c r="U698" s="17"/>
      <c r="V698" s="17"/>
      <c r="X698" s="17"/>
      <c r="Y698" s="17"/>
      <c r="AA698" s="17"/>
      <c r="AB698" s="17"/>
      <c r="AC698" s="17"/>
      <c r="AD698" s="32"/>
    </row>
    <row r="699" spans="14:30" x14ac:dyDescent="0.45">
      <c r="N699" s="10"/>
      <c r="P699" s="48"/>
      <c r="Q699" s="17"/>
      <c r="R699" s="17"/>
      <c r="S699" s="17"/>
      <c r="T699" s="17"/>
      <c r="U699" s="17"/>
      <c r="V699" s="17"/>
      <c r="X699" s="17"/>
      <c r="Y699" s="17"/>
      <c r="AA699" s="17"/>
      <c r="AB699" s="17"/>
      <c r="AC699" s="17"/>
      <c r="AD699" s="32"/>
    </row>
    <row r="700" spans="14:30" x14ac:dyDescent="0.45">
      <c r="N700" s="10"/>
      <c r="P700" s="48"/>
      <c r="Q700" s="17"/>
      <c r="R700" s="17"/>
      <c r="S700" s="17"/>
      <c r="T700" s="17"/>
      <c r="U700" s="17"/>
      <c r="V700" s="17"/>
      <c r="X700" s="17"/>
      <c r="Y700" s="17"/>
      <c r="AA700" s="17"/>
      <c r="AB700" s="17"/>
      <c r="AC700" s="17"/>
      <c r="AD700" s="32"/>
    </row>
    <row r="701" spans="14:30" x14ac:dyDescent="0.45">
      <c r="N701" s="10"/>
      <c r="P701" s="48"/>
      <c r="Q701" s="17"/>
      <c r="R701" s="17"/>
      <c r="S701" s="17"/>
      <c r="T701" s="17"/>
      <c r="U701" s="17"/>
      <c r="V701" s="17"/>
      <c r="X701" s="17"/>
      <c r="Y701" s="17"/>
      <c r="AA701" s="17"/>
      <c r="AB701" s="17"/>
      <c r="AC701" s="17"/>
      <c r="AD701" s="32"/>
    </row>
    <row r="702" spans="14:30" x14ac:dyDescent="0.45">
      <c r="N702" s="10"/>
      <c r="P702" s="48"/>
      <c r="Q702" s="17"/>
      <c r="R702" s="17"/>
      <c r="S702" s="17"/>
      <c r="T702" s="17"/>
      <c r="U702" s="17"/>
      <c r="V702" s="17"/>
      <c r="X702" s="17"/>
      <c r="Y702" s="17"/>
      <c r="AA702" s="17"/>
      <c r="AB702" s="17"/>
      <c r="AC702" s="17"/>
      <c r="AD702" s="32"/>
    </row>
    <row r="703" spans="14:30" x14ac:dyDescent="0.45">
      <c r="N703" s="10"/>
      <c r="P703" s="48"/>
      <c r="Q703" s="17"/>
      <c r="R703" s="17"/>
      <c r="S703" s="17"/>
      <c r="T703" s="17"/>
      <c r="U703" s="17"/>
      <c r="V703" s="17"/>
      <c r="X703" s="17"/>
      <c r="Y703" s="17"/>
      <c r="AA703" s="17"/>
      <c r="AB703" s="17"/>
      <c r="AC703" s="17"/>
      <c r="AD703" s="32"/>
    </row>
    <row r="704" spans="14:30" x14ac:dyDescent="0.45">
      <c r="N704" s="10"/>
      <c r="P704" s="48"/>
      <c r="Q704" s="17"/>
      <c r="R704" s="17"/>
      <c r="S704" s="17"/>
      <c r="T704" s="17"/>
      <c r="U704" s="17"/>
      <c r="V704" s="17"/>
      <c r="X704" s="17"/>
      <c r="Y704" s="17"/>
      <c r="AA704" s="17"/>
      <c r="AB704" s="17"/>
      <c r="AC704" s="17"/>
      <c r="AD704" s="32"/>
    </row>
    <row r="705" spans="14:30" x14ac:dyDescent="0.45">
      <c r="N705" s="10"/>
      <c r="P705" s="48"/>
      <c r="Q705" s="17"/>
      <c r="R705" s="17"/>
      <c r="S705" s="17"/>
      <c r="T705" s="17"/>
      <c r="U705" s="17"/>
      <c r="V705" s="17"/>
      <c r="X705" s="17"/>
      <c r="Y705" s="17"/>
      <c r="AA705" s="17"/>
      <c r="AB705" s="17"/>
      <c r="AC705" s="17"/>
      <c r="AD705" s="32"/>
    </row>
    <row r="706" spans="14:30" x14ac:dyDescent="0.45">
      <c r="N706" s="10"/>
      <c r="P706" s="48"/>
      <c r="Q706" s="17"/>
      <c r="R706" s="17"/>
      <c r="S706" s="17"/>
      <c r="T706" s="17"/>
      <c r="U706" s="17"/>
      <c r="V706" s="17"/>
      <c r="X706" s="17"/>
      <c r="Y706" s="17"/>
      <c r="AA706" s="17"/>
      <c r="AB706" s="17"/>
      <c r="AC706" s="17"/>
      <c r="AD706" s="32"/>
    </row>
    <row r="707" spans="14:30" x14ac:dyDescent="0.45">
      <c r="N707" s="10"/>
      <c r="P707" s="48"/>
      <c r="Q707" s="17"/>
      <c r="R707" s="17"/>
      <c r="S707" s="17"/>
      <c r="T707" s="17"/>
      <c r="U707" s="17"/>
      <c r="V707" s="17"/>
      <c r="X707" s="17"/>
      <c r="Y707" s="17"/>
      <c r="AA707" s="17"/>
      <c r="AB707" s="17"/>
      <c r="AC707" s="17"/>
      <c r="AD707" s="32"/>
    </row>
    <row r="708" spans="14:30" x14ac:dyDescent="0.45">
      <c r="N708" s="10"/>
      <c r="P708" s="48"/>
      <c r="Q708" s="17"/>
      <c r="R708" s="17"/>
      <c r="S708" s="17"/>
      <c r="T708" s="17"/>
      <c r="U708" s="17"/>
      <c r="V708" s="17"/>
      <c r="X708" s="17"/>
      <c r="Y708" s="17"/>
      <c r="AA708" s="17"/>
      <c r="AB708" s="17"/>
      <c r="AC708" s="17"/>
      <c r="AD708" s="32"/>
    </row>
  </sheetData>
  <mergeCells count="31">
    <mergeCell ref="E6:K6"/>
    <mergeCell ref="P16:AE16"/>
    <mergeCell ref="AF16:AU16"/>
    <mergeCell ref="AV16:AX16"/>
    <mergeCell ref="Q17:S17"/>
    <mergeCell ref="T17:V17"/>
    <mergeCell ref="W17:Y17"/>
    <mergeCell ref="Z17:AB17"/>
    <mergeCell ref="AC17:AE17"/>
    <mergeCell ref="AG17:AI17"/>
    <mergeCell ref="AJ17:AL17"/>
    <mergeCell ref="AM17:AO17"/>
    <mergeCell ref="AP17:AR17"/>
    <mergeCell ref="AS17:AU17"/>
    <mergeCell ref="AV17:AX17"/>
    <mergeCell ref="AV5:AX5"/>
    <mergeCell ref="A1:M1"/>
    <mergeCell ref="N1:X1"/>
    <mergeCell ref="P4:AE4"/>
    <mergeCell ref="AF4:AU4"/>
    <mergeCell ref="AV4:AX4"/>
    <mergeCell ref="Q5:S5"/>
    <mergeCell ref="T5:V5"/>
    <mergeCell ref="W5:Y5"/>
    <mergeCell ref="Z5:AB5"/>
    <mergeCell ref="AC5:AE5"/>
    <mergeCell ref="AG5:AI5"/>
    <mergeCell ref="AJ5:AL5"/>
    <mergeCell ref="AM5:AO5"/>
    <mergeCell ref="AP5:AR5"/>
    <mergeCell ref="AS5:AU5"/>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B708"/>
  <sheetViews>
    <sheetView topLeftCell="P19" zoomScale="85" zoomScaleNormal="85" workbookViewId="0">
      <selection activeCell="AM7" sqref="AM7"/>
    </sheetView>
  </sheetViews>
  <sheetFormatPr defaultRowHeight="14.25" x14ac:dyDescent="0.45"/>
  <cols>
    <col min="1" max="1" width="13.1328125" customWidth="1"/>
    <col min="2" max="2" width="25" customWidth="1"/>
    <col min="8" max="10" width="8.86328125" style="31"/>
    <col min="15" max="15" width="16.73046875" style="50" bestFit="1" customWidth="1"/>
    <col min="16" max="16" width="16.73046875" customWidth="1"/>
    <col min="29" max="29" width="8.86328125" style="31"/>
    <col min="33" max="33" width="10.1328125" customWidth="1"/>
    <col min="34" max="34" width="12" bestFit="1" customWidth="1"/>
    <col min="42" max="44" width="9.1328125" style="31"/>
    <col min="45" max="45" width="8.86328125" style="31"/>
    <col min="48" max="48" width="8.86328125" style="31"/>
    <col min="51" max="51" width="11.73046875" bestFit="1" customWidth="1"/>
  </cols>
  <sheetData>
    <row r="1" spans="1:54" s="31" customFormat="1" ht="27.75" x14ac:dyDescent="0.75">
      <c r="A1" s="324" t="s">
        <v>14</v>
      </c>
      <c r="B1" s="324"/>
      <c r="C1" s="324"/>
      <c r="D1" s="324"/>
      <c r="E1" s="324"/>
      <c r="F1" s="324"/>
      <c r="G1" s="324"/>
      <c r="H1" s="324"/>
      <c r="I1" s="324"/>
      <c r="J1" s="324"/>
      <c r="K1" s="324"/>
      <c r="L1" s="324"/>
      <c r="M1" s="324"/>
      <c r="N1" s="324" t="s">
        <v>173</v>
      </c>
      <c r="O1" s="324"/>
      <c r="P1" s="324"/>
      <c r="Q1" s="324"/>
      <c r="R1" s="324"/>
      <c r="S1" s="324"/>
      <c r="T1" s="324"/>
      <c r="U1" s="324"/>
      <c r="V1" s="324"/>
      <c r="W1" s="324"/>
      <c r="X1" s="324"/>
    </row>
    <row r="2" spans="1:54" s="31" customFormat="1" x14ac:dyDescent="0.45">
      <c r="A2" s="11"/>
      <c r="B2" s="11" t="s">
        <v>15</v>
      </c>
      <c r="C2" s="12"/>
      <c r="D2" s="17"/>
      <c r="E2" s="11"/>
      <c r="F2" s="11"/>
      <c r="G2" s="11"/>
      <c r="H2" s="11"/>
      <c r="I2" s="11"/>
      <c r="J2" s="11"/>
      <c r="K2" s="11"/>
      <c r="L2" s="11"/>
      <c r="M2" s="11"/>
    </row>
    <row r="3" spans="1:54" s="31" customFormat="1" ht="14.65" thickBot="1" x14ac:dyDescent="0.5">
      <c r="A3" s="11"/>
      <c r="B3" s="11" t="s">
        <v>16</v>
      </c>
      <c r="C3" s="13"/>
      <c r="D3" s="17"/>
      <c r="E3" s="11"/>
      <c r="F3" s="23"/>
      <c r="G3" s="24"/>
      <c r="H3" s="24"/>
      <c r="I3" s="24"/>
      <c r="J3" s="24"/>
      <c r="K3" s="38"/>
      <c r="L3" s="11"/>
      <c r="M3" s="11"/>
    </row>
    <row r="4" spans="1:54" s="31" customFormat="1" ht="14.65" thickBot="1" x14ac:dyDescent="0.5">
      <c r="A4" s="11"/>
      <c r="B4" s="11" t="s">
        <v>17</v>
      </c>
      <c r="C4" s="14"/>
      <c r="D4" s="17"/>
      <c r="E4" s="11"/>
      <c r="F4" s="23"/>
      <c r="G4" s="24"/>
      <c r="H4" s="24"/>
      <c r="I4" s="24"/>
      <c r="J4" s="24"/>
      <c r="K4" s="38"/>
      <c r="L4" s="11"/>
      <c r="M4" s="11"/>
      <c r="N4" s="84"/>
      <c r="O4" s="90"/>
      <c r="P4" s="328" t="s">
        <v>204</v>
      </c>
      <c r="Q4" s="328"/>
      <c r="R4" s="328"/>
      <c r="S4" s="328"/>
      <c r="T4" s="328"/>
      <c r="U4" s="328"/>
      <c r="V4" s="328"/>
      <c r="W4" s="328"/>
      <c r="X4" s="328"/>
      <c r="Y4" s="328"/>
      <c r="Z4" s="328"/>
      <c r="AA4" s="328"/>
      <c r="AB4" s="328"/>
      <c r="AC4" s="328"/>
      <c r="AD4" s="328"/>
      <c r="AE4" s="329"/>
      <c r="AF4" s="330" t="s">
        <v>205</v>
      </c>
      <c r="AG4" s="328"/>
      <c r="AH4" s="328"/>
      <c r="AI4" s="328"/>
      <c r="AJ4" s="328"/>
      <c r="AK4" s="328"/>
      <c r="AL4" s="328"/>
      <c r="AM4" s="328"/>
      <c r="AN4" s="328"/>
      <c r="AO4" s="328"/>
      <c r="AP4" s="328"/>
      <c r="AQ4" s="328"/>
      <c r="AR4" s="328"/>
      <c r="AS4" s="328"/>
      <c r="AT4" s="328"/>
      <c r="AU4" s="329"/>
      <c r="AV4" s="330" t="s">
        <v>216</v>
      </c>
      <c r="AW4" s="328"/>
      <c r="AX4" s="329"/>
    </row>
    <row r="5" spans="1:54" s="31" customFormat="1" x14ac:dyDescent="0.45">
      <c r="A5" s="11"/>
      <c r="D5" s="17"/>
      <c r="E5" s="11"/>
      <c r="F5" s="11"/>
      <c r="G5" s="11"/>
      <c r="H5" s="11"/>
      <c r="I5" s="11"/>
      <c r="J5" s="11"/>
      <c r="K5" s="11"/>
      <c r="L5" s="11"/>
      <c r="M5" s="11"/>
      <c r="N5" s="58"/>
      <c r="O5" s="61"/>
      <c r="P5" s="49"/>
      <c r="Q5" s="331" t="s">
        <v>196</v>
      </c>
      <c r="R5" s="331"/>
      <c r="S5" s="331"/>
      <c r="T5" s="327" t="s">
        <v>198</v>
      </c>
      <c r="U5" s="327"/>
      <c r="V5" s="327"/>
      <c r="W5" s="327" t="s">
        <v>198</v>
      </c>
      <c r="X5" s="327"/>
      <c r="Y5" s="327"/>
      <c r="Z5" s="327" t="s">
        <v>201</v>
      </c>
      <c r="AA5" s="327"/>
      <c r="AB5" s="327"/>
      <c r="AC5" s="326" t="s">
        <v>203</v>
      </c>
      <c r="AD5" s="327"/>
      <c r="AE5" s="332"/>
      <c r="AF5" s="49"/>
      <c r="AG5" s="327" t="s">
        <v>212</v>
      </c>
      <c r="AH5" s="327"/>
      <c r="AI5" s="327"/>
      <c r="AJ5" s="327" t="s">
        <v>213</v>
      </c>
      <c r="AK5" s="327"/>
      <c r="AL5" s="327"/>
      <c r="AM5" s="327" t="s">
        <v>207</v>
      </c>
      <c r="AN5" s="327"/>
      <c r="AO5" s="327"/>
      <c r="AP5" s="318"/>
      <c r="AQ5" s="318"/>
      <c r="AR5" s="318"/>
      <c r="AS5" s="326" t="s">
        <v>203</v>
      </c>
      <c r="AT5" s="327"/>
      <c r="AU5" s="332"/>
      <c r="AV5" s="326" t="s">
        <v>203</v>
      </c>
      <c r="AW5" s="327"/>
      <c r="AX5" s="332"/>
      <c r="AY5" s="308"/>
    </row>
    <row r="6" spans="1:54" s="31" customFormat="1" ht="14.65" thickBot="1" x14ac:dyDescent="0.5">
      <c r="A6" s="10" t="s">
        <v>18</v>
      </c>
      <c r="B6" s="10" t="s">
        <v>19</v>
      </c>
      <c r="C6" s="10" t="s">
        <v>20</v>
      </c>
      <c r="D6" s="17"/>
      <c r="E6" s="325" t="s">
        <v>21</v>
      </c>
      <c r="F6" s="325"/>
      <c r="G6" s="325"/>
      <c r="H6" s="325"/>
      <c r="I6" s="325"/>
      <c r="J6" s="325"/>
      <c r="K6" s="325"/>
      <c r="L6" s="35"/>
      <c r="M6" s="25"/>
      <c r="N6" s="58"/>
      <c r="O6" s="61"/>
      <c r="P6" s="79" t="s">
        <v>179</v>
      </c>
      <c r="Q6" s="49" t="s">
        <v>202</v>
      </c>
      <c r="R6" s="79" t="s">
        <v>199</v>
      </c>
      <c r="S6" s="79" t="s">
        <v>200</v>
      </c>
      <c r="T6" s="79" t="s">
        <v>202</v>
      </c>
      <c r="U6" s="79" t="s">
        <v>199</v>
      </c>
      <c r="V6" s="79" t="s">
        <v>200</v>
      </c>
      <c r="W6" s="81" t="s">
        <v>202</v>
      </c>
      <c r="X6" s="79" t="s">
        <v>199</v>
      </c>
      <c r="Y6" s="79" t="s">
        <v>200</v>
      </c>
      <c r="Z6" s="81" t="s">
        <v>202</v>
      </c>
      <c r="AA6" s="81" t="s">
        <v>199</v>
      </c>
      <c r="AB6" s="81" t="s">
        <v>200</v>
      </c>
      <c r="AC6" s="82" t="s">
        <v>217</v>
      </c>
      <c r="AD6" s="81" t="s">
        <v>199</v>
      </c>
      <c r="AE6" s="83" t="s">
        <v>200</v>
      </c>
      <c r="AF6" s="79" t="s">
        <v>214</v>
      </c>
      <c r="AG6" s="81" t="s">
        <v>202</v>
      </c>
      <c r="AH6" s="81" t="s">
        <v>215</v>
      </c>
      <c r="AI6" s="81" t="s">
        <v>200</v>
      </c>
      <c r="AJ6" s="81" t="s">
        <v>202</v>
      </c>
      <c r="AK6" s="81" t="s">
        <v>215</v>
      </c>
      <c r="AL6" s="81" t="s">
        <v>200</v>
      </c>
      <c r="AM6" s="81" t="s">
        <v>202</v>
      </c>
      <c r="AN6" s="81" t="s">
        <v>215</v>
      </c>
      <c r="AO6" s="81" t="s">
        <v>200</v>
      </c>
      <c r="AP6" s="81"/>
      <c r="AQ6" s="81"/>
      <c r="AR6" s="81"/>
      <c r="AS6" s="82" t="s">
        <v>217</v>
      </c>
      <c r="AT6" s="81" t="s">
        <v>199</v>
      </c>
      <c r="AU6" s="83" t="s">
        <v>200</v>
      </c>
      <c r="AV6" s="82" t="s">
        <v>217</v>
      </c>
      <c r="AW6" s="81" t="s">
        <v>199</v>
      </c>
      <c r="AX6" s="83" t="s">
        <v>200</v>
      </c>
      <c r="AY6" s="309"/>
    </row>
    <row r="7" spans="1:54" s="31" customFormat="1" ht="14.65" thickBot="1" x14ac:dyDescent="0.5">
      <c r="A7" s="10"/>
      <c r="B7" s="10"/>
      <c r="C7" s="10"/>
      <c r="D7" s="17"/>
      <c r="E7" s="45"/>
      <c r="F7" s="45"/>
      <c r="G7" s="45"/>
      <c r="H7" s="45"/>
      <c r="I7" s="45"/>
      <c r="J7" s="45"/>
      <c r="K7" s="45"/>
      <c r="L7" s="45"/>
      <c r="M7" s="25"/>
      <c r="N7" s="31" t="s">
        <v>378</v>
      </c>
      <c r="O7" s="90">
        <f>fcross</f>
        <v>8000</v>
      </c>
      <c r="P7" s="86" t="str">
        <f>COMPLEX(ADC_VINmin,0)</f>
        <v>15.7474804031355</v>
      </c>
      <c r="Q7" s="87" t="str">
        <f>IMSUM(COMPLEX(1,0),IMDIV(COMPLEX(0,2*PI()*O7),COMPLEX(wp_lf_VINmin,0)))</f>
        <v>1+4.19436040452681i</v>
      </c>
      <c r="R7" s="87">
        <f>IMABS(Q7)</f>
        <v>4.3119205933159659</v>
      </c>
      <c r="S7" s="87">
        <f t="shared" ref="S7" si="0">IMARGUMENT(Q7)</f>
        <v>1.3367502075789168</v>
      </c>
      <c r="T7" s="87" t="str">
        <f>IMSUM(COMPLEX(1,0),IMDIV(COMPLEX(0,2*PI()*O7),COMPLEX(wz_esr_VINmin,0)))</f>
        <v>1+0.015079644737231i</v>
      </c>
      <c r="U7" s="87">
        <f>IMABS(T7)</f>
        <v>1.0001136913798356</v>
      </c>
      <c r="V7" s="87">
        <f t="shared" ref="V7" si="1">IMARGUMENT(T7)</f>
        <v>1.5078501877772191E-2</v>
      </c>
      <c r="W7" s="85" t="str">
        <f>IMSUB(COMPLEX(1,0),IMDIV(COMPLEX(0,2*PI()*O7),COMPLEX(wz_RHP_VINmin,0)))</f>
        <v>1-0.0467282818400615i</v>
      </c>
      <c r="X7" s="87">
        <f>IMABS(W7)</f>
        <v>1.0010911708349666</v>
      </c>
      <c r="Y7" s="87">
        <f t="shared" ref="Y7" si="2">IMARGUMENT(W7)</f>
        <v>-4.6694315424418972E-2</v>
      </c>
      <c r="Z7" s="85" t="str">
        <f>IMSUM(COMPLEX(1,0),IMDIV(COMPLEX(0,2*PI()*O7),COMPLEX(Q_VINmin*(wsl_VINmin/2),0)),IMDIV(IMPOWER(COMPLEX(0,2*PI()*O7),2),IMPOWER(COMPLEX(wsl_VINmin/2,0),2)))</f>
        <v>0.999941950113379+0.954036337469092i</v>
      </c>
      <c r="AA7" s="87">
        <f>IMABS(Z7)</f>
        <v>1.3820525448795304</v>
      </c>
      <c r="AB7" s="87">
        <f t="shared" ref="AB7" si="3">IMARGUMENT(Z7)</f>
        <v>0.76190907448969702</v>
      </c>
      <c r="AC7" s="88" t="str">
        <f>(IMDIV(IMPRODUCT(P7,T7,W7),IMPRODUCT(Q7,Z7)))</f>
        <v>-1.40418484504331-2.24230563012148i</v>
      </c>
      <c r="AD7" s="89">
        <f>20*LOG(IMABS(AC7))</f>
        <v>8.4507754194300801</v>
      </c>
      <c r="AE7" s="90">
        <f t="shared" ref="AE7" si="4">(180/PI())*IMARGUMENT(AC7)</f>
        <v>-122.05577218058234</v>
      </c>
      <c r="AF7" s="85" t="str">
        <f t="shared" ref="AF7:AF13" si="5">COMPLEX(Adc_ea,0)</f>
        <v>-9090.90909090909</v>
      </c>
      <c r="AG7" s="85" t="str">
        <f t="shared" ref="AG7:AG13" si="6">COMPLEX(0,2*PI()*wp0_ea)</f>
        <v>2.27623467397318E-08i</v>
      </c>
      <c r="AH7" s="85">
        <f>IMABS(AG7)</f>
        <v>2.27623467397318E-8</v>
      </c>
      <c r="AI7" s="85">
        <f>IMARGUMENT(AG7)</f>
        <v>1.5707963267948966</v>
      </c>
      <c r="AJ7" s="85" t="str">
        <f>IMSUM(COMPLEX(1,0),IMDIV(COMPLEX(0,2*PI()*O7),COMPLEX(wp1_ea,0)))</f>
        <v>1+145172326.2799i</v>
      </c>
      <c r="AK7" s="85">
        <f>IMABS(AJ7)</f>
        <v>145172326.27990001</v>
      </c>
      <c r="AL7" s="85">
        <f>IMARGUMENT(AJ7)</f>
        <v>1.5707963199065313</v>
      </c>
      <c r="AM7" s="85" t="str">
        <f>IMSUM(COMPLEX(1,0),IMDIV(COMPLEX(0,2*PI()*O7),COMPLEX(wz_ea,0)))</f>
        <v>1+66.2398527824101i</v>
      </c>
      <c r="AN7" s="85">
        <f>IMABS(AM7)</f>
        <v>66.247400678331246</v>
      </c>
      <c r="AO7" s="85">
        <f>IMARGUMENT(AM7)</f>
        <v>1.555700821615583</v>
      </c>
      <c r="AP7" s="85"/>
      <c r="AQ7" s="85"/>
      <c r="AR7" s="85"/>
      <c r="AS7" s="84" t="str">
        <f>IMPRODUCT(AF7,IMDIV(AM7,IMPRODUCT(AG7,AJ7)))</f>
        <v>2751.09917000698+182232.487179845i</v>
      </c>
      <c r="AT7" s="85">
        <f>20*LOG(IMABS(AS7))</f>
        <v>105.21350573474953</v>
      </c>
      <c r="AU7" s="90">
        <f>(180/PI())*IMARGUMENT(AS7)</f>
        <v>89.135091658281709</v>
      </c>
      <c r="AV7" s="84" t="str">
        <f>IMPRODUCT(AC7,AS7)</f>
        <v>404757.880232672-262056.901930417i</v>
      </c>
      <c r="AW7" s="89">
        <f>20*LOG(IMABS(AV7))</f>
        <v>113.6642811541796</v>
      </c>
      <c r="AX7" s="90">
        <f>(180/PI())*IMARGUMENT(AV7)</f>
        <v>-32.920680522300657</v>
      </c>
      <c r="AY7" s="310"/>
    </row>
    <row r="8" spans="1:54" s="31" customFormat="1" ht="14.65" thickBot="1" x14ac:dyDescent="0.5">
      <c r="A8" s="10"/>
      <c r="B8" s="10"/>
      <c r="C8" s="10"/>
      <c r="D8" s="17"/>
      <c r="E8" s="97"/>
      <c r="F8" s="97"/>
      <c r="G8" s="97"/>
      <c r="H8" s="97"/>
      <c r="I8" s="97"/>
      <c r="J8" s="97"/>
      <c r="K8" s="97"/>
      <c r="L8" s="97"/>
      <c r="M8" s="25"/>
      <c r="N8" s="84" t="s">
        <v>244</v>
      </c>
      <c r="O8" s="90">
        <f>fcross</f>
        <v>8000</v>
      </c>
      <c r="P8" s="86" t="str">
        <f t="shared" ref="P8:P13" si="7">COMPLEX(Adc,0)</f>
        <v>17.4002386318441</v>
      </c>
      <c r="Q8" s="87" t="str">
        <f>IMSUM(COMPLEX(1,0),IMDIV(COMPLEX(0,2*PI()*O8),COMPLEX(wp_lf,0)))</f>
        <v>1+4.30485240189634i</v>
      </c>
      <c r="R8" s="87">
        <f>IMABS(Q8)</f>
        <v>4.4194744260050527</v>
      </c>
      <c r="S8" s="87">
        <f t="shared" ref="S8" si="8">IMARGUMENT(Q8)</f>
        <v>1.3425483900446531</v>
      </c>
      <c r="T8" s="87" t="str">
        <f>IMSUM(COMPLEX(1,0),IMDIV(COMPLEX(0,2*PI()*O8),COMPLEX(wz_esr,0)))</f>
        <v>1+0.015079644737231i</v>
      </c>
      <c r="U8" s="87">
        <f>IMABS(T8)</f>
        <v>1.0001136913798356</v>
      </c>
      <c r="V8" s="87">
        <f t="shared" ref="V8" si="9">IMARGUMENT(T8)</f>
        <v>1.5078501877772191E-2</v>
      </c>
      <c r="W8" s="85" t="str">
        <f>IMSUB(COMPLEX(1,0),IMDIV(COMPLEX(0,2*PI()*O8),COMPLEX(wz_rhp,0)))</f>
        <v>1-0.0372032958596539i</v>
      </c>
      <c r="X8" s="87">
        <f>IMABS(W8)</f>
        <v>1.0006918033154968</v>
      </c>
      <c r="Y8" s="87">
        <f t="shared" ref="Y8" si="10">IMARGUMENT(W8)</f>
        <v>-3.7186145922241086E-2</v>
      </c>
      <c r="Z8" s="85" t="str">
        <f>IMSUM(COMPLEX(1,0),IMDIV(COMPLEX(0,2*PI()*O8),COMPLEX(Q*(wsl/2),0)),IMDIV(IMPOWER(COMPLEX(0,2*PI()*O8),2),IMPOWER(COMPLEX(wsl/2,0),2)))</f>
        <v>0.999941950113379+0.0520310362235408i</v>
      </c>
      <c r="AA8" s="87">
        <f>IMABS(Z8)</f>
        <v>1.0012947280032203</v>
      </c>
      <c r="AB8" s="87">
        <f t="shared" ref="AB8" si="11">IMARGUMENT(Z8)</f>
        <v>5.1987171454316937E-2</v>
      </c>
      <c r="AC8" s="88" t="str">
        <f>(IMDIV(IMPRODUCT(P8,T8,W8),IMPRODUCT(Q8,Z8)))</f>
        <v>0.604231394337016-3.88858581579171i</v>
      </c>
      <c r="AD8" s="89">
        <f>20*LOG(IMABS(AC8))</f>
        <v>11.899447298381656</v>
      </c>
      <c r="AE8" s="90">
        <f t="shared" ref="AE8" si="12">(180/PI())*IMARGUMENT(AC8)</f>
        <v>-81.16767675352304</v>
      </c>
      <c r="AF8" s="85" t="str">
        <f t="shared" si="5"/>
        <v>-9090.90909090909</v>
      </c>
      <c r="AG8" s="85" t="str">
        <f t="shared" si="6"/>
        <v>2.27623467397318E-08i</v>
      </c>
      <c r="AH8" s="85">
        <f>IMABS(AG8)</f>
        <v>2.27623467397318E-8</v>
      </c>
      <c r="AI8" s="85">
        <f>IMARGUMENT(AG8)</f>
        <v>1.5707963267948966</v>
      </c>
      <c r="AJ8" s="85" t="str">
        <f>IMSUM(COMPLEX(1,0),IMDIV(COMPLEX(0,2*PI()*O8),COMPLEX(wp1_ea,0)))</f>
        <v>1+145172326.2799i</v>
      </c>
      <c r="AK8" s="85">
        <f>IMABS(AJ8)</f>
        <v>145172326.27990001</v>
      </c>
      <c r="AL8" s="85">
        <f>IMARGUMENT(AJ8)</f>
        <v>1.5707963199065313</v>
      </c>
      <c r="AM8" s="85" t="str">
        <f>IMSUM(COMPLEX(1,0),IMDIV(COMPLEX(0,2*PI()*O8),COMPLEX(wz_ea,0)))</f>
        <v>1+66.2398527824101i</v>
      </c>
      <c r="AN8" s="85">
        <f>IMABS(AM8)</f>
        <v>66.247400678331246</v>
      </c>
      <c r="AO8" s="85">
        <f>IMARGUMENT(AM8)</f>
        <v>1.555700821615583</v>
      </c>
      <c r="AP8" s="85"/>
      <c r="AQ8" s="85"/>
      <c r="AR8" s="85"/>
      <c r="AS8" s="84" t="str">
        <f>IMPRODUCT(AF8,IMDIV(AM8,IMPRODUCT(AG8,AJ8)))</f>
        <v>2751.09917000698+182232.487179845i</v>
      </c>
      <c r="AT8" s="85">
        <f>20*LOG(IMABS(AS8))</f>
        <v>105.21350573474953</v>
      </c>
      <c r="AU8" s="90">
        <f>(180/PI())*IMARGUMENT(AS8)</f>
        <v>89.135091658281709</v>
      </c>
      <c r="AV8" s="84" t="str">
        <f>IMPRODUCT(AC8,AS8)</f>
        <v>710288.965311443+99412.7046118546i</v>
      </c>
      <c r="AW8" s="89">
        <f>20*LOG(IMABS(AV8))</f>
        <v>117.11295303313119</v>
      </c>
      <c r="AX8" s="90">
        <f>(180/PI())*IMARGUMENT(AV8)</f>
        <v>7.9674149047586624</v>
      </c>
      <c r="AY8" s="310"/>
    </row>
    <row r="9" spans="1:54" s="31" customFormat="1" x14ac:dyDescent="0.45">
      <c r="A9" s="69" t="s">
        <v>149</v>
      </c>
      <c r="B9" s="10"/>
      <c r="C9" s="10"/>
      <c r="D9" s="17"/>
      <c r="E9" s="35"/>
      <c r="F9" s="35"/>
      <c r="G9" s="35"/>
      <c r="H9" s="45"/>
      <c r="I9" s="45"/>
      <c r="J9" s="45"/>
      <c r="K9" s="35"/>
      <c r="L9" s="35"/>
      <c r="M9" s="25"/>
      <c r="N9" s="71" t="s">
        <v>245</v>
      </c>
      <c r="O9" s="91">
        <f>wz_rhp/(2*PI())</f>
        <v>215034.71171423368</v>
      </c>
      <c r="P9" s="72" t="str">
        <f t="shared" si="7"/>
        <v>17.4002386318441</v>
      </c>
      <c r="Q9" s="73" t="str">
        <f>IMSUM(COMPLEX(1,0),IMDIV(COMPLEX(0,2*PI()*O9),COMPLEX(wp_lf,0)))</f>
        <v>1+115.711586901763i</v>
      </c>
      <c r="R9" s="73">
        <f t="shared" ref="R9:R13" si="13">IMABS(Q9)</f>
        <v>115.71590790951886</v>
      </c>
      <c r="S9" s="73">
        <f t="shared" ref="S9:S11" si="14">IMARGUMENT(Q9)</f>
        <v>1.5621543650678988</v>
      </c>
      <c r="T9" s="73" t="str">
        <f t="shared" ref="T9:T13" si="15">IMSUM(COMPLEX(1,0),IMDIV(COMPLEX(0,2*PI()*O9),COMPLEX(wz_esr,0)))</f>
        <v>1+0.405330882352941i</v>
      </c>
      <c r="U9" s="73">
        <f t="shared" ref="U9:U13" si="16">IMABS(T9)</f>
        <v>1.0790241536633987</v>
      </c>
      <c r="V9" s="73">
        <f t="shared" ref="V9:V11" si="17">IMARGUMENT(T9)</f>
        <v>0.38509350090176203</v>
      </c>
      <c r="W9" s="74" t="str">
        <f t="shared" ref="W9:W13" si="18">IMSUB(COMPLEX(1,0),IMDIV(COMPLEX(0,2*PI()*O9),COMPLEX(wz_rhp,0)))</f>
        <v>1-i</v>
      </c>
      <c r="X9" s="73">
        <f t="shared" ref="X9:X13" si="19">IMABS(W9)</f>
        <v>1.4142135623730951</v>
      </c>
      <c r="Y9" s="73">
        <f t="shared" ref="Y9:Y11" si="20">IMARGUMENT(W9)</f>
        <v>-0.78539816339744828</v>
      </c>
      <c r="Z9" s="74" t="str">
        <f t="shared" ref="Z9:Z13" si="21">IMSUM(COMPLEX(1,0),IMDIV(COMPLEX(0,2*PI()*O9),COMPLEX(Q*(wsl/2),0)),IMDIV(IMPOWER(COMPLEX(0,2*PI()*O9),2),IMPOWER(COMPLEX(wsl/2,0),2)))</f>
        <v>0.958059022909729+1.39855985931524i</v>
      </c>
      <c r="AA9" s="73">
        <f t="shared" ref="AA9:AA13" si="22">IMABS(Z9)</f>
        <v>1.6952423931304361</v>
      </c>
      <c r="AB9" s="73">
        <f t="shared" ref="AB9:AB11" si="23">IMARGUMENT(Z9)</f>
        <v>0.97018642303925218</v>
      </c>
      <c r="AC9" s="75" t="str">
        <f t="shared" ref="AC9:AC11" si="24">(IMDIV(IMPRODUCT(P9,T9,W9),IMPRODUCT(Q9,Z9)))</f>
        <v>-0.132411675794968-0.028076845248989i</v>
      </c>
      <c r="AD9" s="76">
        <f t="shared" ref="AD9:AD13" si="25">20*LOG(IMABS(AC9))</f>
        <v>-17.370470058526276</v>
      </c>
      <c r="AE9" s="77">
        <f t="shared" ref="AE9:AE11" si="26">(180/PI())*IMARGUMENT(AC9)</f>
        <v>-168.02820712778419</v>
      </c>
      <c r="AF9" s="74" t="str">
        <f t="shared" si="5"/>
        <v>-9090.90909090909</v>
      </c>
      <c r="AG9" s="74" t="str">
        <f t="shared" si="6"/>
        <v>2.27623467397318E-08i</v>
      </c>
      <c r="AH9" s="74">
        <f t="shared" ref="AH9:AH13" si="27">IMABS(AG9)</f>
        <v>2.27623467397318E-8</v>
      </c>
      <c r="AI9" s="74">
        <f t="shared" ref="AI9:AI11" si="28">IMARGUMENT(AG9)</f>
        <v>1.5707963267948966</v>
      </c>
      <c r="AJ9" s="74" t="str">
        <f t="shared" ref="AJ9:AJ13" si="29">IMSUM(COMPLEX(1,0),IMDIV(COMPLEX(0,2*PI()*O9),COMPLEX(wp1_ea,0)))</f>
        <v>1+3902136166.31038i</v>
      </c>
      <c r="AK9" s="74">
        <f t="shared" ref="AK9:AK13" si="30">IMABS(AJ9)</f>
        <v>3902136166.31038</v>
      </c>
      <c r="AL9" s="74">
        <f t="shared" ref="AL9:AL11" si="31">IMARGUMENT(AJ9)</f>
        <v>1.5707963265386267</v>
      </c>
      <c r="AM9" s="74" t="str">
        <f t="shared" ref="AM9:AM13" si="32">IMSUM(COMPLEX(1,0),IMDIV(COMPLEX(0,2*PI()*O9),COMPLEX(wz_ea,0)))</f>
        <v>1+1780.48345588235i</v>
      </c>
      <c r="AN9" s="74">
        <f t="shared" ref="AN9:AN13" si="33">IMABS(AM9)</f>
        <v>1780.4837367049317</v>
      </c>
      <c r="AO9" s="74">
        <f t="shared" ref="AO9:AO11" si="34">IMARGUMENT(AM9)</f>
        <v>1.5702346816464692</v>
      </c>
      <c r="AP9" s="74"/>
      <c r="AQ9" s="74"/>
      <c r="AR9" s="74"/>
      <c r="AS9" s="71" t="str">
        <f t="shared" ref="AS9:AS11" si="35">IMPRODUCT(AF9,IMDIV(AM9,IMPRODUCT(AG9,AJ9)))</f>
        <v>102.349956361017+182232.48716092i</v>
      </c>
      <c r="AT9" s="74">
        <f t="shared" ref="AT9:AT13" si="36">20*LOG(IMABS(AS9))</f>
        <v>105.21251742171387</v>
      </c>
      <c r="AU9" s="77">
        <f t="shared" ref="AU9:AU11" si="37">(180/PI())*IMARGUMENT(AS9)</f>
        <v>89.967820118094295</v>
      </c>
      <c r="AV9" s="71" t="str">
        <f t="shared" ref="AV9:AV11" si="38">IMPRODUCT(AC9,AS9)</f>
        <v>5102.96101211622-24132.5826731484i</v>
      </c>
      <c r="AW9" s="76">
        <f t="shared" ref="AW9:AW13" si="39">20*LOG(IMABS(AV9))</f>
        <v>87.842047363187589</v>
      </c>
      <c r="AX9" s="77">
        <f t="shared" ref="AX9:AX11" si="40">(180/PI())*IMARGUMENT(AV9)</f>
        <v>-78.060387009689904</v>
      </c>
      <c r="AY9" s="310"/>
    </row>
    <row r="10" spans="1:54" s="31" customFormat="1" x14ac:dyDescent="0.45">
      <c r="A10" s="31" t="s">
        <v>24</v>
      </c>
      <c r="B10" s="3">
        <f>VIN_min</f>
        <v>36</v>
      </c>
      <c r="C10" s="31" t="s">
        <v>9</v>
      </c>
      <c r="E10" s="31" t="s">
        <v>27</v>
      </c>
      <c r="N10" s="58" t="s">
        <v>198</v>
      </c>
      <c r="O10" s="92">
        <f>wz_esr/(2*PI())</f>
        <v>530516.4769729845</v>
      </c>
      <c r="P10" s="78" t="str">
        <f t="shared" si="7"/>
        <v>17.4002386318441</v>
      </c>
      <c r="Q10" s="79" t="str">
        <f t="shared" ref="Q10:Q13" si="41">IMSUM(COMPLEX(1,0),IMDIV(COMPLEX(0,2*PI()*O10),COMPLEX(wp_lf,0)))</f>
        <v>1+285.474391267842i</v>
      </c>
      <c r="R10" s="79">
        <f t="shared" si="13"/>
        <v>285.47614273305737</v>
      </c>
      <c r="S10" s="79">
        <f t="shared" si="14"/>
        <v>1.567293399946047</v>
      </c>
      <c r="T10" s="79" t="str">
        <f t="shared" si="15"/>
        <v>1+i</v>
      </c>
      <c r="U10" s="79">
        <f t="shared" si="16"/>
        <v>1.4142135623730951</v>
      </c>
      <c r="V10" s="79">
        <f t="shared" si="17"/>
        <v>0.78539816339744828</v>
      </c>
      <c r="W10" s="49" t="str">
        <f t="shared" si="18"/>
        <v>1-2.46712018140589i</v>
      </c>
      <c r="X10" s="79">
        <f t="shared" si="19"/>
        <v>2.6620822657273822</v>
      </c>
      <c r="Y10" s="79">
        <f t="shared" si="20"/>
        <v>-1.1857028258931337</v>
      </c>
      <c r="Z10" s="49" t="str">
        <f t="shared" si="21"/>
        <v>0.744718610122606+3.45041525382082i</v>
      </c>
      <c r="AA10" s="79">
        <f t="shared" si="22"/>
        <v>3.5298684440163401</v>
      </c>
      <c r="AB10" s="79">
        <f t="shared" si="23"/>
        <v>1.3582226854809782</v>
      </c>
      <c r="AC10" s="66" t="str">
        <f t="shared" si="24"/>
        <v>-0.0639074205071659+0.0119085737491802i</v>
      </c>
      <c r="AD10" s="64">
        <f t="shared" si="25"/>
        <v>-23.740733308627341</v>
      </c>
      <c r="AE10" s="61">
        <f t="shared" si="26"/>
        <v>169.44450772698576</v>
      </c>
      <c r="AF10" s="49" t="str">
        <f t="shared" si="5"/>
        <v>-9090.90909090909</v>
      </c>
      <c r="AG10" s="49" t="str">
        <f t="shared" si="6"/>
        <v>2.27623467397318E-08i</v>
      </c>
      <c r="AH10" s="49">
        <f t="shared" si="27"/>
        <v>2.27623467397318E-8</v>
      </c>
      <c r="AI10" s="49">
        <f t="shared" si="28"/>
        <v>1.5707963267948966</v>
      </c>
      <c r="AJ10" s="49" t="str">
        <f t="shared" si="29"/>
        <v>1+9627038886.49817i</v>
      </c>
      <c r="AK10" s="49">
        <f t="shared" si="30"/>
        <v>9627038886.4981709</v>
      </c>
      <c r="AL10" s="49">
        <f t="shared" si="31"/>
        <v>1.5707963266910225</v>
      </c>
      <c r="AM10" s="49" t="str">
        <f t="shared" si="32"/>
        <v>1+4392.66666666666i</v>
      </c>
      <c r="AN10" s="49">
        <f t="shared" si="33"/>
        <v>4392.666780492732</v>
      </c>
      <c r="AO10" s="49">
        <f t="shared" si="34"/>
        <v>1.5705686746513108</v>
      </c>
      <c r="AP10" s="49"/>
      <c r="AQ10" s="49"/>
      <c r="AR10" s="49"/>
      <c r="AS10" s="58" t="str">
        <f t="shared" si="35"/>
        <v>41.4855981205962+182232.487160898i</v>
      </c>
      <c r="AT10" s="49">
        <f t="shared" si="36"/>
        <v>105.21251627682767</v>
      </c>
      <c r="AU10" s="61">
        <f t="shared" si="37"/>
        <v>89.986956498926972</v>
      </c>
      <c r="AV10" s="58" t="str">
        <f t="shared" si="38"/>
        <v>-2172.78025041617-11645.5141527535i</v>
      </c>
      <c r="AW10" s="64">
        <f t="shared" si="39"/>
        <v>81.471782968200358</v>
      </c>
      <c r="AX10" s="61">
        <f t="shared" si="40"/>
        <v>-100.5685357740872</v>
      </c>
      <c r="AY10" s="310"/>
    </row>
    <row r="11" spans="1:54" s="31" customFormat="1" ht="14.65" thickBot="1" x14ac:dyDescent="0.5">
      <c r="A11" s="31" t="s">
        <v>25</v>
      </c>
      <c r="B11" s="3">
        <f>VIN_nom</f>
        <v>42</v>
      </c>
      <c r="C11" s="31" t="s">
        <v>9</v>
      </c>
      <c r="E11" s="31" t="s">
        <v>28</v>
      </c>
      <c r="N11" s="62" t="s">
        <v>196</v>
      </c>
      <c r="O11" s="93">
        <f>wp_lf/(2*PI())</f>
        <v>1858.3680119847779</v>
      </c>
      <c r="P11" s="80" t="str">
        <f t="shared" si="7"/>
        <v>17.4002386318441</v>
      </c>
      <c r="Q11" s="54" t="str">
        <f t="shared" si="41"/>
        <v>1+i</v>
      </c>
      <c r="R11" s="54">
        <f t="shared" si="13"/>
        <v>1.4142135623730951</v>
      </c>
      <c r="S11" s="54">
        <f t="shared" si="14"/>
        <v>0.78539816339744828</v>
      </c>
      <c r="T11" s="54" t="str">
        <f t="shared" si="15"/>
        <v>1+0.00350294117647059i</v>
      </c>
      <c r="U11" s="54">
        <f t="shared" si="16"/>
        <v>1.0000061352796221</v>
      </c>
      <c r="V11" s="54">
        <f t="shared" si="17"/>
        <v>3.5029268488497114E-3</v>
      </c>
      <c r="W11" s="55" t="str">
        <f t="shared" si="18"/>
        <v>1-0.00864217687074831i</v>
      </c>
      <c r="X11" s="54">
        <f t="shared" si="19"/>
        <v>1.0000373429132861</v>
      </c>
      <c r="Y11" s="54">
        <f t="shared" si="20"/>
        <v>-8.641961726997844E-3</v>
      </c>
      <c r="Z11" s="55" t="str">
        <f t="shared" si="21"/>
        <v>0.999996867544972+0.0120866016685312i</v>
      </c>
      <c r="AA11" s="54">
        <f t="shared" si="22"/>
        <v>1.0000699080762554</v>
      </c>
      <c r="AB11" s="54">
        <f t="shared" si="23"/>
        <v>1.2086051014583758E-2</v>
      </c>
      <c r="AC11" s="59" t="str">
        <f t="shared" si="24"/>
        <v>8.54874984694126-8.84844771021918i</v>
      </c>
      <c r="AD11" s="65">
        <f t="shared" si="25"/>
        <v>21.800574578555395</v>
      </c>
      <c r="AE11" s="63">
        <f t="shared" si="26"/>
        <v>-45.986924723403796</v>
      </c>
      <c r="AF11" s="55" t="str">
        <f t="shared" si="5"/>
        <v>-9090.90909090909</v>
      </c>
      <c r="AG11" s="55" t="str">
        <f t="shared" si="6"/>
        <v>2.27623467397318E-08i</v>
      </c>
      <c r="AH11" s="55">
        <f t="shared" si="27"/>
        <v>2.27623467397318E-8</v>
      </c>
      <c r="AI11" s="55">
        <f t="shared" si="28"/>
        <v>1.5707963267948966</v>
      </c>
      <c r="AJ11" s="55" t="str">
        <f t="shared" si="29"/>
        <v>1+33722950.922998i</v>
      </c>
      <c r="AK11" s="55">
        <f t="shared" si="30"/>
        <v>33722950.922998019</v>
      </c>
      <c r="AL11" s="55">
        <f t="shared" si="31"/>
        <v>1.5707962971415013</v>
      </c>
      <c r="AM11" s="55" t="str">
        <f t="shared" si="32"/>
        <v>1+15.3872529411765i</v>
      </c>
      <c r="AN11" s="55">
        <f t="shared" si="33"/>
        <v>15.419713132083388</v>
      </c>
      <c r="AO11" s="55">
        <f t="shared" si="34"/>
        <v>1.5058987319998651</v>
      </c>
      <c r="AP11" s="55"/>
      <c r="AQ11" s="55"/>
      <c r="AR11" s="55"/>
      <c r="AS11" s="62" t="str">
        <f t="shared" si="35"/>
        <v>11843.0758698595+182232.487512082i</v>
      </c>
      <c r="AT11" s="55">
        <f t="shared" si="36"/>
        <v>105.23082007685615</v>
      </c>
      <c r="AU11" s="63">
        <f t="shared" si="37"/>
        <v>86.281643416708945</v>
      </c>
      <c r="AV11" s="62" t="str">
        <f t="shared" si="38"/>
        <v>1713718.1298836+1453067.11216403i</v>
      </c>
      <c r="AW11" s="65">
        <f t="shared" si="39"/>
        <v>127.03139465541155</v>
      </c>
      <c r="AX11" s="63">
        <f t="shared" si="40"/>
        <v>40.294718693305271</v>
      </c>
      <c r="AY11" s="310"/>
      <c r="BA11" s="297" t="s">
        <v>784</v>
      </c>
      <c r="BB11" s="297"/>
    </row>
    <row r="12" spans="1:54" s="31" customFormat="1" x14ac:dyDescent="0.45">
      <c r="A12" s="31" t="s">
        <v>26</v>
      </c>
      <c r="B12" s="3">
        <f>VIN_max</f>
        <v>57</v>
      </c>
      <c r="C12" s="31" t="s">
        <v>9</v>
      </c>
      <c r="E12" s="31" t="s">
        <v>29</v>
      </c>
      <c r="N12" s="71" t="s">
        <v>207</v>
      </c>
      <c r="O12" s="77">
        <f>wz_ea/(2*PI())</f>
        <v>120.77321527689736</v>
      </c>
      <c r="P12" s="72" t="str">
        <f t="shared" si="7"/>
        <v>17.4002386318441</v>
      </c>
      <c r="Q12" s="73" t="str">
        <f t="shared" si="41"/>
        <v>1+0.0649888582336869i</v>
      </c>
      <c r="R12" s="73">
        <f t="shared" si="13"/>
        <v>1.0021095507450861</v>
      </c>
      <c r="S12" s="73">
        <f t="shared" ref="S12:S13" si="42">IMARGUMENT(Q12)</f>
        <v>6.4897594795031474E-2</v>
      </c>
      <c r="T12" s="73" t="str">
        <f t="shared" si="15"/>
        <v>1+0.000227652147518592i</v>
      </c>
      <c r="U12" s="73">
        <f t="shared" si="16"/>
        <v>1.0000000259127497</v>
      </c>
      <c r="V12" s="73">
        <f t="shared" ref="V12:V13" si="43">IMARGUMENT(T12)</f>
        <v>2.2765214358586331E-4</v>
      </c>
      <c r="W12" s="74" t="str">
        <f t="shared" si="18"/>
        <v>1-0.00056164520748351i</v>
      </c>
      <c r="X12" s="73">
        <f t="shared" si="19"/>
        <v>1.0000001577226572</v>
      </c>
      <c r="Y12" s="73">
        <f t="shared" ref="Y12:Y13" si="44">IMARGUMENT(W12)</f>
        <v>-5.6164514842740019E-4</v>
      </c>
      <c r="Z12" s="74" t="str">
        <f t="shared" si="21"/>
        <v>0.999999986769914+0.000785494442363217i</v>
      </c>
      <c r="AA12" s="73">
        <f t="shared" si="22"/>
        <v>1.0000002952706299</v>
      </c>
      <c r="AB12" s="73">
        <f t="shared" ref="AB12:AB13" si="45">IMARGUMENT(Z12)</f>
        <v>7.8549429120500821E-4</v>
      </c>
      <c r="AC12" s="75" t="str">
        <f t="shared" ref="AC12:AC13" si="46">(IMDIV(IMPRODUCT(P12,T12,W12),IMPRODUCT(Q12,Z12)))</f>
        <v>17.3257835035956-1.14546222775592i</v>
      </c>
      <c r="AD12" s="76">
        <f t="shared" si="25"/>
        <v>24.792799092486298</v>
      </c>
      <c r="AE12" s="77">
        <f t="shared" ref="AE12:AE13" si="47">(180/PI())*IMARGUMENT(AC12)</f>
        <v>-3.7825001795874647</v>
      </c>
      <c r="AF12" s="74" t="str">
        <f t="shared" si="5"/>
        <v>-9090.90909090909</v>
      </c>
      <c r="AG12" s="74" t="str">
        <f t="shared" si="6"/>
        <v>2.27623467397318E-08i</v>
      </c>
      <c r="AH12" s="74">
        <f t="shared" si="27"/>
        <v>2.27623467397318E-8</v>
      </c>
      <c r="AI12" s="74">
        <f t="shared" ref="AI12:AI13" si="48">IMARGUMENT(AG12)</f>
        <v>1.5707963267948966</v>
      </c>
      <c r="AJ12" s="74" t="str">
        <f t="shared" si="29"/>
        <v>1+2191616.0767563i</v>
      </c>
      <c r="AK12" s="74">
        <f t="shared" si="30"/>
        <v>2191616.0767565281</v>
      </c>
      <c r="AL12" s="74">
        <f t="shared" ref="AL12:AL13" si="49">IMARGUMENT(AJ12)</f>
        <v>1.5707958705106</v>
      </c>
      <c r="AM12" s="74" t="str">
        <f t="shared" si="32"/>
        <v>1+i</v>
      </c>
      <c r="AN12" s="74">
        <f t="shared" si="33"/>
        <v>1.4142135623730951</v>
      </c>
      <c r="AO12" s="74">
        <f t="shared" ref="AO12:AO13" si="50">IMARGUMENT(AM12)</f>
        <v>0.78539816339744828</v>
      </c>
      <c r="AP12" s="74"/>
      <c r="AQ12" s="74"/>
      <c r="AR12" s="74"/>
      <c r="AS12" s="71" t="str">
        <f t="shared" ref="AS12:AS13" si="51">IMPRODUCT(AF12,IMDIV(AM12,IMPRODUCT(AG12,AJ12)))</f>
        <v>182232.404011034+182232.570310678i</v>
      </c>
      <c r="AT12" s="74">
        <f t="shared" si="36"/>
        <v>108.22281600839131</v>
      </c>
      <c r="AU12" s="77">
        <f t="shared" ref="AU12:AU13" si="52">(180/PI())*IMARGUMENT(AS12)</f>
        <v>45.000026143164391</v>
      </c>
      <c r="AV12" s="71" t="str">
        <f t="shared" ref="AV12:AV13" si="53">IMPRODUCT(AC12,AS12)</f>
        <v>3366059.7051927+2948581.72503877i</v>
      </c>
      <c r="AW12" s="76">
        <f t="shared" si="39"/>
        <v>133.0156151008776</v>
      </c>
      <c r="AX12" s="77">
        <f t="shared" ref="AX12:AX13" si="54">(180/PI())*IMARGUMENT(AV12)</f>
        <v>41.217525963576868</v>
      </c>
      <c r="AY12" s="310"/>
      <c r="BA12" s="31" t="s">
        <v>785</v>
      </c>
      <c r="BB12" s="31">
        <f>SUM(BA19:BA559)/1000</f>
        <v>0</v>
      </c>
    </row>
    <row r="13" spans="1:54" s="31" customFormat="1" ht="14.65" thickBot="1" x14ac:dyDescent="0.5">
      <c r="A13" s="31" t="s">
        <v>58</v>
      </c>
      <c r="B13" s="3">
        <f>Fsw</f>
        <v>2100000</v>
      </c>
      <c r="C13" s="31" t="s">
        <v>59</v>
      </c>
      <c r="E13" s="31" t="s">
        <v>60</v>
      </c>
      <c r="N13" s="62" t="s">
        <v>213</v>
      </c>
      <c r="O13" s="63">
        <f>wp1_ea/(2*PI())</f>
        <v>5.5106921580739487E-5</v>
      </c>
      <c r="P13" s="80" t="str">
        <f t="shared" si="7"/>
        <v>17.4002386318441</v>
      </c>
      <c r="Q13" s="54" t="str">
        <f t="shared" si="41"/>
        <v>1+2.96533954659949E-08i</v>
      </c>
      <c r="R13" s="54">
        <f t="shared" si="13"/>
        <v>1.0000000000000004</v>
      </c>
      <c r="S13" s="54">
        <f t="shared" si="42"/>
        <v>2.9653395465994889E-8</v>
      </c>
      <c r="T13" s="54" t="str">
        <f t="shared" si="15"/>
        <v>1+0.0000000001038741i</v>
      </c>
      <c r="U13" s="54">
        <f t="shared" si="16"/>
        <v>1</v>
      </c>
      <c r="V13" s="54">
        <f t="shared" si="43"/>
        <v>1.038741E-10</v>
      </c>
      <c r="W13" s="55" t="str">
        <f t="shared" si="18"/>
        <v>1-2.56269888435374E-10i</v>
      </c>
      <c r="X13" s="54">
        <f t="shared" si="19"/>
        <v>1</v>
      </c>
      <c r="Y13" s="54">
        <f t="shared" si="44"/>
        <v>-2.5626988843537398E-10</v>
      </c>
      <c r="Z13" s="55" t="str">
        <f t="shared" si="21"/>
        <v>1+3.5840877911691E-10i</v>
      </c>
      <c r="AA13" s="54">
        <f t="shared" si="22"/>
        <v>1</v>
      </c>
      <c r="AB13" s="54">
        <f t="shared" si="45"/>
        <v>3.5840877911690999E-10</v>
      </c>
      <c r="AC13" s="59" t="str">
        <f t="shared" si="46"/>
        <v>17.4002386318441-0.0000005248642787224i</v>
      </c>
      <c r="AD13" s="65">
        <f t="shared" si="25"/>
        <v>24.81110408724102</v>
      </c>
      <c r="AE13" s="63">
        <f t="shared" si="47"/>
        <v>-1.7282813543106268E-6</v>
      </c>
      <c r="AF13" s="55" t="str">
        <f t="shared" si="5"/>
        <v>-9090.90909090909</v>
      </c>
      <c r="AG13" s="55" t="str">
        <f t="shared" si="6"/>
        <v>2.27623467397318E-08i</v>
      </c>
      <c r="AH13" s="55">
        <f t="shared" si="27"/>
        <v>2.27623467397318E-8</v>
      </c>
      <c r="AI13" s="55">
        <f t="shared" si="48"/>
        <v>1.5707963267948966</v>
      </c>
      <c r="AJ13" s="55" t="str">
        <f t="shared" si="29"/>
        <v>1+i</v>
      </c>
      <c r="AK13" s="55">
        <f t="shared" si="30"/>
        <v>1.4142135623730951</v>
      </c>
      <c r="AL13" s="55">
        <f t="shared" si="49"/>
        <v>0.78539816339744828</v>
      </c>
      <c r="AM13" s="55" t="str">
        <f t="shared" si="32"/>
        <v>1+0.0000004562842966i</v>
      </c>
      <c r="AN13" s="55">
        <f t="shared" si="33"/>
        <v>1.0000000000001041</v>
      </c>
      <c r="AO13" s="55">
        <f t="shared" si="50"/>
        <v>4.5628429659996834E-7</v>
      </c>
      <c r="AP13" s="55"/>
      <c r="AQ13" s="55"/>
      <c r="AR13" s="55"/>
      <c r="AS13" s="62" t="str">
        <f t="shared" si="51"/>
        <v>199691733168.307+199691915400.795i</v>
      </c>
      <c r="AT13" s="55">
        <f t="shared" si="36"/>
        <v>229.01750564656459</v>
      </c>
      <c r="AU13" s="63">
        <f t="shared" si="52"/>
        <v>45.000026143164575</v>
      </c>
      <c r="AV13" s="62" t="str">
        <f t="shared" si="53"/>
        <v>3474683914746.23+3474686876012.8i</v>
      </c>
      <c r="AW13" s="65">
        <f t="shared" si="39"/>
        <v>253.82860973380562</v>
      </c>
      <c r="AX13" s="63">
        <f t="shared" si="54"/>
        <v>45.000024414883242</v>
      </c>
      <c r="AY13" s="310"/>
    </row>
    <row r="14" spans="1:54" s="31" customFormat="1" x14ac:dyDescent="0.45">
      <c r="B14" s="26"/>
      <c r="O14" s="50"/>
      <c r="BA14" s="31" t="s">
        <v>786</v>
      </c>
      <c r="BB14" s="298">
        <f>SUM(BB19:BB559)</f>
        <v>0</v>
      </c>
    </row>
    <row r="15" spans="1:54" ht="14.65" thickBot="1" x14ac:dyDescent="0.5">
      <c r="A15" s="68" t="s">
        <v>206</v>
      </c>
      <c r="N15" s="31"/>
      <c r="O15" s="50" t="s">
        <v>175</v>
      </c>
      <c r="P15" s="31">
        <f>B16</f>
        <v>42</v>
      </c>
      <c r="Q15" s="31" t="s">
        <v>9</v>
      </c>
      <c r="R15" s="31"/>
      <c r="S15" s="31"/>
      <c r="T15" s="31"/>
      <c r="U15" s="31"/>
      <c r="V15" s="31"/>
      <c r="W15" s="31"/>
      <c r="X15" s="31"/>
      <c r="Y15" s="31"/>
      <c r="Z15" s="31"/>
      <c r="AA15" s="31"/>
      <c r="AB15" s="31"/>
      <c r="AD15" s="31"/>
      <c r="AE15" s="31"/>
      <c r="AF15" s="31"/>
      <c r="AG15" s="31"/>
      <c r="AH15" s="31"/>
      <c r="AI15" s="31"/>
      <c r="AJ15" s="31"/>
      <c r="AK15" s="31"/>
      <c r="AL15" s="31"/>
      <c r="AM15" s="31"/>
      <c r="AN15" s="31"/>
      <c r="AO15" s="31"/>
      <c r="AT15" s="31"/>
      <c r="AU15" s="31"/>
      <c r="AW15" s="31"/>
      <c r="AX15" s="31"/>
      <c r="AY15" s="31"/>
      <c r="BA15" s="299"/>
      <c r="BB15" s="299"/>
    </row>
    <row r="16" spans="1:54" ht="14.65" thickBot="1" x14ac:dyDescent="0.5">
      <c r="A16" t="s">
        <v>177</v>
      </c>
      <c r="B16" s="43">
        <f>VIN_var</f>
        <v>42</v>
      </c>
      <c r="C16" t="s">
        <v>9</v>
      </c>
      <c r="E16" t="s">
        <v>178</v>
      </c>
      <c r="F16" s="31"/>
      <c r="G16" s="31"/>
      <c r="N16" s="31"/>
      <c r="O16" s="67"/>
      <c r="P16" s="328" t="s">
        <v>204</v>
      </c>
      <c r="Q16" s="328"/>
      <c r="R16" s="328"/>
      <c r="S16" s="328"/>
      <c r="T16" s="328"/>
      <c r="U16" s="328"/>
      <c r="V16" s="328"/>
      <c r="W16" s="328"/>
      <c r="X16" s="328"/>
      <c r="Y16" s="328"/>
      <c r="Z16" s="328"/>
      <c r="AA16" s="328"/>
      <c r="AB16" s="328"/>
      <c r="AC16" s="328"/>
      <c r="AD16" s="328"/>
      <c r="AE16" s="329"/>
      <c r="AF16" s="330" t="s">
        <v>205</v>
      </c>
      <c r="AG16" s="328"/>
      <c r="AH16" s="328"/>
      <c r="AI16" s="328"/>
      <c r="AJ16" s="328"/>
      <c r="AK16" s="328"/>
      <c r="AL16" s="328"/>
      <c r="AM16" s="328"/>
      <c r="AN16" s="328"/>
      <c r="AO16" s="328"/>
      <c r="AP16" s="328"/>
      <c r="AQ16" s="328"/>
      <c r="AR16" s="328"/>
      <c r="AS16" s="328"/>
      <c r="AT16" s="328"/>
      <c r="AU16" s="329"/>
      <c r="AV16" s="330" t="s">
        <v>216</v>
      </c>
      <c r="AW16" s="328"/>
      <c r="AX16" s="329"/>
      <c r="AY16" s="308"/>
      <c r="BA16" s="299"/>
      <c r="BB16" s="299"/>
    </row>
    <row r="17" spans="1:54" x14ac:dyDescent="0.45">
      <c r="A17" t="s">
        <v>479</v>
      </c>
      <c r="B17" s="43">
        <f>POUT_Total</f>
        <v>20</v>
      </c>
      <c r="C17" t="s">
        <v>34</v>
      </c>
      <c r="E17" t="s">
        <v>480</v>
      </c>
      <c r="N17" s="31"/>
      <c r="O17" s="52"/>
      <c r="P17" s="49"/>
      <c r="Q17" s="331" t="s">
        <v>196</v>
      </c>
      <c r="R17" s="331"/>
      <c r="S17" s="331"/>
      <c r="T17" s="327" t="s">
        <v>198</v>
      </c>
      <c r="U17" s="327"/>
      <c r="V17" s="327"/>
      <c r="W17" s="327" t="s">
        <v>198</v>
      </c>
      <c r="X17" s="327"/>
      <c r="Y17" s="327"/>
      <c r="Z17" s="327" t="s">
        <v>201</v>
      </c>
      <c r="AA17" s="327"/>
      <c r="AB17" s="327"/>
      <c r="AC17" s="326" t="s">
        <v>203</v>
      </c>
      <c r="AD17" s="327"/>
      <c r="AE17" s="332"/>
      <c r="AF17" s="49"/>
      <c r="AG17" s="327" t="s">
        <v>212</v>
      </c>
      <c r="AH17" s="327"/>
      <c r="AI17" s="327"/>
      <c r="AJ17" s="327" t="s">
        <v>213</v>
      </c>
      <c r="AK17" s="327"/>
      <c r="AL17" s="327"/>
      <c r="AM17" s="327" t="s">
        <v>207</v>
      </c>
      <c r="AN17" s="327"/>
      <c r="AO17" s="327"/>
      <c r="AP17" s="318"/>
      <c r="AQ17" s="318"/>
      <c r="AR17" s="318"/>
      <c r="AS17" s="326" t="s">
        <v>203</v>
      </c>
      <c r="AT17" s="327"/>
      <c r="AU17" s="332"/>
      <c r="AV17" s="326" t="s">
        <v>203</v>
      </c>
      <c r="AW17" s="327"/>
      <c r="AX17" s="332"/>
      <c r="AY17" s="313"/>
      <c r="BA17" s="299"/>
      <c r="BB17" s="299"/>
    </row>
    <row r="18" spans="1:54" ht="14.65" thickBot="1" x14ac:dyDescent="0.5">
      <c r="A18" t="s">
        <v>481</v>
      </c>
      <c r="B18" s="1">
        <f>Cout_total</f>
        <v>9.9999999999999991E-5</v>
      </c>
      <c r="C18" t="s">
        <v>143</v>
      </c>
      <c r="N18" s="10"/>
      <c r="O18" s="53" t="s">
        <v>174</v>
      </c>
      <c r="P18" s="54" t="s">
        <v>179</v>
      </c>
      <c r="Q18" s="55" t="s">
        <v>202</v>
      </c>
      <c r="R18" s="54" t="s">
        <v>199</v>
      </c>
      <c r="S18" s="54" t="s">
        <v>200</v>
      </c>
      <c r="T18" s="54" t="s">
        <v>202</v>
      </c>
      <c r="U18" s="54" t="s">
        <v>199</v>
      </c>
      <c r="V18" s="54" t="s">
        <v>200</v>
      </c>
      <c r="W18" s="56" t="s">
        <v>202</v>
      </c>
      <c r="X18" s="54" t="s">
        <v>199</v>
      </c>
      <c r="Y18" s="54" t="s">
        <v>200</v>
      </c>
      <c r="Z18" s="56" t="s">
        <v>202</v>
      </c>
      <c r="AA18" s="56" t="s">
        <v>199</v>
      </c>
      <c r="AB18" s="56" t="s">
        <v>200</v>
      </c>
      <c r="AC18" s="60" t="s">
        <v>217</v>
      </c>
      <c r="AD18" s="56" t="s">
        <v>199</v>
      </c>
      <c r="AE18" s="57" t="s">
        <v>200</v>
      </c>
      <c r="AF18" s="54" t="s">
        <v>214</v>
      </c>
      <c r="AG18" s="56" t="s">
        <v>202</v>
      </c>
      <c r="AH18" s="56" t="s">
        <v>215</v>
      </c>
      <c r="AI18" s="56" t="s">
        <v>200</v>
      </c>
      <c r="AJ18" s="56" t="s">
        <v>202</v>
      </c>
      <c r="AK18" s="56" t="s">
        <v>215</v>
      </c>
      <c r="AL18" s="56" t="s">
        <v>200</v>
      </c>
      <c r="AM18" s="56" t="s">
        <v>202</v>
      </c>
      <c r="AN18" s="56" t="s">
        <v>215</v>
      </c>
      <c r="AO18" s="56" t="s">
        <v>200</v>
      </c>
      <c r="AP18" s="56"/>
      <c r="AQ18" s="56"/>
      <c r="AR18" s="56"/>
      <c r="AS18" s="60" t="s">
        <v>217</v>
      </c>
      <c r="AT18" s="56" t="s">
        <v>199</v>
      </c>
      <c r="AU18" s="57" t="s">
        <v>200</v>
      </c>
      <c r="AV18" s="60" t="s">
        <v>217</v>
      </c>
      <c r="AW18" s="56" t="s">
        <v>199</v>
      </c>
      <c r="AX18" s="57" t="s">
        <v>200</v>
      </c>
      <c r="AY18" s="314"/>
      <c r="BA18" s="299" t="s">
        <v>787</v>
      </c>
      <c r="BB18" s="299" t="s">
        <v>788</v>
      </c>
    </row>
    <row r="19" spans="1:54" x14ac:dyDescent="0.45">
      <c r="A19" t="s">
        <v>469</v>
      </c>
      <c r="B19" s="1">
        <f>Resr_total</f>
        <v>3.0000000000000001E-3</v>
      </c>
      <c r="C19" s="2" t="s">
        <v>33</v>
      </c>
      <c r="N19" s="10">
        <v>1</v>
      </c>
      <c r="O19" s="50">
        <f>10^(1+(N19/100))</f>
        <v>10.232929922807543</v>
      </c>
      <c r="P19" s="48" t="str">
        <f t="shared" ref="P19:P82" si="55">COMPLEX(Adc,0)</f>
        <v>17.4002386318441</v>
      </c>
      <c r="Q19" s="17" t="str">
        <f t="shared" ref="Q19:Q82" si="56">IMSUM(COMPLEX(1,0),IMDIV(COMPLEX(0,2*PI()*O19),COMPLEX(wp_lf,0)))</f>
        <v>1+0.00550640661957937i</v>
      </c>
      <c r="R19" s="17">
        <f>IMABS(Q19)</f>
        <v>1.0000151601420151</v>
      </c>
      <c r="S19" s="17">
        <f>IMARGUMENT(Q19)</f>
        <v>5.5063509682323833E-3</v>
      </c>
      <c r="T19" s="17" t="str">
        <f t="shared" ref="T19:T82" si="57">IMSUM(COMPLEX(1,0),IMDIV(COMPLEX(0,2*PI()*O19),COMPLEX(wz_esr,0)))</f>
        <v>1+0.0000192886184821148i</v>
      </c>
      <c r="U19" s="17">
        <f>IMABS(T19)</f>
        <v>1.0000000001860254</v>
      </c>
      <c r="V19" s="17">
        <f>IMARGUMENT(T19)</f>
        <v>1.9288618479722683E-5</v>
      </c>
      <c r="W19" s="31" t="str">
        <f t="shared" ref="W19:W82" si="58">IMSUB(COMPLEX(1,0),IMDIV(COMPLEX(0,2*PI()*O19),COMPLEX(wz_rhp,0)))</f>
        <v>1-0.0000475873399286642i</v>
      </c>
      <c r="X19" s="17">
        <f>IMABS(W19)</f>
        <v>1.0000000011322774</v>
      </c>
      <c r="Y19" s="17">
        <f>IMARGUMENT(W19)</f>
        <v>-4.758733989274282E-5</v>
      </c>
      <c r="Z19" s="31" t="str">
        <f t="shared" ref="Z19:Z82" si="59">IMSUM(COMPLEX(1,0),IMDIV(COMPLEX(0,2*PI()*O19),COMPLEX(Q*(wsl/2),0)),IMDIV(IMPOWER(COMPLEX(0,2*PI()*O19),2),IMPOWER(COMPLEX(wsl/2,0),2)))</f>
        <v>0.999999999905022+0.0000665537434358192i</v>
      </c>
      <c r="AA19" s="17">
        <f>IMABS(Z19)</f>
        <v>1.0000000021197224</v>
      </c>
      <c r="AB19" s="17">
        <f>IMARGUMENT(Z19)</f>
        <v>6.6553743343875939E-5</v>
      </c>
      <c r="AC19" s="66" t="str">
        <f>(IMDIV(IMPRODUCT(P19,T19,W19),IMPRODUCT(Q19,Z19)))</f>
        <v>17.399701883643-0.0974602891485906i</v>
      </c>
      <c r="AD19" s="64">
        <f>20*LOG(IMABS(AC19))</f>
        <v>24.810972401957656</v>
      </c>
      <c r="AE19" s="61">
        <f>(180/PI())*IMARGUMENT(AC19)</f>
        <v>-0.32092531690447401</v>
      </c>
      <c r="AF19" s="31" t="str">
        <f t="shared" ref="AF19:AF82" si="60">COMPLEX(Adc_ea,0)</f>
        <v>-9090.90909090909</v>
      </c>
      <c r="AG19" s="31" t="str">
        <f t="shared" ref="AG19:AG82" si="61">COMPLEX(0,2*PI()*wp0_ea)</f>
        <v>2.27623467397318E-08i</v>
      </c>
      <c r="AH19" s="31">
        <f>IMABS(AG19)</f>
        <v>2.27623467397318E-8</v>
      </c>
      <c r="AI19" s="31">
        <f>IMARGUMENT(AG19)</f>
        <v>1.5707963267948966</v>
      </c>
      <c r="AJ19" s="31" t="str">
        <f t="shared" ref="AJ19:AJ82" si="62">IMSUM(COMPLEX(1,0),IMDIV(COMPLEX(0,2*PI()*O19),COMPLEX(wp1_ea,0)))</f>
        <v>1+185692.280194147i</v>
      </c>
      <c r="AK19" s="31">
        <f>IMABS(AJ19)</f>
        <v>185692.28019683959</v>
      </c>
      <c r="AL19" s="31">
        <f>IMARGUMENT(AJ19)</f>
        <v>1.5707909415414065</v>
      </c>
      <c r="AM19" s="31" t="str">
        <f t="shared" ref="AM19:AM82" si="63">IMSUM(COMPLEX(1,0),IMDIV(COMPLEX(0,2*PI()*O19),COMPLEX(wz_ea,0)))</f>
        <v>1+0.0847284714524363i</v>
      </c>
      <c r="AN19" s="31">
        <f>IMABS(AM19)</f>
        <v>1.0035830378571902</v>
      </c>
      <c r="AO19" s="31">
        <f>IMARGUMENT(AM19)</f>
        <v>8.4526587526222358E-2</v>
      </c>
      <c r="AS19" s="58" t="str">
        <f>IMPRODUCT(AF19,IMDIV(AM19,IMPRODUCT(AG19,AJ19)))</f>
        <v>2150781.20591477+182244.069662889i</v>
      </c>
      <c r="AT19" s="49">
        <f>20*LOG(IMABS(AS19))</f>
        <v>126.68299486903427</v>
      </c>
      <c r="AU19" s="61">
        <f>(180/PI())*IMARGUMENT(AS19)</f>
        <v>4.8433252741922832</v>
      </c>
      <c r="AV19" s="58" t="str">
        <f>IMPRODUCT(AC19,AS19)</f>
        <v>37440713.3595841+2961376.72397233i</v>
      </c>
      <c r="AW19" s="64">
        <f>20*LOG(IMABS(AV19))</f>
        <v>151.4939672709919</v>
      </c>
      <c r="AX19" s="61">
        <f>(180/PI())*IMARGUMENT(AV19)</f>
        <v>4.5223999572878171</v>
      </c>
      <c r="AY19" s="310"/>
      <c r="BA19" s="31">
        <f>SUM((AW20&lt;0)*(AW19&gt;0))*O19</f>
        <v>0</v>
      </c>
      <c r="BB19" s="31">
        <f>IF(BA19&gt;0,AX19,0)</f>
        <v>0</v>
      </c>
    </row>
    <row r="20" spans="1:54" x14ac:dyDescent="0.45">
      <c r="N20" s="10">
        <v>2</v>
      </c>
      <c r="O20" s="50">
        <f t="shared" ref="O20:O83" si="64">10^(1+(N20/100))</f>
        <v>10.471285480509</v>
      </c>
      <c r="P20" s="48" t="str">
        <f t="shared" si="55"/>
        <v>17.4002386318441</v>
      </c>
      <c r="Q20" s="17" t="str">
        <f t="shared" si="56"/>
        <v>1+0.00563466730646393i</v>
      </c>
      <c r="R20" s="17">
        <f t="shared" ref="R20:R83" si="65">IMABS(Q20)</f>
        <v>1.0000158746118257</v>
      </c>
      <c r="S20" s="17">
        <f t="shared" ref="S20:S83" si="66">IMARGUMENT(Q20)</f>
        <v>5.6346076750223972E-3</v>
      </c>
      <c r="T20" s="17" t="str">
        <f t="shared" si="57"/>
        <v>1+0.0000197379081235251i</v>
      </c>
      <c r="U20" s="17">
        <f t="shared" ref="U20:U83" si="67">IMABS(T20)</f>
        <v>1.0000000001947926</v>
      </c>
      <c r="V20" s="17">
        <f t="shared" ref="V20:V83" si="68">IMARGUMENT(T20)</f>
        <v>1.9737908120961903E-5</v>
      </c>
      <c r="W20" s="31" t="str">
        <f t="shared" si="58"/>
        <v>1-0.0000486957914702842i</v>
      </c>
      <c r="X20" s="17">
        <f t="shared" ref="X20:X83" si="69">IMABS(W20)</f>
        <v>1.00000000118564</v>
      </c>
      <c r="Y20" s="17">
        <f t="shared" ref="Y20:Y83" si="70">IMARGUMENT(W20)</f>
        <v>-4.8695791431793752E-5</v>
      </c>
      <c r="Z20" s="31" t="str">
        <f t="shared" si="59"/>
        <v>0.999999999900546+0.0000681039792679251i</v>
      </c>
      <c r="AA20" s="17">
        <f t="shared" ref="AA20:AA83" si="71">IMABS(Z20)</f>
        <v>1.000000002219622</v>
      </c>
      <c r="AB20" s="17">
        <f t="shared" ref="AB20:AB83" si="72">IMARGUMENT(Z20)</f>
        <v>6.8103979169406115E-5</v>
      </c>
      <c r="AC20" s="66" t="str">
        <f t="shared" ref="AC20:AC83" si="73">(IMDIV(IMPRODUCT(P20,T20,W20),IMPRODUCT(Q20,Z20)))</f>
        <v>17.3996765882827-0.0997302883801809i</v>
      </c>
      <c r="AD20" s="64">
        <f t="shared" ref="AD20:AD83" si="74">20*LOG(IMABS(AC20))</f>
        <v>24.810966195919946</v>
      </c>
      <c r="AE20" s="61">
        <f t="shared" ref="AE20:AE83" si="75">(180/PI())*IMARGUMENT(AC20)</f>
        <v>-0.32840047406260253</v>
      </c>
      <c r="AF20" s="31" t="str">
        <f t="shared" si="60"/>
        <v>-9090.90909090909</v>
      </c>
      <c r="AG20" s="31" t="str">
        <f t="shared" si="61"/>
        <v>2.27623467397318E-08i</v>
      </c>
      <c r="AH20" s="31">
        <f t="shared" ref="AH20:AH83" si="76">IMABS(AG20)</f>
        <v>2.27623467397318E-8</v>
      </c>
      <c r="AI20" s="31">
        <f t="shared" ref="AI20:AI83" si="77">IMARGUMENT(AG20)</f>
        <v>1.5707963267948966</v>
      </c>
      <c r="AJ20" s="31" t="str">
        <f t="shared" si="62"/>
        <v>1+190017.609043305i</v>
      </c>
      <c r="AK20" s="31">
        <f t="shared" ref="AK20:AK83" si="78">IMABS(AJ20)</f>
        <v>190017.60904593635</v>
      </c>
      <c r="AL20" s="31">
        <f t="shared" ref="AL20:AL83" si="79">IMARGUMENT(AJ20)</f>
        <v>1.5707910641247418</v>
      </c>
      <c r="AM20" s="31" t="str">
        <f t="shared" si="63"/>
        <v>1+0.086702051083938i</v>
      </c>
      <c r="AN20" s="31">
        <f t="shared" ref="AN20:AN83" si="80">IMABS(AM20)</f>
        <v>1.0037515856336974</v>
      </c>
      <c r="AO20" s="31">
        <f t="shared" ref="AO20:AO83" si="81">IMARGUMENT(AM20)</f>
        <v>8.6485772202834613E-2</v>
      </c>
      <c r="AS20" s="58" t="str">
        <f t="shared" ref="AS20:AS83" si="82">IMPRODUCT(AF20,IMDIV(AM20,IMPRODUCT(AG20,AJ20)))</f>
        <v>2101823.44855488+182243.548364427i</v>
      </c>
      <c r="AT20" s="49">
        <f t="shared" ref="AT20:AT83" si="83">20*LOG(IMABS(AS20))</f>
        <v>126.4844535071482</v>
      </c>
      <c r="AU20" s="61">
        <f t="shared" ref="AU20:AU83" si="84">(180/PI())*IMARGUMENT(AS20)</f>
        <v>4.955571263941124</v>
      </c>
      <c r="AV20" s="58" t="str">
        <f t="shared" ref="AV20:AV83" si="85">IMPRODUCT(AC20,AS20)</f>
        <v>36589223.4521578+2961363.34319348i</v>
      </c>
      <c r="AW20" s="64">
        <f t="shared" ref="AW20:AW83" si="86">20*LOG(IMABS(AV20))</f>
        <v>151.29541970306815</v>
      </c>
      <c r="AX20" s="61">
        <f t="shared" ref="AX20:AX83" si="87">(180/PI())*IMARGUMENT(AV20)</f>
        <v>4.6271707898785142</v>
      </c>
      <c r="AY20" s="310"/>
      <c r="BA20" s="31">
        <f t="shared" ref="BA20:BA83" si="88">SUM((AW21&lt;0)*(AW20&gt;0))*O20</f>
        <v>0</v>
      </c>
      <c r="BB20" s="31">
        <f t="shared" ref="BB20:BB83" si="89">IF(BA20&gt;0,AX20,0)</f>
        <v>0</v>
      </c>
    </row>
    <row r="21" spans="1:54" s="31" customFormat="1" x14ac:dyDescent="0.45">
      <c r="N21" s="10">
        <v>3</v>
      </c>
      <c r="O21" s="50">
        <f t="shared" si="64"/>
        <v>10.715193052376069</v>
      </c>
      <c r="P21" s="48" t="str">
        <f t="shared" si="55"/>
        <v>17.4002386318441</v>
      </c>
      <c r="Q21" s="17" t="str">
        <f t="shared" si="56"/>
        <v>1+0.00576591556853801i</v>
      </c>
      <c r="R21" s="17">
        <f t="shared" si="65"/>
        <v>1.0000166227530138</v>
      </c>
      <c r="S21" s="17">
        <f t="shared" si="66"/>
        <v>5.7658516723545711E-3</v>
      </c>
      <c r="T21" s="17" t="str">
        <f t="shared" si="57"/>
        <v>1+0.0000201976630650846i</v>
      </c>
      <c r="U21" s="17">
        <f t="shared" si="67"/>
        <v>1.0000000002039728</v>
      </c>
      <c r="V21" s="17">
        <f t="shared" si="68"/>
        <v>2.0197663062338085E-5</v>
      </c>
      <c r="W21" s="31" t="str">
        <f t="shared" si="58"/>
        <v>1-0.0000498300621651068i</v>
      </c>
      <c r="X21" s="17">
        <f t="shared" si="69"/>
        <v>1.0000000012415176</v>
      </c>
      <c r="Y21" s="17">
        <f t="shared" si="70"/>
        <v>-4.9830062123863531E-5</v>
      </c>
      <c r="Z21" s="31" t="str">
        <f t="shared" si="59"/>
        <v>0.999999999895859+0.0000696903247313015i</v>
      </c>
      <c r="AA21" s="17">
        <f t="shared" si="71"/>
        <v>1.0000000023242295</v>
      </c>
      <c r="AB21" s="17">
        <f t="shared" si="72"/>
        <v>6.9690324625736494E-5</v>
      </c>
      <c r="AC21" s="66" t="str">
        <f t="shared" si="73"/>
        <v>17.3996501008663-0.102053152493062i</v>
      </c>
      <c r="AD21" s="64">
        <f t="shared" si="74"/>
        <v>24.810959697410212</v>
      </c>
      <c r="AE21" s="61">
        <f t="shared" si="75"/>
        <v>-0.33604973900138918</v>
      </c>
      <c r="AF21" s="31" t="str">
        <f t="shared" si="60"/>
        <v>-9090.90909090909</v>
      </c>
      <c r="AG21" s="31" t="str">
        <f t="shared" si="61"/>
        <v>2.27623467397318E-08i</v>
      </c>
      <c r="AH21" s="31">
        <f t="shared" si="76"/>
        <v>2.27623467397318E-8</v>
      </c>
      <c r="AI21" s="31">
        <f t="shared" si="77"/>
        <v>1.5707963267948966</v>
      </c>
      <c r="AJ21" s="31" t="str">
        <f t="shared" si="62"/>
        <v>1+194443.687743958i</v>
      </c>
      <c r="AK21" s="31">
        <f t="shared" si="78"/>
        <v>194443.68774652944</v>
      </c>
      <c r="AL21" s="31">
        <f t="shared" si="79"/>
        <v>1.5707911839177398</v>
      </c>
      <c r="AM21" s="31" t="str">
        <f t="shared" si="63"/>
        <v>1+0.0887216012905617i</v>
      </c>
      <c r="AN21" s="31">
        <f t="shared" si="80"/>
        <v>1.0039280464931546</v>
      </c>
      <c r="AO21" s="31">
        <f t="shared" si="81"/>
        <v>8.8489903238622339E-2</v>
      </c>
      <c r="AS21" s="58" t="str">
        <f t="shared" si="82"/>
        <v>2053980.1058081+182243.050528261i</v>
      </c>
      <c r="AT21" s="49">
        <f t="shared" si="83"/>
        <v>126.28598036385938</v>
      </c>
      <c r="AU21" s="61">
        <f t="shared" si="84"/>
        <v>5.0703926502497376</v>
      </c>
      <c r="AV21" s="58" t="str">
        <f t="shared" si="85"/>
        <v>35757133.6330276+2961350.16755049i</v>
      </c>
      <c r="AW21" s="64">
        <f t="shared" si="86"/>
        <v>151.09694006126958</v>
      </c>
      <c r="AX21" s="61">
        <f t="shared" si="87"/>
        <v>4.7343429112483548</v>
      </c>
      <c r="AY21" s="310"/>
      <c r="BA21" s="31">
        <f t="shared" si="88"/>
        <v>0</v>
      </c>
      <c r="BB21" s="31">
        <f t="shared" si="89"/>
        <v>0</v>
      </c>
    </row>
    <row r="22" spans="1:54" x14ac:dyDescent="0.45">
      <c r="N22" s="10">
        <v>4</v>
      </c>
      <c r="O22" s="50">
        <f t="shared" si="64"/>
        <v>10.964781961431854</v>
      </c>
      <c r="P22" s="48" t="str">
        <f t="shared" si="55"/>
        <v>17.4002386318441</v>
      </c>
      <c r="Q22" s="17" t="str">
        <f t="shared" si="56"/>
        <v>1+0.00590022099536745i</v>
      </c>
      <c r="R22" s="17">
        <f t="shared" si="65"/>
        <v>1.0000174061524101</v>
      </c>
      <c r="S22" s="17">
        <f t="shared" si="66"/>
        <v>5.9001525294377277E-3</v>
      </c>
      <c r="T22" s="17" t="str">
        <f t="shared" si="57"/>
        <v>1+0.0000206681270749489i</v>
      </c>
      <c r="U22" s="17">
        <f t="shared" si="67"/>
        <v>1.0000000002135856</v>
      </c>
      <c r="V22" s="17">
        <f t="shared" si="68"/>
        <v>2.0668127072005956E-5</v>
      </c>
      <c r="W22" s="31" t="str">
        <f t="shared" si="58"/>
        <v>1-0.0000509907534184681i</v>
      </c>
      <c r="X22" s="17">
        <f t="shared" si="69"/>
        <v>1.0000000013000283</v>
      </c>
      <c r="Y22" s="17">
        <f t="shared" si="70"/>
        <v>-5.0990753374275146E-5</v>
      </c>
      <c r="Z22" s="31" t="str">
        <f t="shared" si="59"/>
        <v>0.999999999890951+0.0000713136209273109i</v>
      </c>
      <c r="AA22" s="17">
        <f t="shared" si="71"/>
        <v>1.0000000024337672</v>
      </c>
      <c r="AB22" s="17">
        <f t="shared" si="72"/>
        <v>7.1313620814195962E-5</v>
      </c>
      <c r="AC22" s="66" t="str">
        <f t="shared" si="73"/>
        <v>17.3996223652214-0.104430112139544i</v>
      </c>
      <c r="AD22" s="64">
        <f t="shared" si="74"/>
        <v>24.810952892645581</v>
      </c>
      <c r="AE22" s="61">
        <f t="shared" si="75"/>
        <v>-0.34387716642554145</v>
      </c>
      <c r="AF22" s="31" t="str">
        <f t="shared" si="60"/>
        <v>-9090.90909090909</v>
      </c>
      <c r="AG22" s="31" t="str">
        <f t="shared" si="61"/>
        <v>2.27623467397318E-08i</v>
      </c>
      <c r="AH22" s="31">
        <f t="shared" si="76"/>
        <v>2.27623467397318E-8</v>
      </c>
      <c r="AI22" s="31">
        <f t="shared" si="77"/>
        <v>1.5707963267948966</v>
      </c>
      <c r="AJ22" s="31" t="str">
        <f t="shared" si="62"/>
        <v>1+198972.863061619i</v>
      </c>
      <c r="AK22" s="31">
        <f t="shared" si="78"/>
        <v>198972.8630641319</v>
      </c>
      <c r="AL22" s="31">
        <f t="shared" si="79"/>
        <v>1.5707913009839161</v>
      </c>
      <c r="AM22" s="31" t="str">
        <f t="shared" si="63"/>
        <v>1+0.0907881928645589i</v>
      </c>
      <c r="AN22" s="31">
        <f t="shared" si="80"/>
        <v>1.0041127904591258</v>
      </c>
      <c r="AO22" s="31">
        <f t="shared" si="81"/>
        <v>9.0539978817287384E-2</v>
      </c>
      <c r="AS22" s="58" t="str">
        <f t="shared" si="82"/>
        <v>2007225.81050083+182242.575098414i</v>
      </c>
      <c r="AT22" s="49">
        <f t="shared" si="83"/>
        <v>126.08757860397478</v>
      </c>
      <c r="AU22" s="61">
        <f t="shared" si="84"/>
        <v>5.1878466211922571</v>
      </c>
      <c r="AV22" s="58" t="str">
        <f t="shared" si="85"/>
        <v>34944002.716994+2961337.16909792i</v>
      </c>
      <c r="AW22" s="64">
        <f t="shared" si="86"/>
        <v>150.89853149662036</v>
      </c>
      <c r="AX22" s="61">
        <f t="shared" si="87"/>
        <v>4.8439694547667242</v>
      </c>
      <c r="AY22" s="310"/>
      <c r="BA22" s="31">
        <f t="shared" si="88"/>
        <v>0</v>
      </c>
      <c r="BB22" s="31">
        <f t="shared" si="89"/>
        <v>0</v>
      </c>
    </row>
    <row r="23" spans="1:54" x14ac:dyDescent="0.45">
      <c r="N23" s="10">
        <v>5</v>
      </c>
      <c r="O23" s="50">
        <f t="shared" si="64"/>
        <v>11.220184543019636</v>
      </c>
      <c r="P23" s="48" t="str">
        <f t="shared" si="55"/>
        <v>17.4002386318441</v>
      </c>
      <c r="Q23" s="17" t="str">
        <f t="shared" si="56"/>
        <v>1+0.00603765479746728i</v>
      </c>
      <c r="R23" s="17">
        <f t="shared" si="65"/>
        <v>1.0000182264716244</v>
      </c>
      <c r="S23" s="17">
        <f t="shared" si="66"/>
        <v>6.0375814349740466E-3</v>
      </c>
      <c r="T23" s="17" t="str">
        <f t="shared" si="57"/>
        <v>1+0.0000211495495993634i</v>
      </c>
      <c r="U23" s="17">
        <f t="shared" si="67"/>
        <v>1.0000000002236518</v>
      </c>
      <c r="V23" s="17">
        <f t="shared" si="68"/>
        <v>2.1149549596209977E-5</v>
      </c>
      <c r="W23" s="31" t="str">
        <f t="shared" si="58"/>
        <v>1-0.0000521784806442343i</v>
      </c>
      <c r="X23" s="17">
        <f t="shared" si="69"/>
        <v>1.0000000013612969</v>
      </c>
      <c r="Y23" s="17">
        <f t="shared" si="70"/>
        <v>-5.21784805968807E-5</v>
      </c>
      <c r="Z23" s="31" t="str">
        <f t="shared" si="59"/>
        <v>0.999999999885812+0.0000729747285490834i</v>
      </c>
      <c r="AA23" s="17">
        <f t="shared" si="71"/>
        <v>1.0000000025484674</v>
      </c>
      <c r="AB23" s="17">
        <f t="shared" si="72"/>
        <v>7.2974728427878532E-5</v>
      </c>
      <c r="AC23" s="66" t="str">
        <f t="shared" si="73"/>
        <v>17.399593322529-0.106862426585383i</v>
      </c>
      <c r="AD23" s="64">
        <f t="shared" si="74"/>
        <v>24.810945767193708</v>
      </c>
      <c r="AE23" s="61">
        <f t="shared" si="75"/>
        <v>-0.35188690542972567</v>
      </c>
      <c r="AF23" s="31" t="str">
        <f t="shared" si="60"/>
        <v>-9090.90909090909</v>
      </c>
      <c r="AG23" s="31" t="str">
        <f t="shared" si="61"/>
        <v>2.27623467397318E-08i</v>
      </c>
      <c r="AH23" s="31">
        <f t="shared" si="76"/>
        <v>2.27623467397318E-8</v>
      </c>
      <c r="AI23" s="31">
        <f t="shared" si="77"/>
        <v>1.5707963267948966</v>
      </c>
      <c r="AJ23" s="31" t="str">
        <f t="shared" si="62"/>
        <v>1+203607.536424993i</v>
      </c>
      <c r="AK23" s="31">
        <f t="shared" si="78"/>
        <v>203607.53642744874</v>
      </c>
      <c r="AL23" s="31">
        <f t="shared" si="79"/>
        <v>1.5707914153853411</v>
      </c>
      <c r="AM23" s="31" t="str">
        <f t="shared" si="63"/>
        <v>1+0.0929029215401367i</v>
      </c>
      <c r="AN23" s="31">
        <f t="shared" si="80"/>
        <v>1.0043062047158191</v>
      </c>
      <c r="AO23" s="31">
        <f t="shared" si="81"/>
        <v>9.2637016949264489E-2</v>
      </c>
      <c r="AS23" s="58" t="str">
        <f t="shared" si="82"/>
        <v>1961535.77288683+182242.121066433i</v>
      </c>
      <c r="AT23" s="49">
        <f t="shared" si="83"/>
        <v>125.88925153666685</v>
      </c>
      <c r="AU23" s="61">
        <f t="shared" si="84"/>
        <v>5.3079915009137171</v>
      </c>
      <c r="AV23" s="58" t="str">
        <f t="shared" si="85"/>
        <v>34149399.5711067+2961324.32026631i</v>
      </c>
      <c r="AW23" s="64">
        <f t="shared" si="86"/>
        <v>150.70019730386056</v>
      </c>
      <c r="AX23" s="61">
        <f t="shared" si="87"/>
        <v>4.95610459548399</v>
      </c>
      <c r="AY23" s="310"/>
      <c r="BA23" s="31">
        <f t="shared" si="88"/>
        <v>0</v>
      </c>
      <c r="BB23" s="31">
        <f t="shared" si="89"/>
        <v>0</v>
      </c>
    </row>
    <row r="24" spans="1:54" x14ac:dyDescent="0.45">
      <c r="N24" s="10">
        <v>6</v>
      </c>
      <c r="O24" s="50">
        <f t="shared" si="64"/>
        <v>11.481536214968834</v>
      </c>
      <c r="P24" s="48" t="str">
        <f t="shared" si="55"/>
        <v>17.4002386318441</v>
      </c>
      <c r="Q24" s="17" t="str">
        <f t="shared" si="56"/>
        <v>1+0.00617828984405855i</v>
      </c>
      <c r="R24" s="17">
        <f t="shared" si="65"/>
        <v>1.0000190854505713</v>
      </c>
      <c r="S24" s="17">
        <f t="shared" si="66"/>
        <v>6.1782112348117979E-3</v>
      </c>
      <c r="T24" s="17" t="str">
        <f t="shared" si="57"/>
        <v>1+0.0000216421858949228i</v>
      </c>
      <c r="U24" s="17">
        <f t="shared" si="67"/>
        <v>1.0000000002341922</v>
      </c>
      <c r="V24" s="17">
        <f t="shared" si="68"/>
        <v>2.1642185891543847E-5</v>
      </c>
      <c r="W24" s="31" t="str">
        <f t="shared" si="58"/>
        <v>1-0.000053393873591102i</v>
      </c>
      <c r="X24" s="17">
        <f t="shared" si="69"/>
        <v>1.0000000014254529</v>
      </c>
      <c r="Y24" s="17">
        <f t="shared" si="70"/>
        <v>-5.3393873540361697E-5</v>
      </c>
      <c r="Z24" s="31" t="str">
        <f t="shared" si="59"/>
        <v>0.99999999988043+0.0000746745283378673i</v>
      </c>
      <c r="AA24" s="17">
        <f t="shared" si="71"/>
        <v>1.0000000026685725</v>
      </c>
      <c r="AB24" s="17">
        <f t="shared" si="72"/>
        <v>7.4674528207993983E-5</v>
      </c>
      <c r="AC24" s="66" t="str">
        <f t="shared" si="73"/>
        <v>17.3995629111987-0.109351384372546i</v>
      </c>
      <c r="AD24" s="64">
        <f t="shared" si="74"/>
        <v>24.810938305942102</v>
      </c>
      <c r="AE24" s="61">
        <f t="shared" si="75"/>
        <v>-0.36008320169317098</v>
      </c>
      <c r="AF24" s="31" t="str">
        <f t="shared" si="60"/>
        <v>-9090.90909090909</v>
      </c>
      <c r="AG24" s="31" t="str">
        <f t="shared" si="61"/>
        <v>2.27623467397318E-08i</v>
      </c>
      <c r="AH24" s="31">
        <f t="shared" si="76"/>
        <v>2.27623467397318E-8</v>
      </c>
      <c r="AI24" s="31">
        <f t="shared" si="77"/>
        <v>1.5707963267948966</v>
      </c>
      <c r="AJ24" s="31" t="str">
        <f t="shared" si="62"/>
        <v>1+208350.165199244i</v>
      </c>
      <c r="AK24" s="31">
        <f t="shared" si="78"/>
        <v>208350.1652016438</v>
      </c>
      <c r="AL24" s="31">
        <f t="shared" si="79"/>
        <v>1.5707915271826716</v>
      </c>
      <c r="AM24" s="31" t="str">
        <f t="shared" si="63"/>
        <v>1+0.0950669085744306i</v>
      </c>
      <c r="AN24" s="31">
        <f t="shared" si="80"/>
        <v>1.0045086943903965</v>
      </c>
      <c r="AO24" s="31">
        <f t="shared" si="81"/>
        <v>9.4782055696210663E-2</v>
      </c>
      <c r="AS24" s="58" t="str">
        <f t="shared" si="82"/>
        <v>1916885.76750341+182241.687469258i</v>
      </c>
      <c r="AT24" s="49">
        <f t="shared" si="83"/>
        <v>125.69100262182424</v>
      </c>
      <c r="AU24" s="61">
        <f t="shared" si="84"/>
        <v>5.4308867624905712</v>
      </c>
      <c r="AV24" s="58" t="str">
        <f t="shared" si="85"/>
        <v>33372902.8860721+2961311.59380384i</v>
      </c>
      <c r="AW24" s="64">
        <f t="shared" si="86"/>
        <v>150.50194092776633</v>
      </c>
      <c r="AX24" s="61">
        <f t="shared" si="87"/>
        <v>5.0708035607974109</v>
      </c>
      <c r="AY24" s="310"/>
      <c r="BA24" s="31">
        <f t="shared" si="88"/>
        <v>0</v>
      </c>
      <c r="BB24" s="31">
        <f t="shared" si="89"/>
        <v>0</v>
      </c>
    </row>
    <row r="25" spans="1:54" x14ac:dyDescent="0.45">
      <c r="A25" t="s">
        <v>30</v>
      </c>
      <c r="B25" s="43">
        <f>VOUT1</f>
        <v>5</v>
      </c>
      <c r="C25" t="s">
        <v>9</v>
      </c>
      <c r="E25" t="s">
        <v>150</v>
      </c>
      <c r="N25" s="10">
        <v>7</v>
      </c>
      <c r="O25" s="50">
        <f t="shared" si="64"/>
        <v>11.748975549395301</v>
      </c>
      <c r="P25" s="48" t="str">
        <f t="shared" si="55"/>
        <v>17.4002386318441</v>
      </c>
      <c r="Q25" s="17" t="str">
        <f t="shared" si="56"/>
        <v>1+0.00632220070170447i</v>
      </c>
      <c r="R25" s="17">
        <f t="shared" si="65"/>
        <v>1.000019984911158</v>
      </c>
      <c r="S25" s="17">
        <f t="shared" si="66"/>
        <v>6.3221164704699191E-3</v>
      </c>
      <c r="T25" s="17" t="str">
        <f t="shared" si="57"/>
        <v>1+0.0000221462971639119i</v>
      </c>
      <c r="U25" s="17">
        <f t="shared" si="67"/>
        <v>1.0000000002452292</v>
      </c>
      <c r="V25" s="17">
        <f t="shared" si="68"/>
        <v>2.2146297160291289E-5</v>
      </c>
      <c r="W25" s="31" t="str">
        <f t="shared" si="58"/>
        <v>1-0.0000546375766764991i</v>
      </c>
      <c r="X25" s="17">
        <f t="shared" si="69"/>
        <v>1.0000000014926322</v>
      </c>
      <c r="Y25" s="17">
        <f t="shared" si="70"/>
        <v>-5.4637576622129892E-5</v>
      </c>
      <c r="Z25" s="31" t="str">
        <f t="shared" si="59"/>
        <v>0.999999999874795+0.0000764139215500103i</v>
      </c>
      <c r="AA25" s="17">
        <f t="shared" si="71"/>
        <v>1.0000000027943388</v>
      </c>
      <c r="AB25" s="17">
        <f t="shared" si="72"/>
        <v>7.6413921410848514E-5</v>
      </c>
      <c r="AC25" s="66" t="str">
        <f t="shared" si="73"/>
        <v>17.3995310667387-0.11189830399715i</v>
      </c>
      <c r="AD25" s="64">
        <f t="shared" si="74"/>
        <v>24.810930493066358</v>
      </c>
      <c r="AE25" s="61">
        <f t="shared" si="75"/>
        <v>-0.36847039972510026</v>
      </c>
      <c r="AF25" s="31" t="str">
        <f t="shared" si="60"/>
        <v>-9090.90909090909</v>
      </c>
      <c r="AG25" s="31" t="str">
        <f t="shared" si="61"/>
        <v>2.27623467397318E-08i</v>
      </c>
      <c r="AH25" s="31">
        <f t="shared" si="76"/>
        <v>2.27623467397318E-8</v>
      </c>
      <c r="AI25" s="31">
        <f t="shared" si="77"/>
        <v>1.5707963267948966</v>
      </c>
      <c r="AJ25" s="31" t="str">
        <f t="shared" si="62"/>
        <v>1+213203.263988924i</v>
      </c>
      <c r="AK25" s="31">
        <f t="shared" si="78"/>
        <v>213203.26399126917</v>
      </c>
      <c r="AL25" s="31">
        <f t="shared" si="79"/>
        <v>1.5707916364351842</v>
      </c>
      <c r="AM25" s="31" t="str">
        <f t="shared" si="63"/>
        <v>1+0.09728130134201i</v>
      </c>
      <c r="AN25" s="31">
        <f t="shared" si="80"/>
        <v>1.0047206833696591</v>
      </c>
      <c r="AO25" s="31">
        <f t="shared" si="81"/>
        <v>9.6976153384651487E-2</v>
      </c>
      <c r="AS25" s="58" t="str">
        <f t="shared" si="82"/>
        <v>1873252.12032672+182241.273387171i</v>
      </c>
      <c r="AT25" s="49">
        <f t="shared" si="83"/>
        <v>125.49283547665914</v>
      </c>
      <c r="AU25" s="61">
        <f t="shared" si="84"/>
        <v>5.5565930401697781</v>
      </c>
      <c r="AV25" s="58" t="str">
        <f t="shared" si="85"/>
        <v>32614100.9528692+2961298.96271848i</v>
      </c>
      <c r="AW25" s="64">
        <f t="shared" si="86"/>
        <v>150.30376596972548</v>
      </c>
      <c r="AX25" s="61">
        <f t="shared" si="87"/>
        <v>5.1881226404446839</v>
      </c>
      <c r="AY25" s="310"/>
      <c r="BA25" s="31">
        <f t="shared" si="88"/>
        <v>0</v>
      </c>
      <c r="BB25" s="31">
        <f t="shared" si="89"/>
        <v>0</v>
      </c>
    </row>
    <row r="26" spans="1:54" s="31" customFormat="1" x14ac:dyDescent="0.45">
      <c r="A26" t="s">
        <v>31</v>
      </c>
      <c r="B26" s="43">
        <f>IOUT1</f>
        <v>4</v>
      </c>
      <c r="C26" t="s">
        <v>10</v>
      </c>
      <c r="D26"/>
      <c r="E26" t="s">
        <v>32</v>
      </c>
      <c r="F26"/>
      <c r="G26"/>
      <c r="K26"/>
      <c r="N26" s="10">
        <v>8</v>
      </c>
      <c r="O26" s="50">
        <f t="shared" si="64"/>
        <v>12.022644346174133</v>
      </c>
      <c r="P26" s="48" t="str">
        <f t="shared" si="55"/>
        <v>17.4002386318441</v>
      </c>
      <c r="Q26" s="17" t="str">
        <f t="shared" si="56"/>
        <v>1+0.00646946367384664i</v>
      </c>
      <c r="R26" s="17">
        <f t="shared" si="65"/>
        <v>1.0000209267611488</v>
      </c>
      <c r="S26" s="17">
        <f t="shared" si="66"/>
        <v>6.4693734185547217E-3</v>
      </c>
      <c r="T26" s="17" t="str">
        <f t="shared" si="57"/>
        <v>1+0.0000226621506927981i</v>
      </c>
      <c r="U26" s="17">
        <f t="shared" si="67"/>
        <v>1.0000000002567866</v>
      </c>
      <c r="V26" s="17">
        <f t="shared" si="68"/>
        <v>2.2662150688918545E-5</v>
      </c>
      <c r="W26" s="31" t="str">
        <f t="shared" si="58"/>
        <v>1-0.0000559102493282638i</v>
      </c>
      <c r="X26" s="17">
        <f t="shared" si="69"/>
        <v>1.000000001562978</v>
      </c>
      <c r="Y26" s="17">
        <f t="shared" si="70"/>
        <v>-5.5910249270006144E-5</v>
      </c>
      <c r="Z26" s="31" t="str">
        <f t="shared" si="59"/>
        <v>0.999999999868894+0.0000781938304348167i</v>
      </c>
      <c r="AA26" s="17">
        <f t="shared" si="71"/>
        <v>1.0000000029260314</v>
      </c>
      <c r="AB26" s="17">
        <f t="shared" si="72"/>
        <v>7.8193830285702186E-5</v>
      </c>
      <c r="AC26" s="66" t="str">
        <f t="shared" si="73"/>
        <v>17.3994977216183-0.114504534602903i</v>
      </c>
      <c r="AD26" s="64">
        <f t="shared" si="74"/>
        <v>24.810922311996173</v>
      </c>
      <c r="AE26" s="61">
        <f t="shared" si="75"/>
        <v>-0.37705294516217053</v>
      </c>
      <c r="AF26" s="31" t="str">
        <f t="shared" si="60"/>
        <v>-9090.90909090909</v>
      </c>
      <c r="AG26" s="31" t="str">
        <f t="shared" si="61"/>
        <v>2.27623467397318E-08i</v>
      </c>
      <c r="AH26" s="31">
        <f t="shared" si="76"/>
        <v>2.27623467397318E-8</v>
      </c>
      <c r="AI26" s="31">
        <f t="shared" si="77"/>
        <v>1.5707963267948966</v>
      </c>
      <c r="AJ26" s="31" t="str">
        <f t="shared" si="62"/>
        <v>1+218169.405971249i</v>
      </c>
      <c r="AK26" s="31">
        <f t="shared" si="78"/>
        <v>218169.40597354082</v>
      </c>
      <c r="AL26" s="31">
        <f t="shared" si="79"/>
        <v>1.5707917432008058</v>
      </c>
      <c r="AM26" s="31" t="str">
        <f t="shared" si="63"/>
        <v>1+0.0995472739432311i</v>
      </c>
      <c r="AN26" s="31">
        <f t="shared" si="80"/>
        <v>1.0049426151524916</v>
      </c>
      <c r="AO26" s="31">
        <f t="shared" si="81"/>
        <v>9.9220388807488513E-2</v>
      </c>
      <c r="AS26" s="58" t="str">
        <f t="shared" si="82"/>
        <v>1830611.69621948+182240.877941847i</v>
      </c>
      <c r="AT26" s="49">
        <f t="shared" si="83"/>
        <v>125.29475388257963</v>
      </c>
      <c r="AU26" s="61">
        <f t="shared" si="84"/>
        <v>5.6851721409125453</v>
      </c>
      <c r="AV26" s="58" t="str">
        <f t="shared" si="85"/>
        <v>31872591.444453+2961286.40022064i</v>
      </c>
      <c r="AW26" s="64">
        <f t="shared" si="86"/>
        <v>150.10567619457578</v>
      </c>
      <c r="AX26" s="61">
        <f t="shared" si="87"/>
        <v>5.3081191957503702</v>
      </c>
      <c r="AY26" s="310"/>
      <c r="BA26" s="31">
        <f t="shared" si="88"/>
        <v>0</v>
      </c>
      <c r="BB26" s="31">
        <f t="shared" si="89"/>
        <v>0</v>
      </c>
    </row>
    <row r="27" spans="1:54" s="31" customFormat="1" x14ac:dyDescent="0.45">
      <c r="A27"/>
      <c r="B27"/>
      <c r="C27"/>
      <c r="D27"/>
      <c r="E27"/>
      <c r="F27"/>
      <c r="G27"/>
      <c r="K27"/>
      <c r="N27" s="10">
        <v>9</v>
      </c>
      <c r="O27" s="50">
        <f t="shared" si="64"/>
        <v>12.302687708123818</v>
      </c>
      <c r="P27" s="48" t="str">
        <f t="shared" si="55"/>
        <v>17.4002386318441</v>
      </c>
      <c r="Q27" s="17" t="str">
        <f t="shared" si="56"/>
        <v>1+0.00662015684126218i</v>
      </c>
      <c r="R27" s="17">
        <f t="shared" si="65"/>
        <v>1.0000219129982117</v>
      </c>
      <c r="S27" s="17">
        <f t="shared" si="66"/>
        <v>6.6200601310889432E-3</v>
      </c>
      <c r="T27" s="17" t="str">
        <f t="shared" si="57"/>
        <v>1+0.0000231900199939508i</v>
      </c>
      <c r="U27" s="17">
        <f t="shared" si="67"/>
        <v>1.0000000002688885</v>
      </c>
      <c r="V27" s="17">
        <f t="shared" si="68"/>
        <v>2.3190019989793779E-5</v>
      </c>
      <c r="W27" s="31" t="str">
        <f t="shared" si="58"/>
        <v>1-0.0000572125663342822i</v>
      </c>
      <c r="X27" s="17">
        <f t="shared" si="69"/>
        <v>1.0000000016366388</v>
      </c>
      <c r="Y27" s="17">
        <f t="shared" si="70"/>
        <v>-5.7212566271857991E-5</v>
      </c>
      <c r="Z27" s="31" t="str">
        <f t="shared" si="59"/>
        <v>0.999999999862715+0.0000800151987235376i</v>
      </c>
      <c r="AA27" s="17">
        <f t="shared" si="71"/>
        <v>1.0000000030639309</v>
      </c>
      <c r="AB27" s="17">
        <f t="shared" si="72"/>
        <v>8.001519856375852E-5</v>
      </c>
      <c r="AC27" s="66" t="str">
        <f t="shared" si="73"/>
        <v>17.3994628051253-0.117171456690392i</v>
      </c>
      <c r="AD27" s="64">
        <f t="shared" si="74"/>
        <v>24.810913745380475</v>
      </c>
      <c r="AE27" s="61">
        <f t="shared" si="75"/>
        <v>-0.38583538711907323</v>
      </c>
      <c r="AF27" s="31" t="str">
        <f t="shared" si="60"/>
        <v>-9090.90909090909</v>
      </c>
      <c r="AG27" s="31" t="str">
        <f t="shared" si="61"/>
        <v>2.27623467397318E-08i</v>
      </c>
      <c r="AH27" s="31">
        <f t="shared" si="76"/>
        <v>2.27623467397318E-8</v>
      </c>
      <c r="AI27" s="31">
        <f t="shared" si="77"/>
        <v>1.5707963267948966</v>
      </c>
      <c r="AJ27" s="31" t="str">
        <f t="shared" si="62"/>
        <v>1+223251.224260434i</v>
      </c>
      <c r="AK27" s="31">
        <f t="shared" si="78"/>
        <v>223251.22426267367</v>
      </c>
      <c r="AL27" s="31">
        <f t="shared" si="79"/>
        <v>1.5707918475361453</v>
      </c>
      <c r="AM27" s="31" t="str">
        <f t="shared" si="63"/>
        <v>1+0.101866027826761i</v>
      </c>
      <c r="AN27" s="31">
        <f t="shared" si="80"/>
        <v>1.0051749537394983</v>
      </c>
      <c r="AO27" s="31">
        <f t="shared" si="81"/>
        <v>0.10151586141198143</v>
      </c>
      <c r="AS27" s="58" t="str">
        <f t="shared" si="82"/>
        <v>1788941.88666442+182240.500294495i</v>
      </c>
      <c r="AT27" s="49">
        <f t="shared" si="83"/>
        <v>125.0967617923355</v>
      </c>
      <c r="AU27" s="61">
        <f t="shared" si="84"/>
        <v>5.8166870551632721</v>
      </c>
      <c r="AV27" s="58" t="str">
        <f t="shared" si="85"/>
        <v>31147981.2024357+2961273.87966656i</v>
      </c>
      <c r="AW27" s="64">
        <f t="shared" si="86"/>
        <v>149.90767553771596</v>
      </c>
      <c r="AX27" s="61">
        <f t="shared" si="87"/>
        <v>5.4308516680442009</v>
      </c>
      <c r="AY27" s="310"/>
      <c r="BA27" s="31">
        <f t="shared" si="88"/>
        <v>0</v>
      </c>
      <c r="BB27" s="31">
        <f t="shared" si="89"/>
        <v>0</v>
      </c>
    </row>
    <row r="28" spans="1:54" x14ac:dyDescent="0.45">
      <c r="A28" t="s">
        <v>151</v>
      </c>
      <c r="K28" s="31"/>
      <c r="N28" s="10">
        <v>10</v>
      </c>
      <c r="O28" s="50">
        <f t="shared" si="64"/>
        <v>12.58925411794168</v>
      </c>
      <c r="P28" s="48" t="str">
        <f t="shared" si="55"/>
        <v>17.4002386318441</v>
      </c>
      <c r="Q28" s="17" t="str">
        <f t="shared" si="56"/>
        <v>1+0.00677436010346308i</v>
      </c>
      <c r="R28" s="17">
        <f t="shared" si="65"/>
        <v>1.0000229457141527</v>
      </c>
      <c r="S28" s="17">
        <f t="shared" si="66"/>
        <v>6.7742564767738628E-3</v>
      </c>
      <c r="T28" s="17" t="str">
        <f t="shared" si="57"/>
        <v>1+0.0000237301849506604i</v>
      </c>
      <c r="U28" s="17">
        <f t="shared" si="67"/>
        <v>1.000000000281561</v>
      </c>
      <c r="V28" s="17">
        <f t="shared" si="68"/>
        <v>2.3730184946206073E-5</v>
      </c>
      <c r="W28" s="31" t="str">
        <f t="shared" si="58"/>
        <v>1-0.0000585452182002687i</v>
      </c>
      <c r="X28" s="17">
        <f t="shared" si="69"/>
        <v>1.0000000017137711</v>
      </c>
      <c r="Y28" s="17">
        <f t="shared" si="70"/>
        <v>-5.854521813337996E-5</v>
      </c>
      <c r="Z28" s="31" t="str">
        <f t="shared" si="59"/>
        <v>0.999999999856246+0.000081878992129748i</v>
      </c>
      <c r="AA28" s="17">
        <f t="shared" si="71"/>
        <v>1.0000000032083305</v>
      </c>
      <c r="AB28" s="17">
        <f t="shared" si="72"/>
        <v>8.1878991958541571E-5</v>
      </c>
      <c r="AC28" s="66" t="str">
        <f t="shared" si="73"/>
        <v>17.3994262432165-0.119900482842569i</v>
      </c>
      <c r="AD28" s="64">
        <f t="shared" si="74"/>
        <v>24.810904775050822</v>
      </c>
      <c r="AE28" s="61">
        <f t="shared" si="75"/>
        <v>-0.39482238059354863</v>
      </c>
      <c r="AF28" s="31" t="str">
        <f t="shared" si="60"/>
        <v>-9090.90909090909</v>
      </c>
      <c r="AG28" s="31" t="str">
        <f t="shared" si="61"/>
        <v>2.27623467397318E-08i</v>
      </c>
      <c r="AH28" s="31">
        <f t="shared" si="76"/>
        <v>2.27623467397318E-8</v>
      </c>
      <c r="AI28" s="31">
        <f t="shared" si="77"/>
        <v>1.5707963267948966</v>
      </c>
      <c r="AJ28" s="31" t="str">
        <f t="shared" si="62"/>
        <v>1+228451.413303801i</v>
      </c>
      <c r="AK28" s="31">
        <f t="shared" si="78"/>
        <v>228451.41330598964</v>
      </c>
      <c r="AL28" s="31">
        <f t="shared" si="79"/>
        <v>1.5707919494965226</v>
      </c>
      <c r="AM28" s="31" t="str">
        <f t="shared" si="63"/>
        <v>1+0.104238792426601i</v>
      </c>
      <c r="AN28" s="31">
        <f t="shared" si="80"/>
        <v>1.0054181845613079</v>
      </c>
      <c r="AO28" s="31">
        <f t="shared" si="81"/>
        <v>0.10386369147271805</v>
      </c>
      <c r="AS28" s="58" t="str">
        <f t="shared" si="82"/>
        <v>1748220.59777696+182240.139644075i</v>
      </c>
      <c r="AT28" s="49">
        <f t="shared" si="83"/>
        <v>124.89886333744556</v>
      </c>
      <c r="AU28" s="61">
        <f t="shared" si="84"/>
        <v>5.9512019667581662</v>
      </c>
      <c r="AV28" s="58" t="str">
        <f t="shared" si="85"/>
        <v>30439886.0286287+2961261.37450178i</v>
      </c>
      <c r="AW28" s="64">
        <f t="shared" si="86"/>
        <v>149.70976811249639</v>
      </c>
      <c r="AX28" s="61">
        <f t="shared" si="87"/>
        <v>5.5563795861646241</v>
      </c>
      <c r="AY28" s="310"/>
      <c r="BA28" s="31">
        <f t="shared" si="88"/>
        <v>0</v>
      </c>
      <c r="BB28" s="31">
        <f t="shared" si="89"/>
        <v>0</v>
      </c>
    </row>
    <row r="29" spans="1:54" x14ac:dyDescent="0.45">
      <c r="A29" t="s">
        <v>152</v>
      </c>
      <c r="B29" s="43">
        <f>Lm</f>
        <v>2.9999999999999997E-5</v>
      </c>
      <c r="C29" t="s">
        <v>73</v>
      </c>
      <c r="E29" t="s">
        <v>153</v>
      </c>
      <c r="N29" s="10">
        <v>11</v>
      </c>
      <c r="O29" s="50">
        <f t="shared" si="64"/>
        <v>12.882495516931346</v>
      </c>
      <c r="P29" s="48" t="str">
        <f t="shared" si="55"/>
        <v>17.4002386318441</v>
      </c>
      <c r="Q29" s="17" t="str">
        <f t="shared" si="56"/>
        <v>1+0.00693215522106009i</v>
      </c>
      <c r="R29" s="17">
        <f t="shared" si="65"/>
        <v>1.0000240270993537</v>
      </c>
      <c r="S29" s="17">
        <f t="shared" si="66"/>
        <v>6.932044183206143E-3</v>
      </c>
      <c r="T29" s="17" t="str">
        <f t="shared" si="57"/>
        <v>1+0.000024282931965537i</v>
      </c>
      <c r="U29" s="17">
        <f t="shared" si="67"/>
        <v>1.0000000002948304</v>
      </c>
      <c r="V29" s="17">
        <f t="shared" si="68"/>
        <v>2.4282931960764101E-5</v>
      </c>
      <c r="W29" s="31" t="str">
        <f t="shared" si="58"/>
        <v>1-0.0000599089115158826i</v>
      </c>
      <c r="X29" s="17">
        <f t="shared" si="69"/>
        <v>1.0000000017945387</v>
      </c>
      <c r="Y29" s="17">
        <f t="shared" si="70"/>
        <v>-5.9908911444210019E-5</v>
      </c>
      <c r="Z29" s="31" t="str">
        <f t="shared" si="59"/>
        <v>0.999999999849471+0.0000837861988613821i</v>
      </c>
      <c r="AA29" s="17">
        <f t="shared" si="71"/>
        <v>1.0000000033595344</v>
      </c>
      <c r="AB29" s="17">
        <f t="shared" si="72"/>
        <v>8.3786198677931095E-5</v>
      </c>
      <c r="AC29" s="66" t="str">
        <f t="shared" si="73"/>
        <v>17.3993879583597-0.122693058466772i</v>
      </c>
      <c r="AD29" s="64">
        <f t="shared" si="74"/>
        <v>24.810895381982313</v>
      </c>
      <c r="AE29" s="61">
        <f t="shared" si="75"/>
        <v>-0.40401868892703402</v>
      </c>
      <c r="AF29" s="31" t="str">
        <f t="shared" si="60"/>
        <v>-9090.90909090909</v>
      </c>
      <c r="AG29" s="31" t="str">
        <f t="shared" si="61"/>
        <v>2.27623467397318E-08i</v>
      </c>
      <c r="AH29" s="31">
        <f t="shared" si="76"/>
        <v>2.27623467397318E-8</v>
      </c>
      <c r="AI29" s="31">
        <f t="shared" si="77"/>
        <v>1.5707963267948966</v>
      </c>
      <c r="AJ29" s="31" t="str">
        <f t="shared" si="62"/>
        <v>1+233772.730310414i</v>
      </c>
      <c r="AK29" s="31">
        <f t="shared" si="78"/>
        <v>233772.7303125528</v>
      </c>
      <c r="AL29" s="31">
        <f t="shared" si="79"/>
        <v>1.5707920491359983</v>
      </c>
      <c r="AM29" s="31" t="str">
        <f t="shared" si="63"/>
        <v>1+0.106666825813949i</v>
      </c>
      <c r="AN29" s="31">
        <f t="shared" si="80"/>
        <v>1.0056728154470636</v>
      </c>
      <c r="AO29" s="31">
        <f t="shared" si="81"/>
        <v>0.10626502024798654</v>
      </c>
      <c r="AS29" s="58" t="str">
        <f t="shared" si="82"/>
        <v>1708426.23859074+182239.795225596i</v>
      </c>
      <c r="AT29" s="49">
        <f t="shared" si="83"/>
        <v>124.7010628359145</v>
      </c>
      <c r="AU29" s="61">
        <f t="shared" si="84"/>
        <v>6.0887822618829039</v>
      </c>
      <c r="AV29" s="58" t="str">
        <f t="shared" si="85"/>
        <v>29747930.4813321+2961248.85820459i</v>
      </c>
      <c r="AW29" s="64">
        <f t="shared" si="86"/>
        <v>149.51195821789685</v>
      </c>
      <c r="AX29" s="61">
        <f t="shared" si="87"/>
        <v>5.684763572955859</v>
      </c>
      <c r="AY29" s="310"/>
      <c r="BA29" s="31">
        <f t="shared" si="88"/>
        <v>0</v>
      </c>
      <c r="BB29" s="31">
        <f t="shared" si="89"/>
        <v>0</v>
      </c>
    </row>
    <row r="30" spans="1:54" x14ac:dyDescent="0.45">
      <c r="A30" s="31"/>
      <c r="B30" s="31"/>
      <c r="C30" s="31"/>
      <c r="D30" s="31"/>
      <c r="E30" s="31"/>
      <c r="F30" s="31"/>
      <c r="G30" s="31"/>
      <c r="N30" s="10">
        <v>12</v>
      </c>
      <c r="O30" s="50">
        <f t="shared" si="64"/>
        <v>13.182567385564075</v>
      </c>
      <c r="P30" s="48" t="str">
        <f t="shared" si="55"/>
        <v>17.4002386318441</v>
      </c>
      <c r="Q30" s="17" t="str">
        <f t="shared" si="56"/>
        <v>1+0.00709362585911323i</v>
      </c>
      <c r="R30" s="17">
        <f t="shared" si="65"/>
        <v>1.0000251594474157</v>
      </c>
      <c r="S30" s="17">
        <f t="shared" si="66"/>
        <v>7.0935068800707822E-3</v>
      </c>
      <c r="T30" s="17" t="str">
        <f t="shared" si="57"/>
        <v>1+0.0000248485541123643i</v>
      </c>
      <c r="U30" s="17">
        <f t="shared" si="67"/>
        <v>1.0000000003087253</v>
      </c>
      <c r="V30" s="17">
        <f t="shared" si="68"/>
        <v>2.4848554107250047E-5</v>
      </c>
      <c r="W30" s="31" t="str">
        <f t="shared" si="58"/>
        <v>1-0.0000613043693293705i</v>
      </c>
      <c r="X30" s="17">
        <f t="shared" si="69"/>
        <v>1.0000000018791129</v>
      </c>
      <c r="Y30" s="17">
        <f t="shared" si="70"/>
        <v>-6.1304369252571941E-5</v>
      </c>
      <c r="Z30" s="31" t="str">
        <f t="shared" si="59"/>
        <v>0.999999999842376+0.000085737830144694i</v>
      </c>
      <c r="AA30" s="17">
        <f t="shared" si="71"/>
        <v>1.0000000035178636</v>
      </c>
      <c r="AB30" s="17">
        <f t="shared" si="72"/>
        <v>8.5737829948122782E-5</v>
      </c>
      <c r="AC30" s="66" t="str">
        <f t="shared" si="73"/>
        <v>17.3993478693708-0.125550662553677i</v>
      </c>
      <c r="AD30" s="64">
        <f t="shared" si="74"/>
        <v>24.810885546253957</v>
      </c>
      <c r="AE30" s="61">
        <f t="shared" si="75"/>
        <v>-0.4134291863222414</v>
      </c>
      <c r="AF30" s="31" t="str">
        <f t="shared" si="60"/>
        <v>-9090.90909090909</v>
      </c>
      <c r="AG30" s="31" t="str">
        <f t="shared" si="61"/>
        <v>2.27623467397318E-08i</v>
      </c>
      <c r="AH30" s="31">
        <f t="shared" si="76"/>
        <v>2.27623467397318E-8</v>
      </c>
      <c r="AI30" s="31">
        <f t="shared" si="77"/>
        <v>1.5707963267948966</v>
      </c>
      <c r="AJ30" s="31" t="str">
        <f t="shared" si="62"/>
        <v>1+239217.996712985i</v>
      </c>
      <c r="AK30" s="31">
        <f t="shared" si="78"/>
        <v>239217.99671507516</v>
      </c>
      <c r="AL30" s="31">
        <f t="shared" si="79"/>
        <v>1.5707921465074026</v>
      </c>
      <c r="AM30" s="31" t="str">
        <f t="shared" si="63"/>
        <v>1+0.109151415364246i</v>
      </c>
      <c r="AN30" s="31">
        <f t="shared" si="80"/>
        <v>1.0059393776346655</v>
      </c>
      <c r="AO30" s="31">
        <f t="shared" si="81"/>
        <v>0.10872101011785326</v>
      </c>
      <c r="AS30" s="58" t="str">
        <f t="shared" si="82"/>
        <v>1669537.70960977+182239.466308504i</v>
      </c>
      <c r="AT30" s="49">
        <f t="shared" si="83"/>
        <v>124.50336480024767</v>
      </c>
      <c r="AU30" s="61">
        <f t="shared" si="84"/>
        <v>6.2294945369827071</v>
      </c>
      <c r="AV30" s="58" t="str">
        <f t="shared" si="85"/>
        <v>29071747.6762714+2961236.30423029i</v>
      </c>
      <c r="AW30" s="64">
        <f t="shared" si="86"/>
        <v>149.31425034650161</v>
      </c>
      <c r="AX30" s="61">
        <f t="shared" si="87"/>
        <v>5.8160653506604776</v>
      </c>
      <c r="AY30" s="310"/>
      <c r="BA30" s="31">
        <f t="shared" si="88"/>
        <v>0</v>
      </c>
      <c r="BB30" s="31">
        <f t="shared" si="89"/>
        <v>0</v>
      </c>
    </row>
    <row r="31" spans="1:54" x14ac:dyDescent="0.45">
      <c r="A31" t="s">
        <v>120</v>
      </c>
      <c r="B31" s="43">
        <f>R_cs</f>
        <v>0.19</v>
      </c>
      <c r="C31" s="2" t="s">
        <v>33</v>
      </c>
      <c r="E31" t="s">
        <v>154</v>
      </c>
      <c r="N31" s="10">
        <v>13</v>
      </c>
      <c r="O31" s="50">
        <f t="shared" si="64"/>
        <v>13.489628825916535</v>
      </c>
      <c r="P31" s="48" t="str">
        <f t="shared" si="55"/>
        <v>17.4002386318441</v>
      </c>
      <c r="Q31" s="17" t="str">
        <f t="shared" si="56"/>
        <v>1+0.00725885763149211i</v>
      </c>
      <c r="R31" s="17">
        <f t="shared" si="65"/>
        <v>1.0000263451600235</v>
      </c>
      <c r="S31" s="17">
        <f t="shared" si="66"/>
        <v>7.2587301433326024E-3</v>
      </c>
      <c r="T31" s="17" t="str">
        <f t="shared" si="57"/>
        <v>1+0.0000254273512914915i</v>
      </c>
      <c r="U31" s="17">
        <f t="shared" si="67"/>
        <v>1.0000000003232752</v>
      </c>
      <c r="V31" s="17">
        <f t="shared" si="68"/>
        <v>2.5427351286011482E-5</v>
      </c>
      <c r="W31" s="31" t="str">
        <f t="shared" si="58"/>
        <v>1-0.000062732331530936i</v>
      </c>
      <c r="X31" s="17">
        <f t="shared" si="69"/>
        <v>1.0000000019676727</v>
      </c>
      <c r="Y31" s="17">
        <f t="shared" si="70"/>
        <v>-6.2732331448644865E-5</v>
      </c>
      <c r="Z31" s="31" t="str">
        <f t="shared" si="59"/>
        <v>0.999999999834948+0.0000877349207604229i</v>
      </c>
      <c r="AA31" s="17">
        <f t="shared" si="71"/>
        <v>1.000000003683656</v>
      </c>
      <c r="AB31" s="17">
        <f t="shared" si="72"/>
        <v>8.7734920549792979E-5</v>
      </c>
      <c r="AC31" s="66" t="str">
        <f t="shared" si="73"/>
        <v>17.3993058912407-0.128474808453496i</v>
      </c>
      <c r="AD31" s="64">
        <f t="shared" si="74"/>
        <v>24.810875247005892</v>
      </c>
      <c r="AE31" s="61">
        <f t="shared" si="75"/>
        <v>-0.4230588604189035</v>
      </c>
      <c r="AF31" s="31" t="str">
        <f t="shared" si="60"/>
        <v>-9090.90909090909</v>
      </c>
      <c r="AG31" s="31" t="str">
        <f t="shared" si="61"/>
        <v>2.27623467397318E-08i</v>
      </c>
      <c r="AH31" s="31">
        <f t="shared" si="76"/>
        <v>2.27623467397318E-8</v>
      </c>
      <c r="AI31" s="31">
        <f t="shared" si="77"/>
        <v>1.5707963267948966</v>
      </c>
      <c r="AJ31" s="31" t="str">
        <f t="shared" si="62"/>
        <v>1+244790.099663838i</v>
      </c>
      <c r="AK31" s="31">
        <f t="shared" si="78"/>
        <v>244790.09966588052</v>
      </c>
      <c r="AL31" s="31">
        <f t="shared" si="79"/>
        <v>1.5707922416623632</v>
      </c>
      <c r="AM31" s="31" t="str">
        <f t="shared" si="63"/>
        <v>1+0.111693878439758i</v>
      </c>
      <c r="AN31" s="31">
        <f t="shared" si="80"/>
        <v>1.0062184268243726</v>
      </c>
      <c r="AO31" s="31">
        <f t="shared" si="81"/>
        <v>0.111232844702134</v>
      </c>
      <c r="AS31" s="58" t="str">
        <f t="shared" si="82"/>
        <v>1631534.39162127+182239.152195116i</v>
      </c>
      <c r="AT31" s="49">
        <f t="shared" si="83"/>
        <v>124.30577394577196</v>
      </c>
      <c r="AU31" s="61">
        <f t="shared" si="84"/>
        <v>6.3734066055192908</v>
      </c>
      <c r="AV31" s="58" t="str">
        <f t="shared" si="85"/>
        <v>28410979.0920688+2961223.68595436i</v>
      </c>
      <c r="AW31" s="64">
        <f t="shared" si="86"/>
        <v>149.11664919277786</v>
      </c>
      <c r="AX31" s="61">
        <f t="shared" si="87"/>
        <v>5.950347745100383</v>
      </c>
      <c r="AY31" s="310"/>
      <c r="BA31" s="31">
        <f t="shared" si="88"/>
        <v>0</v>
      </c>
      <c r="BB31" s="31">
        <f t="shared" si="89"/>
        <v>0</v>
      </c>
    </row>
    <row r="32" spans="1:54" x14ac:dyDescent="0.45">
      <c r="A32" t="s">
        <v>121</v>
      </c>
      <c r="B32" s="43">
        <f>R_sl</f>
        <v>0</v>
      </c>
      <c r="C32" s="2" t="s">
        <v>33</v>
      </c>
      <c r="E32" t="s">
        <v>155</v>
      </c>
      <c r="N32" s="10">
        <v>14</v>
      </c>
      <c r="O32" s="50">
        <f t="shared" si="64"/>
        <v>13.803842646028857</v>
      </c>
      <c r="P32" s="48" t="str">
        <f t="shared" si="55"/>
        <v>17.4002386318441</v>
      </c>
      <c r="Q32" s="17" t="str">
        <f t="shared" si="56"/>
        <v>1+0.00742793814626956i</v>
      </c>
      <c r="R32" s="17">
        <f t="shared" si="65"/>
        <v>1.0000275867520378</v>
      </c>
      <c r="S32" s="17">
        <f t="shared" si="66"/>
        <v>7.4278015404489854E-3</v>
      </c>
      <c r="T32" s="17" t="str">
        <f t="shared" si="57"/>
        <v>1+0.0000260196303888443i</v>
      </c>
      <c r="U32" s="17">
        <f t="shared" si="67"/>
        <v>1.0000000003385106</v>
      </c>
      <c r="V32" s="17">
        <f t="shared" si="68"/>
        <v>2.6019630382972353E-5</v>
      </c>
      <c r="W32" s="31" t="str">
        <f t="shared" si="58"/>
        <v>1-0.0000641935552450398i</v>
      </c>
      <c r="X32" s="17">
        <f t="shared" si="69"/>
        <v>1.0000000020604063</v>
      </c>
      <c r="Y32" s="17">
        <f t="shared" si="70"/>
        <v>-6.419355515686327E-5</v>
      </c>
      <c r="Z32" s="31" t="str">
        <f t="shared" si="59"/>
        <v>0.999999999827169+0.0000897785295924481i</v>
      </c>
      <c r="AA32" s="17">
        <f t="shared" si="71"/>
        <v>1.000000003857261</v>
      </c>
      <c r="AB32" s="17">
        <f t="shared" si="72"/>
        <v>8.9778529366754106E-5</v>
      </c>
      <c r="AC32" s="66" t="str">
        <f t="shared" si="73"/>
        <v>17.3992619349556-0.131467044669848i</v>
      </c>
      <c r="AD32" s="64">
        <f t="shared" si="74"/>
        <v>24.810864462395365</v>
      </c>
      <c r="AE32" s="61">
        <f t="shared" si="75"/>
        <v>-0.43291281492909844</v>
      </c>
      <c r="AF32" s="31" t="str">
        <f t="shared" si="60"/>
        <v>-9090.90909090909</v>
      </c>
      <c r="AG32" s="31" t="str">
        <f t="shared" si="61"/>
        <v>2.27623467397318E-08i</v>
      </c>
      <c r="AH32" s="31">
        <f t="shared" si="76"/>
        <v>2.27623467397318E-8</v>
      </c>
      <c r="AI32" s="31">
        <f t="shared" si="77"/>
        <v>1.5707963267948966</v>
      </c>
      <c r="AJ32" s="31" t="str">
        <f t="shared" si="62"/>
        <v>1+250491.993565713i</v>
      </c>
      <c r="AK32" s="31">
        <f t="shared" si="78"/>
        <v>250491.99356770911</v>
      </c>
      <c r="AL32" s="31">
        <f t="shared" si="79"/>
        <v>1.5707923346513324</v>
      </c>
      <c r="AM32" s="31" t="str">
        <f t="shared" si="63"/>
        <v>1+0.114295563088063i</v>
      </c>
      <c r="AN32" s="31">
        <f t="shared" si="80"/>
        <v>1.0065105442774147</v>
      </c>
      <c r="AO32" s="31">
        <f t="shared" si="81"/>
        <v>0.11380172895633663</v>
      </c>
      <c r="AS32" s="58" t="str">
        <f t="shared" si="82"/>
        <v>1594396.13476299+182238.852219162i</v>
      </c>
      <c r="AT32" s="49">
        <f t="shared" si="83"/>
        <v>124.10829519927003</v>
      </c>
      <c r="AU32" s="61">
        <f t="shared" si="84"/>
        <v>6.5205875034672642</v>
      </c>
      <c r="AV32" s="58" t="str">
        <f t="shared" si="85"/>
        <v>27765274.3801473+2961210.97661655i</v>
      </c>
      <c r="AW32" s="64">
        <f t="shared" si="86"/>
        <v>148.91915966166539</v>
      </c>
      <c r="AX32" s="61">
        <f t="shared" si="87"/>
        <v>6.0876746885381774</v>
      </c>
      <c r="AY32" s="310"/>
      <c r="BA32" s="31">
        <f t="shared" si="88"/>
        <v>0</v>
      </c>
      <c r="BB32" s="31">
        <f t="shared" si="89"/>
        <v>0</v>
      </c>
    </row>
    <row r="33" spans="1:54" x14ac:dyDescent="0.45">
      <c r="A33" t="s">
        <v>107</v>
      </c>
      <c r="B33" s="21">
        <f>Rsl_int</f>
        <v>50000</v>
      </c>
      <c r="C33" s="2" t="s">
        <v>33</v>
      </c>
      <c r="E33" t="s">
        <v>156</v>
      </c>
      <c r="K33" s="31"/>
      <c r="N33" s="10">
        <v>15</v>
      </c>
      <c r="O33" s="50">
        <f t="shared" si="64"/>
        <v>14.125375446227544</v>
      </c>
      <c r="P33" s="48" t="str">
        <f t="shared" si="55"/>
        <v>17.4002386318441</v>
      </c>
      <c r="Q33" s="17" t="str">
        <f t="shared" si="56"/>
        <v>1+0.00760095705217253i</v>
      </c>
      <c r="R33" s="17">
        <f t="shared" si="65"/>
        <v>1.0000288868568292</v>
      </c>
      <c r="S33" s="17">
        <f t="shared" si="66"/>
        <v>7.6008106766269371E-3</v>
      </c>
      <c r="T33" s="17" t="str">
        <f t="shared" si="57"/>
        <v>1+0.0000266257054386397i</v>
      </c>
      <c r="U33" s="17">
        <f t="shared" si="67"/>
        <v>1.000000000354464</v>
      </c>
      <c r="V33" s="17">
        <f t="shared" si="68"/>
        <v>2.6625705432347797E-5</v>
      </c>
      <c r="W33" s="31" t="str">
        <f t="shared" si="58"/>
        <v>1-0.0000656888152318367i</v>
      </c>
      <c r="X33" s="17">
        <f t="shared" si="69"/>
        <v>1.0000000021575102</v>
      </c>
      <c r="Y33" s="17">
        <f t="shared" si="70"/>
        <v>-6.5688815137353827E-5</v>
      </c>
      <c r="Z33" s="31" t="str">
        <f t="shared" si="59"/>
        <v>0.999999999819024+0.0000918697401892224i</v>
      </c>
      <c r="AA33" s="17">
        <f t="shared" si="71"/>
        <v>1.0000000040390484</v>
      </c>
      <c r="AB33" s="17">
        <f t="shared" si="72"/>
        <v>9.1869739947386903E-5</v>
      </c>
      <c r="AC33" s="66" t="str">
        <f t="shared" si="73"/>
        <v>17.3992159073086-0.13452895567164i</v>
      </c>
      <c r="AD33" s="64">
        <f t="shared" si="74"/>
        <v>24.810853169550512</v>
      </c>
      <c r="AE33" s="61">
        <f t="shared" si="75"/>
        <v>-0.4429962723334015</v>
      </c>
      <c r="AF33" s="31" t="str">
        <f t="shared" si="60"/>
        <v>-9090.90909090909</v>
      </c>
      <c r="AG33" s="31" t="str">
        <f t="shared" si="61"/>
        <v>2.27623467397318E-08i</v>
      </c>
      <c r="AH33" s="31">
        <f t="shared" si="76"/>
        <v>2.27623467397318E-8</v>
      </c>
      <c r="AI33" s="31">
        <f t="shared" si="77"/>
        <v>1.5707963267948966</v>
      </c>
      <c r="AJ33" s="31" t="str">
        <f t="shared" si="62"/>
        <v>1+256326.70163823i</v>
      </c>
      <c r="AK33" s="31">
        <f t="shared" si="78"/>
        <v>256326.70164018063</v>
      </c>
      <c r="AL33" s="31">
        <f t="shared" si="79"/>
        <v>1.5707924255236143</v>
      </c>
      <c r="AM33" s="31" t="str">
        <f t="shared" si="63"/>
        <v>1+0.116957848756798i</v>
      </c>
      <c r="AN33" s="31">
        <f t="shared" si="80"/>
        <v>1.0068163379613078</v>
      </c>
      <c r="AO33" s="31">
        <f t="shared" si="81"/>
        <v>0.11642888924350452</v>
      </c>
      <c r="AS33" s="58" t="str">
        <f t="shared" si="82"/>
        <v>1558103.24783959+182238.56574435i</v>
      </c>
      <c r="AT33" s="49">
        <f t="shared" si="83"/>
        <v>123.91093370793676</v>
      </c>
      <c r="AU33" s="61">
        <f t="shared" si="84"/>
        <v>6.6711074934281287</v>
      </c>
      <c r="AV33" s="58" t="str">
        <f t="shared" si="85"/>
        <v>27134291.1789725+2961198.14926375i</v>
      </c>
      <c r="AW33" s="64">
        <f t="shared" si="86"/>
        <v>148.72178687748729</v>
      </c>
      <c r="AX33" s="61">
        <f t="shared" si="87"/>
        <v>6.228111221094724</v>
      </c>
      <c r="AY33" s="310"/>
      <c r="BA33" s="31">
        <f t="shared" si="88"/>
        <v>0</v>
      </c>
      <c r="BB33" s="31">
        <f t="shared" si="89"/>
        <v>0</v>
      </c>
    </row>
    <row r="34" spans="1:54" x14ac:dyDescent="0.45">
      <c r="A34" t="s">
        <v>105</v>
      </c>
      <c r="B34" s="21">
        <f>Isl</f>
        <v>9.9999999999999991E-6</v>
      </c>
      <c r="C34" s="2" t="s">
        <v>10</v>
      </c>
      <c r="E34" t="s">
        <v>157</v>
      </c>
      <c r="K34" s="31"/>
      <c r="N34" s="10">
        <v>16</v>
      </c>
      <c r="O34" s="50">
        <f t="shared" si="64"/>
        <v>14.454397707459275</v>
      </c>
      <c r="P34" s="48" t="str">
        <f t="shared" si="55"/>
        <v>17.4002386318441</v>
      </c>
      <c r="Q34" s="17" t="str">
        <f t="shared" si="56"/>
        <v>1+0.00777800608611512i</v>
      </c>
      <c r="R34" s="17">
        <f t="shared" si="65"/>
        <v>1.0000302482318602</v>
      </c>
      <c r="S34" s="17">
        <f t="shared" si="66"/>
        <v>7.7778492421484253E-3</v>
      </c>
      <c r="T34" s="17" t="str">
        <f t="shared" si="57"/>
        <v>1+0.0000272458977898915i</v>
      </c>
      <c r="U34" s="17">
        <f t="shared" si="67"/>
        <v>1.0000000003711693</v>
      </c>
      <c r="V34" s="17">
        <f t="shared" si="68"/>
        <v>2.7245897783149602E-5</v>
      </c>
      <c r="W34" s="31" t="str">
        <f t="shared" si="58"/>
        <v>1-0.0000672189042979637i</v>
      </c>
      <c r="X34" s="17">
        <f t="shared" si="69"/>
        <v>1.0000000022591904</v>
      </c>
      <c r="Y34" s="17">
        <f t="shared" si="70"/>
        <v>-6.7218904196723496E-5</v>
      </c>
      <c r="Z34" s="31" t="str">
        <f t="shared" si="59"/>
        <v>0.999999999810495+0.0000940096613382848i</v>
      </c>
      <c r="AA34" s="17">
        <f t="shared" si="71"/>
        <v>1.0000000042294031</v>
      </c>
      <c r="AB34" s="17">
        <f t="shared" si="72"/>
        <v>9.4009661079153388E-5</v>
      </c>
      <c r="AC34" s="66" t="str">
        <f t="shared" si="73"/>
        <v>17.399167710702-0.137662162723379i</v>
      </c>
      <c r="AD34" s="64">
        <f t="shared" si="74"/>
        <v>24.810841344521766</v>
      </c>
      <c r="AE34" s="61">
        <f t="shared" si="75"/>
        <v>-0.45331457663936747</v>
      </c>
      <c r="AF34" s="31" t="str">
        <f t="shared" si="60"/>
        <v>-9090.90909090909</v>
      </c>
      <c r="AG34" s="31" t="str">
        <f t="shared" si="61"/>
        <v>2.27623467397318E-08i</v>
      </c>
      <c r="AH34" s="31">
        <f t="shared" si="76"/>
        <v>2.27623467397318E-8</v>
      </c>
      <c r="AI34" s="31">
        <f t="shared" si="77"/>
        <v>1.5707963267948966</v>
      </c>
      <c r="AJ34" s="31" t="str">
        <f t="shared" si="62"/>
        <v>1+262297.31752084i</v>
      </c>
      <c r="AK34" s="31">
        <f t="shared" si="78"/>
        <v>262297.31752274622</v>
      </c>
      <c r="AL34" s="31">
        <f t="shared" si="79"/>
        <v>1.5707925143273904</v>
      </c>
      <c r="AM34" s="31" t="str">
        <f t="shared" si="63"/>
        <v>1+0.119682147025063i</v>
      </c>
      <c r="AN34" s="31">
        <f t="shared" si="80"/>
        <v>1.0071364437436117</v>
      </c>
      <c r="AO34" s="31">
        <f t="shared" si="81"/>
        <v>0.11911557337979163</v>
      </c>
      <c r="AS34" s="58" t="str">
        <f t="shared" si="82"/>
        <v>1522636.48788203+182238.292163027i</v>
      </c>
      <c r="AT34" s="49">
        <f t="shared" si="83"/>
        <v>123.71369484866389</v>
      </c>
      <c r="AU34" s="61">
        <f t="shared" si="84"/>
        <v>6.8250380672405395</v>
      </c>
      <c r="AV34" s="58" t="str">
        <f t="shared" si="85"/>
        <v>26517694.9325239+2961185.17669305i</v>
      </c>
      <c r="AW34" s="64">
        <f t="shared" si="86"/>
        <v>148.52453619318564</v>
      </c>
      <c r="AX34" s="61">
        <f t="shared" si="87"/>
        <v>6.3717234906011777</v>
      </c>
      <c r="AY34" s="310"/>
      <c r="BA34" s="31">
        <f t="shared" si="88"/>
        <v>0</v>
      </c>
      <c r="BB34" s="31">
        <f t="shared" si="89"/>
        <v>0</v>
      </c>
    </row>
    <row r="35" spans="1:54" x14ac:dyDescent="0.45">
      <c r="A35" s="31"/>
      <c r="B35" s="26"/>
      <c r="C35" s="2"/>
      <c r="D35" s="31"/>
      <c r="E35" s="31"/>
      <c r="F35" s="31"/>
      <c r="G35" s="31"/>
      <c r="N35" s="10">
        <v>17</v>
      </c>
      <c r="O35" s="50">
        <f t="shared" si="64"/>
        <v>14.791083881682074</v>
      </c>
      <c r="P35" s="48" t="str">
        <f t="shared" si="55"/>
        <v>17.4002386318441</v>
      </c>
      <c r="Q35" s="17" t="str">
        <f t="shared" si="56"/>
        <v>1+0.00795917912183866i</v>
      </c>
      <c r="R35" s="17">
        <f t="shared" si="65"/>
        <v>1.0000316737645332</v>
      </c>
      <c r="S35" s="17">
        <f t="shared" si="66"/>
        <v>7.9590110607879218E-3</v>
      </c>
      <c r="T35" s="17" t="str">
        <f t="shared" si="57"/>
        <v>1+0.0000278805362767937i</v>
      </c>
      <c r="U35" s="17">
        <f t="shared" si="67"/>
        <v>1.000000000388662</v>
      </c>
      <c r="V35" s="17">
        <f t="shared" si="68"/>
        <v>2.7880536269569628E-5</v>
      </c>
      <c r="W35" s="31" t="str">
        <f t="shared" si="58"/>
        <v>1-0.0000687846337168969i</v>
      </c>
      <c r="X35" s="17">
        <f t="shared" si="69"/>
        <v>1.0000000023656628</v>
      </c>
      <c r="Y35" s="17">
        <f t="shared" si="70"/>
        <v>-6.8784633608416057E-5</v>
      </c>
      <c r="Z35" s="31" t="str">
        <f t="shared" si="59"/>
        <v>0.999999999801564+0.0000961994276541538i</v>
      </c>
      <c r="AA35" s="17">
        <f t="shared" si="71"/>
        <v>1.0000000044287287</v>
      </c>
      <c r="AB35" s="17">
        <f t="shared" si="72"/>
        <v>9.6199427376489482E-5</v>
      </c>
      <c r="AC35" s="66" t="str">
        <f t="shared" si="73"/>
        <v>17.3991172429405-0.140868324734281i</v>
      </c>
      <c r="AD35" s="64">
        <f t="shared" si="74"/>
        <v>24.810828962231035</v>
      </c>
      <c r="AE35" s="61">
        <f t="shared" si="75"/>
        <v>-0.46387319620364664</v>
      </c>
      <c r="AF35" s="31" t="str">
        <f t="shared" si="60"/>
        <v>-9090.90909090909</v>
      </c>
      <c r="AG35" s="31" t="str">
        <f t="shared" si="61"/>
        <v>2.27623467397318E-08i</v>
      </c>
      <c r="AH35" s="31">
        <f t="shared" si="76"/>
        <v>2.27623467397318E-8</v>
      </c>
      <c r="AI35" s="31">
        <f t="shared" si="77"/>
        <v>1.5707963267948966</v>
      </c>
      <c r="AJ35" s="31" t="str">
        <f t="shared" si="62"/>
        <v>1+268407.006913116i</v>
      </c>
      <c r="AK35" s="31">
        <f t="shared" si="78"/>
        <v>268407.00691497885</v>
      </c>
      <c r="AL35" s="31">
        <f t="shared" si="79"/>
        <v>1.5707926011097459</v>
      </c>
      <c r="AM35" s="31" t="str">
        <f t="shared" si="63"/>
        <v>1+0.122469902351862i</v>
      </c>
      <c r="AN35" s="31">
        <f t="shared" si="80"/>
        <v>1.0074715266359018</v>
      </c>
      <c r="AO35" s="31">
        <f t="shared" si="81"/>
        <v>0.12186305065143672</v>
      </c>
      <c r="AS35" s="58" t="str">
        <f t="shared" si="82"/>
        <v>1487977.04994472+182238.030894893i</v>
      </c>
      <c r="AT35" s="49">
        <f t="shared" si="83"/>
        <v>123.51658423766116</v>
      </c>
      <c r="AU35" s="61">
        <f t="shared" si="84"/>
        <v>6.9824519469512358</v>
      </c>
      <c r="AV35" s="58" t="str">
        <f t="shared" si="85"/>
        <v>25915158.7129079+2961172.03139409i</v>
      </c>
      <c r="AW35" s="64">
        <f t="shared" si="86"/>
        <v>148.32741319989219</v>
      </c>
      <c r="AX35" s="61">
        <f t="shared" si="87"/>
        <v>6.5185787507476114</v>
      </c>
      <c r="AY35" s="310"/>
      <c r="BA35" s="31">
        <f t="shared" si="88"/>
        <v>0</v>
      </c>
      <c r="BB35" s="31">
        <f t="shared" si="89"/>
        <v>0</v>
      </c>
    </row>
    <row r="36" spans="1:54" x14ac:dyDescent="0.45">
      <c r="A36" s="31" t="s">
        <v>180</v>
      </c>
      <c r="B36" s="21">
        <f>Gcomp</f>
        <v>1</v>
      </c>
      <c r="C36" s="2"/>
      <c r="D36" s="31"/>
      <c r="E36" s="31" t="s">
        <v>181</v>
      </c>
      <c r="F36" s="31"/>
      <c r="G36" s="31"/>
      <c r="N36" s="10">
        <v>18</v>
      </c>
      <c r="O36" s="50">
        <f t="shared" si="64"/>
        <v>15.135612484362087</v>
      </c>
      <c r="P36" s="48" t="str">
        <f t="shared" si="55"/>
        <v>17.4002386318441</v>
      </c>
      <c r="Q36" s="17" t="str">
        <f t="shared" si="56"/>
        <v>1+0.0081445722196848i</v>
      </c>
      <c r="R36" s="17">
        <f t="shared" si="65"/>
        <v>1.0000331664783131</v>
      </c>
      <c r="S36" s="17">
        <f t="shared" si="66"/>
        <v>8.1443921393470411E-3</v>
      </c>
      <c r="T36" s="17" t="str">
        <f t="shared" si="57"/>
        <v>1+0.0000285299573930724i</v>
      </c>
      <c r="U36" s="17">
        <f t="shared" si="67"/>
        <v>1.0000000004069791</v>
      </c>
      <c r="V36" s="17">
        <f t="shared" si="68"/>
        <v>2.8529957385331668E-5</v>
      </c>
      <c r="W36" s="31" t="str">
        <f t="shared" si="58"/>
        <v>1-0.0000703868336590991i</v>
      </c>
      <c r="X36" s="17">
        <f t="shared" si="69"/>
        <v>1.0000000024771531</v>
      </c>
      <c r="Y36" s="17">
        <f t="shared" si="70"/>
        <v>-7.0386833542859789E-5</v>
      </c>
      <c r="Z36" s="31" t="str">
        <f t="shared" si="59"/>
        <v>0.999999999792212+0.000098440200179915i</v>
      </c>
      <c r="AA36" s="17">
        <f t="shared" si="71"/>
        <v>1.0000000046374484</v>
      </c>
      <c r="AB36" s="17">
        <f t="shared" si="72"/>
        <v>9.8440199882392335E-5</v>
      </c>
      <c r="AC36" s="66" t="str">
        <f t="shared" si="73"/>
        <v>17.3990643970152-0.144149139126593i</v>
      </c>
      <c r="AD36" s="64">
        <f t="shared" si="74"/>
        <v>24.810815996418807</v>
      </c>
      <c r="AE36" s="61">
        <f t="shared" si="75"/>
        <v>-0.47467772661922303</v>
      </c>
      <c r="AF36" s="31" t="str">
        <f t="shared" si="60"/>
        <v>-9090.90909090909</v>
      </c>
      <c r="AG36" s="31" t="str">
        <f t="shared" si="61"/>
        <v>2.27623467397318E-08i</v>
      </c>
      <c r="AH36" s="31">
        <f t="shared" si="76"/>
        <v>2.27623467397318E-8</v>
      </c>
      <c r="AI36" s="31">
        <f t="shared" si="77"/>
        <v>1.5707963267948966</v>
      </c>
      <c r="AJ36" s="31" t="str">
        <f t="shared" si="62"/>
        <v>1+274659.009253244i</v>
      </c>
      <c r="AK36" s="31">
        <f t="shared" si="78"/>
        <v>274659.00925506442</v>
      </c>
      <c r="AL36" s="31">
        <f t="shared" si="79"/>
        <v>1.5707926859166939</v>
      </c>
      <c r="AM36" s="31" t="str">
        <f t="shared" si="63"/>
        <v>1+0.125322592841969i</v>
      </c>
      <c r="AN36" s="31">
        <f t="shared" si="80"/>
        <v>1.0078222820897711</v>
      </c>
      <c r="AO36" s="31">
        <f t="shared" si="81"/>
        <v>0.12467261180065892</v>
      </c>
      <c r="AS36" s="58" t="str">
        <f t="shared" si="82"/>
        <v>1454106.55713491+182237.781385763i</v>
      </c>
      <c r="AT36" s="49">
        <f t="shared" si="83"/>
        <v>123.31960774042045</v>
      </c>
      <c r="AU36" s="61">
        <f t="shared" si="84"/>
        <v>7.1434230840054385</v>
      </c>
      <c r="AV36" s="58" t="str">
        <f t="shared" si="85"/>
        <v>25326363.0470155+2961158.68549074i</v>
      </c>
      <c r="AW36" s="64">
        <f t="shared" si="86"/>
        <v>148.13042373683928</v>
      </c>
      <c r="AX36" s="61">
        <f t="shared" si="87"/>
        <v>6.6687453573862125</v>
      </c>
      <c r="AY36" s="310"/>
      <c r="BA36" s="31">
        <f t="shared" si="88"/>
        <v>0</v>
      </c>
      <c r="BB36" s="31">
        <f t="shared" si="89"/>
        <v>0</v>
      </c>
    </row>
    <row r="37" spans="1:54" x14ac:dyDescent="0.45">
      <c r="N37" s="10">
        <v>19</v>
      </c>
      <c r="O37" s="50">
        <f t="shared" si="64"/>
        <v>15.488166189124817</v>
      </c>
      <c r="P37" s="48" t="str">
        <f t="shared" si="55"/>
        <v>17.4002386318441</v>
      </c>
      <c r="Q37" s="17" t="str">
        <f t="shared" si="56"/>
        <v>1+0.00833428367752796i</v>
      </c>
      <c r="R37" s="17">
        <f t="shared" si="65"/>
        <v>1.0000347295391383</v>
      </c>
      <c r="S37" s="17">
        <f t="shared" si="66"/>
        <v>8.3340907183314782E-3</v>
      </c>
      <c r="T37" s="17" t="str">
        <f t="shared" si="57"/>
        <v>1+0.0000291945054703994i</v>
      </c>
      <c r="U37" s="17">
        <f t="shared" si="67"/>
        <v>1.0000000004261596</v>
      </c>
      <c r="V37" s="17">
        <f t="shared" si="68"/>
        <v>2.9194505462105052E-5</v>
      </c>
      <c r="W37" s="31" t="str">
        <f t="shared" si="58"/>
        <v>1-0.0000720263536321872i</v>
      </c>
      <c r="X37" s="17">
        <f t="shared" si="69"/>
        <v>1.0000000025938978</v>
      </c>
      <c r="Y37" s="17">
        <f t="shared" si="70"/>
        <v>-7.2026353507634533E-5</v>
      </c>
      <c r="Z37" s="31" t="str">
        <f t="shared" si="59"/>
        <v>0.999999999782419+0.000100733167002822i</v>
      </c>
      <c r="AA37" s="17">
        <f t="shared" si="71"/>
        <v>1.0000000048560043</v>
      </c>
      <c r="AB37" s="17">
        <f t="shared" si="72"/>
        <v>1.0073316668402074E-4</v>
      </c>
      <c r="AC37" s="66" t="str">
        <f t="shared" si="73"/>
        <v>17.3990090608763-0.147506342723533i</v>
      </c>
      <c r="AD37" s="64">
        <f t="shared" si="74"/>
        <v>24.810802419588128</v>
      </c>
      <c r="AE37" s="61">
        <f t="shared" si="75"/>
        <v>-0.48573389366928205</v>
      </c>
      <c r="AF37" s="31" t="str">
        <f t="shared" si="60"/>
        <v>-9090.90909090909</v>
      </c>
      <c r="AG37" s="31" t="str">
        <f t="shared" si="61"/>
        <v>2.27623467397318E-08i</v>
      </c>
      <c r="AH37" s="31">
        <f t="shared" si="76"/>
        <v>2.27623467397318E-8</v>
      </c>
      <c r="AI37" s="31">
        <f t="shared" si="77"/>
        <v>1.5707963267948966</v>
      </c>
      <c r="AJ37" s="31" t="str">
        <f t="shared" si="62"/>
        <v>1+281056.639435619i</v>
      </c>
      <c r="AK37" s="31">
        <f t="shared" si="78"/>
        <v>281056.639437398</v>
      </c>
      <c r="AL37" s="31">
        <f t="shared" si="79"/>
        <v>1.5707927687932</v>
      </c>
      <c r="AM37" s="31" t="str">
        <f t="shared" si="63"/>
        <v>1+0.128241731029641i</v>
      </c>
      <c r="AN37" s="31">
        <f t="shared" si="80"/>
        <v>1.0081894373467115</v>
      </c>
      <c r="AO37" s="31">
        <f t="shared" si="81"/>
        <v>0.12754556897787167</v>
      </c>
      <c r="AS37" s="58" t="str">
        <f t="shared" si="82"/>
        <v>1421007.05086899+182237.543106392i</v>
      </c>
      <c r="AT37" s="49">
        <f t="shared" si="83"/>
        <v>123.12277148202865</v>
      </c>
      <c r="AU37" s="61">
        <f t="shared" si="84"/>
        <v>7.3080266565075043</v>
      </c>
      <c r="AV37" s="58" t="str">
        <f t="shared" si="85"/>
        <v>24750995.7471292+2961145.11068191i</v>
      </c>
      <c r="AW37" s="64">
        <f t="shared" si="86"/>
        <v>147.93357390161677</v>
      </c>
      <c r="AX37" s="61">
        <f t="shared" si="87"/>
        <v>6.8222927628382228</v>
      </c>
      <c r="AY37" s="310"/>
      <c r="BA37" s="31">
        <f t="shared" si="88"/>
        <v>0</v>
      </c>
      <c r="BB37" s="31">
        <f t="shared" si="89"/>
        <v>0</v>
      </c>
    </row>
    <row r="38" spans="1:54" x14ac:dyDescent="0.45">
      <c r="N38" s="10">
        <v>20</v>
      </c>
      <c r="O38" s="50">
        <f t="shared" si="64"/>
        <v>15.848931924611136</v>
      </c>
      <c r="P38" s="48" t="str">
        <f t="shared" si="55"/>
        <v>17.4002386318441</v>
      </c>
      <c r="Q38" s="17" t="str">
        <f t="shared" si="56"/>
        <v>1+0.00852841408289423i</v>
      </c>
      <c r="R38" s="17">
        <f t="shared" si="65"/>
        <v>1.0000363662621321</v>
      </c>
      <c r="S38" s="17">
        <f t="shared" si="66"/>
        <v>8.5282073237961543E-3</v>
      </c>
      <c r="T38" s="17" t="str">
        <f t="shared" si="57"/>
        <v>1+0.0000298745328609619i</v>
      </c>
      <c r="U38" s="17">
        <f t="shared" si="67"/>
        <v>1.0000000004462437</v>
      </c>
      <c r="V38" s="17">
        <f t="shared" si="68"/>
        <v>2.9874532852074349E-5</v>
      </c>
      <c r="W38" s="31" t="str">
        <f t="shared" si="58"/>
        <v>1-0.0000737040629313527i</v>
      </c>
      <c r="X38" s="17">
        <f t="shared" si="69"/>
        <v>1.0000000027161444</v>
      </c>
      <c r="Y38" s="17">
        <f t="shared" si="70"/>
        <v>-7.3704062797892115E-5</v>
      </c>
      <c r="Z38" s="31" t="str">
        <f t="shared" si="59"/>
        <v>0.999999999772164+0.000103079543884234i</v>
      </c>
      <c r="AA38" s="17">
        <f t="shared" si="71"/>
        <v>1.0000000050848601</v>
      </c>
      <c r="AB38" s="17">
        <f t="shared" si="72"/>
        <v>1.0307954354263236E-4</v>
      </c>
      <c r="AC38" s="66" t="str">
        <f t="shared" si="73"/>
        <v>17.3989511171963-0.150941712657258i</v>
      </c>
      <c r="AD38" s="64">
        <f t="shared" si="74"/>
        <v>24.810788202946618</v>
      </c>
      <c r="AE38" s="61">
        <f t="shared" si="75"/>
        <v>-0.49704755634914349</v>
      </c>
      <c r="AF38" s="31" t="str">
        <f t="shared" si="60"/>
        <v>-9090.90909090909</v>
      </c>
      <c r="AG38" s="31" t="str">
        <f t="shared" si="61"/>
        <v>2.27623467397318E-08i</v>
      </c>
      <c r="AH38" s="31">
        <f t="shared" si="76"/>
        <v>2.27623467397318E-8</v>
      </c>
      <c r="AI38" s="31">
        <f t="shared" si="77"/>
        <v>1.5707963267948966</v>
      </c>
      <c r="AJ38" s="31" t="str">
        <f t="shared" si="62"/>
        <v>1+287603.289568447i</v>
      </c>
      <c r="AK38" s="31">
        <f t="shared" si="78"/>
        <v>287603.28957018553</v>
      </c>
      <c r="AL38" s="31">
        <f t="shared" si="79"/>
        <v>1.5707928497832064</v>
      </c>
      <c r="AM38" s="31" t="str">
        <f t="shared" si="63"/>
        <v>1+0.131228864680585i</v>
      </c>
      <c r="AN38" s="31">
        <f t="shared" si="80"/>
        <v>1.0085737528437646</v>
      </c>
      <c r="AO38" s="31">
        <f t="shared" si="81"/>
        <v>0.13048325565743138</v>
      </c>
      <c r="AS38" s="58" t="str">
        <f t="shared" si="82"/>
        <v>1388660.98135062+182237.315551361i</v>
      </c>
      <c r="AT38" s="49">
        <f t="shared" si="83"/>
        <v>122.92608185783556</v>
      </c>
      <c r="AU38" s="61">
        <f t="shared" si="84"/>
        <v>7.4763390643925414</v>
      </c>
      <c r="AV38" s="58" t="str">
        <f t="shared" si="85"/>
        <v>24188751.7453967+2961131.27818184i</v>
      </c>
      <c r="AW38" s="64">
        <f t="shared" si="86"/>
        <v>147.73687006078219</v>
      </c>
      <c r="AX38" s="61">
        <f t="shared" si="87"/>
        <v>6.9792915080433966</v>
      </c>
      <c r="AY38" s="310"/>
      <c r="BA38" s="31">
        <f t="shared" si="88"/>
        <v>0</v>
      </c>
      <c r="BB38" s="31">
        <f t="shared" si="89"/>
        <v>0</v>
      </c>
    </row>
    <row r="39" spans="1:54" x14ac:dyDescent="0.45">
      <c r="A39" t="s">
        <v>482</v>
      </c>
      <c r="N39" s="10">
        <v>21</v>
      </c>
      <c r="O39" s="50">
        <f t="shared" si="64"/>
        <v>16.218100973589298</v>
      </c>
      <c r="P39" s="48" t="str">
        <f t="shared" si="55"/>
        <v>17.4002386318441</v>
      </c>
      <c r="Q39" s="17" t="str">
        <f t="shared" si="56"/>
        <v>1+0.00872706636629414i</v>
      </c>
      <c r="R39" s="17">
        <f t="shared" si="65"/>
        <v>1.000038080118633</v>
      </c>
      <c r="S39" s="17">
        <f t="shared" si="66"/>
        <v>8.7268448203846466E-3</v>
      </c>
      <c r="T39" s="17" t="str">
        <f t="shared" si="57"/>
        <v>1+0.0000305704001242833i</v>
      </c>
      <c r="U39" s="17">
        <f t="shared" si="67"/>
        <v>1.0000000004672747</v>
      </c>
      <c r="V39" s="17">
        <f t="shared" si="68"/>
        <v>3.0570400114760118E-5</v>
      </c>
      <c r="W39" s="31" t="str">
        <f t="shared" si="58"/>
        <v>1-0.0000754208511002727i</v>
      </c>
      <c r="X39" s="17">
        <f t="shared" si="69"/>
        <v>1.0000000028441522</v>
      </c>
      <c r="Y39" s="17">
        <f t="shared" si="70"/>
        <v>-7.5420850957267114E-5</v>
      </c>
      <c r="Z39" s="31" t="str">
        <f t="shared" si="59"/>
        <v>0.999999999761427+0.000105480574904233i</v>
      </c>
      <c r="AA39" s="17">
        <f t="shared" si="71"/>
        <v>1.0000000053245026</v>
      </c>
      <c r="AB39" s="17">
        <f t="shared" si="72"/>
        <v>1.0548057453820019E-4</v>
      </c>
      <c r="AC39" s="66" t="str">
        <f t="shared" si="73"/>
        <v>17.3988904431215-0.154457067297278i</v>
      </c>
      <c r="AD39" s="64">
        <f t="shared" si="74"/>
        <v>24.810773316345369</v>
      </c>
      <c r="AE39" s="61">
        <f t="shared" si="75"/>
        <v>-0.50862470995783204</v>
      </c>
      <c r="AF39" s="31" t="str">
        <f t="shared" si="60"/>
        <v>-9090.90909090909</v>
      </c>
      <c r="AG39" s="31" t="str">
        <f t="shared" si="61"/>
        <v>2.27623467397318E-08i</v>
      </c>
      <c r="AH39" s="31">
        <f t="shared" si="76"/>
        <v>2.27623467397318E-8</v>
      </c>
      <c r="AI39" s="31">
        <f t="shared" si="77"/>
        <v>1.5707963267948966</v>
      </c>
      <c r="AJ39" s="31" t="str">
        <f t="shared" si="62"/>
        <v>1+294302.430772284i</v>
      </c>
      <c r="AK39" s="31">
        <f t="shared" si="78"/>
        <v>294302.43077398289</v>
      </c>
      <c r="AL39" s="31">
        <f t="shared" si="79"/>
        <v>1.5707929289296552</v>
      </c>
      <c r="AM39" s="31" t="str">
        <f t="shared" si="63"/>
        <v>1+0.134285577612602i</v>
      </c>
      <c r="AN39" s="31">
        <f t="shared" si="80"/>
        <v>1.0089760236768515</v>
      </c>
      <c r="AO39" s="31">
        <f t="shared" si="81"/>
        <v>0.13348702651398073</v>
      </c>
      <c r="AS39" s="58" t="str">
        <f t="shared" si="82"/>
        <v>1357051.19826559+182237.098237992i</v>
      </c>
      <c r="AT39" s="49">
        <f t="shared" si="83"/>
        <v>122.72954554448178</v>
      </c>
      <c r="AU39" s="61">
        <f t="shared" si="84"/>
        <v>7.6484379223397019</v>
      </c>
      <c r="AV39" s="58" t="str">
        <f t="shared" si="85"/>
        <v>23639332.9320764+2961117.15865883i</v>
      </c>
      <c r="AW39" s="64">
        <f t="shared" si="86"/>
        <v>147.54031886082717</v>
      </c>
      <c r="AX39" s="61">
        <f t="shared" si="87"/>
        <v>7.139813212381851</v>
      </c>
      <c r="AY39" s="310"/>
      <c r="BA39" s="31">
        <f t="shared" si="88"/>
        <v>0</v>
      </c>
      <c r="BB39" s="31">
        <f t="shared" si="89"/>
        <v>0</v>
      </c>
    </row>
    <row r="40" spans="1:54" x14ac:dyDescent="0.45">
      <c r="A40" t="s">
        <v>483</v>
      </c>
      <c r="B40" s="32">
        <f>((Np/NS1_)*(VOUT1+VD))/((VIN_var+(Np/NS1_)*(VOUT1+VD)))</f>
        <v>0.45955882352941174</v>
      </c>
      <c r="C40" t="s">
        <v>12</v>
      </c>
      <c r="E40" t="s">
        <v>484</v>
      </c>
      <c r="N40" s="10">
        <v>22</v>
      </c>
      <c r="O40" s="50">
        <f t="shared" si="64"/>
        <v>16.595869074375614</v>
      </c>
      <c r="P40" s="48" t="str">
        <f t="shared" si="55"/>
        <v>17.4002386318441</v>
      </c>
      <c r="Q40" s="17" t="str">
        <f t="shared" si="56"/>
        <v>1+0.00893034585579789i</v>
      </c>
      <c r="R40" s="17">
        <f t="shared" si="65"/>
        <v>1.0000398747435546</v>
      </c>
      <c r="S40" s="17">
        <f t="shared" si="66"/>
        <v>8.9301084655900899E-3</v>
      </c>
      <c r="T40" s="17" t="str">
        <f t="shared" si="57"/>
        <v>1+0.0000312824762183979i</v>
      </c>
      <c r="U40" s="17">
        <f t="shared" si="67"/>
        <v>1.0000000004892966</v>
      </c>
      <c r="V40" s="17">
        <f t="shared" si="68"/>
        <v>3.1282476208193629E-5</v>
      </c>
      <c r="W40" s="31" t="str">
        <f t="shared" si="58"/>
        <v>1-0.0000771776284027595i</v>
      </c>
      <c r="X40" s="17">
        <f t="shared" si="69"/>
        <v>1.000000002978193</v>
      </c>
      <c r="Y40" s="17">
        <f t="shared" si="70"/>
        <v>-7.7177628249526238E-5</v>
      </c>
      <c r="Z40" s="31" t="str">
        <f t="shared" si="59"/>
        <v>0.999999999750183+0.000107937533121247i</v>
      </c>
      <c r="AA40" s="17">
        <f t="shared" si="71"/>
        <v>1.0000000055754383</v>
      </c>
      <c r="AB40" s="17">
        <f t="shared" si="72"/>
        <v>1.0793753272903582E-4</v>
      </c>
      <c r="AC40" s="66" t="str">
        <f t="shared" si="73"/>
        <v>17.3988269100113-0.158054267199746i</v>
      </c>
      <c r="AD40" s="64">
        <f t="shared" si="74"/>
        <v>24.810757728214831</v>
      </c>
      <c r="AE40" s="61">
        <f t="shared" si="75"/>
        <v>-0.52047148926086728</v>
      </c>
      <c r="AF40" s="31" t="str">
        <f t="shared" si="60"/>
        <v>-9090.90909090909</v>
      </c>
      <c r="AG40" s="31" t="str">
        <f t="shared" si="61"/>
        <v>2.27623467397318E-08i</v>
      </c>
      <c r="AH40" s="31">
        <f t="shared" si="76"/>
        <v>2.27623467397318E-8</v>
      </c>
      <c r="AI40" s="31">
        <f t="shared" si="77"/>
        <v>1.5707963267948966</v>
      </c>
      <c r="AJ40" s="31" t="str">
        <f t="shared" si="62"/>
        <v>1+301157.615020471i</v>
      </c>
      <c r="AK40" s="31">
        <f t="shared" si="78"/>
        <v>301157.61502213124</v>
      </c>
      <c r="AL40" s="31">
        <f t="shared" si="79"/>
        <v>1.5707930062745108</v>
      </c>
      <c r="AM40" s="31" t="str">
        <f t="shared" si="63"/>
        <v>1+0.137413490535349i</v>
      </c>
      <c r="AN40" s="31">
        <f t="shared" si="80"/>
        <v>1.0093970811237314</v>
      </c>
      <c r="AO40" s="31">
        <f t="shared" si="81"/>
        <v>0.13655825725628726</v>
      </c>
      <c r="AS40" s="58" t="str">
        <f t="shared" si="82"/>
        <v>1326160.9416885+182236.890705335i</v>
      </c>
      <c r="AT40" s="49">
        <f t="shared" si="83"/>
        <v>122.53316951129095</v>
      </c>
      <c r="AU40" s="61">
        <f t="shared" si="84"/>
        <v>7.8244020502508844</v>
      </c>
      <c r="AV40" s="58" t="str">
        <f t="shared" si="85"/>
        <v>23102447.997473+2961102.72217327i</v>
      </c>
      <c r="AW40" s="64">
        <f t="shared" si="86"/>
        <v>147.3439272395058</v>
      </c>
      <c r="AX40" s="61">
        <f t="shared" si="87"/>
        <v>7.3039305609900129</v>
      </c>
      <c r="AY40" s="310"/>
      <c r="BA40" s="31">
        <f t="shared" si="88"/>
        <v>0</v>
      </c>
      <c r="BB40" s="31">
        <f t="shared" si="89"/>
        <v>0</v>
      </c>
    </row>
    <row r="41" spans="1:54" x14ac:dyDescent="0.45">
      <c r="A41" t="s">
        <v>179</v>
      </c>
      <c r="B41" s="27">
        <f>Gcomp*((VOUT1^2)/(Pout_var))*((1-Dc_var_ccm)/((1+Dc_var_ccm)*((Acs*R_cs)/(Np/NS1_))))</f>
        <v>17.400238631844093</v>
      </c>
      <c r="C41" t="s">
        <v>136</v>
      </c>
      <c r="E41" t="s">
        <v>183</v>
      </c>
      <c r="N41" s="10">
        <v>23</v>
      </c>
      <c r="O41" s="50">
        <f t="shared" si="64"/>
        <v>16.982436524617448</v>
      </c>
      <c r="P41" s="48" t="str">
        <f t="shared" si="55"/>
        <v>17.4002386318441</v>
      </c>
      <c r="Q41" s="17" t="str">
        <f t="shared" si="56"/>
        <v>1+0.00913836033288142i</v>
      </c>
      <c r="R41" s="17">
        <f t="shared" si="65"/>
        <v>1.0000417539430908</v>
      </c>
      <c r="S41" s="17">
        <f t="shared" si="66"/>
        <v>9.1381059652644835E-3</v>
      </c>
      <c r="T41" s="17" t="str">
        <f t="shared" si="57"/>
        <v>1+0.0000320111386954758i</v>
      </c>
      <c r="U41" s="17">
        <f t="shared" si="67"/>
        <v>1.0000000005123564</v>
      </c>
      <c r="V41" s="17">
        <f t="shared" si="68"/>
        <v>3.2011138684541724E-5</v>
      </c>
      <c r="W41" s="31" t="str">
        <f t="shared" si="58"/>
        <v>1-0.0000789753263053916i</v>
      </c>
      <c r="X41" s="17">
        <f t="shared" si="69"/>
        <v>1.000000003118551</v>
      </c>
      <c r="Y41" s="17">
        <f t="shared" si="70"/>
        <v>-7.8975326141199207E-5</v>
      </c>
      <c r="Z41" s="31" t="str">
        <f t="shared" si="59"/>
        <v>0.99999999973841+0.000110451721247044i</v>
      </c>
      <c r="AA41" s="17">
        <f t="shared" si="71"/>
        <v>1.0000000058382013</v>
      </c>
      <c r="AB41" s="17">
        <f t="shared" si="72"/>
        <v>1.104517208267821E-4</v>
      </c>
      <c r="AC41" s="66" t="str">
        <f t="shared" si="73"/>
        <v>17.3987603831667-0.161735216078061i</v>
      </c>
      <c r="AD41" s="64">
        <f t="shared" si="74"/>
        <v>24.810741405498312</v>
      </c>
      <c r="AE41" s="61">
        <f t="shared" si="75"/>
        <v>-0.53259417172583423</v>
      </c>
      <c r="AF41" s="31" t="str">
        <f t="shared" si="60"/>
        <v>-9090.90909090909</v>
      </c>
      <c r="AG41" s="31" t="str">
        <f t="shared" si="61"/>
        <v>2.27623467397318E-08i</v>
      </c>
      <c r="AH41" s="31">
        <f t="shared" si="76"/>
        <v>2.27623467397318E-8</v>
      </c>
      <c r="AI41" s="31">
        <f t="shared" si="77"/>
        <v>1.5707963267948966</v>
      </c>
      <c r="AJ41" s="31" t="str">
        <f t="shared" si="62"/>
        <v>1+308172.477022432i</v>
      </c>
      <c r="AK41" s="31">
        <f t="shared" si="78"/>
        <v>308172.47702405445</v>
      </c>
      <c r="AL41" s="31">
        <f t="shared" si="79"/>
        <v>1.5707930818587827</v>
      </c>
      <c r="AM41" s="31" t="str">
        <f t="shared" si="63"/>
        <v>1+0.14061426190966i</v>
      </c>
      <c r="AN41" s="31">
        <f t="shared" si="80"/>
        <v>1.0098377942285575</v>
      </c>
      <c r="AO41" s="31">
        <f t="shared" si="81"/>
        <v>0.1396983444152925</v>
      </c>
      <c r="AS41" s="58" t="str">
        <f t="shared" si="82"/>
        <v>1295973.83319646+182236.692513188i</v>
      </c>
      <c r="AT41" s="49">
        <f t="shared" si="83"/>
        <v>122.33696103203013</v>
      </c>
      <c r="AU41" s="61">
        <f t="shared" si="84"/>
        <v>8.0043114611053436</v>
      </c>
      <c r="AV41" s="58" t="str">
        <f t="shared" si="85"/>
        <v>22577812.2774802+2961087.93811424i</v>
      </c>
      <c r="AW41" s="64">
        <f t="shared" si="86"/>
        <v>147.14770243752841</v>
      </c>
      <c r="AX41" s="61">
        <f t="shared" si="87"/>
        <v>7.4717172893795087</v>
      </c>
      <c r="AY41" s="310"/>
      <c r="BA41" s="31">
        <f t="shared" si="88"/>
        <v>0</v>
      </c>
      <c r="BB41" s="31">
        <f t="shared" si="89"/>
        <v>0</v>
      </c>
    </row>
    <row r="42" spans="1:54" s="31" customFormat="1" x14ac:dyDescent="0.45">
      <c r="A42" t="s">
        <v>196</v>
      </c>
      <c r="B42" s="29">
        <f>(1+Dc_var_ccm)/(Cout_total*((VOUT1^2)/Pout_var))</f>
        <v>11676.470588235294</v>
      </c>
      <c r="C42" t="s">
        <v>195</v>
      </c>
      <c r="D42"/>
      <c r="E42" t="s">
        <v>186</v>
      </c>
      <c r="F42"/>
      <c r="G42"/>
      <c r="K42"/>
      <c r="N42" s="10">
        <v>24</v>
      </c>
      <c r="O42" s="50">
        <f t="shared" si="64"/>
        <v>17.378008287493756</v>
      </c>
      <c r="P42" s="48" t="str">
        <f t="shared" si="55"/>
        <v>17.4002386318441</v>
      </c>
      <c r="Q42" s="17" t="str">
        <f t="shared" si="56"/>
        <v>1+0.00935122008957401i</v>
      </c>
      <c r="R42" s="17">
        <f t="shared" si="65"/>
        <v>1.0000437217027882</v>
      </c>
      <c r="S42" s="17">
        <f t="shared" si="66"/>
        <v>9.3509475304054141E-3</v>
      </c>
      <c r="T42" s="17" t="str">
        <f t="shared" si="57"/>
        <v>1+0.0000327567739020078i</v>
      </c>
      <c r="U42" s="17">
        <f t="shared" si="67"/>
        <v>1.0000000005365031</v>
      </c>
      <c r="V42" s="17">
        <f t="shared" si="68"/>
        <v>3.275677389029173E-5</v>
      </c>
      <c r="W42" s="31" t="str">
        <f t="shared" si="58"/>
        <v>1-0.0000808148979713934i</v>
      </c>
      <c r="X42" s="17">
        <f t="shared" si="69"/>
        <v>1.0000000032655239</v>
      </c>
      <c r="Y42" s="17">
        <f t="shared" si="70"/>
        <v>-8.0814897795458083E-5</v>
      </c>
      <c r="Z42" s="31" t="str">
        <f t="shared" si="59"/>
        <v>0.999999999726081+0.000113024472337448i</v>
      </c>
      <c r="AA42" s="17">
        <f t="shared" si="71"/>
        <v>1.0000000061133465</v>
      </c>
      <c r="AB42" s="17">
        <f t="shared" si="72"/>
        <v>1.1302447188712934E-4</v>
      </c>
      <c r="AC42" s="66" t="str">
        <f t="shared" si="73"/>
        <v>17.3986907215444-0.165501861795214i</v>
      </c>
      <c r="AD42" s="64">
        <f t="shared" si="74"/>
        <v>24.810724313581581</v>
      </c>
      <c r="AE42" s="61">
        <f t="shared" si="75"/>
        <v>-0.54499918083242027</v>
      </c>
      <c r="AF42" s="31" t="str">
        <f t="shared" si="60"/>
        <v>-9090.90909090909</v>
      </c>
      <c r="AG42" s="31" t="str">
        <f t="shared" si="61"/>
        <v>2.27623467397318E-08i</v>
      </c>
      <c r="AH42" s="31">
        <f t="shared" si="76"/>
        <v>2.27623467397318E-8</v>
      </c>
      <c r="AI42" s="31">
        <f t="shared" si="77"/>
        <v>1.5707963267948966</v>
      </c>
      <c r="AJ42" s="31" t="str">
        <f t="shared" si="62"/>
        <v>1+315350.736150858i</v>
      </c>
      <c r="AK42" s="31">
        <f t="shared" si="78"/>
        <v>315350.73615244357</v>
      </c>
      <c r="AL42" s="31">
        <f t="shared" si="79"/>
        <v>1.5707931557225465</v>
      </c>
      <c r="AM42" s="31" t="str">
        <f t="shared" si="63"/>
        <v>1+0.143889588826886i</v>
      </c>
      <c r="AN42" s="31">
        <f t="shared" si="80"/>
        <v>1.0102990714500188</v>
      </c>
      <c r="AO42" s="31">
        <f t="shared" si="81"/>
        <v>0.14290870508291775</v>
      </c>
      <c r="AS42" s="58" t="str">
        <f t="shared" si="82"/>
        <v>1266473.86718495+182236.503241156i</v>
      </c>
      <c r="AT42" s="49">
        <f t="shared" si="83"/>
        <v>122.1409276970397</v>
      </c>
      <c r="AU42" s="61">
        <f t="shared" si="84"/>
        <v>8.1882473459931653</v>
      </c>
      <c r="AV42" s="58" t="str">
        <f t="shared" si="85"/>
        <v>22065147.6026427+2961072.7751345i</v>
      </c>
      <c r="AW42" s="64">
        <f t="shared" si="86"/>
        <v>146.95165201062127</v>
      </c>
      <c r="AX42" s="61">
        <f t="shared" si="87"/>
        <v>7.64324816516074</v>
      </c>
      <c r="AY42" s="310"/>
      <c r="BA42" s="31">
        <f t="shared" si="88"/>
        <v>0</v>
      </c>
      <c r="BB42" s="31">
        <f t="shared" si="89"/>
        <v>0</v>
      </c>
    </row>
    <row r="43" spans="1:54" s="31" customFormat="1" x14ac:dyDescent="0.45">
      <c r="A43"/>
      <c r="B43" s="29">
        <f>wp_lf/(2*PI())</f>
        <v>1858.3680119847779</v>
      </c>
      <c r="C43" t="s">
        <v>59</v>
      </c>
      <c r="D43"/>
      <c r="E43"/>
      <c r="F43"/>
      <c r="G43"/>
      <c r="N43" s="10">
        <v>25</v>
      </c>
      <c r="O43" s="50">
        <f t="shared" si="64"/>
        <v>17.782794100389236</v>
      </c>
      <c r="P43" s="48" t="str">
        <f t="shared" si="55"/>
        <v>17.4002386318441</v>
      </c>
      <c r="Q43" s="17" t="str">
        <f t="shared" si="56"/>
        <v>1+0.00956903798693604i</v>
      </c>
      <c r="R43" s="17">
        <f t="shared" si="65"/>
        <v>1.0000457821959929</v>
      </c>
      <c r="S43" s="17">
        <f t="shared" si="66"/>
        <v>9.5687459352471749E-3</v>
      </c>
      <c r="T43" s="17" t="str">
        <f t="shared" si="57"/>
        <v>1+0.0000335197771836495i</v>
      </c>
      <c r="U43" s="17">
        <f t="shared" si="67"/>
        <v>1.0000000005617877</v>
      </c>
      <c r="V43" s="17">
        <f t="shared" si="68"/>
        <v>3.35197771710955E-5</v>
      </c>
      <c r="W43" s="31" t="str">
        <f t="shared" si="58"/>
        <v>1-0.0000826973187660106i</v>
      </c>
      <c r="X43" s="17">
        <f t="shared" si="69"/>
        <v>1.0000000034194232</v>
      </c>
      <c r="Y43" s="17">
        <f t="shared" si="70"/>
        <v>-8.2697318577492509E-5</v>
      </c>
      <c r="Z43" s="31" t="str">
        <f t="shared" si="59"/>
        <v>0.999999999713172+0.000115657150499139i</v>
      </c>
      <c r="AA43" s="17">
        <f t="shared" si="71"/>
        <v>1.00000000640146</v>
      </c>
      <c r="AB43" s="17">
        <f t="shared" si="72"/>
        <v>1.156571500166138E-4</v>
      </c>
      <c r="AC43" s="66" t="str">
        <f t="shared" si="73"/>
        <v>17.3986177774588-0.169356197378321i</v>
      </c>
      <c r="AD43" s="64">
        <f t="shared" si="74"/>
        <v>24.810706416219798</v>
      </c>
      <c r="AE43" s="61">
        <f t="shared" si="75"/>
        <v>-0.55769308945850515</v>
      </c>
      <c r="AF43" s="31" t="str">
        <f t="shared" si="60"/>
        <v>-9090.90909090909</v>
      </c>
      <c r="AG43" s="31" t="str">
        <f t="shared" si="61"/>
        <v>2.27623467397318E-08i</v>
      </c>
      <c r="AH43" s="31">
        <f t="shared" si="76"/>
        <v>2.27623467397318E-8</v>
      </c>
      <c r="AI43" s="31">
        <f t="shared" si="77"/>
        <v>1.5707963267948966</v>
      </c>
      <c r="AJ43" s="31" t="str">
        <f t="shared" si="62"/>
        <v>1+322696.198413748i</v>
      </c>
      <c r="AK43" s="31">
        <f t="shared" si="78"/>
        <v>322696.19841529743</v>
      </c>
      <c r="AL43" s="31">
        <f t="shared" si="79"/>
        <v>1.5707932279049657</v>
      </c>
      <c r="AM43" s="31" t="str">
        <f t="shared" si="63"/>
        <v>1+0.147241207908711i</v>
      </c>
      <c r="AN43" s="31">
        <f t="shared" si="80"/>
        <v>1.0107818623750706</v>
      </c>
      <c r="AO43" s="31">
        <f t="shared" si="81"/>
        <v>0.14619077659797364</v>
      </c>
      <c r="AS43" s="58" t="str">
        <f t="shared" si="82"/>
        <v>1237645.40238155+182236.32248777i</v>
      </c>
      <c r="AT43" s="49">
        <f t="shared" si="83"/>
        <v>121.94507742573676</v>
      </c>
      <c r="AU43" s="61">
        <f t="shared" si="84"/>
        <v>8.3762920561179985</v>
      </c>
      <c r="AV43" s="58" t="str">
        <f t="shared" si="85"/>
        <v>21564182.1506665+2961057.20108433i</v>
      </c>
      <c r="AW43" s="64">
        <f t="shared" si="86"/>
        <v>146.75578384195654</v>
      </c>
      <c r="AX43" s="61">
        <f t="shared" si="87"/>
        <v>7.8185989666595042</v>
      </c>
      <c r="AY43" s="310"/>
      <c r="BA43" s="31">
        <f t="shared" si="88"/>
        <v>0</v>
      </c>
      <c r="BB43" s="31">
        <f t="shared" si="89"/>
        <v>0</v>
      </c>
    </row>
    <row r="44" spans="1:54" s="31" customFormat="1" x14ac:dyDescent="0.45">
      <c r="A44"/>
      <c r="B44" s="26"/>
      <c r="C44"/>
      <c r="D44"/>
      <c r="E44"/>
      <c r="F44"/>
      <c r="G44"/>
      <c r="N44" s="10">
        <v>26</v>
      </c>
      <c r="O44" s="50">
        <f t="shared" si="64"/>
        <v>18.197008586099841</v>
      </c>
      <c r="P44" s="48" t="str">
        <f t="shared" si="55"/>
        <v>17.4002386318441</v>
      </c>
      <c r="Q44" s="17" t="str">
        <f t="shared" si="56"/>
        <v>1+0.0097919295149i</v>
      </c>
      <c r="R44" s="17">
        <f t="shared" si="65"/>
        <v>1.0000479397927005</v>
      </c>
      <c r="S44" s="17">
        <f t="shared" si="66"/>
        <v>9.7916165766874629E-3</v>
      </c>
      <c r="T44" s="17" t="str">
        <f t="shared" si="57"/>
        <v>1+0.0000343005530948409i</v>
      </c>
      <c r="U44" s="17">
        <f t="shared" si="67"/>
        <v>1.0000000005882639</v>
      </c>
      <c r="V44" s="17">
        <f t="shared" si="68"/>
        <v>3.4300553081389051E-5</v>
      </c>
      <c r="W44" s="31" t="str">
        <f t="shared" si="58"/>
        <v>1-0.0000846235867736665i</v>
      </c>
      <c r="X44" s="17">
        <f t="shared" si="69"/>
        <v>1.0000000035805756</v>
      </c>
      <c r="Y44" s="17">
        <f t="shared" si="70"/>
        <v>-8.462358657166573E-5</v>
      </c>
      <c r="Z44" s="31" t="str">
        <f t="shared" si="59"/>
        <v>0.999999999699654+0.00011835115161293i</v>
      </c>
      <c r="AA44" s="17">
        <f t="shared" si="71"/>
        <v>1.0000000067031516</v>
      </c>
      <c r="AB44" s="17">
        <f t="shared" si="72"/>
        <v>1.1835115109589496E-4</v>
      </c>
      <c r="AC44" s="66" t="str">
        <f t="shared" si="73"/>
        <v>17.3985413962686-0.173300262055808i</v>
      </c>
      <c r="AD44" s="64">
        <f t="shared" si="74"/>
        <v>24.810687675460343</v>
      </c>
      <c r="AE44" s="61">
        <f t="shared" si="75"/>
        <v>-0.57068262334412567</v>
      </c>
      <c r="AF44" s="31" t="str">
        <f t="shared" si="60"/>
        <v>-9090.90909090909</v>
      </c>
      <c r="AG44" s="31" t="str">
        <f t="shared" si="61"/>
        <v>2.27623467397318E-08i</v>
      </c>
      <c r="AH44" s="31">
        <f t="shared" si="76"/>
        <v>2.27623467397318E-8</v>
      </c>
      <c r="AI44" s="31">
        <f t="shared" si="77"/>
        <v>1.5707963267948966</v>
      </c>
      <c r="AJ44" s="31" t="str">
        <f t="shared" si="62"/>
        <v>1+330212.758472429i</v>
      </c>
      <c r="AK44" s="31">
        <f t="shared" si="78"/>
        <v>330212.75847394316</v>
      </c>
      <c r="AL44" s="31">
        <f t="shared" si="79"/>
        <v>1.5707932984443125</v>
      </c>
      <c r="AM44" s="31" t="str">
        <f t="shared" si="63"/>
        <v>1+0.150670896227938i</v>
      </c>
      <c r="AN44" s="31">
        <f t="shared" si="80"/>
        <v>1.0112871595002726</v>
      </c>
      <c r="AO44" s="31">
        <f t="shared" si="81"/>
        <v>0.14954601617535743</v>
      </c>
      <c r="AS44" s="58" t="str">
        <f t="shared" si="82"/>
        <v>1209473.1535526+182236.149869625i</v>
      </c>
      <c r="AT44" s="49">
        <f t="shared" si="83"/>
        <v>121.74941847948881</v>
      </c>
      <c r="AU44" s="61">
        <f t="shared" si="84"/>
        <v>8.5685290815504658</v>
      </c>
      <c r="AV44" s="58" t="str">
        <f t="shared" si="85"/>
        <v>21074650.3022889+2961041.18294315i</v>
      </c>
      <c r="AW44" s="64">
        <f t="shared" si="86"/>
        <v>146.56010615494915</v>
      </c>
      <c r="AX44" s="61">
        <f t="shared" si="87"/>
        <v>7.9978464582063387</v>
      </c>
      <c r="AY44" s="310"/>
      <c r="BA44" s="31">
        <f t="shared" si="88"/>
        <v>0</v>
      </c>
      <c r="BB44" s="31">
        <f t="shared" si="89"/>
        <v>0</v>
      </c>
    </row>
    <row r="45" spans="1:54" x14ac:dyDescent="0.45">
      <c r="A45" t="s">
        <v>197</v>
      </c>
      <c r="B45" s="29">
        <f>(((VOUT1^2)/Pout_var)*((1-Dc_var_ccm)^2))/((Lm/((Np/NS1_)^2))*Dc_var_ccm)</f>
        <v>1351102.9411764711</v>
      </c>
      <c r="C45" t="s">
        <v>195</v>
      </c>
      <c r="E45" t="s">
        <v>187</v>
      </c>
      <c r="N45" s="10">
        <v>27</v>
      </c>
      <c r="O45" s="50">
        <f t="shared" si="64"/>
        <v>18.62087136662868</v>
      </c>
      <c r="P45" s="48" t="str">
        <f t="shared" si="55"/>
        <v>17.4002386318441</v>
      </c>
      <c r="Q45" s="17" t="str">
        <f t="shared" si="56"/>
        <v>1+0.0100200128535042i</v>
      </c>
      <c r="R45" s="17">
        <f t="shared" si="65"/>
        <v>1.0000501990688189</v>
      </c>
      <c r="S45" s="17">
        <f t="shared" si="66"/>
        <v>1.0019677535077183E-2</v>
      </c>
      <c r="T45" s="17" t="str">
        <f t="shared" si="57"/>
        <v>1+0.0000350995156133046i</v>
      </c>
      <c r="U45" s="17">
        <f t="shared" si="67"/>
        <v>1.0000000006159879</v>
      </c>
      <c r="V45" s="17">
        <f t="shared" si="68"/>
        <v>3.5099515598890681E-5</v>
      </c>
      <c r="W45" s="31" t="str">
        <f t="shared" si="58"/>
        <v>1-0.0000865947233271552i</v>
      </c>
      <c r="X45" s="17">
        <f t="shared" si="69"/>
        <v>1.0000000037493231</v>
      </c>
      <c r="Y45" s="17">
        <f t="shared" si="70"/>
        <v>-8.659472311070748E-5</v>
      </c>
      <c r="Z45" s="31" t="str">
        <f t="shared" si="59"/>
        <v>0.999999999685499+0.000121107904073868i</v>
      </c>
      <c r="AA45" s="17">
        <f t="shared" si="71"/>
        <v>1.0000000070190611</v>
      </c>
      <c r="AB45" s="17">
        <f t="shared" si="72"/>
        <v>1.2110790351985499E-4</v>
      </c>
      <c r="AC45" s="66" t="str">
        <f t="shared" si="73"/>
        <v>17.3984614160503-0.177336142317689i</v>
      </c>
      <c r="AD45" s="64">
        <f t="shared" si="74"/>
        <v>24.810668051562761</v>
      </c>
      <c r="AE45" s="61">
        <f t="shared" si="75"/>
        <v>-0.58397466463491221</v>
      </c>
      <c r="AF45" s="31" t="str">
        <f t="shared" si="60"/>
        <v>-9090.90909090909</v>
      </c>
      <c r="AG45" s="31" t="str">
        <f t="shared" si="61"/>
        <v>2.27623467397318E-08i</v>
      </c>
      <c r="AH45" s="31">
        <f t="shared" si="76"/>
        <v>2.27623467397318E-8</v>
      </c>
      <c r="AI45" s="31">
        <f t="shared" si="77"/>
        <v>1.5707963267948966</v>
      </c>
      <c r="AJ45" s="31" t="str">
        <f t="shared" si="62"/>
        <v>1+337904.401706533i</v>
      </c>
      <c r="AK45" s="31">
        <f t="shared" si="78"/>
        <v>337904.40170801274</v>
      </c>
      <c r="AL45" s="31">
        <f t="shared" si="79"/>
        <v>1.5707933673779877</v>
      </c>
      <c r="AM45" s="31" t="str">
        <f t="shared" si="63"/>
        <v>1+0.154180472250709i</v>
      </c>
      <c r="AN45" s="31">
        <f t="shared" si="80"/>
        <v>1.0118160000827481</v>
      </c>
      <c r="AO45" s="31">
        <f t="shared" si="81"/>
        <v>0.15297590047448942</v>
      </c>
      <c r="AS45" s="58" t="str">
        <f t="shared" si="82"/>
        <v>1181942.1833989+182235.985020577i</v>
      </c>
      <c r="AT45" s="49">
        <f t="shared" si="83"/>
        <v>121.55395947486045</v>
      </c>
      <c r="AU45" s="61">
        <f t="shared" si="84"/>
        <v>8.7650430265002406</v>
      </c>
      <c r="AV45" s="58" t="str">
        <f t="shared" si="85"/>
        <v>20596292.500443+2961024.68674992i</v>
      </c>
      <c r="AW45" s="64">
        <f t="shared" si="86"/>
        <v>146.36462752642319</v>
      </c>
      <c r="AX45" s="61">
        <f t="shared" si="87"/>
        <v>8.1810683618653304</v>
      </c>
      <c r="AY45" s="310"/>
      <c r="BA45" s="31">
        <f t="shared" si="88"/>
        <v>0</v>
      </c>
      <c r="BB45" s="31">
        <f t="shared" si="89"/>
        <v>0</v>
      </c>
    </row>
    <row r="46" spans="1:54" x14ac:dyDescent="0.45">
      <c r="A46" s="31"/>
      <c r="B46" s="29">
        <f>wz_rhp/(2*PI())</f>
        <v>215034.71171423368</v>
      </c>
      <c r="C46" s="31" t="s">
        <v>59</v>
      </c>
      <c r="D46" s="31"/>
      <c r="E46" s="31"/>
      <c r="F46" s="31"/>
      <c r="G46" s="31"/>
      <c r="K46" s="31"/>
      <c r="N46" s="10">
        <v>28</v>
      </c>
      <c r="O46" s="50">
        <f t="shared" si="64"/>
        <v>19.054607179632477</v>
      </c>
      <c r="P46" s="48" t="str">
        <f t="shared" si="55"/>
        <v>17.4002386318441</v>
      </c>
      <c r="Q46" s="17" t="str">
        <f t="shared" si="56"/>
        <v>1+0.010253408935554i</v>
      </c>
      <c r="R46" s="17">
        <f t="shared" si="65"/>
        <v>1.0000525648158698</v>
      </c>
      <c r="S46" s="17">
        <f t="shared" si="66"/>
        <v>1.025304963640603E-2</v>
      </c>
      <c r="T46" s="17" t="str">
        <f t="shared" si="57"/>
        <v>1+0.0000359170883595435i</v>
      </c>
      <c r="U46" s="17">
        <f t="shared" si="67"/>
        <v>1.0000000006450185</v>
      </c>
      <c r="V46" s="17">
        <f t="shared" si="68"/>
        <v>3.5917088344098708E-5</v>
      </c>
      <c r="W46" s="31" t="str">
        <f t="shared" si="58"/>
        <v>1-0.0000886117735491686i</v>
      </c>
      <c r="X46" s="17">
        <f t="shared" si="69"/>
        <v>1.0000000039260231</v>
      </c>
      <c r="Y46" s="17">
        <f t="shared" si="70"/>
        <v>-8.8611773317240683E-5</v>
      </c>
      <c r="Z46" s="31" t="str">
        <f t="shared" si="59"/>
        <v>0.999999999670678+0.000123928869548599i</v>
      </c>
      <c r="AA46" s="17">
        <f t="shared" si="71"/>
        <v>1.0000000073498603</v>
      </c>
      <c r="AB46" s="17">
        <f t="shared" si="72"/>
        <v>1.2392886895496325E-4</v>
      </c>
      <c r="AC46" s="66" t="str">
        <f t="shared" si="73"/>
        <v>17.398377667255-0.18146597299941i</v>
      </c>
      <c r="AD46" s="64">
        <f t="shared" si="74"/>
        <v>24.810647502914374</v>
      </c>
      <c r="AE46" s="61">
        <f t="shared" si="75"/>
        <v>-0.59757625550689097</v>
      </c>
      <c r="AF46" s="31" t="str">
        <f t="shared" si="60"/>
        <v>-9090.90909090909</v>
      </c>
      <c r="AG46" s="31" t="str">
        <f t="shared" si="61"/>
        <v>2.27623467397318E-08i</v>
      </c>
      <c r="AH46" s="31">
        <f t="shared" si="76"/>
        <v>2.27623467397318E-8</v>
      </c>
      <c r="AI46" s="31">
        <f t="shared" si="77"/>
        <v>1.5707963267948966</v>
      </c>
      <c r="AJ46" s="31" t="str">
        <f t="shared" si="62"/>
        <v>1+345775.206327116i</v>
      </c>
      <c r="AK46" s="31">
        <f t="shared" si="78"/>
        <v>345775.20632856205</v>
      </c>
      <c r="AL46" s="31">
        <f t="shared" si="79"/>
        <v>1.570793434742541</v>
      </c>
      <c r="AM46" s="31" t="str">
        <f t="shared" si="63"/>
        <v>1+0.157771796800688i</v>
      </c>
      <c r="AN46" s="31">
        <f t="shared" si="80"/>
        <v>1.0123694680627808</v>
      </c>
      <c r="AO46" s="31">
        <f t="shared" si="81"/>
        <v>0.15648192510279524</v>
      </c>
      <c r="AS46" s="58" t="str">
        <f t="shared" si="82"/>
        <v>1155037.89463564+182235.827590958i</v>
      </c>
      <c r="AT46" s="49">
        <f t="shared" si="83"/>
        <v>121.35870939722672</v>
      </c>
      <c r="AU46" s="61">
        <f t="shared" si="84"/>
        <v>8.9659195808664727</v>
      </c>
      <c r="AV46" s="58" t="str">
        <f t="shared" si="85"/>
        <v>20128855.1126311+2961007.67753101i</v>
      </c>
      <c r="AW46" s="64">
        <f t="shared" si="86"/>
        <v>146.16935690014108</v>
      </c>
      <c r="AX46" s="61">
        <f t="shared" si="87"/>
        <v>8.3683433253595805</v>
      </c>
      <c r="AY46" s="310"/>
      <c r="BA46" s="31">
        <f t="shared" si="88"/>
        <v>0</v>
      </c>
      <c r="BB46" s="31">
        <f t="shared" si="89"/>
        <v>0</v>
      </c>
    </row>
    <row r="47" spans="1:54" x14ac:dyDescent="0.45">
      <c r="A47" s="31"/>
      <c r="B47" s="1"/>
      <c r="C47" s="31"/>
      <c r="D47" s="31"/>
      <c r="E47" s="31"/>
      <c r="F47" s="31"/>
      <c r="G47" s="31"/>
      <c r="N47" s="10">
        <v>29</v>
      </c>
      <c r="O47" s="50">
        <f t="shared" si="64"/>
        <v>19.498445997580465</v>
      </c>
      <c r="P47" s="48" t="str">
        <f t="shared" si="55"/>
        <v>17.4002386318441</v>
      </c>
      <c r="Q47" s="17" t="str">
        <f t="shared" si="56"/>
        <v>1+0.0104922415107413i</v>
      </c>
      <c r="R47" s="17">
        <f t="shared" si="65"/>
        <v>1.0000550420511463</v>
      </c>
      <c r="S47" s="17">
        <f t="shared" si="66"/>
        <v>1.0491856515912322E-2</v>
      </c>
      <c r="T47" s="17" t="str">
        <f t="shared" si="57"/>
        <v>1+0.0000367537048214496i</v>
      </c>
      <c r="U47" s="17">
        <f t="shared" si="67"/>
        <v>1.0000000006754173</v>
      </c>
      <c r="V47" s="17">
        <f t="shared" si="68"/>
        <v>3.6753704804900205E-5</v>
      </c>
      <c r="W47" s="31" t="str">
        <f t="shared" si="58"/>
        <v>1-0.0000906758069064335i</v>
      </c>
      <c r="X47" s="17">
        <f t="shared" si="69"/>
        <v>1.0000000041110508</v>
      </c>
      <c r="Y47" s="17">
        <f t="shared" si="70"/>
        <v>-9.0675806657918259E-5</v>
      </c>
      <c r="Z47" s="31" t="str">
        <f t="shared" si="59"/>
        <v>0.999999999655157+0.000126815543750358i</v>
      </c>
      <c r="AA47" s="17">
        <f t="shared" si="71"/>
        <v>1.0000000076962481</v>
      </c>
      <c r="AB47" s="17">
        <f t="shared" si="72"/>
        <v>1.2681554311426592E-4</v>
      </c>
      <c r="AC47" s="66" t="str">
        <f t="shared" si="73"/>
        <v>17.3982899723501-0.185691938389722i</v>
      </c>
      <c r="AD47" s="64">
        <f t="shared" si="74"/>
        <v>24.810625985942288</v>
      </c>
      <c r="AE47" s="61">
        <f t="shared" si="75"/>
        <v>-0.61149460187436999</v>
      </c>
      <c r="AF47" s="31" t="str">
        <f t="shared" si="60"/>
        <v>-9090.90909090909</v>
      </c>
      <c r="AG47" s="31" t="str">
        <f t="shared" si="61"/>
        <v>2.27623467397318E-08i</v>
      </c>
      <c r="AH47" s="31">
        <f t="shared" si="76"/>
        <v>2.27623467397318E-8</v>
      </c>
      <c r="AI47" s="31">
        <f t="shared" si="77"/>
        <v>1.5707963267948966</v>
      </c>
      <c r="AJ47" s="31" t="str">
        <f t="shared" si="62"/>
        <v>1+353829.345538971i</v>
      </c>
      <c r="AK47" s="31">
        <f t="shared" si="78"/>
        <v>353829.34554038412</v>
      </c>
      <c r="AL47" s="31">
        <f t="shared" si="79"/>
        <v>1.5707935005736897</v>
      </c>
      <c r="AM47" s="31" t="str">
        <f t="shared" si="63"/>
        <v>1+0.161446774045688i</v>
      </c>
      <c r="AN47" s="31">
        <f t="shared" si="80"/>
        <v>1.012948696060052</v>
      </c>
      <c r="AO47" s="31">
        <f t="shared" si="81"/>
        <v>0.16006560404978398</v>
      </c>
      <c r="AS47" s="58" t="str">
        <f t="shared" si="82"/>
        <v>1128746.0222528+182235.67724684i</v>
      </c>
      <c r="AT47" s="49">
        <f t="shared" si="83"/>
        <v>121.16367761475172</v>
      </c>
      <c r="AU47" s="61">
        <f t="shared" si="84"/>
        <v>9.1712454878118841</v>
      </c>
      <c r="AV47" s="58" t="str">
        <f t="shared" si="85"/>
        <v>19672090.2964427+2960990.11922632i</v>
      </c>
      <c r="AW47" s="64">
        <f t="shared" si="86"/>
        <v>145.97430360069399</v>
      </c>
      <c r="AX47" s="61">
        <f t="shared" si="87"/>
        <v>8.5597508859375235</v>
      </c>
      <c r="AY47" s="310"/>
      <c r="BA47" s="31">
        <f t="shared" si="88"/>
        <v>0</v>
      </c>
      <c r="BB47" s="31">
        <f t="shared" si="89"/>
        <v>0</v>
      </c>
    </row>
    <row r="48" spans="1:54" x14ac:dyDescent="0.45">
      <c r="A48" t="s">
        <v>198</v>
      </c>
      <c r="B48" s="29">
        <f>1/(Cout_total*Resr_total)</f>
        <v>3333333.3333333335</v>
      </c>
      <c r="C48" t="s">
        <v>195</v>
      </c>
      <c r="E48" t="s">
        <v>188</v>
      </c>
      <c r="K48" s="31"/>
      <c r="N48" s="10">
        <v>30</v>
      </c>
      <c r="O48" s="50">
        <f t="shared" si="64"/>
        <v>19.952623149688804</v>
      </c>
      <c r="P48" s="48" t="str">
        <f t="shared" si="55"/>
        <v>17.4002386318441</v>
      </c>
      <c r="Q48" s="17" t="str">
        <f t="shared" si="56"/>
        <v>1+0.0107366372112588i</v>
      </c>
      <c r="R48" s="17">
        <f t="shared" si="65"/>
        <v>1.0000576360283473</v>
      </c>
      <c r="S48" s="17">
        <f t="shared" si="66"/>
        <v>1.0736224683151196E-2</v>
      </c>
      <c r="T48" s="17" t="str">
        <f t="shared" si="57"/>
        <v>1+0.0000376098085841448i</v>
      </c>
      <c r="U48" s="17">
        <f t="shared" si="67"/>
        <v>1.0000000007072487</v>
      </c>
      <c r="V48" s="17">
        <f t="shared" si="68"/>
        <v>3.7609808566411808E-5</v>
      </c>
      <c r="W48" s="31" t="str">
        <f t="shared" si="58"/>
        <v>1-0.0000927879177767564i</v>
      </c>
      <c r="X48" s="17">
        <f t="shared" si="69"/>
        <v>1.0000000043047987</v>
      </c>
      <c r="Y48" s="17">
        <f t="shared" si="70"/>
        <v>-9.2787917510467522E-5</v>
      </c>
      <c r="Z48" s="31" t="str">
        <f t="shared" si="59"/>
        <v>0.999999999638905+0.000129769457232015i</v>
      </c>
      <c r="AA48" s="17">
        <f t="shared" si="71"/>
        <v>1.0000000080589608</v>
      </c>
      <c r="AB48" s="17">
        <f t="shared" si="72"/>
        <v>1.2976945655043007E-4</v>
      </c>
      <c r="AC48" s="66" t="str">
        <f t="shared" si="73"/>
        <v>17.3981981454429-0.190016273363047i</v>
      </c>
      <c r="AD48" s="64">
        <f t="shared" si="74"/>
        <v>24.810603455020768</v>
      </c>
      <c r="AE48" s="61">
        <f t="shared" si="75"/>
        <v>-0.62573707718279625</v>
      </c>
      <c r="AF48" s="31" t="str">
        <f t="shared" si="60"/>
        <v>-9090.90909090909</v>
      </c>
      <c r="AG48" s="31" t="str">
        <f t="shared" si="61"/>
        <v>2.27623467397318E-08i</v>
      </c>
      <c r="AH48" s="31">
        <f t="shared" si="76"/>
        <v>2.27623467397318E-8</v>
      </c>
      <c r="AI48" s="31">
        <f t="shared" si="77"/>
        <v>1.5707963267948966</v>
      </c>
      <c r="AJ48" s="31" t="str">
        <f t="shared" si="62"/>
        <v>1+362071.089753315i</v>
      </c>
      <c r="AK48" s="31">
        <f t="shared" si="78"/>
        <v>362071.089754696</v>
      </c>
      <c r="AL48" s="31">
        <f t="shared" si="79"/>
        <v>1.5707935649063385</v>
      </c>
      <c r="AM48" s="31" t="str">
        <f t="shared" si="63"/>
        <v>1+0.165207352507287i</v>
      </c>
      <c r="AN48" s="31">
        <f t="shared" si="80"/>
        <v>1.0135548674455008</v>
      </c>
      <c r="AO48" s="31">
        <f t="shared" si="81"/>
        <v>0.16372846904712288</v>
      </c>
      <c r="AS48" s="58" t="str">
        <f t="shared" si="82"/>
        <v>1103052.62595165+182235.533669321i</v>
      </c>
      <c r="AT48" s="49">
        <f t="shared" si="83"/>
        <v>120.96887389272447</v>
      </c>
      <c r="AU48" s="61">
        <f t="shared" si="84"/>
        <v>9.3811085070963021</v>
      </c>
      <c r="AV48" s="58" t="str">
        <f t="shared" si="85"/>
        <v>19225755.8681401+2960971.97461272i</v>
      </c>
      <c r="AW48" s="64">
        <f t="shared" si="86"/>
        <v>145.77947734774523</v>
      </c>
      <c r="AX48" s="61">
        <f t="shared" si="87"/>
        <v>8.7553714299134953</v>
      </c>
      <c r="AY48" s="310"/>
      <c r="BA48" s="31">
        <f t="shared" si="88"/>
        <v>0</v>
      </c>
      <c r="BB48" s="31">
        <f t="shared" si="89"/>
        <v>0</v>
      </c>
    </row>
    <row r="49" spans="1:54" x14ac:dyDescent="0.45">
      <c r="A49" s="31"/>
      <c r="B49" s="29">
        <f>wz_esr/(2*PI())</f>
        <v>530516.4769729845</v>
      </c>
      <c r="C49" s="31" t="s">
        <v>59</v>
      </c>
      <c r="D49" s="31"/>
      <c r="E49" s="31"/>
      <c r="F49" s="31"/>
      <c r="G49" s="31"/>
      <c r="K49" s="31"/>
      <c r="N49" s="10">
        <v>31</v>
      </c>
      <c r="O49" s="50">
        <f t="shared" si="64"/>
        <v>20.4173794466953</v>
      </c>
      <c r="P49" s="48" t="str">
        <f t="shared" si="55"/>
        <v>17.4002386318441</v>
      </c>
      <c r="Q49" s="17" t="str">
        <f t="shared" si="56"/>
        <v>1+0.0109867256189419i</v>
      </c>
      <c r="R49" s="17">
        <f t="shared" si="65"/>
        <v>1.0000603522487161</v>
      </c>
      <c r="S49" s="17">
        <f t="shared" si="66"/>
        <v>1.0986283588551379E-2</v>
      </c>
      <c r="T49" s="17" t="str">
        <f t="shared" si="57"/>
        <v>1+0.0000384858535651758i</v>
      </c>
      <c r="U49" s="17">
        <f t="shared" si="67"/>
        <v>1.0000000007405805</v>
      </c>
      <c r="V49" s="17">
        <f t="shared" si="68"/>
        <v>3.8485853546174551E-5</v>
      </c>
      <c r="W49" s="31" t="str">
        <f t="shared" si="58"/>
        <v>1-0.0000949492260292773i</v>
      </c>
      <c r="X49" s="17">
        <f t="shared" si="69"/>
        <v>1.0000000045076778</v>
      </c>
      <c r="Y49" s="17">
        <f t="shared" si="70"/>
        <v>-9.4949225743943627E-5</v>
      </c>
      <c r="Z49" s="31" t="str">
        <f t="shared" si="59"/>
        <v>0.999999999621887+0.000132792176197597i</v>
      </c>
      <c r="AA49" s="17">
        <f t="shared" si="71"/>
        <v>1.0000000084387679</v>
      </c>
      <c r="AB49" s="17">
        <f t="shared" si="72"/>
        <v>1.3279217546726559E-4</v>
      </c>
      <c r="AC49" s="66" t="str">
        <f t="shared" si="73"/>
        <v>17.3981019918881-0.194441264536848i</v>
      </c>
      <c r="AD49" s="64">
        <f t="shared" si="74"/>
        <v>24.810579862374937</v>
      </c>
      <c r="AE49" s="61">
        <f t="shared" si="75"/>
        <v>-0.64031122628847825</v>
      </c>
      <c r="AF49" s="31" t="str">
        <f t="shared" si="60"/>
        <v>-9090.90909090909</v>
      </c>
      <c r="AG49" s="31" t="str">
        <f t="shared" si="61"/>
        <v>2.27623467397318E-08i</v>
      </c>
      <c r="AH49" s="31">
        <f t="shared" si="76"/>
        <v>2.27623467397318E-8</v>
      </c>
      <c r="AI49" s="31">
        <f t="shared" si="77"/>
        <v>1.5707963267948966</v>
      </c>
      <c r="AJ49" s="31" t="str">
        <f t="shared" si="62"/>
        <v>1+370504.808852022i</v>
      </c>
      <c r="AK49" s="31">
        <f t="shared" si="78"/>
        <v>370504.80885337153</v>
      </c>
      <c r="AL49" s="31">
        <f t="shared" si="79"/>
        <v>1.5707936277745975</v>
      </c>
      <c r="AM49" s="31" t="str">
        <f t="shared" si="63"/>
        <v>1+0.169055526093962i</v>
      </c>
      <c r="AN49" s="31">
        <f t="shared" si="80"/>
        <v>1.0141892184907639</v>
      </c>
      <c r="AO49" s="31">
        <f t="shared" si="81"/>
        <v>0.16747206884988039</v>
      </c>
      <c r="AS49" s="58" t="str">
        <f t="shared" si="82"/>
        <v>1077944.08275337+182235.396553855i</v>
      </c>
      <c r="AT49" s="49">
        <f t="shared" si="83"/>
        <v>120.77430840824388</v>
      </c>
      <c r="AU49" s="61">
        <f t="shared" si="84"/>
        <v>9.5955973738944671</v>
      </c>
      <c r="AV49" s="58" t="str">
        <f t="shared" si="85"/>
        <v>18789615.1742447+2960953.20522557i</v>
      </c>
      <c r="AW49" s="64">
        <f t="shared" si="86"/>
        <v>145.58488827061882</v>
      </c>
      <c r="AX49" s="61">
        <f t="shared" si="87"/>
        <v>8.9552861476060048</v>
      </c>
      <c r="AY49" s="310"/>
      <c r="BA49" s="31">
        <f t="shared" si="88"/>
        <v>0</v>
      </c>
      <c r="BB49" s="31">
        <f t="shared" si="89"/>
        <v>0</v>
      </c>
    </row>
    <row r="50" spans="1:54" x14ac:dyDescent="0.45">
      <c r="B50" s="26"/>
      <c r="N50" s="10">
        <v>32</v>
      </c>
      <c r="O50" s="50">
        <f t="shared" si="64"/>
        <v>20.8929613085404</v>
      </c>
      <c r="P50" s="48" t="str">
        <f t="shared" si="55"/>
        <v>17.4002386318441</v>
      </c>
      <c r="Q50" s="17" t="str">
        <f t="shared" si="56"/>
        <v>1+0.0112426393339747i</v>
      </c>
      <c r="R50" s="17">
        <f t="shared" si="65"/>
        <v>1.0000631964726998</v>
      </c>
      <c r="S50" s="17">
        <f t="shared" si="66"/>
        <v>1.1242165691494267E-2</v>
      </c>
      <c r="T50" s="17" t="str">
        <f t="shared" si="57"/>
        <v>1+0.0000393823042551879i</v>
      </c>
      <c r="U50" s="17">
        <f t="shared" si="67"/>
        <v>1.0000000007754828</v>
      </c>
      <c r="V50" s="17">
        <f t="shared" si="68"/>
        <v>3.9382304234827696E-5</v>
      </c>
      <c r="W50" s="31" t="str">
        <f t="shared" si="58"/>
        <v>1-0.0000971608776182414i</v>
      </c>
      <c r="X50" s="17">
        <f t="shared" si="69"/>
        <v>1.0000000047201181</v>
      </c>
      <c r="Y50" s="17">
        <f t="shared" si="70"/>
        <v>-9.7160877312500856E-5</v>
      </c>
      <c r="Z50" s="31" t="str">
        <f t="shared" si="59"/>
        <v>0.999999999604067+0.000135885303332713i</v>
      </c>
      <c r="AA50" s="17">
        <f t="shared" si="71"/>
        <v>1.0000000088364747</v>
      </c>
      <c r="AB50" s="17">
        <f t="shared" si="72"/>
        <v>1.3588530255014881E-4</v>
      </c>
      <c r="AC50" s="66" t="str">
        <f t="shared" si="73"/>
        <v>17.3980013078754-0.198969251454433i</v>
      </c>
      <c r="AD50" s="64">
        <f t="shared" si="74"/>
        <v>24.810555157979259</v>
      </c>
      <c r="AE50" s="61">
        <f t="shared" si="75"/>
        <v>-0.65522476942701591</v>
      </c>
      <c r="AF50" s="31" t="str">
        <f t="shared" si="60"/>
        <v>-9090.90909090909</v>
      </c>
      <c r="AG50" s="31" t="str">
        <f t="shared" si="61"/>
        <v>2.27623467397318E-08i</v>
      </c>
      <c r="AH50" s="31">
        <f t="shared" si="76"/>
        <v>2.27623467397318E-8</v>
      </c>
      <c r="AI50" s="31">
        <f t="shared" si="77"/>
        <v>1.5707963267948966</v>
      </c>
      <c r="AJ50" s="31" t="str">
        <f t="shared" si="62"/>
        <v>1+379134.974504596i</v>
      </c>
      <c r="AK50" s="31">
        <f t="shared" si="78"/>
        <v>379134.97450591484</v>
      </c>
      <c r="AL50" s="31">
        <f t="shared" si="79"/>
        <v>1.5707936892118002</v>
      </c>
      <c r="AM50" s="31" t="str">
        <f t="shared" si="63"/>
        <v>1+0.172993335158289i</v>
      </c>
      <c r="AN50" s="31">
        <f t="shared" si="80"/>
        <v>1.0148530405971043</v>
      </c>
      <c r="AO50" s="31">
        <f t="shared" si="81"/>
        <v>0.1712979684339169</v>
      </c>
      <c r="AS50" s="58" t="str">
        <f t="shared" si="82"/>
        <v>1053407.07977601+182235.265609602i</v>
      </c>
      <c r="AT50" s="49">
        <f t="shared" si="83"/>
        <v>120.5799917652428</v>
      </c>
      <c r="AU50" s="61">
        <f t="shared" si="84"/>
        <v>9.8148017528081244</v>
      </c>
      <c r="AV50" s="58" t="str">
        <f t="shared" si="85"/>
        <v>18363436.9660552+2960933.77127704i</v>
      </c>
      <c r="AW50" s="64">
        <f t="shared" si="86"/>
        <v>145.39054692322208</v>
      </c>
      <c r="AX50" s="61">
        <f t="shared" si="87"/>
        <v>9.159576983381081</v>
      </c>
      <c r="AY50" s="310"/>
      <c r="BA50" s="31">
        <f t="shared" si="88"/>
        <v>0</v>
      </c>
      <c r="BB50" s="31">
        <f t="shared" si="89"/>
        <v>0</v>
      </c>
    </row>
    <row r="51" spans="1:54" x14ac:dyDescent="0.45">
      <c r="A51" s="31" t="s">
        <v>191</v>
      </c>
      <c r="B51" s="1">
        <f>(Isl*(Rsl_int+R_sl)*Fsw)</f>
        <v>1049999.9999999998</v>
      </c>
      <c r="C51" s="31" t="s">
        <v>136</v>
      </c>
      <c r="D51" s="31"/>
      <c r="E51" s="31" t="s">
        <v>192</v>
      </c>
      <c r="F51" s="31"/>
      <c r="G51" s="31"/>
      <c r="N51" s="10">
        <v>33</v>
      </c>
      <c r="O51" s="50">
        <f t="shared" si="64"/>
        <v>21.379620895022335</v>
      </c>
      <c r="P51" s="48" t="str">
        <f t="shared" si="55"/>
        <v>17.4002386318441</v>
      </c>
      <c r="Q51" s="17" t="str">
        <f t="shared" si="56"/>
        <v>1+0.0115045140451963i</v>
      </c>
      <c r="R51" s="17">
        <f t="shared" si="65"/>
        <v>1.0000661747321604</v>
      </c>
      <c r="S51" s="17">
        <f t="shared" si="66"/>
        <v>1.1504006529948475E-2</v>
      </c>
      <c r="T51" s="17" t="str">
        <f t="shared" si="57"/>
        <v>1+0.0000402996359642022i</v>
      </c>
      <c r="U51" s="17">
        <f t="shared" si="67"/>
        <v>1.0000000008120302</v>
      </c>
      <c r="V51" s="17">
        <f t="shared" si="68"/>
        <v>4.029963594238585E-5</v>
      </c>
      <c r="W51" s="31" t="str">
        <f t="shared" si="58"/>
        <v>1-0.0000994240451905941i</v>
      </c>
      <c r="X51" s="17">
        <f t="shared" si="69"/>
        <v>1.0000000049425704</v>
      </c>
      <c r="Y51" s="17">
        <f t="shared" si="70"/>
        <v>-9.9424044862987202E-5</v>
      </c>
      <c r="Z51" s="31" t="str">
        <f t="shared" si="59"/>
        <v>0.999999999585408+0.00013905047865431i</v>
      </c>
      <c r="AA51" s="17">
        <f t="shared" si="71"/>
        <v>1.0000000092529255</v>
      </c>
      <c r="AB51" s="17">
        <f t="shared" si="72"/>
        <v>1.3905047781577725E-4</v>
      </c>
      <c r="AC51" s="66" t="str">
        <f t="shared" si="73"/>
        <v>17.3978958799991-0.203602627793729i</v>
      </c>
      <c r="AD51" s="64">
        <f t="shared" si="74"/>
        <v>24.810529289451928</v>
      </c>
      <c r="AE51" s="61">
        <f t="shared" si="75"/>
        <v>-0.67048560627246145</v>
      </c>
      <c r="AF51" s="31" t="str">
        <f t="shared" si="60"/>
        <v>-9090.90909090909</v>
      </c>
      <c r="AG51" s="31" t="str">
        <f t="shared" si="61"/>
        <v>2.27623467397318E-08i</v>
      </c>
      <c r="AH51" s="31">
        <f t="shared" si="76"/>
        <v>2.27623467397318E-8</v>
      </c>
      <c r="AI51" s="31">
        <f t="shared" si="77"/>
        <v>1.5707963267948966</v>
      </c>
      <c r="AJ51" s="31" t="str">
        <f t="shared" si="62"/>
        <v>1+387966.162539095i</v>
      </c>
      <c r="AK51" s="31">
        <f t="shared" si="78"/>
        <v>387966.1625403837</v>
      </c>
      <c r="AL51" s="31">
        <f t="shared" si="79"/>
        <v>1.5707937492505215</v>
      </c>
      <c r="AM51" s="31" t="str">
        <f t="shared" si="63"/>
        <v>1+0.177022867578752i</v>
      </c>
      <c r="AN51" s="31">
        <f t="shared" si="80"/>
        <v>1.0155476826056984</v>
      </c>
      <c r="AO51" s="31">
        <f t="shared" si="81"/>
        <v>0.17520774810418663</v>
      </c>
      <c r="AS51" s="58" t="str">
        <f t="shared" si="82"/>
        <v>1029428.6071758+182235.14055881i</v>
      </c>
      <c r="AT51" s="49">
        <f t="shared" si="83"/>
        <v>120.38593500983723</v>
      </c>
      <c r="AU51" s="61">
        <f t="shared" si="84"/>
        <v>10.038812186775363</v>
      </c>
      <c r="AV51" s="58" t="str">
        <f t="shared" si="85"/>
        <v>17946995.2770312+2960913.63157215i</v>
      </c>
      <c r="AW51" s="64">
        <f t="shared" si="86"/>
        <v>145.19646429928915</v>
      </c>
      <c r="AX51" s="61">
        <f t="shared" si="87"/>
        <v>9.3683265805029148</v>
      </c>
      <c r="AY51" s="310"/>
      <c r="BA51" s="31">
        <f t="shared" si="88"/>
        <v>0</v>
      </c>
      <c r="BB51" s="31">
        <f t="shared" si="89"/>
        <v>0</v>
      </c>
    </row>
    <row r="52" spans="1:54" x14ac:dyDescent="0.45">
      <c r="A52" s="31" t="s">
        <v>194</v>
      </c>
      <c r="B52" s="1">
        <f>(R_cs*VIN_var*Acs*(1-Dc_var_ccm))/Lm</f>
        <v>143757.3529411765</v>
      </c>
      <c r="C52" s="31" t="s">
        <v>136</v>
      </c>
      <c r="D52" s="31"/>
      <c r="E52" s="31" t="s">
        <v>193</v>
      </c>
      <c r="F52" s="31"/>
      <c r="G52" s="31"/>
      <c r="N52" s="10">
        <v>34</v>
      </c>
      <c r="O52" s="50">
        <f t="shared" si="64"/>
        <v>21.877616239495538</v>
      </c>
      <c r="P52" s="48" t="str">
        <f t="shared" si="55"/>
        <v>17.4002386318441</v>
      </c>
      <c r="Q52" s="17" t="str">
        <f t="shared" si="56"/>
        <v>1+0.0117724886020449i</v>
      </c>
      <c r="R52" s="17">
        <f t="shared" si="65"/>
        <v>1.000069293343159</v>
      </c>
      <c r="S52" s="17">
        <f t="shared" si="66"/>
        <v>1.1771944791694185E-2</v>
      </c>
      <c r="T52" s="17" t="str">
        <f t="shared" si="57"/>
        <v>1+0.0000412383350736336i</v>
      </c>
      <c r="U52" s="17">
        <f t="shared" si="67"/>
        <v>1.0000000008503001</v>
      </c>
      <c r="V52" s="17">
        <f t="shared" si="68"/>
        <v>4.1238335050256962E-5</v>
      </c>
      <c r="W52" s="31" t="str">
        <f t="shared" si="58"/>
        <v>1-0.00010173992870774i</v>
      </c>
      <c r="X52" s="17">
        <f t="shared" si="69"/>
        <v>1.0000000051755065</v>
      </c>
      <c r="Y52" s="17">
        <f t="shared" si="70"/>
        <v>-1.017399283567029E-4</v>
      </c>
      <c r="Z52" s="31" t="str">
        <f t="shared" si="59"/>
        <v>0.999999999565868+0.00014228938038024i</v>
      </c>
      <c r="AA52" s="17">
        <f t="shared" si="71"/>
        <v>1.0000000096890018</v>
      </c>
      <c r="AB52" s="17">
        <f t="shared" si="72"/>
        <v>1.4228937948173608E-4</v>
      </c>
      <c r="AC52" s="66" t="str">
        <f t="shared" si="73"/>
        <v>17.3977854848061-0.208343842602488i</v>
      </c>
      <c r="AD52" s="64">
        <f t="shared" si="74"/>
        <v>24.810502201943585</v>
      </c>
      <c r="AE52" s="61">
        <f t="shared" si="75"/>
        <v>-0.68610182008919973</v>
      </c>
      <c r="AF52" s="31" t="str">
        <f t="shared" si="60"/>
        <v>-9090.90909090909</v>
      </c>
      <c r="AG52" s="31" t="str">
        <f t="shared" si="61"/>
        <v>2.27623467397318E-08i</v>
      </c>
      <c r="AH52" s="31">
        <f t="shared" si="76"/>
        <v>2.27623467397318E-8</v>
      </c>
      <c r="AI52" s="31">
        <f t="shared" si="77"/>
        <v>1.5707963267948966</v>
      </c>
      <c r="AJ52" s="31" t="str">
        <f t="shared" si="62"/>
        <v>1+397003.055368312i</v>
      </c>
      <c r="AK52" s="31">
        <f t="shared" si="78"/>
        <v>397003.05536957143</v>
      </c>
      <c r="AL52" s="31">
        <f t="shared" si="79"/>
        <v>1.5707938079225945</v>
      </c>
      <c r="AM52" s="31" t="str">
        <f t="shared" si="63"/>
        <v>1+0.181146259866781i</v>
      </c>
      <c r="AN52" s="31">
        <f t="shared" si="80"/>
        <v>1.0162745531910771</v>
      </c>
      <c r="AO52" s="31">
        <f t="shared" si="81"/>
        <v>0.1792030025085842</v>
      </c>
      <c r="AS52" s="58" t="str">
        <f t="shared" si="82"/>
        <v>1005995.95124919+182235.021136232i</v>
      </c>
      <c r="AT52" s="49">
        <f t="shared" si="83"/>
        <v>120.19214964598518</v>
      </c>
      <c r="AU52" s="61">
        <f t="shared" si="84"/>
        <v>10.267720040566255</v>
      </c>
      <c r="AV52" s="58" t="str">
        <f t="shared" si="85"/>
        <v>17540069.3029771+2960892.74342147i</v>
      </c>
      <c r="AW52" s="64">
        <f t="shared" si="86"/>
        <v>145.00265184792875</v>
      </c>
      <c r="AX52" s="61">
        <f t="shared" si="87"/>
        <v>9.5816182204770772</v>
      </c>
      <c r="AY52" s="310"/>
      <c r="BA52" s="31">
        <f t="shared" si="88"/>
        <v>0</v>
      </c>
      <c r="BB52" s="31">
        <f t="shared" si="89"/>
        <v>0</v>
      </c>
    </row>
    <row r="53" spans="1:54" x14ac:dyDescent="0.45">
      <c r="A53" t="s">
        <v>485</v>
      </c>
      <c r="B53" s="1">
        <f>1+(B51/B52)</f>
        <v>8.3039742212674508</v>
      </c>
      <c r="N53" s="10">
        <v>35</v>
      </c>
      <c r="O53" s="50">
        <f t="shared" si="64"/>
        <v>22.387211385683404</v>
      </c>
      <c r="P53" s="48" t="str">
        <f t="shared" si="55"/>
        <v>17.4002386318441</v>
      </c>
      <c r="Q53" s="17" t="str">
        <f t="shared" si="56"/>
        <v>1+0.0120467050881776i</v>
      </c>
      <c r="R53" s="17">
        <f t="shared" si="65"/>
        <v>1.0000725589193424</v>
      </c>
      <c r="S53" s="17">
        <f t="shared" si="66"/>
        <v>1.2046122387171745E-2</v>
      </c>
      <c r="T53" s="17" t="str">
        <f t="shared" si="57"/>
        <v>1+0.000042198899294175i</v>
      </c>
      <c r="U53" s="17">
        <f t="shared" si="67"/>
        <v>1.0000000008903736</v>
      </c>
      <c r="V53" s="17">
        <f t="shared" si="68"/>
        <v>4.2198899269126481E-5</v>
      </c>
      <c r="W53" s="31" t="str">
        <f t="shared" si="58"/>
        <v>1-0.000104109756081774i</v>
      </c>
      <c r="X53" s="17">
        <f t="shared" si="69"/>
        <v>1.0000000054194207</v>
      </c>
      <c r="Y53" s="17">
        <f t="shared" si="70"/>
        <v>-1.0410975570563096E-4</v>
      </c>
      <c r="Z53" s="31" t="str">
        <f t="shared" si="59"/>
        <v>0.999999999545408+0.00014560372581907i</v>
      </c>
      <c r="AA53" s="17">
        <f t="shared" si="71"/>
        <v>1.0000000101456303</v>
      </c>
      <c r="AB53" s="17">
        <f t="shared" si="72"/>
        <v>1.4560372485630571E-4</v>
      </c>
      <c r="AC53" s="66" t="str">
        <f t="shared" si="73"/>
        <v>17.3976698883238-0.21319540156042i</v>
      </c>
      <c r="AD53" s="64">
        <f t="shared" si="74"/>
        <v>24.810473838021352</v>
      </c>
      <c r="AE53" s="61">
        <f t="shared" si="75"/>
        <v>-0.7020816819784953</v>
      </c>
      <c r="AF53" s="31" t="str">
        <f t="shared" si="60"/>
        <v>-9090.90909090909</v>
      </c>
      <c r="AG53" s="31" t="str">
        <f t="shared" si="61"/>
        <v>2.27623467397318E-08i</v>
      </c>
      <c r="AH53" s="31">
        <f t="shared" si="76"/>
        <v>2.27623467397318E-8</v>
      </c>
      <c r="AI53" s="31">
        <f t="shared" si="77"/>
        <v>1.5707963267948966</v>
      </c>
      <c r="AJ53" s="31" t="str">
        <f t="shared" si="62"/>
        <v>1+406250.444472443i</v>
      </c>
      <c r="AK53" s="31">
        <f t="shared" si="78"/>
        <v>406250.44447367376</v>
      </c>
      <c r="AL53" s="31">
        <f t="shared" si="79"/>
        <v>1.5707938652591282</v>
      </c>
      <c r="AM53" s="31" t="str">
        <f t="shared" si="63"/>
        <v>1+0.185365698299546i</v>
      </c>
      <c r="AN53" s="31">
        <f t="shared" si="80"/>
        <v>1.0170351233394441</v>
      </c>
      <c r="AO53" s="31">
        <f t="shared" si="81"/>
        <v>0.18328533955167794</v>
      </c>
      <c r="AS53" s="58" t="str">
        <f t="shared" si="82"/>
        <v>983096.687691836+182234.907088555i</v>
      </c>
      <c r="AT53" s="49">
        <f t="shared" si="83"/>
        <v>119.99864765143545</v>
      </c>
      <c r="AU53" s="61">
        <f t="shared" si="84"/>
        <v>10.501617438544026</v>
      </c>
      <c r="AV53" s="58" t="str">
        <f t="shared" si="85"/>
        <v>17142443.2849622+2960871.06255086i</v>
      </c>
      <c r="AW53" s="64">
        <f t="shared" si="86"/>
        <v>144.8091214894568</v>
      </c>
      <c r="AX53" s="61">
        <f t="shared" si="87"/>
        <v>9.7995357565655308</v>
      </c>
      <c r="AY53" s="310"/>
      <c r="BA53" s="31">
        <f t="shared" si="88"/>
        <v>0</v>
      </c>
      <c r="BB53" s="31">
        <f t="shared" si="89"/>
        <v>0</v>
      </c>
    </row>
    <row r="54" spans="1:54" x14ac:dyDescent="0.45">
      <c r="A54" t="s">
        <v>189</v>
      </c>
      <c r="B54" s="1">
        <f>2*PI()*Fsw</f>
        <v>13194689.145077132</v>
      </c>
      <c r="C54" t="s">
        <v>195</v>
      </c>
      <c r="N54" s="10">
        <v>36</v>
      </c>
      <c r="O54" s="50">
        <f t="shared" si="64"/>
        <v>22.908676527677727</v>
      </c>
      <c r="P54" s="48" t="str">
        <f t="shared" si="55"/>
        <v>17.4002386318441</v>
      </c>
      <c r="Q54" s="17" t="str">
        <f t="shared" si="56"/>
        <v>1+0.012327308896805i</v>
      </c>
      <c r="R54" s="17">
        <f t="shared" si="65"/>
        <v>1.0000759783859612</v>
      </c>
      <c r="S54" s="17">
        <f t="shared" si="66"/>
        <v>1.2326684523989951E-2</v>
      </c>
      <c r="T54" s="17" t="str">
        <f t="shared" si="57"/>
        <v>1+0.0000431818379296905i</v>
      </c>
      <c r="U54" s="17">
        <f t="shared" si="67"/>
        <v>1.0000000009323355</v>
      </c>
      <c r="V54" s="17">
        <f t="shared" si="68"/>
        <v>4.318183790285053E-5</v>
      </c>
      <c r="W54" s="31" t="str">
        <f t="shared" si="58"/>
        <v>1-0.000106534783826538i</v>
      </c>
      <c r="X54" s="17">
        <f t="shared" si="69"/>
        <v>1.0000000056748299</v>
      </c>
      <c r="Y54" s="17">
        <f t="shared" si="70"/>
        <v>-1.0653478342349347E-4</v>
      </c>
      <c r="Z54" s="31" t="str">
        <f t="shared" si="59"/>
        <v>0.999999999523984+0.000148995272280623i</v>
      </c>
      <c r="AA54" s="17">
        <f t="shared" si="71"/>
        <v>1.0000000106237794</v>
      </c>
      <c r="AB54" s="17">
        <f t="shared" si="72"/>
        <v>1.4899527124900245E-4</v>
      </c>
      <c r="AC54" s="66" t="str">
        <f t="shared" si="73"/>
        <v>17.3975488455653-0.218159868268765i</v>
      </c>
      <c r="AD54" s="64">
        <f t="shared" si="74"/>
        <v>24.81044413754713</v>
      </c>
      <c r="AE54" s="61">
        <f t="shared" si="75"/>
        <v>-0.71843365522187985</v>
      </c>
      <c r="AF54" s="31" t="str">
        <f t="shared" si="60"/>
        <v>-9090.90909090909</v>
      </c>
      <c r="AG54" s="31" t="str">
        <f t="shared" si="61"/>
        <v>2.27623467397318E-08i</v>
      </c>
      <c r="AH54" s="31">
        <f t="shared" si="76"/>
        <v>2.27623467397318E-8</v>
      </c>
      <c r="AI54" s="31">
        <f t="shared" si="77"/>
        <v>1.5707963267948966</v>
      </c>
      <c r="AJ54" s="31" t="str">
        <f t="shared" si="62"/>
        <v>1+415713.232939592i</v>
      </c>
      <c r="AK54" s="31">
        <f t="shared" si="78"/>
        <v>415713.23294079473</v>
      </c>
      <c r="AL54" s="31">
        <f t="shared" si="79"/>
        <v>1.5707939212905231</v>
      </c>
      <c r="AM54" s="31" t="str">
        <f t="shared" si="63"/>
        <v>1+0.189683420079154i</v>
      </c>
      <c r="AN54" s="31">
        <f t="shared" si="80"/>
        <v>1.0178309289135032</v>
      </c>
      <c r="AO54" s="31">
        <f t="shared" si="81"/>
        <v>0.18745637920259728</v>
      </c>
      <c r="AS54" s="58" t="str">
        <f t="shared" si="82"/>
        <v>960718.6750111+182234.798173869i</v>
      </c>
      <c r="AT54" s="49">
        <f t="shared" si="83"/>
        <v>119.80544149394477</v>
      </c>
      <c r="AU54" s="61">
        <f t="shared" si="84"/>
        <v>10.740597196360916</v>
      </c>
      <c r="AV54" s="58" t="str">
        <f t="shared" si="85"/>
        <v>16753906.394916+2960848.54300786i</v>
      </c>
      <c r="AW54" s="64">
        <f t="shared" si="86"/>
        <v>144.61588563149192</v>
      </c>
      <c r="AX54" s="61">
        <f t="shared" si="87"/>
        <v>10.02216354113904</v>
      </c>
      <c r="AY54" s="310"/>
      <c r="BA54" s="31">
        <f t="shared" si="88"/>
        <v>0</v>
      </c>
      <c r="BB54" s="31">
        <f t="shared" si="89"/>
        <v>0</v>
      </c>
    </row>
    <row r="55" spans="1:54" x14ac:dyDescent="0.45">
      <c r="A55" t="s">
        <v>190</v>
      </c>
      <c r="B55" s="1">
        <f>1/(PI()*(((1-Dc_var_ccm)*mc)-0.5))</f>
        <v>0.1464327480681708</v>
      </c>
      <c r="N55" s="10">
        <v>37</v>
      </c>
      <c r="O55" s="50">
        <f t="shared" si="64"/>
        <v>23.442288153199236</v>
      </c>
      <c r="P55" s="48" t="str">
        <f t="shared" si="55"/>
        <v>17.4002386318441</v>
      </c>
      <c r="Q55" s="17" t="str">
        <f t="shared" si="56"/>
        <v>1+0.0126144488077808i</v>
      </c>
      <c r="R55" s="17">
        <f t="shared" si="65"/>
        <v>1.0000795589945453</v>
      </c>
      <c r="S55" s="17">
        <f t="shared" si="66"/>
        <v>1.2613779783130287E-2</v>
      </c>
      <c r="T55" s="17" t="str">
        <f t="shared" si="57"/>
        <v>1+0.0000441876721472556i</v>
      </c>
      <c r="U55" s="17">
        <f t="shared" si="67"/>
        <v>1.0000000009762751</v>
      </c>
      <c r="V55" s="17">
        <f t="shared" si="68"/>
        <v>4.4187672118496047E-5</v>
      </c>
      <c r="W55" s="31" t="str">
        <f t="shared" si="58"/>
        <v>1-0.000109016297723842i</v>
      </c>
      <c r="X55" s="17">
        <f t="shared" si="69"/>
        <v>1.0000000059422764</v>
      </c>
      <c r="Y55" s="17">
        <f t="shared" si="70"/>
        <v>-1.0901629729197201E-4</v>
      </c>
      <c r="Z55" s="31" t="str">
        <f t="shared" si="59"/>
        <v>0.99999999950155+0.000152465818007724i</v>
      </c>
      <c r="AA55" s="17">
        <f t="shared" si="71"/>
        <v>1.0000000111244629</v>
      </c>
      <c r="AB55" s="17">
        <f t="shared" si="72"/>
        <v>1.5246581690232265E-4</v>
      </c>
      <c r="AC55" s="66" t="str">
        <f t="shared" si="73"/>
        <v>17.3974221000117-0.223239865567789i</v>
      </c>
      <c r="AD55" s="64">
        <f t="shared" si="74"/>
        <v>24.810413037550365</v>
      </c>
      <c r="AE55" s="61">
        <f t="shared" si="75"/>
        <v>-0.73516639972340647</v>
      </c>
      <c r="AF55" s="31" t="str">
        <f t="shared" si="60"/>
        <v>-9090.90909090909</v>
      </c>
      <c r="AG55" s="31" t="str">
        <f t="shared" si="61"/>
        <v>2.27623467397318E-08i</v>
      </c>
      <c r="AH55" s="31">
        <f t="shared" si="76"/>
        <v>2.27623467397318E-8</v>
      </c>
      <c r="AI55" s="31">
        <f t="shared" si="77"/>
        <v>1.5707963267948966</v>
      </c>
      <c r="AJ55" s="31" t="str">
        <f t="shared" si="62"/>
        <v>1+425396.438065462i</v>
      </c>
      <c r="AK55" s="31">
        <f t="shared" si="78"/>
        <v>425396.43806663743</v>
      </c>
      <c r="AL55" s="31">
        <f t="shared" si="79"/>
        <v>1.5707939760464875</v>
      </c>
      <c r="AM55" s="31" t="str">
        <f t="shared" si="63"/>
        <v>1+0.194101714518845i</v>
      </c>
      <c r="AN55" s="31">
        <f t="shared" si="80"/>
        <v>1.0186635733053162</v>
      </c>
      <c r="AO55" s="31">
        <f t="shared" si="81"/>
        <v>0.19171775219110948</v>
      </c>
      <c r="AS55" s="58" t="str">
        <f t="shared" si="82"/>
        <v>938850.048088436+182234.694161152i</v>
      </c>
      <c r="AT55" s="49">
        <f t="shared" si="83"/>
        <v>119.61254414773664</v>
      </c>
      <c r="AU55" s="61">
        <f t="shared" si="84"/>
        <v>10.984752746248121</v>
      </c>
      <c r="AV55" s="58" t="str">
        <f t="shared" si="85"/>
        <v>16374252.6238371+2960825.13706452i</v>
      </c>
      <c r="AW55" s="64">
        <f t="shared" si="86"/>
        <v>144.422957185287</v>
      </c>
      <c r="AX55" s="61">
        <f t="shared" si="87"/>
        <v>10.249586346524715</v>
      </c>
      <c r="AY55" s="310"/>
      <c r="BA55" s="31">
        <f t="shared" si="88"/>
        <v>0</v>
      </c>
      <c r="BB55" s="31">
        <f t="shared" si="89"/>
        <v>0</v>
      </c>
    </row>
    <row r="56" spans="1:54" x14ac:dyDescent="0.45">
      <c r="N56" s="10">
        <v>38</v>
      </c>
      <c r="O56" s="50">
        <f t="shared" si="64"/>
        <v>23.988329190194907</v>
      </c>
      <c r="P56" s="48" t="str">
        <f t="shared" si="55"/>
        <v>17.4002386318441</v>
      </c>
      <c r="Q56" s="17" t="str">
        <f t="shared" si="56"/>
        <v>1+0.0129082770664863i</v>
      </c>
      <c r="R56" s="17">
        <f t="shared" si="65"/>
        <v>1.000083308338273</v>
      </c>
      <c r="S56" s="17">
        <f t="shared" si="66"/>
        <v>1.2907560196882779E-2</v>
      </c>
      <c r="T56" s="17" t="str">
        <f t="shared" si="57"/>
        <v>1+0.000045216935253486i</v>
      </c>
      <c r="U56" s="17">
        <f t="shared" si="67"/>
        <v>1.0000000010222856</v>
      </c>
      <c r="V56" s="17">
        <f t="shared" si="68"/>
        <v>4.5216935222669586E-5</v>
      </c>
      <c r="W56" s="31" t="str">
        <f t="shared" si="58"/>
        <v>1-0.000111555613505199i</v>
      </c>
      <c r="X56" s="17">
        <f t="shared" si="69"/>
        <v>1.0000000062223273</v>
      </c>
      <c r="Y56" s="17">
        <f t="shared" si="70"/>
        <v>-1.1155561304244196E-4</v>
      </c>
      <c r="Z56" s="31" t="str">
        <f t="shared" si="59"/>
        <v>0.999999999478059+0.000156017203129657i</v>
      </c>
      <c r="AA56" s="17">
        <f t="shared" si="71"/>
        <v>1.0000000116487426</v>
      </c>
      <c r="AB56" s="17">
        <f t="shared" si="72"/>
        <v>1.5601720194519808E-4</v>
      </c>
      <c r="AC56" s="66" t="str">
        <f t="shared" si="73"/>
        <v>17.3972893830697-0.228438076882687i</v>
      </c>
      <c r="AD56" s="64">
        <f t="shared" si="74"/>
        <v>24.8103804720946</v>
      </c>
      <c r="AE56" s="61">
        <f t="shared" si="75"/>
        <v>-0.75228877655288695</v>
      </c>
      <c r="AF56" s="31" t="str">
        <f t="shared" si="60"/>
        <v>-9090.90909090909</v>
      </c>
      <c r="AG56" s="31" t="str">
        <f t="shared" si="61"/>
        <v>2.27623467397318E-08i</v>
      </c>
      <c r="AH56" s="31">
        <f t="shared" si="76"/>
        <v>2.27623467397318E-8</v>
      </c>
      <c r="AI56" s="31">
        <f t="shared" si="77"/>
        <v>1.5707963267948966</v>
      </c>
      <c r="AJ56" s="31" t="str">
        <f t="shared" si="62"/>
        <v>1+435305.19401358i</v>
      </c>
      <c r="AK56" s="31">
        <f t="shared" si="78"/>
        <v>435305.19401472865</v>
      </c>
      <c r="AL56" s="31">
        <f t="shared" si="79"/>
        <v>1.5707940295560543</v>
      </c>
      <c r="AM56" s="31" t="str">
        <f t="shared" si="63"/>
        <v>1+0.198622924256813i</v>
      </c>
      <c r="AN56" s="31">
        <f t="shared" si="80"/>
        <v>1.0195347301785886</v>
      </c>
      <c r="AO56" s="31">
        <f t="shared" si="81"/>
        <v>0.19607109858578287</v>
      </c>
      <c r="AS56" s="58" t="str">
        <f t="shared" si="82"/>
        <v>917479.2118884+182234.594829777i</v>
      </c>
      <c r="AT56" s="49">
        <f t="shared" si="83"/>
        <v>119.41996911017296</v>
      </c>
      <c r="AU56" s="61">
        <f t="shared" si="84"/>
        <v>11.234178055549062</v>
      </c>
      <c r="AV56" s="58" t="str">
        <f t="shared" si="85"/>
        <v>16003280.6725576+2960800.79511646i</v>
      </c>
      <c r="AW56" s="64">
        <f t="shared" si="86"/>
        <v>144.23034958226754</v>
      </c>
      <c r="AX56" s="61">
        <f t="shared" si="87"/>
        <v>10.481889278996197</v>
      </c>
      <c r="AY56" s="310"/>
      <c r="BA56" s="31">
        <f t="shared" si="88"/>
        <v>0</v>
      </c>
      <c r="BB56" s="31">
        <f t="shared" si="89"/>
        <v>0</v>
      </c>
    </row>
    <row r="57" spans="1:54" x14ac:dyDescent="0.45">
      <c r="N57" s="10">
        <v>39</v>
      </c>
      <c r="O57" s="50">
        <f t="shared" si="64"/>
        <v>24.547089156850316</v>
      </c>
      <c r="P57" s="48" t="str">
        <f t="shared" si="55"/>
        <v>17.4002386318441</v>
      </c>
      <c r="Q57" s="17" t="str">
        <f t="shared" si="56"/>
        <v>1+0.0132089494645538i</v>
      </c>
      <c r="R57" s="17">
        <f t="shared" si="65"/>
        <v>1.0000872343680611</v>
      </c>
      <c r="S57" s="17">
        <f t="shared" si="66"/>
        <v>1.3208181328552964E-2</v>
      </c>
      <c r="T57" s="17" t="str">
        <f t="shared" si="57"/>
        <v>1+0.0000462701729773047i</v>
      </c>
      <c r="U57" s="17">
        <f t="shared" si="67"/>
        <v>1.0000000010704644</v>
      </c>
      <c r="V57" s="17">
        <f t="shared" si="68"/>
        <v>4.6270172944284316E-5</v>
      </c>
      <c r="W57" s="31" t="str">
        <f t="shared" si="58"/>
        <v>1-0.00011415407754945i</v>
      </c>
      <c r="X57" s="17">
        <f t="shared" si="69"/>
        <v>1.0000000065155767</v>
      </c>
      <c r="Y57" s="17">
        <f t="shared" si="70"/>
        <v>-1.1415407705359689E-4</v>
      </c>
      <c r="Z57" s="31" t="str">
        <f t="shared" si="59"/>
        <v>0.999999999453461+0.00015965131063782i</v>
      </c>
      <c r="AA57" s="17">
        <f t="shared" si="71"/>
        <v>1.0000000121977315</v>
      </c>
      <c r="AB57" s="17">
        <f t="shared" si="72"/>
        <v>1.5965130936864937E-4</v>
      </c>
      <c r="AC57" s="66" t="str">
        <f t="shared" si="73"/>
        <v>17.3971504135041-0.23375724759846i</v>
      </c>
      <c r="AD57" s="64">
        <f t="shared" si="74"/>
        <v>24.810346372137907</v>
      </c>
      <c r="AE57" s="61">
        <f t="shared" si="75"/>
        <v>-0.7698098525924767</v>
      </c>
      <c r="AF57" s="31" t="str">
        <f t="shared" si="60"/>
        <v>-9090.90909090909</v>
      </c>
      <c r="AG57" s="31" t="str">
        <f t="shared" si="61"/>
        <v>2.27623467397318E-08i</v>
      </c>
      <c r="AH57" s="31">
        <f t="shared" si="76"/>
        <v>2.27623467397318E-8</v>
      </c>
      <c r="AI57" s="31">
        <f t="shared" si="77"/>
        <v>1.5707963267948966</v>
      </c>
      <c r="AJ57" s="31" t="str">
        <f t="shared" si="62"/>
        <v>1+445444.754537509i</v>
      </c>
      <c r="AK57" s="31">
        <f t="shared" si="78"/>
        <v>445444.75453863142</v>
      </c>
      <c r="AL57" s="31">
        <f t="shared" si="79"/>
        <v>1.5707940818475943</v>
      </c>
      <c r="AM57" s="31" t="str">
        <f t="shared" si="63"/>
        <v>1+0.203249446498307i</v>
      </c>
      <c r="AN57" s="31">
        <f t="shared" si="80"/>
        <v>1.0204461463016401</v>
      </c>
      <c r="AO57" s="31">
        <f t="shared" si="81"/>
        <v>0.20051806624800836</v>
      </c>
      <c r="AS57" s="58" t="str">
        <f t="shared" si="82"/>
        <v>896594.835310765+182234.499969051i</v>
      </c>
      <c r="AT57" s="49">
        <f t="shared" si="83"/>
        <v>119.22773041860312</v>
      </c>
      <c r="AU57" s="61">
        <f t="shared" si="84"/>
        <v>11.488967538141164</v>
      </c>
      <c r="AV57" s="58" t="str">
        <f t="shared" si="85"/>
        <v>15640793.8450026+2960775.46557805i</v>
      </c>
      <c r="AW57" s="64">
        <f t="shared" si="86"/>
        <v>144.03807679074106</v>
      </c>
      <c r="AX57" s="61">
        <f t="shared" si="87"/>
        <v>10.719157685548664</v>
      </c>
      <c r="AY57" s="310"/>
      <c r="BA57" s="31">
        <f t="shared" si="88"/>
        <v>0</v>
      </c>
      <c r="BB57" s="31">
        <f t="shared" si="89"/>
        <v>0</v>
      </c>
    </row>
    <row r="58" spans="1:54" x14ac:dyDescent="0.45">
      <c r="N58" s="10">
        <v>40</v>
      </c>
      <c r="O58" s="50">
        <f t="shared" si="64"/>
        <v>25.118864315095799</v>
      </c>
      <c r="P58" s="48" t="str">
        <f t="shared" si="55"/>
        <v>17.4002386318441</v>
      </c>
      <c r="Q58" s="17" t="str">
        <f t="shared" si="56"/>
        <v>1+0.0135166254224686i</v>
      </c>
      <c r="R58" s="17">
        <f t="shared" si="65"/>
        <v>1.0000913454094138</v>
      </c>
      <c r="S58" s="17">
        <f t="shared" si="66"/>
        <v>1.3515802353974831E-2</v>
      </c>
      <c r="T58" s="17" t="str">
        <f t="shared" si="57"/>
        <v>1+0.0000473479437592944i</v>
      </c>
      <c r="U58" s="17">
        <f t="shared" si="67"/>
        <v>1.0000000011209138</v>
      </c>
      <c r="V58" s="17">
        <f t="shared" si="68"/>
        <v>4.7347943723912424E-5</v>
      </c>
      <c r="W58" s="31" t="str">
        <f t="shared" si="58"/>
        <v>1-0.000116813067596627i</v>
      </c>
      <c r="X58" s="17">
        <f t="shared" si="69"/>
        <v>1.0000000068226462</v>
      </c>
      <c r="Y58" s="17">
        <f t="shared" si="70"/>
        <v>-1.1681306706531083E-4</v>
      </c>
      <c r="Z58" s="31" t="str">
        <f t="shared" si="59"/>
        <v>0.999999999427703+0.00016337006738412i</v>
      </c>
      <c r="AA58" s="17">
        <f t="shared" si="71"/>
        <v>1.0000000127725923</v>
      </c>
      <c r="AB58" s="17">
        <f t="shared" si="72"/>
        <v>1.6337006602417921E-4</v>
      </c>
      <c r="AC58" s="66" t="str">
        <f t="shared" si="73"/>
        <v>17.3970048968436-0.239200186464168i</v>
      </c>
      <c r="AD58" s="64">
        <f t="shared" si="74"/>
        <v>24.810310665386744</v>
      </c>
      <c r="AE58" s="61">
        <f t="shared" si="75"/>
        <v>-0.78773890528851609</v>
      </c>
      <c r="AF58" s="31" t="str">
        <f t="shared" si="60"/>
        <v>-9090.90909090909</v>
      </c>
      <c r="AG58" s="31" t="str">
        <f t="shared" si="61"/>
        <v>2.27623467397318E-08i</v>
      </c>
      <c r="AH58" s="31">
        <f t="shared" si="76"/>
        <v>2.27623467397318E-8</v>
      </c>
      <c r="AI58" s="31">
        <f t="shared" si="77"/>
        <v>1.5707963267948966</v>
      </c>
      <c r="AJ58" s="31" t="str">
        <f t="shared" si="62"/>
        <v>1+455820.495766456i</v>
      </c>
      <c r="AK58" s="31">
        <f t="shared" si="78"/>
        <v>455820.49576755293</v>
      </c>
      <c r="AL58" s="31">
        <f t="shared" si="79"/>
        <v>1.5707941329488337</v>
      </c>
      <c r="AM58" s="31" t="str">
        <f t="shared" si="63"/>
        <v>1+0.20798373428666i</v>
      </c>
      <c r="AN58" s="31">
        <f t="shared" si="80"/>
        <v>1.0213996444721449</v>
      </c>
      <c r="AO58" s="31">
        <f t="shared" si="81"/>
        <v>0.20506030915551346</v>
      </c>
      <c r="AS58" s="58" t="str">
        <f t="shared" si="82"/>
        <v>876185.845182621+182234.409377761i</v>
      </c>
      <c r="AT58" s="49">
        <f t="shared" si="83"/>
        <v>119.03584266735328</v>
      </c>
      <c r="AU58" s="61">
        <f t="shared" si="84"/>
        <v>11.749215958379102</v>
      </c>
      <c r="AV58" s="58" t="str">
        <f t="shared" si="85"/>
        <v>15286599.9438905+2960749.09477336i</v>
      </c>
      <c r="AW58" s="64">
        <f t="shared" si="86"/>
        <v>143.84615333274004</v>
      </c>
      <c r="AX58" s="61">
        <f t="shared" si="87"/>
        <v>10.961477053090546</v>
      </c>
      <c r="AY58" s="310"/>
      <c r="BA58" s="31">
        <f t="shared" si="88"/>
        <v>0</v>
      </c>
      <c r="BB58" s="31">
        <f t="shared" si="89"/>
        <v>0</v>
      </c>
    </row>
    <row r="59" spans="1:54" x14ac:dyDescent="0.45">
      <c r="N59" s="10">
        <v>41</v>
      </c>
      <c r="O59" s="50">
        <f t="shared" si="64"/>
        <v>25.703957827688647</v>
      </c>
      <c r="P59" s="48" t="str">
        <f t="shared" si="55"/>
        <v>17.4002386318441</v>
      </c>
      <c r="Q59" s="17" t="str">
        <f t="shared" si="56"/>
        <v>1+0.013831468074096i</v>
      </c>
      <c r="R59" s="17">
        <f t="shared" si="65"/>
        <v>1.0000956501800637</v>
      </c>
      <c r="S59" s="17">
        <f t="shared" si="66"/>
        <v>1.383058614487093E-2</v>
      </c>
      <c r="T59" s="17" t="str">
        <f t="shared" si="57"/>
        <v>1+0.0000484508190477891i</v>
      </c>
      <c r="U59" s="17">
        <f t="shared" si="67"/>
        <v>1.0000000011737409</v>
      </c>
      <c r="V59" s="17">
        <f t="shared" si="68"/>
        <v>4.8450819009876634E-5</v>
      </c>
      <c r="W59" s="31" t="str">
        <f t="shared" si="58"/>
        <v>1-0.000119533993478446i</v>
      </c>
      <c r="X59" s="17">
        <f t="shared" si="69"/>
        <v>1.0000000071441877</v>
      </c>
      <c r="Y59" s="17">
        <f t="shared" si="70"/>
        <v>-1.1953399290913048E-4</v>
      </c>
      <c r="Z59" s="31" t="str">
        <f t="shared" si="59"/>
        <v>0.999999999400732+0.000167175445102604i</v>
      </c>
      <c r="AA59" s="17">
        <f t="shared" si="71"/>
        <v>1.0000000133745468</v>
      </c>
      <c r="AB59" s="17">
        <f t="shared" si="72"/>
        <v>1.6717544364540111E-4</v>
      </c>
      <c r="AC59" s="66" t="str">
        <f t="shared" si="73"/>
        <v>17.3968525247584-0.244769767027135i</v>
      </c>
      <c r="AD59" s="64">
        <f t="shared" si="74"/>
        <v>24.810273276142741</v>
      </c>
      <c r="AE59" s="61">
        <f t="shared" si="75"/>
        <v>-0.80608542751114587</v>
      </c>
      <c r="AF59" s="31" t="str">
        <f t="shared" si="60"/>
        <v>-9090.90909090909</v>
      </c>
      <c r="AG59" s="31" t="str">
        <f t="shared" si="61"/>
        <v>2.27623467397318E-08i</v>
      </c>
      <c r="AH59" s="31">
        <f t="shared" si="76"/>
        <v>2.27623467397318E-8</v>
      </c>
      <c r="AI59" s="31">
        <f t="shared" si="77"/>
        <v>1.5707963267948966</v>
      </c>
      <c r="AJ59" s="31" t="str">
        <f t="shared" si="62"/>
        <v>1+466437.919055752i</v>
      </c>
      <c r="AK59" s="31">
        <f t="shared" si="78"/>
        <v>466437.91905682394</v>
      </c>
      <c r="AL59" s="31">
        <f t="shared" si="79"/>
        <v>1.570794182886867</v>
      </c>
      <c r="AM59" s="31" t="str">
        <f t="shared" si="63"/>
        <v>1+0.212828297803921i</v>
      </c>
      <c r="AN59" s="31">
        <f t="shared" si="80"/>
        <v>1.0223971265345548</v>
      </c>
      <c r="AO59" s="31">
        <f t="shared" si="81"/>
        <v>0.20969948558891868</v>
      </c>
      <c r="AS59" s="58" t="str">
        <f t="shared" si="82"/>
        <v>856241.420387268+182234.32286375i</v>
      </c>
      <c r="AT59" s="49">
        <f t="shared" si="83"/>
        <v>118.84432102481212</v>
      </c>
      <c r="AU59" s="61">
        <f t="shared" si="84"/>
        <v>12.015018327191227</v>
      </c>
      <c r="AV59" s="58" t="str">
        <f t="shared" si="85"/>
        <v>14940511.1688187+2960721.62682269i</v>
      </c>
      <c r="AW59" s="64">
        <f t="shared" si="86"/>
        <v>143.65459430095487</v>
      </c>
      <c r="AX59" s="61">
        <f t="shared" si="87"/>
        <v>11.20893289968005</v>
      </c>
      <c r="AY59" s="310"/>
      <c r="BA59" s="31">
        <f t="shared" si="88"/>
        <v>0</v>
      </c>
      <c r="BB59" s="31">
        <f t="shared" si="89"/>
        <v>0</v>
      </c>
    </row>
    <row r="60" spans="1:54" x14ac:dyDescent="0.45">
      <c r="N60" s="10">
        <v>42</v>
      </c>
      <c r="O60" s="50">
        <f t="shared" si="64"/>
        <v>26.302679918953825</v>
      </c>
      <c r="P60" s="48" t="str">
        <f t="shared" si="55"/>
        <v>17.4002386318441</v>
      </c>
      <c r="Q60" s="17" t="str">
        <f t="shared" si="56"/>
        <v>1+0.0141536443531774i</v>
      </c>
      <c r="R60" s="17">
        <f t="shared" si="65"/>
        <v>1.0001001578084447</v>
      </c>
      <c r="S60" s="17">
        <f t="shared" si="66"/>
        <v>1.4152699354098216E-2</v>
      </c>
      <c r="T60" s="17" t="str">
        <f t="shared" si="57"/>
        <v>1+0.0000495793836018654i</v>
      </c>
      <c r="U60" s="17">
        <f t="shared" si="67"/>
        <v>1.0000000012290575</v>
      </c>
      <c r="V60" s="17">
        <f t="shared" si="68"/>
        <v>4.9579383561241458E-5</v>
      </c>
      <c r="W60" s="31" t="str">
        <f t="shared" si="58"/>
        <v>1-0.000122318297865827i</v>
      </c>
      <c r="X60" s="17">
        <f t="shared" si="69"/>
        <v>1.000000007480883</v>
      </c>
      <c r="Y60" s="17">
        <f t="shared" si="70"/>
        <v>-1.2231829725579442E-4</v>
      </c>
      <c r="Z60" s="31" t="str">
        <f t="shared" si="59"/>
        <v>0.999999999372489+0.00017106946145491i</v>
      </c>
      <c r="AA60" s="17">
        <f t="shared" si="71"/>
        <v>1.000000014004869</v>
      </c>
      <c r="AB60" s="17">
        <f t="shared" si="72"/>
        <v>1.7106945989348905E-4</v>
      </c>
      <c r="AC60" s="66" t="str">
        <f t="shared" si="73"/>
        <v>17.3966929744101-0.250468929097602i</v>
      </c>
      <c r="AD60" s="64">
        <f t="shared" si="74"/>
        <v>24.810234125143037</v>
      </c>
      <c r="AE60" s="61">
        <f t="shared" si="75"/>
        <v>-0.82485913252389642</v>
      </c>
      <c r="AF60" s="31" t="str">
        <f t="shared" si="60"/>
        <v>-9090.90909090909</v>
      </c>
      <c r="AG60" s="31" t="str">
        <f t="shared" si="61"/>
        <v>2.27623467397318E-08i</v>
      </c>
      <c r="AH60" s="31">
        <f t="shared" si="76"/>
        <v>2.27623467397318E-8</v>
      </c>
      <c r="AI60" s="31">
        <f t="shared" si="77"/>
        <v>1.5707963267948966</v>
      </c>
      <c r="AJ60" s="31" t="str">
        <f t="shared" si="62"/>
        <v>1+477302.653903768i</v>
      </c>
      <c r="AK60" s="31">
        <f t="shared" si="78"/>
        <v>477302.6539048155</v>
      </c>
      <c r="AL60" s="31">
        <f t="shared" si="79"/>
        <v>1.5707942316881718</v>
      </c>
      <c r="AM60" s="31" t="str">
        <f t="shared" si="63"/>
        <v>1+0.217785705701794i</v>
      </c>
      <c r="AN60" s="31">
        <f t="shared" si="80"/>
        <v>1.0234405764909014</v>
      </c>
      <c r="AO60" s="31">
        <f t="shared" si="81"/>
        <v>0.21443725617483403</v>
      </c>
      <c r="AS60" s="58" t="str">
        <f t="shared" si="82"/>
        <v>836750.986126683+182234.240243512i</v>
      </c>
      <c r="AT60" s="49">
        <f t="shared" si="83"/>
        <v>118.65318125056422</v>
      </c>
      <c r="AU60" s="61">
        <f t="shared" si="84"/>
        <v>12.286469789956612</v>
      </c>
      <c r="AV60" s="58" t="str">
        <f t="shared" si="85"/>
        <v>14602344.0166795+2960693.00352476i</v>
      </c>
      <c r="AW60" s="64">
        <f t="shared" si="86"/>
        <v>143.46341537570726</v>
      </c>
      <c r="AX60" s="61">
        <f t="shared" si="87"/>
        <v>11.461610657432733</v>
      </c>
      <c r="AY60" s="310"/>
      <c r="BA60" s="31">
        <f t="shared" si="88"/>
        <v>0</v>
      </c>
      <c r="BB60" s="31">
        <f t="shared" si="89"/>
        <v>0</v>
      </c>
    </row>
    <row r="61" spans="1:54" ht="15.75" x14ac:dyDescent="0.5">
      <c r="A61" s="51" t="s">
        <v>205</v>
      </c>
      <c r="N61" s="10">
        <v>43</v>
      </c>
      <c r="O61" s="50">
        <f t="shared" si="64"/>
        <v>26.915348039269158</v>
      </c>
      <c r="P61" s="48" t="str">
        <f t="shared" si="55"/>
        <v>17.4002386318441</v>
      </c>
      <c r="Q61" s="17" t="str">
        <f t="shared" si="56"/>
        <v>1+0.0144833250818405i</v>
      </c>
      <c r="R61" s="17">
        <f t="shared" si="65"/>
        <v>1.000104877853031</v>
      </c>
      <c r="S61" s="17">
        <f t="shared" si="66"/>
        <v>1.4482312502818652E-2</v>
      </c>
      <c r="T61" s="17" t="str">
        <f t="shared" si="57"/>
        <v>1+0.0000507342358013883i</v>
      </c>
      <c r="U61" s="17">
        <f t="shared" si="67"/>
        <v>1.0000000012869812</v>
      </c>
      <c r="V61" s="17">
        <f t="shared" si="68"/>
        <v>5.073423575785896E-5</v>
      </c>
      <c r="W61" s="31" t="str">
        <f t="shared" si="58"/>
        <v>1-0.000125167457033811i</v>
      </c>
      <c r="X61" s="17">
        <f t="shared" si="69"/>
        <v>1.0000000078334461</v>
      </c>
      <c r="Y61" s="17">
        <f t="shared" si="70"/>
        <v>-1.2516745638014931E-4</v>
      </c>
      <c r="Z61" s="31" t="str">
        <f t="shared" si="59"/>
        <v>0.999999999342915+0.000175054181100053i</v>
      </c>
      <c r="AA61" s="17">
        <f t="shared" si="71"/>
        <v>1.000000014664898</v>
      </c>
      <c r="AB61" s="17">
        <f t="shared" si="72"/>
        <v>1.7505417942696039E-4</v>
      </c>
      <c r="AC61" s="66" t="str">
        <f t="shared" si="73"/>
        <v>17.3965259077684-0.256300680244262i</v>
      </c>
      <c r="AD61" s="64">
        <f t="shared" si="74"/>
        <v>24.810193129391731</v>
      </c>
      <c r="AE61" s="61">
        <f t="shared" si="75"/>
        <v>-0.84406995906556981</v>
      </c>
      <c r="AF61" s="31" t="str">
        <f t="shared" si="60"/>
        <v>-9090.90909090909</v>
      </c>
      <c r="AG61" s="31" t="str">
        <f t="shared" si="61"/>
        <v>2.27623467397318E-08i</v>
      </c>
      <c r="AH61" s="31">
        <f t="shared" si="76"/>
        <v>2.27623467397318E-8</v>
      </c>
      <c r="AI61" s="31">
        <f t="shared" si="77"/>
        <v>1.5707963267948966</v>
      </c>
      <c r="AJ61" s="31" t="str">
        <f t="shared" si="62"/>
        <v>1+488420.460936733i</v>
      </c>
      <c r="AK61" s="31">
        <f t="shared" si="78"/>
        <v>488420.46093775675</v>
      </c>
      <c r="AL61" s="31">
        <f t="shared" si="79"/>
        <v>1.5707942793786231</v>
      </c>
      <c r="AM61" s="31" t="str">
        <f t="shared" si="63"/>
        <v>1+0.222858586463565i</v>
      </c>
      <c r="AN61" s="31">
        <f t="shared" si="80"/>
        <v>1.0245320637054451</v>
      </c>
      <c r="AO61" s="31">
        <f t="shared" si="81"/>
        <v>0.21927528177892069</v>
      </c>
      <c r="AS61" s="58" t="str">
        <f t="shared" si="82"/>
        <v>817704.208314639+182234.161341798i</v>
      </c>
      <c r="AT61" s="49">
        <f t="shared" si="83"/>
        <v>118.46243971251764</v>
      </c>
      <c r="AU61" s="61">
        <f t="shared" si="84"/>
        <v>12.563665505785409</v>
      </c>
      <c r="AV61" s="58" t="str">
        <f t="shared" si="85"/>
        <v>14271919.1843525+2960663.1642334i</v>
      </c>
      <c r="AW61" s="64">
        <f t="shared" si="86"/>
        <v>143.27263284190937</v>
      </c>
      <c r="AX61" s="61">
        <f t="shared" si="87"/>
        <v>11.719595546719857</v>
      </c>
      <c r="AY61" s="310"/>
      <c r="BA61" s="31">
        <f t="shared" si="88"/>
        <v>0</v>
      </c>
      <c r="BB61" s="31">
        <f t="shared" si="89"/>
        <v>0</v>
      </c>
    </row>
    <row r="62" spans="1:54" x14ac:dyDescent="0.45">
      <c r="A62" t="s">
        <v>170</v>
      </c>
      <c r="N62" s="10">
        <v>44</v>
      </c>
      <c r="O62" s="50">
        <f t="shared" si="64"/>
        <v>27.542287033381665</v>
      </c>
      <c r="P62" s="48" t="str">
        <f t="shared" si="55"/>
        <v>17.4002386318441</v>
      </c>
      <c r="Q62" s="17" t="str">
        <f t="shared" si="56"/>
        <v>1+0.0148206850611715i</v>
      </c>
      <c r="R62" s="17">
        <f t="shared" si="65"/>
        <v>1.0001098203225895</v>
      </c>
      <c r="S62" s="17">
        <f t="shared" si="66"/>
        <v>1.4819600069636122E-2</v>
      </c>
      <c r="T62" s="17" t="str">
        <f t="shared" si="57"/>
        <v>1+0.0000519159879642801i</v>
      </c>
      <c r="U62" s="17">
        <f t="shared" si="67"/>
        <v>1.0000000013476349</v>
      </c>
      <c r="V62" s="17">
        <f t="shared" si="68"/>
        <v>5.1915987917637568E-5</v>
      </c>
      <c r="W62" s="31" t="str">
        <f t="shared" si="58"/>
        <v>1-0.000128082981644301i</v>
      </c>
      <c r="X62" s="17">
        <f t="shared" si="69"/>
        <v>1.000000008202625</v>
      </c>
      <c r="Y62" s="17">
        <f t="shared" si="70"/>
        <v>-1.280829809438899E-4</v>
      </c>
      <c r="Z62" s="31" t="str">
        <f t="shared" si="59"/>
        <v>0.999999999311948+0.00017913171678913i</v>
      </c>
      <c r="AA62" s="17">
        <f t="shared" si="71"/>
        <v>1.0000000153560338</v>
      </c>
      <c r="AB62" s="17">
        <f t="shared" si="72"/>
        <v>1.7913171499637885E-4</v>
      </c>
      <c r="AC62" s="66" t="str">
        <f t="shared" si="73"/>
        <v>17.3963509708988-0.262268097321244i</v>
      </c>
      <c r="AD62" s="64">
        <f t="shared" si="74"/>
        <v>24.810150201984914</v>
      </c>
      <c r="AE62" s="61">
        <f t="shared" si="75"/>
        <v>-0.86372807654676731</v>
      </c>
      <c r="AF62" s="31" t="str">
        <f t="shared" si="60"/>
        <v>-9090.90909090909</v>
      </c>
      <c r="AG62" s="31" t="str">
        <f t="shared" si="61"/>
        <v>2.27623467397318E-08i</v>
      </c>
      <c r="AH62" s="31">
        <f t="shared" si="76"/>
        <v>2.27623467397318E-8</v>
      </c>
      <c r="AI62" s="31">
        <f t="shared" si="77"/>
        <v>1.5707963267948966</v>
      </c>
      <c r="AJ62" s="31" t="str">
        <f t="shared" si="62"/>
        <v>1+499797.234963096i</v>
      </c>
      <c r="AK62" s="31">
        <f t="shared" si="78"/>
        <v>499797.23496409634</v>
      </c>
      <c r="AL62" s="31">
        <f t="shared" si="79"/>
        <v>1.5707943259835073</v>
      </c>
      <c r="AM62" s="31" t="str">
        <f t="shared" si="63"/>
        <v>1+0.228049629797761i</v>
      </c>
      <c r="AN62" s="31">
        <f t="shared" si="80"/>
        <v>1.0256737462033898</v>
      </c>
      <c r="AO62" s="31">
        <f t="shared" si="81"/>
        <v>0.22421522124239196</v>
      </c>
      <c r="AS62" s="58" t="str">
        <f t="shared" si="82"/>
        <v>799090.988097414+182234.085991245i</v>
      </c>
      <c r="AT62" s="49">
        <f t="shared" si="83"/>
        <v>118.27211340396532</v>
      </c>
      <c r="AU62" s="61">
        <f t="shared" si="84"/>
        <v>12.846700517829328</v>
      </c>
      <c r="AV62" s="58" t="str">
        <f t="shared" si="85"/>
        <v>13949061.4736249+2960632.04572979i</v>
      </c>
      <c r="AW62" s="64">
        <f t="shared" si="86"/>
        <v>143.08226360595023</v>
      </c>
      <c r="AX62" s="61">
        <f t="shared" si="87"/>
        <v>11.982972441282591</v>
      </c>
      <c r="AY62" s="310"/>
      <c r="BA62" s="31">
        <f t="shared" si="88"/>
        <v>0</v>
      </c>
      <c r="BB62" s="31">
        <f t="shared" si="89"/>
        <v>0</v>
      </c>
    </row>
    <row r="63" spans="1:54" x14ac:dyDescent="0.45">
      <c r="A63" t="s">
        <v>168</v>
      </c>
      <c r="B63" s="3">
        <f>RFBT</f>
        <v>49900</v>
      </c>
      <c r="C63" s="2" t="s">
        <v>33</v>
      </c>
      <c r="E63" t="s">
        <v>171</v>
      </c>
      <c r="N63" s="10">
        <v>45</v>
      </c>
      <c r="O63" s="50">
        <f t="shared" si="64"/>
        <v>28.183829312644548</v>
      </c>
      <c r="P63" s="48" t="str">
        <f t="shared" si="55"/>
        <v>17.4002386318441</v>
      </c>
      <c r="Q63" s="17" t="str">
        <f t="shared" si="56"/>
        <v>1+0.0151659031638968i</v>
      </c>
      <c r="R63" s="17">
        <f t="shared" si="65"/>
        <v>1.0001149956973832</v>
      </c>
      <c r="S63" s="17">
        <f t="shared" si="66"/>
        <v>1.516474058174027E-2</v>
      </c>
      <c r="T63" s="17" t="str">
        <f t="shared" si="57"/>
        <v>1+0.0000531252666711799i</v>
      </c>
      <c r="U63" s="17">
        <f t="shared" si="67"/>
        <v>1.000000001411147</v>
      </c>
      <c r="V63" s="17">
        <f t="shared" si="68"/>
        <v>5.3125266621201527E-5</v>
      </c>
      <c r="W63" s="31" t="str">
        <f t="shared" si="58"/>
        <v>1-0.000131066417547038i</v>
      </c>
      <c r="X63" s="17">
        <f t="shared" si="69"/>
        <v>1.0000000085892029</v>
      </c>
      <c r="Y63" s="17">
        <f t="shared" si="70"/>
        <v>-1.3106641679653399E-4</v>
      </c>
      <c r="Z63" s="31" t="str">
        <f t="shared" si="59"/>
        <v>0.999999999279521+0.000183304230485538i</v>
      </c>
      <c r="AA63" s="17">
        <f t="shared" si="71"/>
        <v>1.0000000160797413</v>
      </c>
      <c r="AB63" s="17">
        <f t="shared" si="72"/>
        <v>1.8330422856457058E-4</v>
      </c>
      <c r="AC63" s="66" t="str">
        <f t="shared" si="73"/>
        <v>17.396167793215-0.268374328026997i</v>
      </c>
      <c r="AD63" s="64">
        <f t="shared" si="74"/>
        <v>24.810105251926519</v>
      </c>
      <c r="AE63" s="61">
        <f t="shared" si="75"/>
        <v>-0.88384389036357403</v>
      </c>
      <c r="AF63" s="31" t="str">
        <f t="shared" si="60"/>
        <v>-9090.90909090909</v>
      </c>
      <c r="AG63" s="31" t="str">
        <f t="shared" si="61"/>
        <v>2.27623467397318E-08i</v>
      </c>
      <c r="AH63" s="31">
        <f t="shared" si="76"/>
        <v>2.27623467397318E-8</v>
      </c>
      <c r="AI63" s="31">
        <f t="shared" si="77"/>
        <v>1.5707963267948966</v>
      </c>
      <c r="AJ63" s="31" t="str">
        <f t="shared" si="62"/>
        <v>1+511439.008099033i</v>
      </c>
      <c r="AK63" s="31">
        <f t="shared" si="78"/>
        <v>511439.00810001063</v>
      </c>
      <c r="AL63" s="31">
        <f t="shared" si="79"/>
        <v>1.570794371527535</v>
      </c>
      <c r="AM63" s="31" t="str">
        <f t="shared" si="63"/>
        <v>1+0.233361588064269i</v>
      </c>
      <c r="AN63" s="31">
        <f t="shared" si="80"/>
        <v>1.0268678740635904</v>
      </c>
      <c r="AO63" s="31">
        <f t="shared" si="81"/>
        <v>0.22925872895544003</v>
      </c>
      <c r="AS63" s="58" t="str">
        <f t="shared" si="82"/>
        <v>780901.456499291+182234.014032025i</v>
      </c>
      <c r="AT63" s="49">
        <f t="shared" si="83"/>
        <v>118.08221996051554</v>
      </c>
      <c r="AU63" s="61">
        <f t="shared" si="84"/>
        <v>13.135669614248059</v>
      </c>
      <c r="AV63" s="58" t="str">
        <f t="shared" si="85"/>
        <v>13633599.6982872+2960599.5820889i</v>
      </c>
      <c r="AW63" s="64">
        <f t="shared" si="86"/>
        <v>142.89232521244207</v>
      </c>
      <c r="AX63" s="61">
        <f t="shared" si="87"/>
        <v>12.251825723884433</v>
      </c>
      <c r="AY63" s="310"/>
      <c r="BA63" s="31">
        <f t="shared" si="88"/>
        <v>0</v>
      </c>
      <c r="BB63" s="31">
        <f t="shared" si="89"/>
        <v>0</v>
      </c>
    </row>
    <row r="64" spans="1:54" x14ac:dyDescent="0.45">
      <c r="A64" t="s">
        <v>169</v>
      </c>
      <c r="B64" s="3">
        <f>RFBB</f>
        <v>5540</v>
      </c>
      <c r="C64" s="2" t="s">
        <v>33</v>
      </c>
      <c r="E64" t="s">
        <v>172</v>
      </c>
      <c r="N64" s="10">
        <v>46</v>
      </c>
      <c r="O64" s="50">
        <f t="shared" si="64"/>
        <v>28.840315031266066</v>
      </c>
      <c r="P64" s="48" t="str">
        <f t="shared" si="55"/>
        <v>17.4002386318441</v>
      </c>
      <c r="Q64" s="17" t="str">
        <f t="shared" si="56"/>
        <v>1+0.0155191624292241i</v>
      </c>
      <c r="R64" s="17">
        <f t="shared" si="65"/>
        <v>1.000120414951372</v>
      </c>
      <c r="S64" s="17">
        <f t="shared" si="66"/>
        <v>1.5517916708099908E-2</v>
      </c>
      <c r="T64" s="17" t="str">
        <f t="shared" si="57"/>
        <v>1+0.0000543627130976646i</v>
      </c>
      <c r="U64" s="17">
        <f t="shared" si="67"/>
        <v>1.0000000014776522</v>
      </c>
      <c r="V64" s="17">
        <f t="shared" si="68"/>
        <v>5.4362713044111812E-5</v>
      </c>
      <c r="W64" s="31" t="str">
        <f t="shared" si="58"/>
        <v>1-0.000134119346599227i</v>
      </c>
      <c r="X64" s="17">
        <f t="shared" si="69"/>
        <v>1.0000000089939995</v>
      </c>
      <c r="Y64" s="17">
        <f t="shared" si="70"/>
        <v>-1.3411934579504744E-4</v>
      </c>
      <c r="Z64" s="31" t="str">
        <f t="shared" si="59"/>
        <v>0.999999999245566+0.000187573934511267i</v>
      </c>
      <c r="AA64" s="17">
        <f t="shared" si="71"/>
        <v>1.0000000168375562</v>
      </c>
      <c r="AB64" s="17">
        <f t="shared" si="72"/>
        <v>1.8757393245291329E-4</v>
      </c>
      <c r="AC64" s="66" t="str">
        <f t="shared" si="73"/>
        <v>17.3959759866966-0.274622592495543i</v>
      </c>
      <c r="AD64" s="64">
        <f t="shared" si="74"/>
        <v>24.810058183935656</v>
      </c>
      <c r="AE64" s="61">
        <f t="shared" si="75"/>
        <v>-0.90442804733069782</v>
      </c>
      <c r="AF64" s="31" t="str">
        <f t="shared" si="60"/>
        <v>-9090.90909090909</v>
      </c>
      <c r="AG64" s="31" t="str">
        <f t="shared" si="61"/>
        <v>2.27623467397318E-08i</v>
      </c>
      <c r="AH64" s="31">
        <f t="shared" si="76"/>
        <v>2.27623467397318E-8</v>
      </c>
      <c r="AI64" s="31">
        <f t="shared" si="77"/>
        <v>1.5707963267948966</v>
      </c>
      <c r="AJ64" s="31" t="str">
        <f t="shared" si="62"/>
        <v>1+523351.952966761i</v>
      </c>
      <c r="AK64" s="31">
        <f t="shared" si="78"/>
        <v>523351.9529677165</v>
      </c>
      <c r="AL64" s="31">
        <f t="shared" si="79"/>
        <v>1.5707944160348539</v>
      </c>
      <c r="AM64" s="31" t="str">
        <f t="shared" si="63"/>
        <v>1+0.238797277733675i</v>
      </c>
      <c r="AN64" s="31">
        <f t="shared" si="80"/>
        <v>1.0281167929048791</v>
      </c>
      <c r="AO64" s="31">
        <f t="shared" si="81"/>
        <v>0.23440745226118478</v>
      </c>
      <c r="AS64" s="58" t="str">
        <f t="shared" si="82"/>
        <v>763125.969189845+182233.945311505i</v>
      </c>
      <c r="AT64" s="49">
        <f t="shared" si="83"/>
        <v>117.89277767681688</v>
      </c>
      <c r="AU64" s="61">
        <f t="shared" si="84"/>
        <v>13.430667179466367</v>
      </c>
      <c r="AV64" s="58" t="str">
        <f t="shared" si="85"/>
        <v>13325366.5933533+2960565.70454033i</v>
      </c>
      <c r="AW64" s="64">
        <f t="shared" si="86"/>
        <v>142.70283586075257</v>
      </c>
      <c r="AX64" s="61">
        <f t="shared" si="87"/>
        <v>12.526239132135609</v>
      </c>
      <c r="AY64" s="310"/>
      <c r="BA64" s="31">
        <f t="shared" si="88"/>
        <v>0</v>
      </c>
      <c r="BB64" s="31">
        <f t="shared" si="89"/>
        <v>0</v>
      </c>
    </row>
    <row r="65" spans="1:54" x14ac:dyDescent="0.45">
      <c r="A65" t="s">
        <v>158</v>
      </c>
      <c r="B65" s="3">
        <f>RCOMP</f>
        <v>10000</v>
      </c>
      <c r="C65" s="2" t="s">
        <v>33</v>
      </c>
      <c r="E65" s="31" t="s">
        <v>165</v>
      </c>
      <c r="N65" s="10">
        <v>47</v>
      </c>
      <c r="O65" s="50">
        <f t="shared" si="64"/>
        <v>29.512092266663863</v>
      </c>
      <c r="P65" s="48" t="str">
        <f t="shared" si="55"/>
        <v>17.4002386318441</v>
      </c>
      <c r="Q65" s="17" t="str">
        <f t="shared" si="56"/>
        <v>1+0.0158806501598918i</v>
      </c>
      <c r="R65" s="17">
        <f t="shared" si="65"/>
        <v>1.00012608957546</v>
      </c>
      <c r="S65" s="17">
        <f t="shared" si="66"/>
        <v>1.5879315354747004E-2</v>
      </c>
      <c r="T65" s="17" t="str">
        <f t="shared" si="57"/>
        <v>1+0.0000556289833542094i</v>
      </c>
      <c r="U65" s="17">
        <f t="shared" si="67"/>
        <v>1.0000000015472919</v>
      </c>
      <c r="V65" s="17">
        <f t="shared" si="68"/>
        <v>5.5628983296826548E-5</v>
      </c>
      <c r="W65" s="31" t="str">
        <f t="shared" si="58"/>
        <v>1-0.000137243387504262i</v>
      </c>
      <c r="X65" s="17">
        <f t="shared" si="69"/>
        <v>1.0000000094178736</v>
      </c>
      <c r="Y65" s="17">
        <f t="shared" si="70"/>
        <v>-1.3724338664256809E-4</v>
      </c>
      <c r="Z65" s="31" t="str">
        <f t="shared" si="59"/>
        <v>0.99999999921001+0.000191943092719909i</v>
      </c>
      <c r="AA65" s="17">
        <f t="shared" si="71"/>
        <v>1.0000000176310853</v>
      </c>
      <c r="AB65" s="17">
        <f t="shared" si="72"/>
        <v>1.9194309051434339E-4</v>
      </c>
      <c r="AC65" s="66" t="str">
        <f t="shared" si="73"/>
        <v>17.3957751450714-0.281016184920618i</v>
      </c>
      <c r="AD65" s="64">
        <f t="shared" si="74"/>
        <v>24.810008898245478</v>
      </c>
      <c r="AE65" s="61">
        <f t="shared" si="75"/>
        <v>-0.92549144123664739</v>
      </c>
      <c r="AF65" s="31" t="str">
        <f t="shared" si="60"/>
        <v>-9090.90909090909</v>
      </c>
      <c r="AG65" s="31" t="str">
        <f t="shared" si="61"/>
        <v>2.27623467397318E-08i</v>
      </c>
      <c r="AH65" s="31">
        <f t="shared" si="76"/>
        <v>2.27623467397318E-8</v>
      </c>
      <c r="AI65" s="31">
        <f t="shared" si="77"/>
        <v>1.5707963267948966</v>
      </c>
      <c r="AJ65" s="31" t="str">
        <f t="shared" si="62"/>
        <v>1+535542.385967333i</v>
      </c>
      <c r="AK65" s="31">
        <f t="shared" si="78"/>
        <v>535542.38596826675</v>
      </c>
      <c r="AL65" s="31">
        <f t="shared" si="79"/>
        <v>1.5707944595290626</v>
      </c>
      <c r="AM65" s="31" t="str">
        <f t="shared" si="63"/>
        <v>1+0.24435958088059i</v>
      </c>
      <c r="AN65" s="31">
        <f t="shared" si="80"/>
        <v>1.0294229474652961</v>
      </c>
      <c r="AO65" s="31">
        <f t="shared" si="81"/>
        <v>0.23966302868387529</v>
      </c>
      <c r="AS65" s="58" t="str">
        <f t="shared" si="82"/>
        <v>745755.101370415+182233.879683915i</v>
      </c>
      <c r="AT65" s="49">
        <f t="shared" si="83"/>
        <v>117.70380552300048</v>
      </c>
      <c r="AU65" s="61">
        <f t="shared" si="84"/>
        <v>13.731787035360329</v>
      </c>
      <c r="AV65" s="58" t="str">
        <f t="shared" si="85"/>
        <v>13024198.7263617+2960530.34132318i</v>
      </c>
      <c r="AW65" s="64">
        <f t="shared" si="86"/>
        <v>142.51381442124594</v>
      </c>
      <c r="AX65" s="61">
        <f t="shared" si="87"/>
        <v>12.806295594123714</v>
      </c>
      <c r="AY65" s="310"/>
      <c r="BA65" s="31">
        <f t="shared" si="88"/>
        <v>0</v>
      </c>
      <c r="BB65" s="31">
        <f t="shared" si="89"/>
        <v>0</v>
      </c>
    </row>
    <row r="66" spans="1:54" x14ac:dyDescent="0.45">
      <c r="A66" t="s">
        <v>163</v>
      </c>
      <c r="B66" s="3">
        <f>CCOMP</f>
        <v>2.2000000000000002E-8</v>
      </c>
      <c r="C66" s="2" t="s">
        <v>143</v>
      </c>
      <c r="E66" s="31" t="s">
        <v>166</v>
      </c>
      <c r="N66" s="10">
        <v>48</v>
      </c>
      <c r="O66" s="50">
        <f t="shared" si="64"/>
        <v>30.199517204020164</v>
      </c>
      <c r="P66" s="48" t="str">
        <f t="shared" si="55"/>
        <v>17.4002386318441</v>
      </c>
      <c r="Q66" s="17" t="str">
        <f t="shared" si="56"/>
        <v>1+0.0162505580214795i</v>
      </c>
      <c r="R66" s="17">
        <f t="shared" si="65"/>
        <v>1.0001320316018327</v>
      </c>
      <c r="S66" s="17">
        <f t="shared" si="66"/>
        <v>1.6249127762195656E-2</v>
      </c>
      <c r="T66" s="17" t="str">
        <f t="shared" si="57"/>
        <v>1+0.0000569247488340652i</v>
      </c>
      <c r="U66" s="17">
        <f t="shared" si="67"/>
        <v>1.0000000016202135</v>
      </c>
      <c r="V66" s="17">
        <f t="shared" si="68"/>
        <v>5.6924748772578364E-5</v>
      </c>
      <c r="W66" s="31" t="str">
        <f t="shared" si="58"/>
        <v>1-0.000140440196669984i</v>
      </c>
      <c r="X66" s="17">
        <f t="shared" si="69"/>
        <v>1.0000000098617243</v>
      </c>
      <c r="Y66" s="17">
        <f t="shared" si="70"/>
        <v>-1.4044019574666235E-4</v>
      </c>
      <c r="Z66" s="31" t="str">
        <f t="shared" si="59"/>
        <v>0.999999999172779+0.000196414021696977i</v>
      </c>
      <c r="AA66" s="17">
        <f t="shared" si="71"/>
        <v>1.0000000184620128</v>
      </c>
      <c r="AB66" s="17">
        <f t="shared" si="72"/>
        <v>1.9641401933367085E-4</v>
      </c>
      <c r="AC66" s="66" t="str">
        <f t="shared" si="73"/>
        <v>17.3955648429574-0.287558475213115i</v>
      </c>
      <c r="AD66" s="64">
        <f t="shared" si="74"/>
        <v>24.809957290391655</v>
      </c>
      <c r="AE66" s="61">
        <f t="shared" si="75"/>
        <v>-0.94704521852344958</v>
      </c>
      <c r="AF66" s="31" t="str">
        <f t="shared" si="60"/>
        <v>-9090.90909090909</v>
      </c>
      <c r="AG66" s="31" t="str">
        <f t="shared" si="61"/>
        <v>2.27623467397318E-08i</v>
      </c>
      <c r="AH66" s="31">
        <f t="shared" si="76"/>
        <v>2.27623467397318E-8</v>
      </c>
      <c r="AI66" s="31">
        <f t="shared" si="77"/>
        <v>1.5707963267948966</v>
      </c>
      <c r="AJ66" s="31" t="str">
        <f t="shared" si="62"/>
        <v>1+548016.770629686i</v>
      </c>
      <c r="AK66" s="31">
        <f t="shared" si="78"/>
        <v>548016.7706305983</v>
      </c>
      <c r="AL66" s="31">
        <f t="shared" si="79"/>
        <v>1.5707945020332221</v>
      </c>
      <c r="AM66" s="31" t="str">
        <f t="shared" si="63"/>
        <v>1+0.25005144671177i</v>
      </c>
      <c r="AN66" s="31">
        <f t="shared" si="80"/>
        <v>1.0307888852731431</v>
      </c>
      <c r="AO66" s="31">
        <f t="shared" si="81"/>
        <v>0.24502708297530584</v>
      </c>
      <c r="AS66" s="58" t="str">
        <f t="shared" si="82"/>
        <v>728779.642776957+182233.817010055i</v>
      </c>
      <c r="AT66" s="49">
        <f t="shared" si="83"/>
        <v>117.51532316075213</v>
      </c>
      <c r="AU66" s="61">
        <f t="shared" si="84"/>
        <v>14.039122272029392</v>
      </c>
      <c r="AV66" s="58" t="str">
        <f t="shared" si="85"/>
        <v>12729936.4107056+2960493.41753474i</v>
      </c>
      <c r="AW66" s="64">
        <f t="shared" si="86"/>
        <v>142.32528045114381</v>
      </c>
      <c r="AX66" s="61">
        <f t="shared" si="87"/>
        <v>13.092077053505886</v>
      </c>
      <c r="AY66" s="310"/>
      <c r="BA66" s="31">
        <f t="shared" si="88"/>
        <v>0</v>
      </c>
      <c r="BB66" s="31">
        <f t="shared" si="89"/>
        <v>0</v>
      </c>
    </row>
    <row r="67" spans="1:54" x14ac:dyDescent="0.45">
      <c r="A67" t="s">
        <v>164</v>
      </c>
      <c r="B67" s="3">
        <f>CHF</f>
        <v>1.0000000000000001E-9</v>
      </c>
      <c r="C67" s="2" t="s">
        <v>143</v>
      </c>
      <c r="E67" s="31" t="s">
        <v>167</v>
      </c>
      <c r="N67" s="10">
        <v>49</v>
      </c>
      <c r="O67" s="50">
        <f t="shared" si="64"/>
        <v>30.902954325135919</v>
      </c>
      <c r="P67" s="48" t="str">
        <f t="shared" si="55"/>
        <v>17.4002386318441</v>
      </c>
      <c r="Q67" s="17" t="str">
        <f t="shared" si="56"/>
        <v>1+0.0166290821440318i</v>
      </c>
      <c r="R67" s="17">
        <f t="shared" si="65"/>
        <v>1.0001382536294434</v>
      </c>
      <c r="S67" s="17">
        <f t="shared" si="66"/>
        <v>1.6627549605039291E-2</v>
      </c>
      <c r="T67" s="17" t="str">
        <f t="shared" si="57"/>
        <v>1+0.0000582506965692409i</v>
      </c>
      <c r="U67" s="17">
        <f t="shared" si="67"/>
        <v>1.0000000016965718</v>
      </c>
      <c r="V67" s="17">
        <f t="shared" si="68"/>
        <v>5.825069650335657E-5</v>
      </c>
      <c r="W67" s="31" t="str">
        <f t="shared" si="58"/>
        <v>1-0.000143711469086925i</v>
      </c>
      <c r="X67" s="17">
        <f t="shared" si="69"/>
        <v>1.0000000103264932</v>
      </c>
      <c r="Y67" s="17">
        <f t="shared" si="70"/>
        <v>-1.4371146809756801E-4</v>
      </c>
      <c r="Z67" s="31" t="str">
        <f t="shared" si="59"/>
        <v>0.999999999133794+0.000200989091988197i</v>
      </c>
      <c r="AA67" s="17">
        <f t="shared" si="71"/>
        <v>1.0000000193321015</v>
      </c>
      <c r="AB67" s="17">
        <f t="shared" si="72"/>
        <v>2.0098908945586868E-4</v>
      </c>
      <c r="AC67" s="66" t="str">
        <f t="shared" si="73"/>
        <v>17.3953446349667-0.294252910692341i</v>
      </c>
      <c r="AD67" s="64">
        <f t="shared" si="74"/>
        <v>24.80990325099182</v>
      </c>
      <c r="AE67" s="61">
        <f t="shared" si="75"/>
        <v>-0.96910078409345035</v>
      </c>
      <c r="AF67" s="31" t="str">
        <f t="shared" si="60"/>
        <v>-9090.90909090909</v>
      </c>
      <c r="AG67" s="31" t="str">
        <f t="shared" si="61"/>
        <v>2.27623467397318E-08i</v>
      </c>
      <c r="AH67" s="31">
        <f t="shared" si="76"/>
        <v>2.27623467397318E-8</v>
      </c>
      <c r="AI67" s="31">
        <f t="shared" si="77"/>
        <v>1.5707963267948966</v>
      </c>
      <c r="AJ67" s="31" t="str">
        <f t="shared" si="62"/>
        <v>1+560781.721037687i</v>
      </c>
      <c r="AK67" s="31">
        <f t="shared" si="78"/>
        <v>560781.72103857854</v>
      </c>
      <c r="AL67" s="31">
        <f t="shared" si="79"/>
        <v>1.5707945435698689</v>
      </c>
      <c r="AM67" s="31" t="str">
        <f t="shared" si="63"/>
        <v>1+0.255875893129818i</v>
      </c>
      <c r="AN67" s="31">
        <f t="shared" si="80"/>
        <v>1.0322172604083804</v>
      </c>
      <c r="AO67" s="31">
        <f t="shared" si="81"/>
        <v>0.25050122397364422</v>
      </c>
      <c r="AS67" s="58" t="str">
        <f t="shared" si="82"/>
        <v>712190.592796629+182233.757156984i</v>
      </c>
      <c r="AT67" s="49">
        <f t="shared" si="83"/>
        <v>117.32735095891998</v>
      </c>
      <c r="AU67" s="61">
        <f t="shared" si="84"/>
        <v>14.352765067819236</v>
      </c>
      <c r="AV67" s="58" t="str">
        <f t="shared" si="85"/>
        <v>12442423.6209484+2960454.85497245i</v>
      </c>
      <c r="AW67" s="64">
        <f t="shared" si="86"/>
        <v>142.13725420991176</v>
      </c>
      <c r="AX67" s="61">
        <f t="shared" si="87"/>
        <v>13.383664283725805</v>
      </c>
      <c r="AY67" s="310"/>
      <c r="BA67" s="31">
        <f t="shared" si="88"/>
        <v>0</v>
      </c>
      <c r="BB67" s="31">
        <f t="shared" si="89"/>
        <v>0</v>
      </c>
    </row>
    <row r="68" spans="1:54" x14ac:dyDescent="0.45">
      <c r="N68" s="10">
        <v>50</v>
      </c>
      <c r="O68" s="50">
        <f t="shared" si="64"/>
        <v>31.622776601683803</v>
      </c>
      <c r="P68" s="48" t="str">
        <f t="shared" si="55"/>
        <v>17.4002386318441</v>
      </c>
      <c r="Q68" s="17" t="str">
        <f t="shared" si="56"/>
        <v>1+0.0170164232260487i</v>
      </c>
      <c r="R68" s="17">
        <f t="shared" si="65"/>
        <v>1.0001447688506939</v>
      </c>
      <c r="S68" s="17">
        <f t="shared" si="66"/>
        <v>1.7014781093769683E-2</v>
      </c>
      <c r="T68" s="17" t="str">
        <f t="shared" si="57"/>
        <v>1+0.0000596075295947767i</v>
      </c>
      <c r="U68" s="17">
        <f t="shared" si="67"/>
        <v>1.0000000017765287</v>
      </c>
      <c r="V68" s="17">
        <f t="shared" si="68"/>
        <v>5.960752952418037E-5</v>
      </c>
      <c r="W68" s="31" t="str">
        <f t="shared" si="58"/>
        <v>1-0.000147058939227023i</v>
      </c>
      <c r="X68" s="17">
        <f t="shared" si="69"/>
        <v>1.0000000108131657</v>
      </c>
      <c r="Y68" s="17">
        <f t="shared" si="70"/>
        <v>-1.4705893816690789E-4</v>
      </c>
      <c r="Z68" s="31" t="str">
        <f t="shared" si="59"/>
        <v>0.999999999092971+0.000205670729356393i</v>
      </c>
      <c r="AA68" s="17">
        <f t="shared" si="71"/>
        <v>1.0000000202431951</v>
      </c>
      <c r="AB68" s="17">
        <f t="shared" si="72"/>
        <v>2.056707266429543E-4</v>
      </c>
      <c r="AC68" s="66" t="str">
        <f t="shared" si="73"/>
        <v>17.3951140547663-0.301103017811465i</v>
      </c>
      <c r="AD68" s="64">
        <f t="shared" si="74"/>
        <v>24.809846665514137</v>
      </c>
      <c r="AE68" s="61">
        <f t="shared" si="75"/>
        <v>-0.99166980724572507</v>
      </c>
      <c r="AF68" s="31" t="str">
        <f t="shared" si="60"/>
        <v>-9090.90909090909</v>
      </c>
      <c r="AG68" s="31" t="str">
        <f t="shared" si="61"/>
        <v>2.27623467397318E-08i</v>
      </c>
      <c r="AH68" s="31">
        <f t="shared" si="76"/>
        <v>2.27623467397318E-8</v>
      </c>
      <c r="AI68" s="31">
        <f t="shared" si="77"/>
        <v>1.5707963267948966</v>
      </c>
      <c r="AJ68" s="31" t="str">
        <f t="shared" si="62"/>
        <v>1+573844.005337005i</v>
      </c>
      <c r="AK68" s="31">
        <f t="shared" si="78"/>
        <v>573844.00533787627</v>
      </c>
      <c r="AL68" s="31">
        <f t="shared" si="79"/>
        <v>1.5707945841610262</v>
      </c>
      <c r="AM68" s="31" t="str">
        <f t="shared" si="63"/>
        <v>1+0.261836008333322i</v>
      </c>
      <c r="AN68" s="31">
        <f t="shared" si="80"/>
        <v>1.0337108373524617</v>
      </c>
      <c r="AO68" s="31">
        <f t="shared" si="81"/>
        <v>0.25608704126926435</v>
      </c>
      <c r="AS68" s="58" t="str">
        <f t="shared" si="82"/>
        <v>695979.155695552+182233.699997745i</v>
      </c>
      <c r="AT68" s="49">
        <f t="shared" si="83"/>
        <v>117.13991000855698</v>
      </c>
      <c r="AU68" s="61">
        <f t="shared" si="84"/>
        <v>14.672806498287439</v>
      </c>
      <c r="AV68" s="58" t="str">
        <f t="shared" si="85"/>
        <v>12161507.9100804+2960414.57196903i</v>
      </c>
      <c r="AW68" s="64">
        <f t="shared" si="86"/>
        <v>141.94975667407112</v>
      </c>
      <c r="AX68" s="61">
        <f t="shared" si="87"/>
        <v>13.681136691041646</v>
      </c>
      <c r="AY68" s="310"/>
      <c r="BA68" s="31">
        <f t="shared" si="88"/>
        <v>0</v>
      </c>
      <c r="BB68" s="31">
        <f t="shared" si="89"/>
        <v>0</v>
      </c>
    </row>
    <row r="69" spans="1:54" x14ac:dyDescent="0.45">
      <c r="A69" t="s">
        <v>208</v>
      </c>
      <c r="B69" s="1">
        <f>-(RFBB*gm_ea)/(RFBB+RFBT)</f>
        <v>-1.9985569985569984E-4</v>
      </c>
      <c r="C69" t="s">
        <v>136</v>
      </c>
      <c r="N69" s="10">
        <v>51</v>
      </c>
      <c r="O69" s="50">
        <f t="shared" si="64"/>
        <v>32.359365692962832</v>
      </c>
      <c r="P69" s="48" t="str">
        <f t="shared" si="55"/>
        <v>17.4002386318441</v>
      </c>
      <c r="Q69" s="17" t="str">
        <f t="shared" si="56"/>
        <v>1+0.0174127866408991i</v>
      </c>
      <c r="R69" s="17">
        <f t="shared" si="65"/>
        <v>1.000151591079373</v>
      </c>
      <c r="S69" s="17">
        <f t="shared" si="66"/>
        <v>1.7411027078863998E-2</v>
      </c>
      <c r="T69" s="17" t="str">
        <f t="shared" si="57"/>
        <v>1+0.0000609959673215026i</v>
      </c>
      <c r="U69" s="17">
        <f t="shared" si="67"/>
        <v>1.000000001860254</v>
      </c>
      <c r="V69" s="17">
        <f t="shared" si="68"/>
        <v>6.0995967245857269E-5</v>
      </c>
      <c r="W69" s="31" t="str">
        <f t="shared" si="58"/>
        <v>1-0.000150484381963253i</v>
      </c>
      <c r="X69" s="17">
        <f t="shared" si="69"/>
        <v>1.0000000113227745</v>
      </c>
      <c r="Y69" s="17">
        <f t="shared" si="70"/>
        <v>-1.5048438082731919E-4</v>
      </c>
      <c r="Z69" s="31" t="str">
        <f t="shared" si="59"/>
        <v>0.999999999050224+0.000210461416067669i</v>
      </c>
      <c r="AA69" s="17">
        <f t="shared" si="71"/>
        <v>1.0000000211972275</v>
      </c>
      <c r="AB69" s="17">
        <f t="shared" si="72"/>
        <v>2.1046141316016711E-4</v>
      </c>
      <c r="AC69" s="66" t="str">
        <f t="shared" si="73"/>
        <v>17.3948726140955-0.308112403917658i</v>
      </c>
      <c r="AD69" s="64">
        <f t="shared" si="74"/>
        <v>24.809787414035199</v>
      </c>
      <c r="AE69" s="61">
        <f t="shared" si="75"/>
        <v>-1.0147642277448699</v>
      </c>
      <c r="AF69" s="31" t="str">
        <f t="shared" si="60"/>
        <v>-9090.90909090909</v>
      </c>
      <c r="AG69" s="31" t="str">
        <f t="shared" si="61"/>
        <v>2.27623467397318E-08i</v>
      </c>
      <c r="AH69" s="31">
        <f t="shared" si="76"/>
        <v>2.27623467397318E-8</v>
      </c>
      <c r="AI69" s="31">
        <f t="shared" si="77"/>
        <v>1.5707963267948966</v>
      </c>
      <c r="AJ69" s="31" t="str">
        <f t="shared" si="62"/>
        <v>1+587210.549323676i</v>
      </c>
      <c r="AK69" s="31">
        <f t="shared" si="78"/>
        <v>587210.5493245275</v>
      </c>
      <c r="AL69" s="31">
        <f t="shared" si="79"/>
        <v>1.570794623828216</v>
      </c>
      <c r="AM69" s="31" t="str">
        <f t="shared" si="63"/>
        <v>1+0.267934952454253i</v>
      </c>
      <c r="AN69" s="31">
        <f t="shared" si="80"/>
        <v>1.0352724949242411</v>
      </c>
      <c r="AO69" s="31">
        <f t="shared" si="81"/>
        <v>0.26178610167255756</v>
      </c>
      <c r="AS69" s="58" t="str">
        <f t="shared" si="82"/>
        <v>680136.735955185+182233.645411094i</v>
      </c>
      <c r="AT69" s="49">
        <f t="shared" si="83"/>
        <v>116.95302213728789</v>
      </c>
      <c r="AU69" s="61">
        <f t="shared" si="84"/>
        <v>14.999336333823692</v>
      </c>
      <c r="AV69" s="58" t="str">
        <f t="shared" si="85"/>
        <v>11887040.3286694+2960372.48322037i</v>
      </c>
      <c r="AW69" s="64">
        <f t="shared" si="86"/>
        <v>141.76280955132307</v>
      </c>
      <c r="AX69" s="61">
        <f t="shared" si="87"/>
        <v>13.984572106078875</v>
      </c>
      <c r="AY69" s="310"/>
      <c r="BA69" s="31">
        <f t="shared" si="88"/>
        <v>0</v>
      </c>
      <c r="BB69" s="31">
        <f t="shared" si="89"/>
        <v>0</v>
      </c>
    </row>
    <row r="70" spans="1:54" x14ac:dyDescent="0.45">
      <c r="A70" t="s">
        <v>207</v>
      </c>
      <c r="B70" s="1">
        <f>1/(RCOMP*CCOMP)</f>
        <v>4545.454545454545</v>
      </c>
      <c r="E70" t="s">
        <v>220</v>
      </c>
      <c r="N70" s="10">
        <v>52</v>
      </c>
      <c r="O70" s="50">
        <f t="shared" si="64"/>
        <v>33.113112148259127</v>
      </c>
      <c r="P70" s="48" t="str">
        <f t="shared" si="55"/>
        <v>17.4002386318441</v>
      </c>
      <c r="Q70" s="17" t="str">
        <f t="shared" si="56"/>
        <v>1+0.0178183825457121i</v>
      </c>
      <c r="R70" s="17">
        <f t="shared" si="65"/>
        <v>1.0001587347799075</v>
      </c>
      <c r="S70" s="17">
        <f t="shared" si="66"/>
        <v>1.7816497157183527E-2</v>
      </c>
      <c r="T70" s="17" t="str">
        <f t="shared" si="57"/>
        <v>1+0.0000624167459174797i</v>
      </c>
      <c r="U70" s="17">
        <f t="shared" si="67"/>
        <v>1.0000000019479249</v>
      </c>
      <c r="V70" s="17">
        <f t="shared" si="68"/>
        <v>6.2416745836424271E-5</v>
      </c>
      <c r="W70" s="31" t="str">
        <f t="shared" si="58"/>
        <v>1-0.000153989613510698i</v>
      </c>
      <c r="X70" s="17">
        <f t="shared" si="69"/>
        <v>1.0000000118564005</v>
      </c>
      <c r="Y70" s="17">
        <f t="shared" si="70"/>
        <v>-1.5398961229352298E-4</v>
      </c>
      <c r="Z70" s="31" t="str">
        <f t="shared" si="59"/>
        <v>0.999999999005462+0.00021536369220753i</v>
      </c>
      <c r="AA70" s="17">
        <f t="shared" si="71"/>
        <v>1.0000000221962217</v>
      </c>
      <c r="AB70" s="17">
        <f t="shared" si="72"/>
        <v>2.1536368909208566E-4</v>
      </c>
      <c r="AC70" s="66" t="str">
        <f t="shared" si="73"/>
        <v>17.3946198017369-0.315284759047281i</v>
      </c>
      <c r="AD70" s="64">
        <f t="shared" si="74"/>
        <v>24.809725370986353</v>
      </c>
      <c r="AE70" s="61">
        <f t="shared" si="75"/>
        <v>-1.0383962620246969</v>
      </c>
      <c r="AF70" s="31" t="str">
        <f t="shared" si="60"/>
        <v>-9090.90909090909</v>
      </c>
      <c r="AG70" s="31" t="str">
        <f t="shared" si="61"/>
        <v>2.27623467397318E-08i</v>
      </c>
      <c r="AH70" s="31">
        <f t="shared" si="76"/>
        <v>2.27623467397318E-8</v>
      </c>
      <c r="AI70" s="31">
        <f t="shared" si="77"/>
        <v>1.5707963267948966</v>
      </c>
      <c r="AJ70" s="31" t="str">
        <f t="shared" si="62"/>
        <v>1+600888.440116252i</v>
      </c>
      <c r="AK70" s="31">
        <f t="shared" si="78"/>
        <v>600888.44011708407</v>
      </c>
      <c r="AL70" s="31">
        <f t="shared" si="79"/>
        <v>1.5707946625924702</v>
      </c>
      <c r="AM70" s="31" t="str">
        <f t="shared" si="63"/>
        <v>1+0.274175959233515i</v>
      </c>
      <c r="AN70" s="31">
        <f t="shared" si="80"/>
        <v>1.0369052302990944</v>
      </c>
      <c r="AO70" s="31">
        <f t="shared" si="81"/>
        <v>0.26759994547925808</v>
      </c>
      <c r="AS70" s="58" t="str">
        <f t="shared" si="82"/>
        <v>664654.933714885+182233.593281247i</v>
      </c>
      <c r="AT70" s="49">
        <f t="shared" si="83"/>
        <v>116.76670992288362</v>
      </c>
      <c r="AU70" s="61">
        <f t="shared" si="84"/>
        <v>15.332442825667689</v>
      </c>
      <c r="AV70" s="58" t="str">
        <f t="shared" si="85"/>
        <v>11618875.3458671+2960328.49960576i</v>
      </c>
      <c r="AW70" s="64">
        <f t="shared" si="86"/>
        <v>141.57643529386999</v>
      </c>
      <c r="AX70" s="61">
        <f t="shared" si="87"/>
        <v>14.294046563642931</v>
      </c>
      <c r="AY70" s="310"/>
      <c r="BA70" s="31">
        <f t="shared" si="88"/>
        <v>0</v>
      </c>
      <c r="BB70" s="31">
        <f t="shared" si="89"/>
        <v>0</v>
      </c>
    </row>
    <row r="71" spans="1:54" x14ac:dyDescent="0.45">
      <c r="N71" s="10">
        <v>53</v>
      </c>
      <c r="O71" s="50">
        <f t="shared" si="64"/>
        <v>33.884415613920268</v>
      </c>
      <c r="P71" s="48" t="str">
        <f t="shared" si="55"/>
        <v>17.4002386318441</v>
      </c>
      <c r="Q71" s="17" t="str">
        <f t="shared" si="56"/>
        <v>1+0.0182334259928048i</v>
      </c>
      <c r="R71" s="17">
        <f t="shared" si="65"/>
        <v>1.0001662150979882</v>
      </c>
      <c r="S71" s="17">
        <f t="shared" si="66"/>
        <v>1.8231405780730899E-2</v>
      </c>
      <c r="T71" s="17" t="str">
        <f t="shared" si="57"/>
        <v>1+0.0000638706186983251i</v>
      </c>
      <c r="U71" s="17">
        <f t="shared" si="67"/>
        <v>1.0000000020397279</v>
      </c>
      <c r="V71" s="17">
        <f t="shared" si="68"/>
        <v>6.3870618611472645E-5</v>
      </c>
      <c r="W71" s="31" t="str">
        <f t="shared" si="58"/>
        <v>1-0.000157576492389518i</v>
      </c>
      <c r="X71" s="17">
        <f t="shared" si="69"/>
        <v>1.0000000124151753</v>
      </c>
      <c r="Y71" s="17">
        <f t="shared" si="70"/>
        <v>-1.5757649108529147E-4</v>
      </c>
      <c r="Z71" s="31" t="str">
        <f t="shared" si="59"/>
        <v>0.999999998958591+0.000220380157027674i</v>
      </c>
      <c r="AA71" s="17">
        <f t="shared" si="71"/>
        <v>1.0000000232422976</v>
      </c>
      <c r="AB71" s="17">
        <f t="shared" si="72"/>
        <v>2.2038015368941523E-4</v>
      </c>
      <c r="AC71" s="66" t="str">
        <f t="shared" si="73"/>
        <v>17.3943550824404-0.32262385775653i</v>
      </c>
      <c r="AD71" s="64">
        <f t="shared" si="74"/>
        <v>24.809660404888607</v>
      </c>
      <c r="AE71" s="61">
        <f t="shared" si="75"/>
        <v>-1.0625784095294752</v>
      </c>
      <c r="AF71" s="31" t="str">
        <f t="shared" si="60"/>
        <v>-9090.90909090909</v>
      </c>
      <c r="AG71" s="31" t="str">
        <f t="shared" si="61"/>
        <v>2.27623467397318E-08i</v>
      </c>
      <c r="AH71" s="31">
        <f t="shared" si="76"/>
        <v>2.27623467397318E-8</v>
      </c>
      <c r="AI71" s="31">
        <f t="shared" si="77"/>
        <v>1.5707963267948966</v>
      </c>
      <c r="AJ71" s="31" t="str">
        <f t="shared" si="62"/>
        <v>1+614884.929913472i</v>
      </c>
      <c r="AK71" s="31">
        <f t="shared" si="78"/>
        <v>614884.9299142852</v>
      </c>
      <c r="AL71" s="31">
        <f t="shared" si="79"/>
        <v>1.5707947004743423</v>
      </c>
      <c r="AM71" s="31" t="str">
        <f t="shared" si="63"/>
        <v>1+0.280562337735509i</v>
      </c>
      <c r="AN71" s="31">
        <f t="shared" si="80"/>
        <v>1.0386121631078724</v>
      </c>
      <c r="AO71" s="31">
        <f t="shared" si="81"/>
        <v>0.27353008252938538</v>
      </c>
      <c r="AS71" s="58" t="str">
        <f t="shared" si="82"/>
        <v>649525.540318189+182233.543497632i</v>
      </c>
      <c r="AT71" s="49">
        <f t="shared" si="83"/>
        <v>116.58099670591614</v>
      </c>
      <c r="AU71" s="61">
        <f t="shared" si="84"/>
        <v>15.6722124801028</v>
      </c>
      <c r="AV71" s="58" t="str">
        <f t="shared" si="85"/>
        <v>11356870.7722244+2960282.52800031i</v>
      </c>
      <c r="AW71" s="64">
        <f t="shared" si="86"/>
        <v>141.39065711080477</v>
      </c>
      <c r="AX71" s="61">
        <f t="shared" si="87"/>
        <v>14.609634070573307</v>
      </c>
      <c r="AY71" s="310"/>
      <c r="BA71" s="31">
        <f t="shared" si="88"/>
        <v>0</v>
      </c>
      <c r="BB71" s="31">
        <f t="shared" si="89"/>
        <v>0</v>
      </c>
    </row>
    <row r="72" spans="1:54" x14ac:dyDescent="0.45">
      <c r="A72" t="s">
        <v>212</v>
      </c>
      <c r="B72" s="1">
        <f>(CCOMP+CHF)</f>
        <v>2.3000000000000001E-8</v>
      </c>
      <c r="E72" t="s">
        <v>221</v>
      </c>
      <c r="N72" s="10">
        <v>54</v>
      </c>
      <c r="O72" s="50">
        <f t="shared" si="64"/>
        <v>34.67368504525318</v>
      </c>
      <c r="P72" s="48" t="str">
        <f t="shared" si="55"/>
        <v>17.4002386318441</v>
      </c>
      <c r="Q72" s="17" t="str">
        <f t="shared" si="56"/>
        <v>1+0.0186581370437069i</v>
      </c>
      <c r="R72" s="17">
        <f t="shared" si="65"/>
        <v>1.0001740478926364</v>
      </c>
      <c r="S72" s="17">
        <f t="shared" si="66"/>
        <v>1.8655972367813418E-2</v>
      </c>
      <c r="T72" s="17" t="str">
        <f t="shared" si="57"/>
        <v>1+0.0000653583565266322i</v>
      </c>
      <c r="U72" s="17">
        <f t="shared" si="67"/>
        <v>1.0000000021358573</v>
      </c>
      <c r="V72" s="17">
        <f t="shared" si="68"/>
        <v>6.5358356433568119E-5</v>
      </c>
      <c r="W72" s="31" t="str">
        <f t="shared" si="58"/>
        <v>1-0.000161246920410376i</v>
      </c>
      <c r="X72" s="17">
        <f t="shared" si="69"/>
        <v>1.0000000130002846</v>
      </c>
      <c r="Y72" s="17">
        <f t="shared" si="70"/>
        <v>-1.612469190128721E-4</v>
      </c>
      <c r="Z72" s="31" t="str">
        <f t="shared" si="59"/>
        <v>0.999999998909511+0.000225513470324151i</v>
      </c>
      <c r="AA72" s="17">
        <f t="shared" si="71"/>
        <v>1.0000000243376734</v>
      </c>
      <c r="AB72" s="17">
        <f t="shared" si="72"/>
        <v>2.2551346674714226E-4</v>
      </c>
      <c r="AC72" s="66" t="str">
        <f t="shared" si="73"/>
        <v>17.3940778957957-0.330133560987967i</v>
      </c>
      <c r="AD72" s="64">
        <f t="shared" si="74"/>
        <v>24.80959237807447</v>
      </c>
      <c r="AE72" s="61">
        <f t="shared" si="75"/>
        <v>-1.0873234591957428</v>
      </c>
      <c r="AF72" s="31" t="str">
        <f t="shared" si="60"/>
        <v>-9090.90909090909</v>
      </c>
      <c r="AG72" s="31" t="str">
        <f t="shared" si="61"/>
        <v>2.27623467397318E-08i</v>
      </c>
      <c r="AH72" s="31">
        <f t="shared" si="76"/>
        <v>2.27623467397318E-8</v>
      </c>
      <c r="AI72" s="31">
        <f t="shared" si="77"/>
        <v>1.5707963267948966</v>
      </c>
      <c r="AJ72" s="31" t="str">
        <f t="shared" si="62"/>
        <v>1+629207.439839499i</v>
      </c>
      <c r="AK72" s="31">
        <f t="shared" si="78"/>
        <v>629207.43984029361</v>
      </c>
      <c r="AL72" s="31">
        <f t="shared" si="79"/>
        <v>1.5707947374939177</v>
      </c>
      <c r="AM72" s="31" t="str">
        <f t="shared" si="63"/>
        <v>1+0.287097474102652i</v>
      </c>
      <c r="AN72" s="31">
        <f t="shared" si="80"/>
        <v>1.0403965396117594</v>
      </c>
      <c r="AO72" s="31">
        <f t="shared" si="81"/>
        <v>0.27957798805667844</v>
      </c>
      <c r="AS72" s="58" t="str">
        <f t="shared" si="82"/>
        <v>634740.533960443+182233.495954646i</v>
      </c>
      <c r="AT72" s="49">
        <f t="shared" si="83"/>
        <v>116.3959066013596</v>
      </c>
      <c r="AU72" s="61">
        <f t="shared" si="84"/>
        <v>16.018729820645053</v>
      </c>
      <c r="AV72" s="58" t="str">
        <f t="shared" si="85"/>
        <v>11100887.6842777+2960234.47107852i</v>
      </c>
      <c r="AW72" s="64">
        <f t="shared" si="86"/>
        <v>141.20549897943408</v>
      </c>
      <c r="AX72" s="61">
        <f t="shared" si="87"/>
        <v>14.931406361449312</v>
      </c>
      <c r="AY72" s="310"/>
      <c r="BA72" s="31">
        <f t="shared" si="88"/>
        <v>0</v>
      </c>
      <c r="BB72" s="31">
        <f t="shared" si="89"/>
        <v>0</v>
      </c>
    </row>
    <row r="73" spans="1:54" x14ac:dyDescent="0.45">
      <c r="A73" s="31" t="s">
        <v>213</v>
      </c>
      <c r="B73" s="1">
        <f>(CCOMP+CHF)/(RCOMP*CHF*CCOMP)</f>
        <v>104545.45454545453</v>
      </c>
      <c r="E73" s="31" t="s">
        <v>222</v>
      </c>
      <c r="N73" s="10">
        <v>55</v>
      </c>
      <c r="O73" s="50">
        <f t="shared" si="64"/>
        <v>35.481338923357555</v>
      </c>
      <c r="P73" s="48" t="str">
        <f t="shared" si="55"/>
        <v>17.4002386318441</v>
      </c>
      <c r="Q73" s="17" t="str">
        <f t="shared" si="56"/>
        <v>1+0.0190927408858392i</v>
      </c>
      <c r="R73" s="17">
        <f t="shared" si="65"/>
        <v>1.0001822497697777</v>
      </c>
      <c r="S73" s="17">
        <f t="shared" si="66"/>
        <v>1.9090421416655991E-2</v>
      </c>
      <c r="T73" s="17" t="str">
        <f t="shared" si="57"/>
        <v>1+0.0000668807482206898i</v>
      </c>
      <c r="U73" s="17">
        <f t="shared" si="67"/>
        <v>1.0000000022365172</v>
      </c>
      <c r="V73" s="17">
        <f t="shared" si="68"/>
        <v>6.6880748120969833E-5</v>
      </c>
      <c r="W73" s="31" t="str">
        <f t="shared" si="58"/>
        <v>1-0.00016500284368279i</v>
      </c>
      <c r="X73" s="17">
        <f t="shared" si="69"/>
        <v>1.0000000136129692</v>
      </c>
      <c r="Y73" s="17">
        <f t="shared" si="70"/>
        <v>-1.6500284218533761E-4</v>
      </c>
      <c r="Z73" s="31" t="str">
        <f t="shared" si="59"/>
        <v>0.999999998858118+0.000230766353847618i</v>
      </c>
      <c r="AA73" s="17">
        <f t="shared" si="71"/>
        <v>1.0000000254846726</v>
      </c>
      <c r="AB73" s="17">
        <f t="shared" si="72"/>
        <v>2.3076635001478406E-4</v>
      </c>
      <c r="AC73" s="66" t="str">
        <f t="shared" si="73"/>
        <v>17.3937876550533-0.337817817973167i</v>
      </c>
      <c r="AD73" s="64">
        <f t="shared" si="74"/>
        <v>24.809521146397294</v>
      </c>
      <c r="AE73" s="61">
        <f t="shared" si="75"/>
        <v>-1.1126444960769106</v>
      </c>
      <c r="AF73" s="31" t="str">
        <f t="shared" si="60"/>
        <v>-9090.90909090909</v>
      </c>
      <c r="AG73" s="31" t="str">
        <f t="shared" si="61"/>
        <v>2.27623467397318E-08i</v>
      </c>
      <c r="AH73" s="31">
        <f t="shared" si="76"/>
        <v>2.27623467397318E-8</v>
      </c>
      <c r="AI73" s="31">
        <f t="shared" si="77"/>
        <v>1.5707963267948966</v>
      </c>
      <c r="AJ73" s="31" t="str">
        <f t="shared" si="62"/>
        <v>1+643863.563878673i</v>
      </c>
      <c r="AK73" s="31">
        <f t="shared" si="78"/>
        <v>643863.56387944962</v>
      </c>
      <c r="AL73" s="31">
        <f t="shared" si="79"/>
        <v>1.5707947736708248</v>
      </c>
      <c r="AM73" s="31" t="str">
        <f t="shared" si="63"/>
        <v>1+0.29378483335075i</v>
      </c>
      <c r="AN73" s="31">
        <f t="shared" si="80"/>
        <v>1.0422617369485114</v>
      </c>
      <c r="AO73" s="31">
        <f t="shared" si="81"/>
        <v>0.28574509832616141</v>
      </c>
      <c r="AS73" s="58" t="str">
        <f t="shared" si="82"/>
        <v>620292.075435581+182233.450551449i</v>
      </c>
      <c r="AT73" s="49">
        <f t="shared" si="83"/>
        <v>116.21146450899573</v>
      </c>
      <c r="AU73" s="61">
        <f t="shared" si="84"/>
        <v>16.37207713809417</v>
      </c>
      <c r="AV73" s="58" t="str">
        <f t="shared" si="85"/>
        <v>10850790.3508658+2960184.22710986i</v>
      </c>
      <c r="AW73" s="64">
        <f t="shared" si="86"/>
        <v>141.02098565539302</v>
      </c>
      <c r="AX73" s="61">
        <f t="shared" si="87"/>
        <v>15.259432642017254</v>
      </c>
      <c r="AY73" s="310"/>
      <c r="BA73" s="31">
        <f t="shared" si="88"/>
        <v>0</v>
      </c>
      <c r="BB73" s="31">
        <f t="shared" si="89"/>
        <v>0</v>
      </c>
    </row>
    <row r="74" spans="1:54" x14ac:dyDescent="0.45">
      <c r="N74" s="10">
        <v>56</v>
      </c>
      <c r="O74" s="50">
        <f t="shared" si="64"/>
        <v>36.307805477010156</v>
      </c>
      <c r="P74" s="48" t="str">
        <f t="shared" si="55"/>
        <v>17.4002386318441</v>
      </c>
      <c r="Q74" s="17" t="str">
        <f t="shared" si="56"/>
        <v>1+0.0195374679519116i</v>
      </c>
      <c r="R74" s="17">
        <f t="shared" si="65"/>
        <v>1.0001908381173925</v>
      </c>
      <c r="S74" s="17">
        <f t="shared" si="66"/>
        <v>1.9534982621514738E-2</v>
      </c>
      <c r="T74" s="17" t="str">
        <f t="shared" si="57"/>
        <v>1+0.0000684386009727256i</v>
      </c>
      <c r="U74" s="17">
        <f t="shared" si="67"/>
        <v>1.0000000023419211</v>
      </c>
      <c r="V74" s="17">
        <f t="shared" si="68"/>
        <v>6.8438600865873737E-5</v>
      </c>
      <c r="W74" s="31" t="str">
        <f t="shared" si="58"/>
        <v>1-0.000168846253646996i</v>
      </c>
      <c r="X74" s="17">
        <f t="shared" si="69"/>
        <v>1.0000000142545287</v>
      </c>
      <c r="Y74" s="17">
        <f t="shared" si="70"/>
        <v>-1.6884625204244684E-4</v>
      </c>
      <c r="Z74" s="31" t="str">
        <f t="shared" si="59"/>
        <v>0.999999998804302+0.000236141592746449i</v>
      </c>
      <c r="AA74" s="17">
        <f t="shared" si="71"/>
        <v>1.0000000266857276</v>
      </c>
      <c r="AB74" s="17">
        <f t="shared" si="72"/>
        <v>2.3614158863949361E-4</v>
      </c>
      <c r="AC74" s="66" t="str">
        <f t="shared" si="73"/>
        <v>17.3934837458898-0.345680668171952i</v>
      </c>
      <c r="AD74" s="64">
        <f t="shared" si="74"/>
        <v>24.80944655892662</v>
      </c>
      <c r="AE74" s="61">
        <f t="shared" si="75"/>
        <v>-1.1385549081140012</v>
      </c>
      <c r="AF74" s="31" t="str">
        <f t="shared" si="60"/>
        <v>-9090.90909090909</v>
      </c>
      <c r="AG74" s="31" t="str">
        <f t="shared" si="61"/>
        <v>2.27623467397318E-08i</v>
      </c>
      <c r="AH74" s="31">
        <f t="shared" si="76"/>
        <v>2.27623467397318E-8</v>
      </c>
      <c r="AI74" s="31">
        <f t="shared" si="77"/>
        <v>1.5707963267948966</v>
      </c>
      <c r="AJ74" s="31" t="str">
        <f t="shared" si="62"/>
        <v>1+658861.07290196i</v>
      </c>
      <c r="AK74" s="31">
        <f t="shared" si="78"/>
        <v>658861.07290271902</v>
      </c>
      <c r="AL74" s="31">
        <f t="shared" si="79"/>
        <v>1.570794809024245</v>
      </c>
      <c r="AM74" s="31" t="str">
        <f t="shared" si="63"/>
        <v>1+0.300627961206192i</v>
      </c>
      <c r="AN74" s="31">
        <f t="shared" si="80"/>
        <v>1.0442112674449513</v>
      </c>
      <c r="AO74" s="31">
        <f t="shared" si="81"/>
        <v>0.29203280605847592</v>
      </c>
      <c r="AS74" s="58" t="str">
        <f t="shared" si="82"/>
        <v>606172.503979644+182233.407191731i</v>
      </c>
      <c r="AT74" s="49">
        <f t="shared" si="83"/>
        <v>116.02769612247053</v>
      </c>
      <c r="AU74" s="61">
        <f t="shared" si="84"/>
        <v>16.732334228365772</v>
      </c>
      <c r="AV74" s="58" t="str">
        <f t="shared" si="85"/>
        <v>10606446.1611365+2960131.68974434i</v>
      </c>
      <c r="AW74" s="64">
        <f t="shared" si="86"/>
        <v>140.83714268139713</v>
      </c>
      <c r="AX74" s="61">
        <f t="shared" si="87"/>
        <v>15.593779320251823</v>
      </c>
      <c r="AY74" s="310"/>
      <c r="BA74" s="31">
        <f t="shared" si="88"/>
        <v>0</v>
      </c>
      <c r="BB74" s="31">
        <f t="shared" si="89"/>
        <v>0</v>
      </c>
    </row>
    <row r="75" spans="1:54" x14ac:dyDescent="0.45">
      <c r="N75" s="10">
        <v>57</v>
      </c>
      <c r="O75" s="50">
        <f t="shared" si="64"/>
        <v>37.15352290971726</v>
      </c>
      <c r="P75" s="48" t="str">
        <f t="shared" si="55"/>
        <v>17.4002386318441</v>
      </c>
      <c r="Q75" s="17" t="str">
        <f t="shared" si="56"/>
        <v>1+0.0199925540421009i</v>
      </c>
      <c r="R75" s="17">
        <f t="shared" si="65"/>
        <v>1.0001998311423204</v>
      </c>
      <c r="S75" s="17">
        <f t="shared" si="66"/>
        <v>1.9989890991335892E-2</v>
      </c>
      <c r="T75" s="17" t="str">
        <f t="shared" si="57"/>
        <v>1+0.0000700327407768889i</v>
      </c>
      <c r="U75" s="17">
        <f t="shared" si="67"/>
        <v>1.0000000024522924</v>
      </c>
      <c r="V75" s="17">
        <f t="shared" si="68"/>
        <v>7.0032740662395059E-5</v>
      </c>
      <c r="W75" s="31" t="str">
        <f t="shared" si="58"/>
        <v>1-0.00017277918812983i</v>
      </c>
      <c r="X75" s="17">
        <f t="shared" si="69"/>
        <v>1.0000000149263237</v>
      </c>
      <c r="Y75" s="17">
        <f t="shared" si="70"/>
        <v>-1.7277918641052462E-4</v>
      </c>
      <c r="Z75" s="31" t="str">
        <f t="shared" si="59"/>
        <v>0.999999998747951+0.000241642037043457i</v>
      </c>
      <c r="AA75" s="17">
        <f t="shared" si="71"/>
        <v>1.0000000279433876</v>
      </c>
      <c r="AB75" s="17">
        <f t="shared" si="72"/>
        <v>2.4164203264277491E-4</v>
      </c>
      <c r="AC75" s="66" t="str">
        <f t="shared" si="73"/>
        <v>17.3931655251164-0.353726243248393i</v>
      </c>
      <c r="AD75" s="64">
        <f t="shared" si="74"/>
        <v>24.809368457629617</v>
      </c>
      <c r="AE75" s="61">
        <f t="shared" si="75"/>
        <v>-1.1650683930548646</v>
      </c>
      <c r="AF75" s="31" t="str">
        <f t="shared" si="60"/>
        <v>-9090.90909090909</v>
      </c>
      <c r="AG75" s="31" t="str">
        <f t="shared" si="61"/>
        <v>2.27623467397318E-08i</v>
      </c>
      <c r="AH75" s="31">
        <f t="shared" si="76"/>
        <v>2.27623467397318E-8</v>
      </c>
      <c r="AI75" s="31">
        <f t="shared" si="77"/>
        <v>1.5707963267948966</v>
      </c>
      <c r="AJ75" s="31" t="str">
        <f t="shared" si="62"/>
        <v>1+674207.918787155i</v>
      </c>
      <c r="AK75" s="31">
        <f t="shared" si="78"/>
        <v>674207.91878789663</v>
      </c>
      <c r="AL75" s="31">
        <f t="shared" si="79"/>
        <v>1.5707948435729229</v>
      </c>
      <c r="AM75" s="31" t="str">
        <f t="shared" si="63"/>
        <v>1+0.307630485985947i</v>
      </c>
      <c r="AN75" s="31">
        <f t="shared" si="80"/>
        <v>1.0462487829899492</v>
      </c>
      <c r="AO75" s="31">
        <f t="shared" si="81"/>
        <v>0.29844245564067284</v>
      </c>
      <c r="AS75" s="58" t="str">
        <f t="shared" si="82"/>
        <v>592374.333208951+182233.365783522i</v>
      </c>
      <c r="AT75" s="49">
        <f t="shared" si="83"/>
        <v>115.84462793684375</v>
      </c>
      <c r="AU75" s="61">
        <f t="shared" si="84"/>
        <v>17.09957811809004</v>
      </c>
      <c r="AV75" s="58" t="str">
        <f t="shared" si="85"/>
        <v>10367725.5542069+2960076.74778911i</v>
      </c>
      <c r="AW75" s="64">
        <f t="shared" si="86"/>
        <v>140.65399639447341</v>
      </c>
      <c r="AX75" s="61">
        <f t="shared" si="87"/>
        <v>15.934509725035129</v>
      </c>
      <c r="AY75" s="310"/>
      <c r="BA75" s="31">
        <f t="shared" si="88"/>
        <v>0</v>
      </c>
      <c r="BB75" s="31">
        <f t="shared" si="89"/>
        <v>0</v>
      </c>
    </row>
    <row r="76" spans="1:54" x14ac:dyDescent="0.45">
      <c r="N76" s="10">
        <v>58</v>
      </c>
      <c r="O76" s="50">
        <f t="shared" si="64"/>
        <v>38.018939632056139</v>
      </c>
      <c r="P76" s="48" t="str">
        <f t="shared" si="55"/>
        <v>17.4002386318441</v>
      </c>
      <c r="Q76" s="17" t="str">
        <f t="shared" si="56"/>
        <v>1+0.0204582404490761i</v>
      </c>
      <c r="R76" s="17">
        <f t="shared" si="65"/>
        <v>1.0002092479087925</v>
      </c>
      <c r="S76" s="17">
        <f t="shared" si="66"/>
        <v>2.0455386971011059E-2</v>
      </c>
      <c r="T76" s="17" t="str">
        <f t="shared" si="57"/>
        <v>1+0.000071664012867205i</v>
      </c>
      <c r="U76" s="17">
        <f t="shared" si="67"/>
        <v>1.0000000025678653</v>
      </c>
      <c r="V76" s="17">
        <f t="shared" si="68"/>
        <v>7.1664012744522651E-5</v>
      </c>
      <c r="W76" s="31" t="str">
        <f t="shared" si="58"/>
        <v>1-0.000176803732425213i</v>
      </c>
      <c r="X76" s="17">
        <f t="shared" si="69"/>
        <v>1.0000000156297797</v>
      </c>
      <c r="Y76" s="17">
        <f t="shared" si="70"/>
        <v>-1.7680373058294408E-4</v>
      </c>
      <c r="Z76" s="31" t="str">
        <f t="shared" si="59"/>
        <v>0.999999998688944+0.000247270603147016i</v>
      </c>
      <c r="AA76" s="17">
        <f t="shared" si="71"/>
        <v>1.0000000292603191</v>
      </c>
      <c r="AB76" s="17">
        <f t="shared" si="72"/>
        <v>2.4727059843160013E-4</v>
      </c>
      <c r="AC76" s="66" t="str">
        <f t="shared" si="73"/>
        <v>17.3928323193262-0.361958769083896i</v>
      </c>
      <c r="AD76" s="64">
        <f t="shared" si="74"/>
        <v>24.80928667703704</v>
      </c>
      <c r="AE76" s="61">
        <f t="shared" si="75"/>
        <v>-1.1921989655249661</v>
      </c>
      <c r="AF76" s="31" t="str">
        <f t="shared" si="60"/>
        <v>-9090.90909090909</v>
      </c>
      <c r="AG76" s="31" t="str">
        <f t="shared" si="61"/>
        <v>2.27623467397318E-08i</v>
      </c>
      <c r="AH76" s="31">
        <f t="shared" si="76"/>
        <v>2.27623467397318E-8</v>
      </c>
      <c r="AI76" s="31">
        <f t="shared" si="77"/>
        <v>1.5707963267948966</v>
      </c>
      <c r="AJ76" s="31" t="str">
        <f t="shared" si="62"/>
        <v>1+689912.238635087i</v>
      </c>
      <c r="AK76" s="31">
        <f t="shared" si="78"/>
        <v>689912.23863581184</v>
      </c>
      <c r="AL76" s="31">
        <f t="shared" si="79"/>
        <v>1.570794877335177</v>
      </c>
      <c r="AM76" s="31" t="str">
        <f t="shared" si="63"/>
        <v>1+0.314796120521342i</v>
      </c>
      <c r="AN76" s="31">
        <f t="shared" si="80"/>
        <v>1.0483780794614543</v>
      </c>
      <c r="AO76" s="31">
        <f t="shared" si="81"/>
        <v>0.30497533812434113</v>
      </c>
      <c r="AS76" s="58" t="str">
        <f t="shared" si="82"/>
        <v>578890.247150727+182233.32623899i</v>
      </c>
      <c r="AT76" s="49">
        <f t="shared" si="83"/>
        <v>115.66228725446349</v>
      </c>
      <c r="AU76" s="61">
        <f t="shared" si="84"/>
        <v>17.473882778024478</v>
      </c>
      <c r="AV76" s="58" t="str">
        <f t="shared" si="85"/>
        <v>10134501.9504374+2960019.28497447i</v>
      </c>
      <c r="AW76" s="64">
        <f t="shared" si="86"/>
        <v>140.47157393150053</v>
      </c>
      <c r="AX76" s="61">
        <f t="shared" si="87"/>
        <v>16.281683812499541</v>
      </c>
      <c r="AY76" s="310"/>
      <c r="BA76" s="31">
        <f t="shared" si="88"/>
        <v>0</v>
      </c>
      <c r="BB76" s="31">
        <f t="shared" si="89"/>
        <v>0</v>
      </c>
    </row>
    <row r="77" spans="1:54" x14ac:dyDescent="0.45">
      <c r="N77" s="10">
        <v>59</v>
      </c>
      <c r="O77" s="50">
        <f t="shared" si="64"/>
        <v>38.904514499428053</v>
      </c>
      <c r="P77" s="48" t="str">
        <f t="shared" si="55"/>
        <v>17.4002386318441</v>
      </c>
      <c r="Q77" s="17" t="str">
        <f t="shared" si="56"/>
        <v>1+0.0209347740859343i</v>
      </c>
      <c r="R77" s="17">
        <f t="shared" si="65"/>
        <v>1.0002191083787737</v>
      </c>
      <c r="S77" s="17">
        <f t="shared" si="66"/>
        <v>2.093171656527397E-2</v>
      </c>
      <c r="T77" s="17" t="str">
        <f t="shared" si="57"/>
        <v>1+0.0000733332821657287i</v>
      </c>
      <c r="U77" s="17">
        <f t="shared" si="67"/>
        <v>1.0000000026888851</v>
      </c>
      <c r="V77" s="17">
        <f t="shared" si="68"/>
        <v>7.3333282034272182E-5</v>
      </c>
      <c r="W77" s="31" t="str">
        <f t="shared" si="58"/>
        <v>1-0.000180922020399802i</v>
      </c>
      <c r="X77" s="17">
        <f t="shared" si="69"/>
        <v>1.0000000163663885</v>
      </c>
      <c r="Y77" s="17">
        <f t="shared" si="70"/>
        <v>-1.8092201842577528E-4</v>
      </c>
      <c r="Z77" s="31" t="str">
        <f t="shared" si="59"/>
        <v>0.999999998627155+0.000253030275397377i</v>
      </c>
      <c r="AA77" s="17">
        <f t="shared" si="71"/>
        <v>1.0000000306393149</v>
      </c>
      <c r="AB77" s="17">
        <f t="shared" si="72"/>
        <v>2.5303027034471803E-4</v>
      </c>
      <c r="AC77" s="66" t="str">
        <f t="shared" si="73"/>
        <v>17.3924834234799-0.370382567827606i</v>
      </c>
      <c r="AD77" s="64">
        <f t="shared" si="74"/>
        <v>24.809201043894241</v>
      </c>
      <c r="AE77" s="61">
        <f t="shared" si="75"/>
        <v>-1.2199609642524551</v>
      </c>
      <c r="AF77" s="31" t="str">
        <f t="shared" si="60"/>
        <v>-9090.90909090909</v>
      </c>
      <c r="AG77" s="31" t="str">
        <f t="shared" si="61"/>
        <v>2.27623467397318E-08i</v>
      </c>
      <c r="AH77" s="31">
        <f t="shared" si="76"/>
        <v>2.27623467397318E-8</v>
      </c>
      <c r="AI77" s="31">
        <f t="shared" si="77"/>
        <v>1.5707963267948966</v>
      </c>
      <c r="AJ77" s="31" t="str">
        <f t="shared" si="62"/>
        <v>1+705982.359084012i</v>
      </c>
      <c r="AK77" s="31">
        <f t="shared" si="78"/>
        <v>705982.35908472026</v>
      </c>
      <c r="AL77" s="31">
        <f t="shared" si="79"/>
        <v>1.5707949103289083</v>
      </c>
      <c r="AM77" s="31" t="str">
        <f t="shared" si="63"/>
        <v>1+0.322128664126657i</v>
      </c>
      <c r="AN77" s="31">
        <f t="shared" si="80"/>
        <v>1.0506031012004602</v>
      </c>
      <c r="AO77" s="31">
        <f t="shared" si="81"/>
        <v>0.31163268601332195</v>
      </c>
      <c r="AS77" s="58" t="str">
        <f t="shared" si="82"/>
        <v>565713.096364052+182233.288474255i</v>
      </c>
      <c r="AT77" s="49">
        <f t="shared" si="83"/>
        <v>115.48070218898962</v>
      </c>
      <c r="AU77" s="61">
        <f t="shared" si="84"/>
        <v>17.855318824411874</v>
      </c>
      <c r="AV77" s="58" t="str">
        <f t="shared" si="85"/>
        <v>9906651.68428603+2959959.17970969i</v>
      </c>
      <c r="AW77" s="64">
        <f t="shared" si="86"/>
        <v>140.28990323288386</v>
      </c>
      <c r="AX77" s="61">
        <f t="shared" si="87"/>
        <v>16.635357860159427</v>
      </c>
      <c r="AY77" s="310"/>
      <c r="BA77" s="31">
        <f t="shared" si="88"/>
        <v>0</v>
      </c>
      <c r="BB77" s="31">
        <f t="shared" si="89"/>
        <v>0</v>
      </c>
    </row>
    <row r="78" spans="1:54" x14ac:dyDescent="0.45">
      <c r="A78" s="58" t="str">
        <f>"Crossover Frequency = "&amp;B78</f>
        <v>Crossover Frequency = 0 kHz</v>
      </c>
      <c r="B78" s="49" t="str">
        <f>ROUND(D78,1)&amp;" kHz"</f>
        <v>0 kHz</v>
      </c>
      <c r="C78" s="300"/>
      <c r="D78" s="301">
        <f>BB12</f>
        <v>0</v>
      </c>
      <c r="N78" s="10">
        <v>60</v>
      </c>
      <c r="O78" s="50">
        <f t="shared" si="64"/>
        <v>39.810717055349755</v>
      </c>
      <c r="P78" s="48" t="str">
        <f t="shared" si="55"/>
        <v>17.4002386318441</v>
      </c>
      <c r="Q78" s="17" t="str">
        <f t="shared" si="56"/>
        <v>1+0.0214224076171172i</v>
      </c>
      <c r="R78" s="17">
        <f t="shared" si="65"/>
        <v>1.0002294334542021</v>
      </c>
      <c r="S78" s="17">
        <f t="shared" si="66"/>
        <v>2.1419131465289579E-2</v>
      </c>
      <c r="T78" s="17" t="str">
        <f t="shared" si="57"/>
        <v>1+0.0000750414337411372i</v>
      </c>
      <c r="U78" s="17">
        <f t="shared" si="67"/>
        <v>1.0000000028156084</v>
      </c>
      <c r="V78" s="17">
        <f t="shared" si="68"/>
        <v>7.5041433600279015E-5</v>
      </c>
      <c r="W78" s="31" t="str">
        <f t="shared" si="58"/>
        <v>1-0.000185136235624393i</v>
      </c>
      <c r="X78" s="17">
        <f t="shared" si="69"/>
        <v>1.0000000171377128</v>
      </c>
      <c r="Y78" s="17">
        <f t="shared" si="70"/>
        <v>-1.8513623350918527E-4</v>
      </c>
      <c r="Z78" s="31" t="str">
        <f t="shared" si="59"/>
        <v>0.999999998562455+0.000258924107649004i</v>
      </c>
      <c r="AA78" s="17">
        <f t="shared" si="71"/>
        <v>1.0000000320833013</v>
      </c>
      <c r="AB78" s="17">
        <f t="shared" si="72"/>
        <v>2.5892410223498242E-4</v>
      </c>
      <c r="AC78" s="66" t="str">
        <f t="shared" si="73"/>
        <v>17.3921180994246-0.379002059984262i</v>
      </c>
      <c r="AD78" s="64">
        <f t="shared" si="74"/>
        <v>24.809111376795279</v>
      </c>
      <c r="AE78" s="61">
        <f t="shared" si="75"/>
        <v>-1.2483690594503478</v>
      </c>
      <c r="AF78" s="31" t="str">
        <f t="shared" si="60"/>
        <v>-9090.90909090909</v>
      </c>
      <c r="AG78" s="31" t="str">
        <f t="shared" si="61"/>
        <v>2.27623467397318E-08i</v>
      </c>
      <c r="AH78" s="31">
        <f t="shared" si="76"/>
        <v>2.27623467397318E-8</v>
      </c>
      <c r="AI78" s="31">
        <f t="shared" si="77"/>
        <v>1.5707963267948966</v>
      </c>
      <c r="AJ78" s="31" t="str">
        <f t="shared" si="62"/>
        <v>1+722426.800724503i</v>
      </c>
      <c r="AK78" s="31">
        <f t="shared" si="78"/>
        <v>722426.80072519497</v>
      </c>
      <c r="AL78" s="31">
        <f t="shared" si="79"/>
        <v>1.5707949425716106</v>
      </c>
      <c r="AM78" s="31" t="str">
        <f t="shared" si="63"/>
        <v>1+0.329632004613568i</v>
      </c>
      <c r="AN78" s="31">
        <f t="shared" si="80"/>
        <v>1.0529279455240796</v>
      </c>
      <c r="AO78" s="31">
        <f t="shared" si="81"/>
        <v>0.31841566784471403</v>
      </c>
      <c r="AS78" s="58" t="str">
        <f t="shared" si="82"/>
        <v>552835.894149162+182233.252409212i</v>
      </c>
      <c r="AT78" s="49">
        <f t="shared" si="83"/>
        <v>115.29990166738523</v>
      </c>
      <c r="AU78" s="61">
        <f t="shared" si="84"/>
        <v>18.243953208493785</v>
      </c>
      <c r="AV78" s="58" t="str">
        <f t="shared" si="85"/>
        <v>9684053.93870394+2959896.30482749i</v>
      </c>
      <c r="AW78" s="64">
        <f t="shared" si="86"/>
        <v>140.1090130441805</v>
      </c>
      <c r="AX78" s="61">
        <f t="shared" si="87"/>
        <v>16.995584149043427</v>
      </c>
      <c r="AY78" s="310"/>
      <c r="BA78" s="31">
        <f t="shared" si="88"/>
        <v>0</v>
      </c>
      <c r="BB78" s="31">
        <f t="shared" si="89"/>
        <v>0</v>
      </c>
    </row>
    <row r="79" spans="1:54" x14ac:dyDescent="0.45">
      <c r="A79" s="58" t="str">
        <f>"Phase Margin = "&amp;B79</f>
        <v>Phase Margin = 0°</v>
      </c>
      <c r="B79" s="302" t="str">
        <f>ROUND(D79,0)&amp;"°"</f>
        <v>0°</v>
      </c>
      <c r="C79" s="303"/>
      <c r="D79" s="301">
        <f>BB14</f>
        <v>0</v>
      </c>
      <c r="N79" s="10">
        <v>61</v>
      </c>
      <c r="O79" s="50">
        <f t="shared" si="64"/>
        <v>40.738027780411279</v>
      </c>
      <c r="P79" s="48" t="str">
        <f t="shared" si="55"/>
        <v>17.4002386318441</v>
      </c>
      <c r="Q79" s="17" t="str">
        <f t="shared" si="56"/>
        <v>1+0.0219213995923779i</v>
      </c>
      <c r="R79" s="17">
        <f t="shared" si="65"/>
        <v>1.0002402450212091</v>
      </c>
      <c r="S79" s="17">
        <f t="shared" si="66"/>
        <v>2.1917889177984682E-2</v>
      </c>
      <c r="T79" s="17" t="str">
        <f t="shared" si="57"/>
        <v>1+0.0000767893732780063i</v>
      </c>
      <c r="U79" s="17">
        <f t="shared" si="67"/>
        <v>1.0000000029483038</v>
      </c>
      <c r="V79" s="17">
        <f t="shared" si="68"/>
        <v>7.6789373127074024E-5</v>
      </c>
      <c r="W79" s="31" t="str">
        <f t="shared" si="58"/>
        <v>1-0.00018944861253168i</v>
      </c>
      <c r="X79" s="17">
        <f t="shared" si="69"/>
        <v>1.0000000179453883</v>
      </c>
      <c r="Y79" s="17">
        <f t="shared" si="70"/>
        <v>-1.8944861026519408E-4</v>
      </c>
      <c r="Z79" s="31" t="str">
        <f t="shared" si="59"/>
        <v>0.999999998494706+0.000264955224889774i</v>
      </c>
      <c r="AA79" s="17">
        <f t="shared" si="71"/>
        <v>1.000000033595341</v>
      </c>
      <c r="AB79" s="17">
        <f t="shared" si="72"/>
        <v>2.6495521908854525E-4</v>
      </c>
      <c r="AC79" s="66" t="str">
        <f t="shared" si="73"/>
        <v>17.3917355743442-0.38782176653974i</v>
      </c>
      <c r="AD79" s="64">
        <f t="shared" si="74"/>
        <v>24.809017485800105</v>
      </c>
      <c r="AE79" s="61">
        <f t="shared" si="75"/>
        <v>-1.277438260358895</v>
      </c>
      <c r="AF79" s="31" t="str">
        <f t="shared" si="60"/>
        <v>-9090.90909090909</v>
      </c>
      <c r="AG79" s="31" t="str">
        <f t="shared" si="61"/>
        <v>2.27623467397318E-08i</v>
      </c>
      <c r="AH79" s="31">
        <f t="shared" si="76"/>
        <v>2.27623467397318E-8</v>
      </c>
      <c r="AI79" s="31">
        <f t="shared" si="77"/>
        <v>1.5707963267948966</v>
      </c>
      <c r="AJ79" s="31" t="str">
        <f t="shared" si="62"/>
        <v>1+739254.282617189i</v>
      </c>
      <c r="AK79" s="31">
        <f t="shared" si="78"/>
        <v>739254.28261786525</v>
      </c>
      <c r="AL79" s="31">
        <f t="shared" si="79"/>
        <v>1.5707949740803795</v>
      </c>
      <c r="AM79" s="31" t="str">
        <f t="shared" si="63"/>
        <v>1+0.337310120352522i</v>
      </c>
      <c r="AN79" s="31">
        <f t="shared" si="80"/>
        <v>1.0553568672691873</v>
      </c>
      <c r="AO79" s="31">
        <f t="shared" si="81"/>
        <v>0.32532538256853666</v>
      </c>
      <c r="AS79" s="58" t="str">
        <f t="shared" si="82"/>
        <v>540251.812842996+182233.217967365i</v>
      </c>
      <c r="AT79" s="49">
        <f t="shared" si="83"/>
        <v>115.11991542968532</v>
      </c>
      <c r="AU79" s="61">
        <f t="shared" si="84"/>
        <v>18.63984889448875</v>
      </c>
      <c r="AV79" s="58" t="str">
        <f t="shared" si="85"/>
        <v>9466590.6810398+2959830.52731717i</v>
      </c>
      <c r="AW79" s="64">
        <f t="shared" si="86"/>
        <v>139.92893291548543</v>
      </c>
      <c r="AX79" s="61">
        <f t="shared" si="87"/>
        <v>17.362410634129834</v>
      </c>
      <c r="AY79" s="310"/>
      <c r="BA79" s="31">
        <f t="shared" si="88"/>
        <v>0</v>
      </c>
      <c r="BB79" s="31">
        <f t="shared" si="89"/>
        <v>0</v>
      </c>
    </row>
    <row r="80" spans="1:54" x14ac:dyDescent="0.45">
      <c r="N80" s="10">
        <v>62</v>
      </c>
      <c r="O80" s="50">
        <f t="shared" si="64"/>
        <v>41.686938347033561</v>
      </c>
      <c r="P80" s="48" t="str">
        <f t="shared" si="55"/>
        <v>17.4002386318441</v>
      </c>
      <c r="Q80" s="17" t="str">
        <f t="shared" si="56"/>
        <v>1+0.0224320145838665i</v>
      </c>
      <c r="R80" s="17">
        <f t="shared" si="65"/>
        <v>1.0002515659964202</v>
      </c>
      <c r="S80" s="17">
        <f t="shared" si="66"/>
        <v>2.2428253158166482E-2</v>
      </c>
      <c r="T80" s="17" t="str">
        <f t="shared" si="57"/>
        <v>1+0.000078578027557015i</v>
      </c>
      <c r="U80" s="17">
        <f t="shared" si="67"/>
        <v>1.0000000030872531</v>
      </c>
      <c r="V80" s="17">
        <f t="shared" si="68"/>
        <v>7.8578027395288151E-5</v>
      </c>
      <c r="W80" s="31" t="str">
        <f t="shared" si="58"/>
        <v>1-0.00019386143760098i</v>
      </c>
      <c r="X80" s="17">
        <f t="shared" si="69"/>
        <v>1.0000000187911284</v>
      </c>
      <c r="Y80" s="17">
        <f t="shared" si="70"/>
        <v>-1.938614351723966E-4</v>
      </c>
      <c r="Z80" s="31" t="str">
        <f t="shared" si="59"/>
        <v>0.999999998423763+0.000271126824897877i</v>
      </c>
      <c r="AA80" s="17">
        <f t="shared" si="71"/>
        <v>1.0000000351786398</v>
      </c>
      <c r="AB80" s="17">
        <f t="shared" si="72"/>
        <v>2.7112681868174854E-4</v>
      </c>
      <c r="AC80" s="66" t="str">
        <f t="shared" si="73"/>
        <v>17.3913350391381-0.396846311124276i</v>
      </c>
      <c r="AD80" s="64">
        <f t="shared" si="74"/>
        <v>24.808919172034003</v>
      </c>
      <c r="AE80" s="61">
        <f t="shared" si="75"/>
        <v>-1.3071839229506839</v>
      </c>
      <c r="AF80" s="31" t="str">
        <f t="shared" si="60"/>
        <v>-9090.90909090909</v>
      </c>
      <c r="AG80" s="31" t="str">
        <f t="shared" si="61"/>
        <v>2.27623467397318E-08i</v>
      </c>
      <c r="AH80" s="31">
        <f t="shared" si="76"/>
        <v>2.27623467397318E-8</v>
      </c>
      <c r="AI80" s="31">
        <f t="shared" si="77"/>
        <v>1.5707963267948966</v>
      </c>
      <c r="AJ80" s="31" t="str">
        <f t="shared" si="62"/>
        <v>1+756473.726915708i</v>
      </c>
      <c r="AK80" s="31">
        <f t="shared" si="78"/>
        <v>756473.72691636905</v>
      </c>
      <c r="AL80" s="31">
        <f t="shared" si="79"/>
        <v>1.570795004871921</v>
      </c>
      <c r="AM80" s="31" t="str">
        <f t="shared" si="63"/>
        <v>1+0.345167082382114i</v>
      </c>
      <c r="AN80" s="31">
        <f t="shared" si="80"/>
        <v>1.0578942833573595</v>
      </c>
      <c r="AO80" s="31">
        <f t="shared" si="81"/>
        <v>0.33236285373315871</v>
      </c>
      <c r="AS80" s="58" t="str">
        <f t="shared" si="82"/>
        <v>527954.18019907+182233.185075655i</v>
      </c>
      <c r="AT80" s="49">
        <f t="shared" si="83"/>
        <v>114.94077402634881</v>
      </c>
      <c r="AU80" s="61">
        <f t="shared" si="84"/>
        <v>19.043064526441192</v>
      </c>
      <c r="AV80" s="58" t="str">
        <f t="shared" si="85"/>
        <v>9254146.60041722+2959761.70804533i</v>
      </c>
      <c r="AW80" s="64">
        <f t="shared" si="86"/>
        <v>139.74969319838283</v>
      </c>
      <c r="AX80" s="61">
        <f t="shared" si="87"/>
        <v>17.735880603490482</v>
      </c>
      <c r="AY80" s="310"/>
      <c r="BA80" s="31">
        <f t="shared" si="88"/>
        <v>0</v>
      </c>
      <c r="BB80" s="31">
        <f t="shared" si="89"/>
        <v>0</v>
      </c>
    </row>
    <row r="81" spans="14:54" x14ac:dyDescent="0.45">
      <c r="N81" s="10">
        <v>63</v>
      </c>
      <c r="O81" s="50">
        <f t="shared" si="64"/>
        <v>42.657951880159267</v>
      </c>
      <c r="P81" s="48" t="str">
        <f t="shared" si="55"/>
        <v>17.4002386318441</v>
      </c>
      <c r="Q81" s="17" t="str">
        <f t="shared" si="56"/>
        <v>1+0.0229545233264103i</v>
      </c>
      <c r="R81" s="17">
        <f t="shared" si="65"/>
        <v>1.0002634203754242</v>
      </c>
      <c r="S81" s="17">
        <f t="shared" si="66"/>
        <v>2.2950492943481445E-2</v>
      </c>
      <c r="T81" s="17" t="str">
        <f t="shared" si="57"/>
        <v>1+0.0000804083449463374i</v>
      </c>
      <c r="U81" s="17">
        <f t="shared" si="67"/>
        <v>1.000000003232751</v>
      </c>
      <c r="V81" s="17">
        <f t="shared" si="68"/>
        <v>8.0408344773043956E-5</v>
      </c>
      <c r="W81" s="31" t="str">
        <f t="shared" si="58"/>
        <v>1-0.000198377050570556i</v>
      </c>
      <c r="X81" s="17">
        <f t="shared" si="69"/>
        <v>1.0000000196767269</v>
      </c>
      <c r="Y81" s="17">
        <f t="shared" si="70"/>
        <v>-1.98377047968282E-4</v>
      </c>
      <c r="Z81" s="31" t="str">
        <f t="shared" si="59"/>
        <v>0.999999998349478+0.000277442179937329i</v>
      </c>
      <c r="AA81" s="17">
        <f t="shared" si="71"/>
        <v>1.0000000368365589</v>
      </c>
      <c r="AB81" s="17">
        <f t="shared" si="72"/>
        <v>2.7744217327662718E-4</v>
      </c>
      <c r="AC81" s="66" t="str">
        <f t="shared" si="73"/>
        <v>17.390915646724-0.406080422213487i</v>
      </c>
      <c r="AD81" s="64">
        <f t="shared" si="74"/>
        <v>24.808816227267911</v>
      </c>
      <c r="AE81" s="61">
        <f t="shared" si="75"/>
        <v>-1.3376217578016683</v>
      </c>
      <c r="AF81" s="31" t="str">
        <f t="shared" si="60"/>
        <v>-9090.90909090909</v>
      </c>
      <c r="AG81" s="31" t="str">
        <f t="shared" si="61"/>
        <v>2.27623467397318E-08i</v>
      </c>
      <c r="AH81" s="31">
        <f t="shared" si="76"/>
        <v>2.27623467397318E-8</v>
      </c>
      <c r="AI81" s="31">
        <f t="shared" si="77"/>
        <v>1.5707963267948966</v>
      </c>
      <c r="AJ81" s="31" t="str">
        <f t="shared" si="62"/>
        <v>1+774094.263597348i</v>
      </c>
      <c r="AK81" s="31">
        <f t="shared" si="78"/>
        <v>774094.263597994</v>
      </c>
      <c r="AL81" s="31">
        <f t="shared" si="79"/>
        <v>1.5707950349625617</v>
      </c>
      <c r="AM81" s="31" t="str">
        <f t="shared" si="63"/>
        <v>1+0.353207056567611i</v>
      </c>
      <c r="AN81" s="31">
        <f t="shared" si="80"/>
        <v>1.0605447773711185</v>
      </c>
      <c r="AO81" s="31">
        <f t="shared" si="81"/>
        <v>0.33952902348558173</v>
      </c>
      <c r="AS81" s="58" t="str">
        <f t="shared" si="82"/>
        <v>515936.475849782+182233.153664316i</v>
      </c>
      <c r="AT81" s="49">
        <f t="shared" si="83"/>
        <v>114.76250881299406</v>
      </c>
      <c r="AU81" s="61">
        <f t="shared" si="84"/>
        <v>19.453654084462627</v>
      </c>
      <c r="AV81" s="58" t="str">
        <f t="shared" si="85"/>
        <v>9046609.04655291+2959689.70146419i</v>
      </c>
      <c r="AW81" s="64">
        <f t="shared" si="86"/>
        <v>139.57132504026197</v>
      </c>
      <c r="AX81" s="61">
        <f t="shared" si="87"/>
        <v>18.116032326660946</v>
      </c>
      <c r="AY81" s="310"/>
      <c r="BA81" s="31">
        <f t="shared" si="88"/>
        <v>0</v>
      </c>
      <c r="BB81" s="31">
        <f t="shared" si="89"/>
        <v>0</v>
      </c>
    </row>
    <row r="82" spans="14:54" x14ac:dyDescent="0.45">
      <c r="N82" s="10">
        <v>64</v>
      </c>
      <c r="O82" s="50">
        <f t="shared" si="64"/>
        <v>43.651583224016633</v>
      </c>
      <c r="P82" s="48" t="str">
        <f t="shared" si="55"/>
        <v>17.4002386318441</v>
      </c>
      <c r="Q82" s="17" t="str">
        <f t="shared" si="56"/>
        <v>1+0.0234892028610607i</v>
      </c>
      <c r="R82" s="17">
        <f t="shared" si="65"/>
        <v>1.0002758332835238</v>
      </c>
      <c r="S82" s="17">
        <f t="shared" si="66"/>
        <v>2.3484884292261213E-2</v>
      </c>
      <c r="T82" s="17" t="str">
        <f t="shared" si="57"/>
        <v>1+0.0000822812959044805i</v>
      </c>
      <c r="U82" s="17">
        <f t="shared" si="67"/>
        <v>1.0000000033851058</v>
      </c>
      <c r="V82" s="17">
        <f t="shared" si="68"/>
        <v>8.2281295718793237E-5</v>
      </c>
      <c r="W82" s="31" t="str">
        <f t="shared" si="58"/>
        <v>1-0.000202997845678174i</v>
      </c>
      <c r="X82" s="17">
        <f t="shared" si="69"/>
        <v>1.0000000206040625</v>
      </c>
      <c r="Y82" s="17">
        <f t="shared" si="70"/>
        <v>-2.0299784288978719E-4</v>
      </c>
      <c r="Z82" s="31" t="str">
        <f t="shared" si="59"/>
        <v>0.999999998271691+0.000283904638492964i</v>
      </c>
      <c r="AA82" s="17">
        <f t="shared" si="71"/>
        <v>1.0000000385726122</v>
      </c>
      <c r="AB82" s="17">
        <f t="shared" si="72"/>
        <v>2.8390463135589348E-4</v>
      </c>
      <c r="AC82" s="66" t="str">
        <f t="shared" si="73"/>
        <v>17.3904765102625-0.41552893536715i</v>
      </c>
      <c r="AD82" s="64">
        <f t="shared" si="74"/>
        <v>24.808708433479481</v>
      </c>
      <c r="AE82" s="61">
        <f t="shared" si="75"/>
        <v>-1.3687678381308559</v>
      </c>
      <c r="AF82" s="31" t="str">
        <f t="shared" si="60"/>
        <v>-9090.90909090909</v>
      </c>
      <c r="AG82" s="31" t="str">
        <f t="shared" si="61"/>
        <v>2.27623467397318E-08i</v>
      </c>
      <c r="AH82" s="31">
        <f t="shared" si="76"/>
        <v>2.27623467397318E-8</v>
      </c>
      <c r="AI82" s="31">
        <f t="shared" si="77"/>
        <v>1.5707963267948966</v>
      </c>
      <c r="AJ82" s="31" t="str">
        <f t="shared" si="62"/>
        <v>1+792125.235303896i</v>
      </c>
      <c r="AK82" s="31">
        <f t="shared" si="78"/>
        <v>792125.2353045271</v>
      </c>
      <c r="AL82" s="31">
        <f t="shared" si="79"/>
        <v>1.5707950643682558</v>
      </c>
      <c r="AM82" s="31" t="str">
        <f t="shared" si="63"/>
        <v>1+0.361434305809747i</v>
      </c>
      <c r="AN82" s="31">
        <f t="shared" si="80"/>
        <v>1.0633131041307511</v>
      </c>
      <c r="AO82" s="31">
        <f t="shared" si="81"/>
        <v>0.34682474639770344</v>
      </c>
      <c r="AS82" s="58" t="str">
        <f t="shared" si="82"/>
        <v>504192.327849215+182233.123666721i</v>
      </c>
      <c r="AT82" s="49">
        <f t="shared" si="83"/>
        <v>114.58515194231404</v>
      </c>
      <c r="AU82" s="61">
        <f t="shared" si="84"/>
        <v>19.871666531001988</v>
      </c>
      <c r="AV82" s="58" t="str">
        <f t="shared" si="85"/>
        <v>8843867.9699822+2959614.3553064i</v>
      </c>
      <c r="AW82" s="64">
        <f t="shared" si="86"/>
        <v>139.39386037579351</v>
      </c>
      <c r="AX82" s="61">
        <f t="shared" si="87"/>
        <v>18.502898692871128</v>
      </c>
      <c r="AY82" s="310"/>
      <c r="BA82" s="31">
        <f t="shared" si="88"/>
        <v>0</v>
      </c>
      <c r="BB82" s="31">
        <f t="shared" si="89"/>
        <v>0</v>
      </c>
    </row>
    <row r="83" spans="14:54" x14ac:dyDescent="0.45">
      <c r="N83" s="10">
        <v>65</v>
      </c>
      <c r="O83" s="50">
        <f t="shared" si="64"/>
        <v>44.668359215096324</v>
      </c>
      <c r="P83" s="48" t="str">
        <f t="shared" ref="P83:P146" si="90">COMPLEX(Adc,0)</f>
        <v>17.4002386318441</v>
      </c>
      <c r="Q83" s="17" t="str">
        <f t="shared" ref="Q83:Q146" si="91">IMSUM(COMPLEX(1,0),IMDIV(COMPLEX(0,2*PI()*O83),COMPLEX(wp_lf,0)))</f>
        <v>1+0.0240363366819845i</v>
      </c>
      <c r="R83" s="17">
        <f t="shared" si="65"/>
        <v>1.0002888310288633</v>
      </c>
      <c r="S83" s="17">
        <f t="shared" si="66"/>
        <v>2.4031709324306288E-2</v>
      </c>
      <c r="T83" s="17" t="str">
        <f t="shared" ref="T83:T146" si="92">IMSUM(COMPLEX(1,0),IMDIV(COMPLEX(0,2*PI()*O83),COMPLEX(wz_esr,0)))</f>
        <v>1+0.000084197873494834i</v>
      </c>
      <c r="U83" s="17">
        <f t="shared" si="67"/>
        <v>1.0000000035446408</v>
      </c>
      <c r="V83" s="17">
        <f t="shared" si="68"/>
        <v>8.419787329586651E-5</v>
      </c>
      <c r="W83" s="31" t="str">
        <f t="shared" ref="W83:W146" si="93">IMSUB(COMPLEX(1,0),IMDIV(COMPLEX(0,2*PI()*O83),COMPLEX(wz_rhp,0)))</f>
        <v>1-0.000207726272930565i</v>
      </c>
      <c r="X83" s="17">
        <f t="shared" si="69"/>
        <v>1.0000000215751019</v>
      </c>
      <c r="Y83" s="17">
        <f t="shared" si="70"/>
        <v>-2.0772626994275471E-4</v>
      </c>
      <c r="Z83" s="31" t="str">
        <f t="shared" ref="Z83:Z146" si="94">IMSUM(COMPLEX(1,0),IMDIV(COMPLEX(0,2*PI()*O83),COMPLEX(Q*(wsl/2),0)),IMDIV(IMPOWER(COMPLEX(0,2*PI()*O83),2),IMPOWER(COMPLEX(wsl/2,0),2)))</f>
        <v>0.999999998190238+0.000290517627045851i</v>
      </c>
      <c r="AA83" s="17">
        <f t="shared" si="71"/>
        <v>1.000000040390483</v>
      </c>
      <c r="AB83" s="17">
        <f t="shared" si="72"/>
        <v>2.9051761939834231E-4</v>
      </c>
      <c r="AC83" s="66" t="str">
        <f t="shared" si="73"/>
        <v>17.3900167012996-0.425196795505655i</v>
      </c>
      <c r="AD83" s="64">
        <f t="shared" si="74"/>
        <v>24.808595562393609</v>
      </c>
      <c r="AE83" s="61">
        <f t="shared" si="75"/>
        <v>-1.4006386080115369</v>
      </c>
      <c r="AF83" s="31" t="str">
        <f t="shared" ref="AF83:AF146" si="95">COMPLEX(Adc_ea,0)</f>
        <v>-9090.90909090909</v>
      </c>
      <c r="AG83" s="31" t="str">
        <f t="shared" ref="AG83:AG146" si="96">COMPLEX(0,2*PI()*wp0_ea)</f>
        <v>2.27623467397318E-08i</v>
      </c>
      <c r="AH83" s="31">
        <f t="shared" si="76"/>
        <v>2.27623467397318E-8</v>
      </c>
      <c r="AI83" s="31">
        <f t="shared" si="77"/>
        <v>1.5707963267948966</v>
      </c>
      <c r="AJ83" s="31" t="str">
        <f t="shared" ref="AJ83:AJ146" si="97">IMSUM(COMPLEX(1,0),IMDIV(COMPLEX(0,2*PI()*O83),COMPLEX(wp1_ea,0)))</f>
        <v>1+810576.20229522i</v>
      </c>
      <c r="AK83" s="31">
        <f t="shared" si="78"/>
        <v>810576.20229583676</v>
      </c>
      <c r="AL83" s="31">
        <f t="shared" si="79"/>
        <v>1.5707950931045944</v>
      </c>
      <c r="AM83" s="31" t="str">
        <f t="shared" ref="AM83:AM146" si="98">IMSUM(COMPLEX(1,0),IMDIV(COMPLEX(0,2*PI()*O83),COMPLEX(wz_ea,0)))</f>
        <v>1+0.369853192304974i</v>
      </c>
      <c r="AN83" s="31">
        <f t="shared" si="80"/>
        <v>1.0662041942602647</v>
      </c>
      <c r="AO83" s="31">
        <f t="shared" si="81"/>
        <v>0.35425078313194502</v>
      </c>
      <c r="AS83" s="58" t="str">
        <f t="shared" si="82"/>
        <v>492715.509294643+182233.09501924i</v>
      </c>
      <c r="AT83" s="49">
        <f t="shared" si="83"/>
        <v>114.40873635296541</v>
      </c>
      <c r="AU83" s="61">
        <f t="shared" si="84"/>
        <v>20.297145447912214</v>
      </c>
      <c r="AV83" s="58" t="str">
        <f t="shared" si="85"/>
        <v>8645815.86366044+2959535.51026608i</v>
      </c>
      <c r="AW83" s="64">
        <f t="shared" si="86"/>
        <v>139.21733191535901</v>
      </c>
      <c r="AX83" s="61">
        <f t="shared" si="87"/>
        <v>18.896506839900663</v>
      </c>
      <c r="AY83" s="310"/>
      <c r="BA83" s="31">
        <f t="shared" si="88"/>
        <v>0</v>
      </c>
      <c r="BB83" s="31">
        <f t="shared" si="89"/>
        <v>0</v>
      </c>
    </row>
    <row r="84" spans="14:54" x14ac:dyDescent="0.45">
      <c r="N84" s="10">
        <v>66</v>
      </c>
      <c r="O84" s="50">
        <f t="shared" ref="O84:O118" si="99">10^(1+(N84/100))</f>
        <v>45.70881896148753</v>
      </c>
      <c r="P84" s="48" t="str">
        <f t="shared" si="90"/>
        <v>17.4002386318441</v>
      </c>
      <c r="Q84" s="17" t="str">
        <f t="shared" si="91"/>
        <v>1+0.0245962148867756i</v>
      </c>
      <c r="R84" s="17">
        <f t="shared" ref="R84:R147" si="100">IMABS(Q84)</f>
        <v>1.0003024411580512</v>
      </c>
      <c r="S84" s="17">
        <f t="shared" ref="S84:S147" si="101">IMARGUMENT(Q84)</f>
        <v>2.4591256664654542E-2</v>
      </c>
      <c r="T84" s="17" t="str">
        <f t="shared" si="92"/>
        <v>1+0.0000861590939122051i</v>
      </c>
      <c r="U84" s="17">
        <f t="shared" ref="U84:U147" si="102">IMABS(T84)</f>
        <v>1.0000000037116947</v>
      </c>
      <c r="V84" s="17">
        <f t="shared" ref="V84:V147" si="103">IMARGUMENT(T84)</f>
        <v>8.6159093699007605E-5</v>
      </c>
      <c r="W84" s="31" t="str">
        <f t="shared" si="93"/>
        <v>1-0.000212564839402447i</v>
      </c>
      <c r="X84" s="17">
        <f t="shared" ref="X84:X147" si="104">IMABS(W84)</f>
        <v>1.0000000225919052</v>
      </c>
      <c r="Y84" s="17">
        <f t="shared" ref="Y84:Y147" si="105">IMARGUMENT(W84)</f>
        <v>-2.125648362009506E-4</v>
      </c>
      <c r="Z84" s="31" t="str">
        <f t="shared" si="94"/>
        <v>0.999999998104947+0.000297284651890053i</v>
      </c>
      <c r="AA84" s="17">
        <f t="shared" ref="AA84:AA147" si="106">IMABS(Z84)</f>
        <v>1.0000000422940283</v>
      </c>
      <c r="AB84" s="17">
        <f t="shared" ref="AB84:AB147" si="107">IMARGUMENT(Z84)</f>
        <v>2.9728464369559963E-4</v>
      </c>
      <c r="AC84" s="66" t="str">
        <f t="shared" ref="AC84:AC147" si="108">(IMDIV(IMPRODUCT(P84,T84,W84),IMPRODUCT(Q84,Z84)))</f>
        <v>17.3895352478221-0.435089059223987i</v>
      </c>
      <c r="AD84" s="64">
        <f t="shared" ref="AD84:AD147" si="109">20*LOG(IMABS(AC84))</f>
        <v>24.808477375001011</v>
      </c>
      <c r="AE84" s="61">
        <f t="shared" ref="AE84:AE147" si="110">(180/PI())*IMARGUMENT(AC84)</f>
        <v>-1.4332508907570458</v>
      </c>
      <c r="AF84" s="31" t="str">
        <f t="shared" si="95"/>
        <v>-9090.90909090909</v>
      </c>
      <c r="AG84" s="31" t="str">
        <f t="shared" si="96"/>
        <v>2.27623467397318E-08i</v>
      </c>
      <c r="AH84" s="31">
        <f t="shared" ref="AH84:AH147" si="111">IMABS(AG84)</f>
        <v>2.27623467397318E-8</v>
      </c>
      <c r="AI84" s="31">
        <f t="shared" ref="AI84:AI147" si="112">IMARGUMENT(AG84)</f>
        <v>1.5707963267948966</v>
      </c>
      <c r="AJ84" s="31" t="str">
        <f t="shared" si="97"/>
        <v>1+829456.947518246i</v>
      </c>
      <c r="AK84" s="31">
        <f t="shared" ref="AK84:AK147" si="113">IMABS(AJ84)</f>
        <v>829456.94751884881</v>
      </c>
      <c r="AL84" s="31">
        <f t="shared" ref="AL84:AL147" si="114">IMARGUMENT(AJ84)</f>
        <v>1.5707951211868141</v>
      </c>
      <c r="AM84" s="31" t="str">
        <f t="shared" si="98"/>
        <v>1+0.378468179858346i</v>
      </c>
      <c r="AN84" s="31">
        <f t="shared" ref="AN84:AN147" si="115">IMABS(AM84)</f>
        <v>1.0692231587303416</v>
      </c>
      <c r="AO84" s="31">
        <f t="shared" ref="AO84:AO147" si="116">IMARGUMENT(AM84)</f>
        <v>0.36180779396196788</v>
      </c>
      <c r="AS84" s="58" t="str">
        <f t="shared" ref="AS84:AS147" si="117">IMPRODUCT(AF84,IMDIV(AM84,IMPRODUCT(AG84,AJ84)))</f>
        <v>481499.935024957+182233.067661108i</v>
      </c>
      <c r="AT84" s="49">
        <f t="shared" ref="AT84:AT147" si="118">20*LOG(IMABS(AS84))</f>
        <v>114.23329575522474</v>
      </c>
      <c r="AU84" s="61">
        <f t="shared" ref="AU84:AU147" si="119">(180/PI())*IMARGUMENT(AS84)</f>
        <v>20.730128665214522</v>
      </c>
      <c r="AV84" s="58" t="str">
        <f t="shared" ref="AV84:AV147" si="120">IMPRODUCT(AC84,AS84)</f>
        <v>8452347.70590871+2959452.99966517i</v>
      </c>
      <c r="AW84" s="64">
        <f t="shared" ref="AW84:AW147" si="121">20*LOG(IMABS(AV84))</f>
        <v>139.04177313022575</v>
      </c>
      <c r="AX84" s="61">
        <f t="shared" ref="AX84:AX147" si="122">(180/PI())*IMARGUMENT(AV84)</f>
        <v>19.296877774457496</v>
      </c>
      <c r="AY84" s="310"/>
      <c r="BA84" s="31">
        <f t="shared" ref="BA84:BA147" si="123">SUM((AW85&lt;0)*(AW84&gt;0))*O84</f>
        <v>0</v>
      </c>
      <c r="BB84" s="31">
        <f t="shared" ref="BB84:BB147" si="124">IF(BA84&gt;0,AX84,0)</f>
        <v>0</v>
      </c>
    </row>
    <row r="85" spans="14:54" x14ac:dyDescent="0.45">
      <c r="N85" s="10">
        <v>67</v>
      </c>
      <c r="O85" s="50">
        <f t="shared" si="99"/>
        <v>46.773514128719818</v>
      </c>
      <c r="P85" s="48" t="str">
        <f t="shared" si="90"/>
        <v>17.4002386318441</v>
      </c>
      <c r="Q85" s="17" t="str">
        <f t="shared" si="91"/>
        <v>1+0.025169134330269i</v>
      </c>
      <c r="R85" s="17">
        <f t="shared" si="100"/>
        <v>1.0003166925143931</v>
      </c>
      <c r="S85" s="17">
        <f t="shared" si="101"/>
        <v>2.5163821590385424E-2</v>
      </c>
      <c r="T85" s="17" t="str">
        <f t="shared" si="92"/>
        <v>1+0.0000881659970216188i</v>
      </c>
      <c r="U85" s="17">
        <f t="shared" si="102"/>
        <v>1.0000000038866215</v>
      </c>
      <c r="V85" s="17">
        <f t="shared" si="103"/>
        <v>8.8165996793173563E-5</v>
      </c>
      <c r="W85" s="31" t="str">
        <f t="shared" si="93"/>
        <v>1-0.000217516110565808i</v>
      </c>
      <c r="X85" s="17">
        <f t="shared" si="104"/>
        <v>1.0000000236566289</v>
      </c>
      <c r="Y85" s="17">
        <f t="shared" si="105"/>
        <v>-2.1751610713534279E-4</v>
      </c>
      <c r="Z85" s="31" t="str">
        <f t="shared" si="94"/>
        <v>0.999999998015636+0.000304209300991715i</v>
      </c>
      <c r="AA85" s="17">
        <f t="shared" si="106"/>
        <v>1.0000000442872845</v>
      </c>
      <c r="AB85" s="17">
        <f t="shared" si="107"/>
        <v>3.0420929221120001E-4</v>
      </c>
      <c r="AC85" s="66" t="str">
        <f t="shared" si="108"/>
        <v>17.3890311322244-0.445210897143029i</v>
      </c>
      <c r="AD85" s="64">
        <f t="shared" si="109"/>
        <v>24.808353621054984</v>
      </c>
      <c r="AE85" s="61">
        <f t="shared" si="110"/>
        <v>-1.4666218974837837</v>
      </c>
      <c r="AF85" s="31" t="str">
        <f t="shared" si="95"/>
        <v>-9090.90909090909</v>
      </c>
      <c r="AG85" s="31" t="str">
        <f t="shared" si="96"/>
        <v>2.27623467397318E-08i</v>
      </c>
      <c r="AH85" s="31">
        <f t="shared" si="111"/>
        <v>2.27623467397318E-8</v>
      </c>
      <c r="AI85" s="31">
        <f t="shared" si="112"/>
        <v>1.5707963267948966</v>
      </c>
      <c r="AJ85" s="31" t="str">
        <f t="shared" si="97"/>
        <v>1+848777.481794005i</v>
      </c>
      <c r="AK85" s="31">
        <f t="shared" si="113"/>
        <v>848777.4817945942</v>
      </c>
      <c r="AL85" s="31">
        <f t="shared" si="114"/>
        <v>1.5707951486298046</v>
      </c>
      <c r="AM85" s="31" t="str">
        <f t="shared" si="98"/>
        <v>1+0.387283836250297i</v>
      </c>
      <c r="AN85" s="31">
        <f t="shared" si="115"/>
        <v>1.0723752933655022</v>
      </c>
      <c r="AO85" s="31">
        <f t="shared" si="116"/>
        <v>0.36949633216675309</v>
      </c>
      <c r="AS85" s="58" t="str">
        <f t="shared" si="117"/>
        <v>470539.658394224+182233.041534295i</v>
      </c>
      <c r="AT85" s="49">
        <f t="shared" si="118"/>
        <v>114.05886461320557</v>
      </c>
      <c r="AU85" s="61">
        <f t="shared" si="119"/>
        <v>21.170647882606314</v>
      </c>
      <c r="AV85" s="58" t="str">
        <f t="shared" si="120"/>
        <v>8263360.90467398+2959366.64910473i</v>
      </c>
      <c r="AW85" s="64">
        <f t="shared" si="121"/>
        <v>138.86721823426055</v>
      </c>
      <c r="AX85" s="61">
        <f t="shared" si="122"/>
        <v>19.704025985122531</v>
      </c>
      <c r="AY85" s="310"/>
      <c r="BA85" s="31">
        <f t="shared" si="123"/>
        <v>0</v>
      </c>
      <c r="BB85" s="31">
        <f t="shared" si="124"/>
        <v>0</v>
      </c>
    </row>
    <row r="86" spans="14:54" x14ac:dyDescent="0.45">
      <c r="N86" s="10">
        <v>68</v>
      </c>
      <c r="O86" s="50">
        <f t="shared" si="99"/>
        <v>47.863009232263877</v>
      </c>
      <c r="P86" s="48" t="str">
        <f t="shared" si="90"/>
        <v>17.4002386318441</v>
      </c>
      <c r="Q86" s="17" t="str">
        <f t="shared" si="91"/>
        <v>1+0.0257553987819372i</v>
      </c>
      <c r="R86" s="17">
        <f t="shared" si="100"/>
        <v>1.0003316152988551</v>
      </c>
      <c r="S86" s="17">
        <f t="shared" si="101"/>
        <v>2.5749706180506808E-2</v>
      </c>
      <c r="T86" s="17" t="str">
        <f t="shared" si="92"/>
        <v>1+0.0000902196469096684i</v>
      </c>
      <c r="U86" s="17">
        <f t="shared" si="102"/>
        <v>1.0000000040697923</v>
      </c>
      <c r="V86" s="17">
        <f t="shared" si="103"/>
        <v>9.0219646664884914E-5</v>
      </c>
      <c r="W86" s="31" t="str">
        <f t="shared" si="93"/>
        <v>1-0.000222582711650157i</v>
      </c>
      <c r="X86" s="17">
        <f t="shared" si="104"/>
        <v>1.0000000247715315</v>
      </c>
      <c r="Y86" s="17">
        <f t="shared" si="105"/>
        <v>-2.2258270797434728E-4</v>
      </c>
      <c r="Z86" s="31" t="str">
        <f t="shared" si="94"/>
        <v>0.999999997922115+0.000311295245891448i</v>
      </c>
      <c r="AA86" s="17">
        <f t="shared" si="106"/>
        <v>1.0000000463744791</v>
      </c>
      <c r="AB86" s="17">
        <f t="shared" si="107"/>
        <v>3.1129523648295698E-4</v>
      </c>
      <c r="AC86" s="66" t="str">
        <f t="shared" si="108"/>
        <v>17.3885032891805-0.455567596297854i</v>
      </c>
      <c r="AD86" s="64">
        <f t="shared" si="109"/>
        <v>24.808224038544303</v>
      </c>
      <c r="AE86" s="61">
        <f t="shared" si="110"/>
        <v>-1.5007692358544338</v>
      </c>
      <c r="AF86" s="31" t="str">
        <f t="shared" si="95"/>
        <v>-9090.90909090909</v>
      </c>
      <c r="AG86" s="31" t="str">
        <f t="shared" si="96"/>
        <v>2.27623467397318E-08i</v>
      </c>
      <c r="AH86" s="31">
        <f t="shared" si="111"/>
        <v>2.27623467397318E-8</v>
      </c>
      <c r="AI86" s="31">
        <f t="shared" si="112"/>
        <v>1.5707963267948966</v>
      </c>
      <c r="AJ86" s="31" t="str">
        <f t="shared" si="97"/>
        <v>1+868548.049125512i</v>
      </c>
      <c r="AK86" s="31">
        <f t="shared" si="113"/>
        <v>868548.04912608769</v>
      </c>
      <c r="AL86" s="31">
        <f t="shared" si="114"/>
        <v>1.5707951754481162</v>
      </c>
      <c r="AM86" s="31" t="str">
        <f t="shared" si="98"/>
        <v>1+0.396304835658536i</v>
      </c>
      <c r="AN86" s="31">
        <f t="shared" si="115"/>
        <v>1.0756660833020344</v>
      </c>
      <c r="AO86" s="31">
        <f t="shared" si="116"/>
        <v>0.37731683731888621</v>
      </c>
      <c r="AS86" s="58" t="str">
        <f t="shared" si="117"/>
        <v>459828.868118696+182233.016583381i</v>
      </c>
      <c r="AT86" s="49">
        <f t="shared" si="118"/>
        <v>113.88547812343255</v>
      </c>
      <c r="AU86" s="61">
        <f t="shared" si="119"/>
        <v>21.618728284907721</v>
      </c>
      <c r="AV86" s="58" t="str">
        <f t="shared" si="120"/>
        <v>8078755.24307309+2959276.27610021i</v>
      </c>
      <c r="AW86" s="64">
        <f t="shared" si="121"/>
        <v>138.69370216197686</v>
      </c>
      <c r="AX86" s="61">
        <f t="shared" si="122"/>
        <v>20.117959049053297</v>
      </c>
      <c r="AY86" s="310"/>
      <c r="BA86" s="31">
        <f t="shared" si="123"/>
        <v>0</v>
      </c>
      <c r="BB86" s="31">
        <f t="shared" si="124"/>
        <v>0</v>
      </c>
    </row>
    <row r="87" spans="14:54" x14ac:dyDescent="0.45">
      <c r="N87" s="10">
        <v>69</v>
      </c>
      <c r="O87" s="50">
        <f t="shared" si="99"/>
        <v>48.977881936844632</v>
      </c>
      <c r="P87" s="48" t="str">
        <f t="shared" si="90"/>
        <v>17.4002386318441</v>
      </c>
      <c r="Q87" s="17" t="str">
        <f t="shared" si="91"/>
        <v>1+0.0263553190869526i</v>
      </c>
      <c r="R87" s="17">
        <f t="shared" si="100"/>
        <v>1.000347241133885</v>
      </c>
      <c r="S87" s="17">
        <f t="shared" si="101"/>
        <v>2.6349219468972424E-2</v>
      </c>
      <c r="T87" s="17" t="str">
        <f t="shared" si="92"/>
        <v>1+0.0000923211324487078i</v>
      </c>
      <c r="U87" s="17">
        <f t="shared" si="102"/>
        <v>1.0000000042615957</v>
      </c>
      <c r="V87" s="17">
        <f t="shared" si="103"/>
        <v>9.2321132186417573E-5</v>
      </c>
      <c r="W87" s="31" t="str">
        <f t="shared" si="93"/>
        <v>1-0.000227767329034454i</v>
      </c>
      <c r="X87" s="17">
        <f t="shared" si="104"/>
        <v>1.0000000259389776</v>
      </c>
      <c r="Y87" s="17">
        <f t="shared" si="105"/>
        <v>-2.2776732509575297E-4</v>
      </c>
      <c r="Z87" s="31" t="str">
        <f t="shared" si="94"/>
        <v>0.999999997824188+0.000318546243651034i</v>
      </c>
      <c r="AA87" s="17">
        <f t="shared" si="106"/>
        <v>1.0000000485600415</v>
      </c>
      <c r="AB87" s="17">
        <f t="shared" si="107"/>
        <v>3.1854623356965402E-4</v>
      </c>
      <c r="AC87" s="66" t="str">
        <f t="shared" si="108"/>
        <v>17.3879506034178-0.466164562562635i</v>
      </c>
      <c r="AD87" s="64">
        <f t="shared" si="109"/>
        <v>24.808088353141503</v>
      </c>
      <c r="AE87" s="61">
        <f t="shared" si="110"/>
        <v>-1.5357109190042062</v>
      </c>
      <c r="AF87" s="31" t="str">
        <f t="shared" si="95"/>
        <v>-9090.90909090909</v>
      </c>
      <c r="AG87" s="31" t="str">
        <f t="shared" si="96"/>
        <v>2.27623467397318E-08i</v>
      </c>
      <c r="AH87" s="31">
        <f t="shared" si="111"/>
        <v>2.27623467397318E-8</v>
      </c>
      <c r="AI87" s="31">
        <f t="shared" si="112"/>
        <v>1.5707963267948966</v>
      </c>
      <c r="AJ87" s="31" t="str">
        <f t="shared" si="97"/>
        <v>1+888779.132129257i</v>
      </c>
      <c r="AK87" s="31">
        <f t="shared" si="113"/>
        <v>888779.13212981937</v>
      </c>
      <c r="AL87" s="31">
        <f t="shared" si="114"/>
        <v>1.5707952016559685</v>
      </c>
      <c r="AM87" s="31" t="str">
        <f t="shared" si="98"/>
        <v>1+0.405535961136356i</v>
      </c>
      <c r="AN87" s="31">
        <f t="shared" si="115"/>
        <v>1.079101207382694</v>
      </c>
      <c r="AO87" s="31">
        <f t="shared" si="116"/>
        <v>0.38526962849065671</v>
      </c>
      <c r="AS87" s="58" t="str">
        <f t="shared" si="117"/>
        <v>449361.885195598+182232.992755445i</v>
      </c>
      <c r="AT87" s="49">
        <f t="shared" si="118"/>
        <v>113.71317218957478</v>
      </c>
      <c r="AU87" s="61">
        <f t="shared" si="119"/>
        <v>22.074388152799816</v>
      </c>
      <c r="AV87" s="58" t="str">
        <f t="shared" si="120"/>
        <v>7898432.82619208+2959181.68970014i</v>
      </c>
      <c r="AW87" s="64">
        <f t="shared" si="121"/>
        <v>138.52126054271628</v>
      </c>
      <c r="AX87" s="61">
        <f t="shared" si="122"/>
        <v>20.538677233795578</v>
      </c>
      <c r="AY87" s="310"/>
      <c r="BA87" s="31">
        <f t="shared" si="123"/>
        <v>0</v>
      </c>
      <c r="BB87" s="31">
        <f t="shared" si="124"/>
        <v>0</v>
      </c>
    </row>
    <row r="88" spans="14:54" x14ac:dyDescent="0.45">
      <c r="N88" s="10">
        <v>70</v>
      </c>
      <c r="O88" s="50">
        <f t="shared" si="99"/>
        <v>50.118723362727238</v>
      </c>
      <c r="P88" s="48" t="str">
        <f t="shared" si="90"/>
        <v>17.4002386318441</v>
      </c>
      <c r="Q88" s="17" t="str">
        <f t="shared" si="91"/>
        <v>1+0.0269692133310018i</v>
      </c>
      <c r="R88" s="17">
        <f t="shared" si="100"/>
        <v>1.0003636031302283</v>
      </c>
      <c r="S88" s="17">
        <f t="shared" si="101"/>
        <v>2.6962677600877876E-2</v>
      </c>
      <c r="T88" s="17" t="str">
        <f t="shared" si="92"/>
        <v>1+0.0000944715678741859i</v>
      </c>
      <c r="U88" s="17">
        <f t="shared" si="102"/>
        <v>1.0000000044624384</v>
      </c>
      <c r="V88" s="17">
        <f t="shared" si="103"/>
        <v>9.4471567593136863E-5</v>
      </c>
      <c r="W88" s="31" t="str">
        <f t="shared" si="93"/>
        <v>1-0.000233072711671461i</v>
      </c>
      <c r="X88" s="17">
        <f t="shared" si="104"/>
        <v>1.000000027161444</v>
      </c>
      <c r="Y88" s="17">
        <f t="shared" si="105"/>
        <v>-2.3307270745106677E-4</v>
      </c>
      <c r="Z88" s="31" t="str">
        <f t="shared" si="94"/>
        <v>0.999999997721645+0.00032596613884546i</v>
      </c>
      <c r="AA88" s="17">
        <f t="shared" si="106"/>
        <v>1.0000000508486055</v>
      </c>
      <c r="AB88" s="17">
        <f t="shared" si="107"/>
        <v>3.2596612804306678E-4</v>
      </c>
      <c r="AC88" s="66" t="str">
        <f t="shared" si="108"/>
        <v>17.3873719073883-0.477007323111669i</v>
      </c>
      <c r="AD88" s="64">
        <f t="shared" si="109"/>
        <v>24.807946277625554</v>
      </c>
      <c r="AE88" s="61">
        <f t="shared" si="110"/>
        <v>-1.5714653746528722</v>
      </c>
      <c r="AF88" s="31" t="str">
        <f t="shared" si="95"/>
        <v>-9090.90909090909</v>
      </c>
      <c r="AG88" s="31" t="str">
        <f t="shared" si="96"/>
        <v>2.27623467397318E-08i</v>
      </c>
      <c r="AH88" s="31">
        <f t="shared" si="111"/>
        <v>2.27623467397318E-8</v>
      </c>
      <c r="AI88" s="31">
        <f t="shared" si="112"/>
        <v>1.5707963267948966</v>
      </c>
      <c r="AJ88" s="31" t="str">
        <f t="shared" si="97"/>
        <v>1+909481.457593238i</v>
      </c>
      <c r="AK88" s="31">
        <f t="shared" si="113"/>
        <v>909481.45759378769</v>
      </c>
      <c r="AL88" s="31">
        <f t="shared" si="114"/>
        <v>1.5707952272672574</v>
      </c>
      <c r="AM88" s="31" t="str">
        <f t="shared" si="98"/>
        <v>1+0.414982107148673i</v>
      </c>
      <c r="AN88" s="31">
        <f t="shared" si="115"/>
        <v>1.0826865424736529</v>
      </c>
      <c r="AO88" s="31">
        <f t="shared" si="116"/>
        <v>0.39335489740439483</v>
      </c>
      <c r="AS88" s="58" t="str">
        <f t="shared" si="117"/>
        <v>439133.159892034+182232.969999941i</v>
      </c>
      <c r="AT88" s="49">
        <f t="shared" si="118"/>
        <v>113.5419833931457</v>
      </c>
      <c r="AU88" s="61">
        <f t="shared" si="119"/>
        <v>22.537638470366563</v>
      </c>
      <c r="AV88" s="58" t="str">
        <f t="shared" si="120"/>
        <v>7722298.02911177+2959082.69008724i</v>
      </c>
      <c r="AW88" s="64">
        <f t="shared" si="121"/>
        <v>138.34992967077125</v>
      </c>
      <c r="AX88" s="61">
        <f t="shared" si="122"/>
        <v>20.966173095713675</v>
      </c>
      <c r="AY88" s="310"/>
      <c r="BA88" s="31">
        <f t="shared" si="123"/>
        <v>0</v>
      </c>
      <c r="BB88" s="31">
        <f t="shared" si="124"/>
        <v>0</v>
      </c>
    </row>
    <row r="89" spans="14:54" x14ac:dyDescent="0.45">
      <c r="N89" s="10">
        <v>71</v>
      </c>
      <c r="O89" s="50">
        <f t="shared" si="99"/>
        <v>51.28613839913649</v>
      </c>
      <c r="P89" s="48" t="str">
        <f t="shared" si="90"/>
        <v>17.4002386318441</v>
      </c>
      <c r="Q89" s="17" t="str">
        <f t="shared" si="91"/>
        <v>1+0.0275974070089388i</v>
      </c>
      <c r="R89" s="17">
        <f t="shared" si="100"/>
        <v>1.0003807359568742</v>
      </c>
      <c r="S89" s="17">
        <f t="shared" si="101"/>
        <v>2.7590403991881236E-2</v>
      </c>
      <c r="T89" s="17" t="str">
        <f t="shared" si="92"/>
        <v>1+0.00009667209337543i</v>
      </c>
      <c r="U89" s="17">
        <f t="shared" si="102"/>
        <v>1.0000000046727469</v>
      </c>
      <c r="V89" s="17">
        <f t="shared" si="103"/>
        <v>9.6672093074280527E-5</v>
      </c>
      <c r="W89" s="31" t="str">
        <f t="shared" si="93"/>
        <v>1-0.000238501672545278i</v>
      </c>
      <c r="X89" s="17">
        <f t="shared" si="104"/>
        <v>1.0000000284415236</v>
      </c>
      <c r="Y89" s="17">
        <f t="shared" si="105"/>
        <v>-2.3850166802304415E-4</v>
      </c>
      <c r="Z89" s="31" t="str">
        <f t="shared" si="94"/>
        <v>0.999999997614269+0.000333558865601374i</v>
      </c>
      <c r="AA89" s="17">
        <f t="shared" si="106"/>
        <v>1.0000000532450259</v>
      </c>
      <c r="AB89" s="17">
        <f t="shared" si="107"/>
        <v>3.3355885402640138E-4</v>
      </c>
      <c r="AC89" s="66" t="str">
        <f t="shared" si="108"/>
        <v>17.3867659788329-0.488101528915922i</v>
      </c>
      <c r="AD89" s="64">
        <f t="shared" si="109"/>
        <v>24.807797511277798</v>
      </c>
      <c r="AE89" s="61">
        <f t="shared" si="110"/>
        <v>-1.6080514544053246</v>
      </c>
      <c r="AF89" s="31" t="str">
        <f t="shared" si="95"/>
        <v>-9090.90909090909</v>
      </c>
      <c r="AG89" s="31" t="str">
        <f t="shared" si="96"/>
        <v>2.27623467397318E-08i</v>
      </c>
      <c r="AH89" s="31">
        <f t="shared" si="111"/>
        <v>2.27623467397318E-8</v>
      </c>
      <c r="AI89" s="31">
        <f t="shared" si="112"/>
        <v>1.5707963267948966</v>
      </c>
      <c r="AJ89" s="31" t="str">
        <f t="shared" si="97"/>
        <v>1+930666.002164446i</v>
      </c>
      <c r="AK89" s="31">
        <f t="shared" si="113"/>
        <v>930666.00216498331</v>
      </c>
      <c r="AL89" s="31">
        <f t="shared" si="114"/>
        <v>1.5707952522955622</v>
      </c>
      <c r="AM89" s="31" t="str">
        <f t="shared" si="98"/>
        <v>1+0.424648282167138i</v>
      </c>
      <c r="AN89" s="31">
        <f t="shared" si="115"/>
        <v>1.0864281676887346</v>
      </c>
      <c r="AO89" s="31">
        <f t="shared" si="116"/>
        <v>0.40157270155634534</v>
      </c>
      <c r="AS89" s="58" t="str">
        <f t="shared" si="117"/>
        <v>429137.268802459+182232.948268604i</v>
      </c>
      <c r="AT89" s="49">
        <f t="shared" si="118"/>
        <v>113.37194895998906</v>
      </c>
      <c r="AU89" s="61">
        <f t="shared" si="119"/>
        <v>23.008482531122141</v>
      </c>
      <c r="AV89" s="58" t="str">
        <f t="shared" si="120"/>
        <v>7550257.44613263+2958979.0681617i</v>
      </c>
      <c r="AW89" s="64">
        <f t="shared" si="121"/>
        <v>138.17974647126687</v>
      </c>
      <c r="AX89" s="61">
        <f t="shared" si="122"/>
        <v>21.400431076716824</v>
      </c>
      <c r="AY89" s="310"/>
      <c r="BA89" s="31">
        <f t="shared" si="123"/>
        <v>0</v>
      </c>
      <c r="BB89" s="31">
        <f t="shared" si="124"/>
        <v>0</v>
      </c>
    </row>
    <row r="90" spans="14:54" x14ac:dyDescent="0.45">
      <c r="N90" s="10">
        <v>72</v>
      </c>
      <c r="O90" s="50">
        <f t="shared" si="99"/>
        <v>52.480746024977286</v>
      </c>
      <c r="P90" s="48" t="str">
        <f t="shared" si="90"/>
        <v>17.4002386318441</v>
      </c>
      <c r="Q90" s="17" t="str">
        <f t="shared" si="91"/>
        <v>1+0.0282402331973669i</v>
      </c>
      <c r="R90" s="17">
        <f t="shared" si="100"/>
        <v>1.0003986759142784</v>
      </c>
      <c r="S90" s="17">
        <f t="shared" si="101"/>
        <v>2.8232729490894604E-2</v>
      </c>
      <c r="T90" s="17" t="str">
        <f t="shared" si="92"/>
        <v>1+0.0000989238757001884i</v>
      </c>
      <c r="U90" s="17">
        <f t="shared" si="102"/>
        <v>1.0000000048929665</v>
      </c>
      <c r="V90" s="17">
        <f t="shared" si="103"/>
        <v>9.8923875377500929E-5</v>
      </c>
      <c r="W90" s="31" t="str">
        <f t="shared" si="93"/>
        <v>1-0.000244057090162823i</v>
      </c>
      <c r="X90" s="17">
        <f t="shared" si="104"/>
        <v>1.0000000297819311</v>
      </c>
      <c r="Y90" s="17">
        <f t="shared" si="105"/>
        <v>-2.4405708531716213E-4</v>
      </c>
      <c r="Z90" s="31" t="str">
        <f t="shared" si="94"/>
        <v>0.999999997501833+0.000341328449683005i</v>
      </c>
      <c r="AA90" s="17">
        <f t="shared" si="106"/>
        <v>1.0000000557543867</v>
      </c>
      <c r="AB90" s="17">
        <f t="shared" si="107"/>
        <v>3.4132843728019833E-4</v>
      </c>
      <c r="AC90" s="66" t="str">
        <f t="shared" si="108"/>
        <v>17.3861315382323-0.499452957274365i</v>
      </c>
      <c r="AD90" s="64">
        <f t="shared" si="109"/>
        <v>24.807641739249124</v>
      </c>
      <c r="AE90" s="61">
        <f t="shared" si="110"/>
        <v>-1.6454884432434782</v>
      </c>
      <c r="AF90" s="31" t="str">
        <f t="shared" si="95"/>
        <v>-9090.90909090909</v>
      </c>
      <c r="AG90" s="31" t="str">
        <f t="shared" si="96"/>
        <v>2.27623467397318E-08i</v>
      </c>
      <c r="AH90" s="31">
        <f t="shared" si="111"/>
        <v>2.27623467397318E-8</v>
      </c>
      <c r="AI90" s="31">
        <f t="shared" si="112"/>
        <v>1.5707963267948966</v>
      </c>
      <c r="AJ90" s="31" t="str">
        <f t="shared" si="97"/>
        <v>1+952343.998168825i</v>
      </c>
      <c r="AK90" s="31">
        <f t="shared" si="113"/>
        <v>952343.99816935009</v>
      </c>
      <c r="AL90" s="31">
        <f t="shared" si="114"/>
        <v>1.5707952767541531</v>
      </c>
      <c r="AM90" s="31" t="str">
        <f t="shared" si="98"/>
        <v>1+0.434539611325694i</v>
      </c>
      <c r="AN90" s="31">
        <f t="shared" si="115"/>
        <v>1.0903323685056245</v>
      </c>
      <c r="AO90" s="31">
        <f t="shared" si="116"/>
        <v>0.4099229573463064</v>
      </c>
      <c r="AS90" s="58" t="str">
        <f t="shared" si="117"/>
        <v>419368.911973103+182232.927515338i</v>
      </c>
      <c r="AT90" s="49">
        <f t="shared" si="118"/>
        <v>113.20310672238</v>
      </c>
      <c r="AU90" s="61">
        <f t="shared" si="119"/>
        <v>23.486915544367466</v>
      </c>
      <c r="AV90" s="58" t="str">
        <f t="shared" si="120"/>
        <v>7382219.84117003+2958870.60510492i</v>
      </c>
      <c r="AW90" s="64">
        <f t="shared" si="121"/>
        <v>138.01074846162913</v>
      </c>
      <c r="AX90" s="61">
        <f t="shared" si="122"/>
        <v>21.841427101123998</v>
      </c>
      <c r="AY90" s="310"/>
      <c r="BA90" s="31">
        <f t="shared" si="123"/>
        <v>0</v>
      </c>
      <c r="BB90" s="31">
        <f t="shared" si="124"/>
        <v>0</v>
      </c>
    </row>
    <row r="91" spans="14:54" x14ac:dyDescent="0.45">
      <c r="N91" s="10">
        <v>73</v>
      </c>
      <c r="O91" s="50">
        <f t="shared" si="99"/>
        <v>53.703179637025293</v>
      </c>
      <c r="P91" s="48" t="str">
        <f t="shared" si="90"/>
        <v>17.4002386318441</v>
      </c>
      <c r="Q91" s="17" t="str">
        <f t="shared" si="91"/>
        <v>1+0.0288980327312398i</v>
      </c>
      <c r="R91" s="17">
        <f t="shared" si="100"/>
        <v>1.0004174610110199</v>
      </c>
      <c r="S91" s="17">
        <f t="shared" si="101"/>
        <v>2.8889992546090138E-2</v>
      </c>
      <c r="T91" s="17" t="str">
        <f t="shared" si="92"/>
        <v>1+0.000101228108773255i</v>
      </c>
      <c r="U91" s="17">
        <f t="shared" si="102"/>
        <v>1.0000000051235649</v>
      </c>
      <c r="V91" s="17">
        <f t="shared" si="103"/>
        <v>1.0122810842748914E-4</v>
      </c>
      <c r="W91" s="31" t="str">
        <f t="shared" si="93"/>
        <v>1-0.000249741910080049i</v>
      </c>
      <c r="X91" s="17">
        <f t="shared" si="104"/>
        <v>1.0000000311855104</v>
      </c>
      <c r="Y91" s="17">
        <f t="shared" si="105"/>
        <v>-2.4974190488782986E-4</v>
      </c>
      <c r="Z91" s="31" t="str">
        <f t="shared" si="94"/>
        <v>0.999999997384098+0.000349279010626672i</v>
      </c>
      <c r="AA91" s="17">
        <f t="shared" si="106"/>
        <v>1.0000000583820099</v>
      </c>
      <c r="AB91" s="17">
        <f t="shared" si="107"/>
        <v>3.4927899733682528E-4</v>
      </c>
      <c r="AC91" s="66" t="str">
        <f t="shared" si="108"/>
        <v>17.3854672461422-0.511067514379282i</v>
      </c>
      <c r="AD91" s="64">
        <f t="shared" si="109"/>
        <v>24.807478631898491</v>
      </c>
      <c r="AE91" s="61">
        <f t="shared" si="110"/>
        <v>-1.6837960692119729</v>
      </c>
      <c r="AF91" s="31" t="str">
        <f t="shared" si="95"/>
        <v>-9090.90909090909</v>
      </c>
      <c r="AG91" s="31" t="str">
        <f t="shared" si="96"/>
        <v>2.27623467397318E-08i</v>
      </c>
      <c r="AH91" s="31">
        <f t="shared" si="111"/>
        <v>2.27623467397318E-8</v>
      </c>
      <c r="AI91" s="31">
        <f t="shared" si="112"/>
        <v>1.5707963267948966</v>
      </c>
      <c r="AJ91" s="31" t="str">
        <f t="shared" si="97"/>
        <v>1+974526.939566792i</v>
      </c>
      <c r="AK91" s="31">
        <f t="shared" si="113"/>
        <v>974526.93956730503</v>
      </c>
      <c r="AL91" s="31">
        <f t="shared" si="114"/>
        <v>1.5707953006559985</v>
      </c>
      <c r="AM91" s="31" t="str">
        <f t="shared" si="98"/>
        <v>1+0.444661339137984i</v>
      </c>
      <c r="AN91" s="31">
        <f t="shared" si="115"/>
        <v>1.0944056407584828</v>
      </c>
      <c r="AO91" s="31">
        <f t="shared" si="116"/>
        <v>0.41840543324819135</v>
      </c>
      <c r="AS91" s="58" t="str">
        <f t="shared" si="117"/>
        <v>409822.910091877+182232.907696124i</v>
      </c>
      <c r="AT91" s="49">
        <f t="shared" si="118"/>
        <v>113.03549507658889</v>
      </c>
      <c r="AU91" s="61">
        <f t="shared" si="119"/>
        <v>23.972924243892216</v>
      </c>
      <c r="AV91" s="58" t="str">
        <f t="shared" si="120"/>
        <v>7218096.09929537+2958757.07192388i</v>
      </c>
      <c r="AW91" s="64">
        <f t="shared" si="121"/>
        <v>137.84297370848739</v>
      </c>
      <c r="AX91" s="61">
        <f t="shared" si="122"/>
        <v>22.289128174680258</v>
      </c>
      <c r="AY91" s="310"/>
      <c r="BA91" s="31">
        <f t="shared" si="123"/>
        <v>0</v>
      </c>
      <c r="BB91" s="31">
        <f t="shared" si="124"/>
        <v>0</v>
      </c>
    </row>
    <row r="92" spans="14:54" x14ac:dyDescent="0.45">
      <c r="N92" s="10">
        <v>74</v>
      </c>
      <c r="O92" s="50">
        <f t="shared" si="99"/>
        <v>54.95408738576247</v>
      </c>
      <c r="P92" s="48" t="str">
        <f t="shared" si="90"/>
        <v>17.4002386318441</v>
      </c>
      <c r="Q92" s="17" t="str">
        <f t="shared" si="91"/>
        <v>1+0.0295711543845776i</v>
      </c>
      <c r="R92" s="17">
        <f t="shared" si="100"/>
        <v>1.0004371310440434</v>
      </c>
      <c r="S92" s="17">
        <f t="shared" si="101"/>
        <v>2.9562539374266419E-2</v>
      </c>
      <c r="T92" s="17" t="str">
        <f t="shared" si="92"/>
        <v>1+0.000103586014329506i</v>
      </c>
      <c r="U92" s="17">
        <f t="shared" si="102"/>
        <v>1.0000000053650311</v>
      </c>
      <c r="V92" s="17">
        <f t="shared" si="103"/>
        <v>1.035860139590112E-4</v>
      </c>
      <c r="W92" s="31" t="str">
        <f t="shared" si="93"/>
        <v>1-0.000255559146463724i</v>
      </c>
      <c r="X92" s="17">
        <f t="shared" si="104"/>
        <v>1.0000000326552381</v>
      </c>
      <c r="Y92" s="17">
        <f t="shared" si="105"/>
        <v>-2.5555914090016093E-4</v>
      </c>
      <c r="Z92" s="31" t="str">
        <f t="shared" si="94"/>
        <v>0.999999997260815+0.000357414763925029i</v>
      </c>
      <c r="AA92" s="17">
        <f t="shared" si="106"/>
        <v>1.0000000611334698</v>
      </c>
      <c r="AB92" s="17">
        <f t="shared" si="107"/>
        <v>3.5741474968470154E-4</v>
      </c>
      <c r="AC92" s="66" t="str">
        <f t="shared" si="108"/>
        <v>17.3847717004048-0.522951237914593i</v>
      </c>
      <c r="AD92" s="64">
        <f t="shared" si="109"/>
        <v>24.807307844099928</v>
      </c>
      <c r="AE92" s="61">
        <f t="shared" si="110"/>
        <v>-1.7229945133005806</v>
      </c>
      <c r="AF92" s="31" t="str">
        <f t="shared" si="95"/>
        <v>-9090.90909090909</v>
      </c>
      <c r="AG92" s="31" t="str">
        <f t="shared" si="96"/>
        <v>2.27623467397318E-08i</v>
      </c>
      <c r="AH92" s="31">
        <f t="shared" si="111"/>
        <v>2.27623467397318E-8</v>
      </c>
      <c r="AI92" s="31">
        <f t="shared" si="112"/>
        <v>1.5707963267948966</v>
      </c>
      <c r="AJ92" s="31" t="str">
        <f t="shared" si="97"/>
        <v>1+997226.588047509i</v>
      </c>
      <c r="AK92" s="31">
        <f t="shared" si="113"/>
        <v>997226.58804801025</v>
      </c>
      <c r="AL92" s="31">
        <f t="shared" si="114"/>
        <v>1.5707953240137715</v>
      </c>
      <c r="AM92" s="31" t="str">
        <f t="shared" si="98"/>
        <v>1+0.455018832278076i</v>
      </c>
      <c r="AN92" s="31">
        <f t="shared" si="115"/>
        <v>1.0986546944912692</v>
      </c>
      <c r="AO92" s="31">
        <f t="shared" si="116"/>
        <v>0.42701974305960522</v>
      </c>
      <c r="AS92" s="58" t="str">
        <f t="shared" si="117"/>
        <v>400494.201742228+182232.888768921i</v>
      </c>
      <c r="AT92" s="49">
        <f t="shared" si="118"/>
        <v>112.86915293577121</v>
      </c>
      <c r="AU92" s="61">
        <f t="shared" si="119"/>
        <v>24.466486501202514</v>
      </c>
      <c r="AV92" s="58" t="str">
        <f t="shared" si="120"/>
        <v>7057799.17939496+2958638.22897424i</v>
      </c>
      <c r="AW92" s="64">
        <f t="shared" si="121"/>
        <v>137.67646077987115</v>
      </c>
      <c r="AX92" s="61">
        <f t="shared" si="122"/>
        <v>22.74349198790193</v>
      </c>
      <c r="AY92" s="310"/>
      <c r="BA92" s="31">
        <f t="shared" si="123"/>
        <v>0</v>
      </c>
      <c r="BB92" s="31">
        <f t="shared" si="124"/>
        <v>0</v>
      </c>
    </row>
    <row r="93" spans="14:54" x14ac:dyDescent="0.45">
      <c r="N93" s="10">
        <v>75</v>
      </c>
      <c r="O93" s="50">
        <f t="shared" si="99"/>
        <v>56.234132519034915</v>
      </c>
      <c r="P93" s="48" t="str">
        <f t="shared" si="90"/>
        <v>17.4002386318441</v>
      </c>
      <c r="Q93" s="17" t="str">
        <f t="shared" si="91"/>
        <v>1+0.0302599550553906i</v>
      </c>
      <c r="R93" s="17">
        <f t="shared" si="100"/>
        <v>1.0004577276826614</v>
      </c>
      <c r="S93" s="17">
        <f t="shared" si="101"/>
        <v>3.0250724133614255E-2</v>
      </c>
      <c r="T93" s="17" t="str">
        <f t="shared" si="92"/>
        <v>1+0.000105998842561677i</v>
      </c>
      <c r="U93" s="17">
        <f t="shared" si="102"/>
        <v>1.0000000056178773</v>
      </c>
      <c r="V93" s="17">
        <f t="shared" si="103"/>
        <v>1.0599884216468468E-4</v>
      </c>
      <c r="W93" s="31" t="str">
        <f t="shared" si="93"/>
        <v>1-0.00026151188368958i</v>
      </c>
      <c r="X93" s="17">
        <f t="shared" si="104"/>
        <v>1.0000000341942321</v>
      </c>
      <c r="Y93" s="17">
        <f t="shared" si="105"/>
        <v>-2.6151187772811477E-4</v>
      </c>
      <c r="Z93" s="31" t="str">
        <f t="shared" si="94"/>
        <v>0.999999997131721+0.000365740023262162i</v>
      </c>
      <c r="AA93" s="17">
        <f t="shared" si="106"/>
        <v>1.0000000640146012</v>
      </c>
      <c r="AB93" s="17">
        <f t="shared" si="107"/>
        <v>3.6574000800337626E-4</v>
      </c>
      <c r="AC93" s="66" t="str">
        <f t="shared" si="108"/>
        <v>17.3840434332334-0.535110299685999i</v>
      </c>
      <c r="AD93" s="64">
        <f t="shared" si="109"/>
        <v>24.807129014517926</v>
      </c>
      <c r="AE93" s="61">
        <f t="shared" si="110"/>
        <v>-1.7631044195253649</v>
      </c>
      <c r="AF93" s="31" t="str">
        <f t="shared" si="95"/>
        <v>-9090.90909090909</v>
      </c>
      <c r="AG93" s="31" t="str">
        <f t="shared" si="96"/>
        <v>2.27623467397318E-08i</v>
      </c>
      <c r="AH93" s="31">
        <f t="shared" si="111"/>
        <v>2.27623467397318E-8</v>
      </c>
      <c r="AI93" s="31">
        <f t="shared" si="112"/>
        <v>1.5707963267948966</v>
      </c>
      <c r="AJ93" s="31" t="str">
        <f t="shared" si="97"/>
        <v>1+1020454.97926506i</v>
      </c>
      <c r="AK93" s="31">
        <f t="shared" si="113"/>
        <v>1020454.9792655499</v>
      </c>
      <c r="AL93" s="31">
        <f t="shared" si="114"/>
        <v>1.5707953468398566</v>
      </c>
      <c r="AM93" s="31" t="str">
        <f t="shared" si="98"/>
        <v>1+0.465617582425926i</v>
      </c>
      <c r="AN93" s="31">
        <f t="shared" si="115"/>
        <v>1.1030864576560462</v>
      </c>
      <c r="AO93" s="31">
        <f t="shared" si="116"/>
        <v>0.43576533927130057</v>
      </c>
      <c r="AS93" s="58" t="str">
        <f t="shared" si="117"/>
        <v>391377.84071951+182232.870693582i</v>
      </c>
      <c r="AT93" s="49">
        <f t="shared" si="118"/>
        <v>112.70411967807021</v>
      </c>
      <c r="AU93" s="61">
        <f t="shared" si="119"/>
        <v>24.967570945619833</v>
      </c>
      <c r="AV93" s="58" t="str">
        <f t="shared" si="120"/>
        <v>6901244.06792255+2958513.82546216i</v>
      </c>
      <c r="AW93" s="64">
        <f t="shared" si="121"/>
        <v>137.51124869258814</v>
      </c>
      <c r="AX93" s="61">
        <f t="shared" si="122"/>
        <v>23.204466526094471</v>
      </c>
      <c r="AY93" s="310"/>
      <c r="BA93" s="31">
        <f t="shared" si="123"/>
        <v>0</v>
      </c>
      <c r="BB93" s="31">
        <f t="shared" si="124"/>
        <v>0</v>
      </c>
    </row>
    <row r="94" spans="14:54" x14ac:dyDescent="0.45">
      <c r="N94" s="10">
        <v>76</v>
      </c>
      <c r="O94" s="50">
        <f t="shared" si="99"/>
        <v>57.543993733715695</v>
      </c>
      <c r="P94" s="48" t="str">
        <f t="shared" si="90"/>
        <v>17.4002386318441</v>
      </c>
      <c r="Q94" s="17" t="str">
        <f t="shared" si="91"/>
        <v>1+0.0309647999549118i</v>
      </c>
      <c r="R94" s="17">
        <f t="shared" si="100"/>
        <v>1.000479294556488</v>
      </c>
      <c r="S94" s="17">
        <f t="shared" si="101"/>
        <v>3.0954909099925623E-2</v>
      </c>
      <c r="T94" s="17" t="str">
        <f t="shared" si="92"/>
        <v>1+0.000108467872783235i</v>
      </c>
      <c r="U94" s="17">
        <f t="shared" si="102"/>
        <v>1.0000000058826397</v>
      </c>
      <c r="V94" s="17">
        <f t="shared" si="103"/>
        <v>1.0846787235785005E-4</v>
      </c>
      <c r="W94" s="31" t="str">
        <f t="shared" si="93"/>
        <v>1-0.000267603277977687i</v>
      </c>
      <c r="X94" s="17">
        <f t="shared" si="104"/>
        <v>1.0000000358057566</v>
      </c>
      <c r="Y94" s="17">
        <f t="shared" si="105"/>
        <v>-2.6760327158986192E-4</v>
      </c>
      <c r="Z94" s="31" t="str">
        <f t="shared" si="94"/>
        <v>0.999999996996543+0.000374259202800771i</v>
      </c>
      <c r="AA94" s="17">
        <f t="shared" si="106"/>
        <v>1.0000000670315161</v>
      </c>
      <c r="AB94" s="17">
        <f t="shared" si="107"/>
        <v>3.7425918645068773E-4</v>
      </c>
      <c r="AC94" s="66" t="str">
        <f t="shared" si="108"/>
        <v>17.3832809081623-0.547551008281783i</v>
      </c>
      <c r="AD94" s="64">
        <f t="shared" si="109"/>
        <v>24.806941764848524</v>
      </c>
      <c r="AE94" s="61">
        <f t="shared" si="110"/>
        <v>-1.8041469052115924</v>
      </c>
      <c r="AF94" s="31" t="str">
        <f t="shared" si="95"/>
        <v>-9090.90909090909</v>
      </c>
      <c r="AG94" s="31" t="str">
        <f t="shared" si="96"/>
        <v>2.27623467397318E-08i</v>
      </c>
      <c r="AH94" s="31">
        <f t="shared" si="111"/>
        <v>2.27623467397318E-8</v>
      </c>
      <c r="AI94" s="31">
        <f t="shared" si="112"/>
        <v>1.5707963267948966</v>
      </c>
      <c r="AJ94" s="31" t="str">
        <f t="shared" si="97"/>
        <v>1+1044224.42921994i</v>
      </c>
      <c r="AK94" s="31">
        <f t="shared" si="113"/>
        <v>1044224.4292204188</v>
      </c>
      <c r="AL94" s="31">
        <f t="shared" si="114"/>
        <v>1.5707953691463568</v>
      </c>
      <c r="AM94" s="31" t="str">
        <f t="shared" si="98"/>
        <v>1+0.476463209179157i</v>
      </c>
      <c r="AN94" s="31">
        <f t="shared" si="115"/>
        <v>1.1077080796407062</v>
      </c>
      <c r="AO94" s="31">
        <f t="shared" si="116"/>
        <v>0.4446415066002154</v>
      </c>
      <c r="AS94" s="58" t="str">
        <f t="shared" si="117"/>
        <v>382468.993408435+182232.853431767i</v>
      </c>
      <c r="AT94" s="49">
        <f t="shared" si="118"/>
        <v>112.54043508984364</v>
      </c>
      <c r="AU94" s="61">
        <f t="shared" si="119"/>
        <v>25.476136593750244</v>
      </c>
      <c r="AV94" s="58" t="str">
        <f t="shared" si="120"/>
        <v>6748347.73371953+2958383.59892307i</v>
      </c>
      <c r="AW94" s="64">
        <f t="shared" si="121"/>
        <v>137.34737685469216</v>
      </c>
      <c r="AX94" s="61">
        <f t="shared" si="122"/>
        <v>23.67198968853868</v>
      </c>
      <c r="AY94" s="310"/>
      <c r="BA94" s="31">
        <f t="shared" si="123"/>
        <v>0</v>
      </c>
      <c r="BB94" s="31">
        <f t="shared" si="124"/>
        <v>0</v>
      </c>
    </row>
    <row r="95" spans="14:54" x14ac:dyDescent="0.45">
      <c r="N95" s="10">
        <v>77</v>
      </c>
      <c r="O95" s="50">
        <f t="shared" si="99"/>
        <v>58.884365535558949</v>
      </c>
      <c r="P95" s="48" t="str">
        <f t="shared" si="90"/>
        <v>17.4002386318441</v>
      </c>
      <c r="Q95" s="17" t="str">
        <f t="shared" si="91"/>
        <v>1+0.0316860628012366i</v>
      </c>
      <c r="R95" s="17">
        <f t="shared" si="100"/>
        <v>1.0005018773474861</v>
      </c>
      <c r="S95" s="17">
        <f t="shared" si="101"/>
        <v>3.1675464846282621E-2</v>
      </c>
      <c r="T95" s="17" t="str">
        <f t="shared" si="92"/>
        <v>1+0.000110994414106685i</v>
      </c>
      <c r="U95" s="17">
        <f t="shared" si="102"/>
        <v>1.0000000061598799</v>
      </c>
      <c r="V95" s="17">
        <f t="shared" si="103"/>
        <v>1.1099441365087683E-4</v>
      </c>
      <c r="W95" s="31" t="str">
        <f t="shared" si="93"/>
        <v>1-0.000273836559065925i</v>
      </c>
      <c r="X95" s="17">
        <f t="shared" si="104"/>
        <v>1.0000000374932299</v>
      </c>
      <c r="Y95" s="17">
        <f t="shared" si="105"/>
        <v>-2.7383655222124715E-4</v>
      </c>
      <c r="Z95" s="31" t="str">
        <f t="shared" si="94"/>
        <v>0.999999996854995+0.000382976819522611i</v>
      </c>
      <c r="AA95" s="17">
        <f t="shared" si="106"/>
        <v>1.0000000701906144</v>
      </c>
      <c r="AB95" s="17">
        <f t="shared" si="107"/>
        <v>3.8297680200318098E-4</v>
      </c>
      <c r="AC95" s="66" t="str">
        <f t="shared" si="108"/>
        <v>17.3824825168587-0.560279811762732i</v>
      </c>
      <c r="AD95" s="64">
        <f t="shared" si="109"/>
        <v>24.806745699025953</v>
      </c>
      <c r="AE95" s="61">
        <f t="shared" si="110"/>
        <v>-1.8461435714801668</v>
      </c>
      <c r="AF95" s="31" t="str">
        <f t="shared" si="95"/>
        <v>-9090.90909090909</v>
      </c>
      <c r="AG95" s="31" t="str">
        <f t="shared" si="96"/>
        <v>2.27623467397318E-08i</v>
      </c>
      <c r="AH95" s="31">
        <f t="shared" si="111"/>
        <v>2.27623467397318E-8</v>
      </c>
      <c r="AI95" s="31">
        <f t="shared" si="112"/>
        <v>1.5707963267948966</v>
      </c>
      <c r="AJ95" s="31" t="str">
        <f t="shared" si="97"/>
        <v>1+1068547.54078914i</v>
      </c>
      <c r="AK95" s="31">
        <f t="shared" si="113"/>
        <v>1068547.5407896079</v>
      </c>
      <c r="AL95" s="31">
        <f t="shared" si="114"/>
        <v>1.5707953909450989</v>
      </c>
      <c r="AM95" s="31" t="str">
        <f t="shared" si="98"/>
        <v>1+0.487561463032631i</v>
      </c>
      <c r="AN95" s="31">
        <f t="shared" si="115"/>
        <v>1.1125269346108073</v>
      </c>
      <c r="AO95" s="31">
        <f t="shared" si="116"/>
        <v>0.45364735573225778</v>
      </c>
      <c r="AS95" s="58" t="str">
        <f t="shared" si="117"/>
        <v>373762.93622024+182232.836946862i</v>
      </c>
      <c r="AT95" s="49">
        <f t="shared" si="118"/>
        <v>112.37813930395454</v>
      </c>
      <c r="AU95" s="61">
        <f t="shared" si="119"/>
        <v>25.992132490971901</v>
      </c>
      <c r="AV95" s="58" t="str">
        <f t="shared" si="120"/>
        <v>6599029.08387967+2958247.27467703i</v>
      </c>
      <c r="AW95" s="64">
        <f t="shared" si="121"/>
        <v>137.18488500298048</v>
      </c>
      <c r="AX95" s="61">
        <f t="shared" si="122"/>
        <v>24.145988919491746</v>
      </c>
      <c r="AY95" s="310"/>
      <c r="BA95" s="31">
        <f t="shared" si="123"/>
        <v>0</v>
      </c>
      <c r="BB95" s="31">
        <f t="shared" si="124"/>
        <v>0</v>
      </c>
    </row>
    <row r="96" spans="14:54" x14ac:dyDescent="0.45">
      <c r="N96" s="10">
        <v>78</v>
      </c>
      <c r="O96" s="50">
        <f t="shared" si="99"/>
        <v>60.255958607435822</v>
      </c>
      <c r="P96" s="48" t="str">
        <f t="shared" si="90"/>
        <v>17.4002386318441</v>
      </c>
      <c r="Q96" s="17" t="str">
        <f t="shared" si="91"/>
        <v>1+0.0324241260174733i</v>
      </c>
      <c r="R96" s="17">
        <f t="shared" si="100"/>
        <v>1.0005255238863209</v>
      </c>
      <c r="S96" s="17">
        <f t="shared" si="101"/>
        <v>3.241277042626442E-2</v>
      </c>
      <c r="T96" s="17" t="str">
        <f t="shared" si="92"/>
        <v>1+0.000113579806137679i</v>
      </c>
      <c r="U96" s="17">
        <f t="shared" si="102"/>
        <v>1.0000000064501862</v>
      </c>
      <c r="V96" s="17">
        <f t="shared" si="103"/>
        <v>1.1357980564927173E-4</v>
      </c>
      <c r="W96" s="31" t="str">
        <f t="shared" si="93"/>
        <v>1-0.000280215031922436i</v>
      </c>
      <c r="X96" s="17">
        <f t="shared" si="104"/>
        <v>1.0000000392602313</v>
      </c>
      <c r="Y96" s="17">
        <f t="shared" si="105"/>
        <v>-2.8021502458823157E-4</v>
      </c>
      <c r="Z96" s="31" t="str">
        <f t="shared" si="94"/>
        <v>0.999999996706775+0.000391897495623458i</v>
      </c>
      <c r="AA96" s="17">
        <f t="shared" si="106"/>
        <v>1.0000000734985959</v>
      </c>
      <c r="AB96" s="17">
        <f t="shared" si="107"/>
        <v>3.9189747685105072E-4</v>
      </c>
      <c r="AC96" s="66" t="str">
        <f t="shared" si="108"/>
        <v>17.3816465757871-0.573303300379574i</v>
      </c>
      <c r="AD96" s="64">
        <f t="shared" si="109"/>
        <v>24.806540402391523</v>
      </c>
      <c r="AE96" s="61">
        <f t="shared" si="110"/>
        <v>-1.8891165139402306</v>
      </c>
      <c r="AF96" s="31" t="str">
        <f t="shared" si="95"/>
        <v>-9090.90909090909</v>
      </c>
      <c r="AG96" s="31" t="str">
        <f t="shared" si="96"/>
        <v>2.27623467397318E-08i</v>
      </c>
      <c r="AH96" s="31">
        <f t="shared" si="111"/>
        <v>2.27623467397318E-8</v>
      </c>
      <c r="AI96" s="31">
        <f t="shared" si="112"/>
        <v>1.5707963267948966</v>
      </c>
      <c r="AJ96" s="31" t="str">
        <f t="shared" si="97"/>
        <v>1+1093437.21040836i</v>
      </c>
      <c r="AK96" s="31">
        <f t="shared" si="113"/>
        <v>1093437.2104088175</v>
      </c>
      <c r="AL96" s="31">
        <f t="shared" si="114"/>
        <v>1.5707954122476411</v>
      </c>
      <c r="AM96" s="31" t="str">
        <f t="shared" si="98"/>
        <v>1+0.498918228427443i</v>
      </c>
      <c r="AN96" s="31">
        <f t="shared" si="115"/>
        <v>1.1175506246507039</v>
      </c>
      <c r="AO96" s="31">
        <f t="shared" si="116"/>
        <v>0.46278181732346835</v>
      </c>
      <c r="AS96" s="58" t="str">
        <f t="shared" si="117"/>
        <v>365255.053088164+182232.8212039i</v>
      </c>
      <c r="AT96" s="49">
        <f t="shared" si="118"/>
        <v>112.21727273309708</v>
      </c>
      <c r="AU96" s="61">
        <f t="shared" si="119"/>
        <v>26.515497367726965</v>
      </c>
      <c r="AV96" s="58" t="str">
        <f t="shared" si="120"/>
        <v>6453208.9206325+2958104.56525903i</v>
      </c>
      <c r="AW96" s="64">
        <f t="shared" si="121"/>
        <v>137.02381313548858</v>
      </c>
      <c r="AX96" s="61">
        <f t="shared" si="122"/>
        <v>24.626380853786724</v>
      </c>
      <c r="AY96" s="310"/>
      <c r="BA96" s="31">
        <f t="shared" si="123"/>
        <v>0</v>
      </c>
      <c r="BB96" s="31">
        <f t="shared" si="124"/>
        <v>0</v>
      </c>
    </row>
    <row r="97" spans="14:54" x14ac:dyDescent="0.45">
      <c r="N97" s="10">
        <v>79</v>
      </c>
      <c r="O97" s="50">
        <f t="shared" si="99"/>
        <v>61.659500186148257</v>
      </c>
      <c r="P97" s="48" t="str">
        <f t="shared" si="90"/>
        <v>17.4002386318441</v>
      </c>
      <c r="Q97" s="17" t="str">
        <f t="shared" si="91"/>
        <v>1+0.0331793809345085i</v>
      </c>
      <c r="R97" s="17">
        <f t="shared" si="100"/>
        <v>1.0005502842532188</v>
      </c>
      <c r="S97" s="17">
        <f t="shared" si="101"/>
        <v>3.3167213560705795E-2</v>
      </c>
      <c r="T97" s="17" t="str">
        <f t="shared" si="92"/>
        <v>1+0.000116225419685293i</v>
      </c>
      <c r="U97" s="17">
        <f t="shared" si="102"/>
        <v>1.0000000067541741</v>
      </c>
      <c r="V97" s="17">
        <f t="shared" si="103"/>
        <v>1.1622541916195519E-4</v>
      </c>
      <c r="W97" s="31" t="str">
        <f t="shared" si="93"/>
        <v>1-0.000286742078497957i</v>
      </c>
      <c r="X97" s="17">
        <f t="shared" si="104"/>
        <v>1.000000041110509</v>
      </c>
      <c r="Y97" s="17">
        <f t="shared" si="105"/>
        <v>-2.8674207063921533E-4</v>
      </c>
      <c r="Z97" s="31" t="str">
        <f t="shared" si="94"/>
        <v>0.99999999655157+0.000401025960963863i</v>
      </c>
      <c r="AA97" s="17">
        <f t="shared" si="106"/>
        <v>1.0000000769624777</v>
      </c>
      <c r="AB97" s="17">
        <f t="shared" si="107"/>
        <v>4.0102594084886632E-4</v>
      </c>
      <c r="AC97" s="66" t="str">
        <f t="shared" si="108"/>
        <v>17.3807713227228-0.586628209316123i</v>
      </c>
      <c r="AD97" s="64">
        <f t="shared" si="109"/>
        <v>24.806325440824626</v>
      </c>
      <c r="AE97" s="61">
        <f t="shared" si="110"/>
        <v>-1.9330883335897691</v>
      </c>
      <c r="AF97" s="31" t="str">
        <f t="shared" si="95"/>
        <v>-9090.90909090909</v>
      </c>
      <c r="AG97" s="31" t="str">
        <f t="shared" si="96"/>
        <v>2.27623467397318E-08i</v>
      </c>
      <c r="AH97" s="31">
        <f t="shared" si="111"/>
        <v>2.27623467397318E-8</v>
      </c>
      <c r="AI97" s="31">
        <f t="shared" si="112"/>
        <v>1.5707963267948966</v>
      </c>
      <c r="AJ97" s="31" t="str">
        <f t="shared" si="97"/>
        <v>1+1118906.63490989i</v>
      </c>
      <c r="AK97" s="31">
        <f t="shared" si="113"/>
        <v>1118906.6349103367</v>
      </c>
      <c r="AL97" s="31">
        <f t="shared" si="114"/>
        <v>1.570795433065278</v>
      </c>
      <c r="AM97" s="31" t="str">
        <f t="shared" si="98"/>
        <v>1+0.510539526870931i</v>
      </c>
      <c r="AN97" s="31">
        <f t="shared" si="115"/>
        <v>1.1227869826897683</v>
      </c>
      <c r="AO97" s="31">
        <f t="shared" si="116"/>
        <v>0.47204363631024193</v>
      </c>
      <c r="AS97" s="58" t="str">
        <f t="shared" si="117"/>
        <v>356940.83301996+182232.806169488i</v>
      </c>
      <c r="AT97" s="49">
        <f t="shared" si="118"/>
        <v>112.05787599816549</v>
      </c>
      <c r="AU97" s="61">
        <f t="shared" si="119"/>
        <v>27.046159313520327</v>
      </c>
      <c r="AV97" s="58" t="str">
        <f t="shared" si="120"/>
        <v>6310809.89922397+2957955.16982364i</v>
      </c>
      <c r="AW97" s="64">
        <f t="shared" si="121"/>
        <v>136.86420143899014</v>
      </c>
      <c r="AX97" s="61">
        <f t="shared" si="122"/>
        <v>25.11307097993058</v>
      </c>
      <c r="AY97" s="310"/>
      <c r="BA97" s="31">
        <f t="shared" si="123"/>
        <v>0</v>
      </c>
      <c r="BB97" s="31">
        <f t="shared" si="124"/>
        <v>0</v>
      </c>
    </row>
    <row r="98" spans="14:54" x14ac:dyDescent="0.45">
      <c r="N98" s="10">
        <v>80</v>
      </c>
      <c r="O98" s="50">
        <f t="shared" si="99"/>
        <v>63.095734448019364</v>
      </c>
      <c r="P98" s="48" t="str">
        <f t="shared" si="90"/>
        <v>17.4002386318441</v>
      </c>
      <c r="Q98" s="17" t="str">
        <f t="shared" si="91"/>
        <v>1+0.0339522279984962i</v>
      </c>
      <c r="R98" s="17">
        <f t="shared" si="100"/>
        <v>1.0005762108835397</v>
      </c>
      <c r="S98" s="17">
        <f t="shared" si="101"/>
        <v>3.3939190828040672E-2</v>
      </c>
      <c r="T98" s="17" t="str">
        <f t="shared" si="92"/>
        <v>1+0.00011893265748885i</v>
      </c>
      <c r="U98" s="17">
        <f t="shared" si="102"/>
        <v>1.0000000070724884</v>
      </c>
      <c r="V98" s="17">
        <f t="shared" si="103"/>
        <v>1.1893265692808344E-4</v>
      </c>
      <c r="W98" s="31" t="str">
        <f t="shared" si="93"/>
        <v>1-0.000293421159518977i</v>
      </c>
      <c r="X98" s="17">
        <f t="shared" si="104"/>
        <v>1.0000000430479874</v>
      </c>
      <c r="Y98" s="17">
        <f t="shared" si="105"/>
        <v>-2.9342115109818364E-4</v>
      </c>
      <c r="Z98" s="31" t="str">
        <f t="shared" si="94"/>
        <v>0.999999996389051+0.000410367055576976i</v>
      </c>
      <c r="AA98" s="17">
        <f t="shared" si="106"/>
        <v>1.0000000805896079</v>
      </c>
      <c r="AB98" s="17">
        <f t="shared" si="107"/>
        <v>4.1036703402336862E-4</v>
      </c>
      <c r="AC98" s="66" t="str">
        <f t="shared" si="108"/>
        <v>17.3798549131063-0.600261421456054i</v>
      </c>
      <c r="AD98" s="64">
        <f t="shared" si="109"/>
        <v>24.806100359833305</v>
      </c>
      <c r="AE98" s="61">
        <f t="shared" si="110"/>
        <v>-1.9780821479262263</v>
      </c>
      <c r="AF98" s="31" t="str">
        <f t="shared" si="95"/>
        <v>-9090.90909090909</v>
      </c>
      <c r="AG98" s="31" t="str">
        <f t="shared" si="96"/>
        <v>2.27623467397318E-08i</v>
      </c>
      <c r="AH98" s="31">
        <f t="shared" si="111"/>
        <v>2.27623467397318E-8</v>
      </c>
      <c r="AI98" s="31">
        <f t="shared" si="112"/>
        <v>1.5707963267948966</v>
      </c>
      <c r="AJ98" s="31" t="str">
        <f t="shared" si="97"/>
        <v>1+1144969.31851973i</v>
      </c>
      <c r="AK98" s="31">
        <f t="shared" si="113"/>
        <v>1144969.3185201667</v>
      </c>
      <c r="AL98" s="31">
        <f t="shared" si="114"/>
        <v>1.5707954534090478</v>
      </c>
      <c r="AM98" s="31" t="str">
        <f t="shared" si="98"/>
        <v>1+0.522431520129355i</v>
      </c>
      <c r="AN98" s="31">
        <f t="shared" si="115"/>
        <v>1.1282440752003391</v>
      </c>
      <c r="AO98" s="31">
        <f t="shared" si="116"/>
        <v>0.48143136658110031</v>
      </c>
      <c r="AS98" s="58" t="str">
        <f t="shared" si="117"/>
        <v>348815.86770609+182232.791811736i</v>
      </c>
      <c r="AT98" s="49">
        <f t="shared" si="118"/>
        <v>111.89998985171074</v>
      </c>
      <c r="AU98" s="61">
        <f t="shared" si="119"/>
        <v>27.584035471635591</v>
      </c>
      <c r="AV98" s="58" t="str">
        <f t="shared" si="120"/>
        <v>6171756.48676994+2957798.77352259i</v>
      </c>
      <c r="AW98" s="64">
        <f t="shared" si="121"/>
        <v>136.70609021154405</v>
      </c>
      <c r="AX98" s="61">
        <f t="shared" si="122"/>
        <v>25.605953323709354</v>
      </c>
      <c r="AY98" s="310"/>
      <c r="BA98" s="31">
        <f t="shared" si="123"/>
        <v>0</v>
      </c>
      <c r="BB98" s="31">
        <f t="shared" si="124"/>
        <v>0</v>
      </c>
    </row>
    <row r="99" spans="14:54" x14ac:dyDescent="0.45">
      <c r="N99" s="10">
        <v>81</v>
      </c>
      <c r="O99" s="50">
        <f t="shared" si="99"/>
        <v>64.565422903465588</v>
      </c>
      <c r="P99" s="48" t="str">
        <f t="shared" si="90"/>
        <v>17.4002386318441</v>
      </c>
      <c r="Q99" s="17" t="str">
        <f t="shared" si="91"/>
        <v>1+0.0347430769831796i</v>
      </c>
      <c r="R99" s="17">
        <f t="shared" si="100"/>
        <v>1.0006033586782823</v>
      </c>
      <c r="S99" s="17">
        <f t="shared" si="101"/>
        <v>3.4729107858259056E-2</v>
      </c>
      <c r="T99" s="17" t="str">
        <f t="shared" si="92"/>
        <v>1+0.000121702954961667i</v>
      </c>
      <c r="U99" s="17">
        <f t="shared" si="102"/>
        <v>1.0000000074058046</v>
      </c>
      <c r="V99" s="17">
        <f t="shared" si="103"/>
        <v>1.217029543607948E-4</v>
      </c>
      <c r="W99" s="31" t="str">
        <f t="shared" si="93"/>
        <v>1-0.000300255816322662i</v>
      </c>
      <c r="X99" s="17">
        <f t="shared" si="104"/>
        <v>1.0000000450767765</v>
      </c>
      <c r="Y99" s="17">
        <f t="shared" si="105"/>
        <v>-3.0025580729961938E-4</v>
      </c>
      <c r="Z99" s="31" t="str">
        <f t="shared" si="94"/>
        <v>0.999999996218872+0.000419925732234806i</v>
      </c>
      <c r="AA99" s="17">
        <f t="shared" si="106"/>
        <v>1.0000000843876786</v>
      </c>
      <c r="AB99" s="17">
        <f t="shared" si="107"/>
        <v>4.1992570913969979E-4</v>
      </c>
      <c r="AC99" s="66" t="str">
        <f t="shared" si="108"/>
        <v>17.3788954162315-0.614209970171063i</v>
      </c>
      <c r="AD99" s="64">
        <f t="shared" si="109"/>
        <v>24.805864683602493</v>
      </c>
      <c r="AE99" s="61">
        <f t="shared" si="110"/>
        <v>-2.0241216022690245</v>
      </c>
      <c r="AF99" s="31" t="str">
        <f t="shared" si="95"/>
        <v>-9090.90909090909</v>
      </c>
      <c r="AG99" s="31" t="str">
        <f t="shared" si="96"/>
        <v>2.27623467397318E-08i</v>
      </c>
      <c r="AH99" s="31">
        <f t="shared" si="111"/>
        <v>2.27623467397318E-8</v>
      </c>
      <c r="AI99" s="31">
        <f t="shared" si="112"/>
        <v>1.5707963267948966</v>
      </c>
      <c r="AJ99" s="31" t="str">
        <f t="shared" si="97"/>
        <v>1+1171639.08001771i</v>
      </c>
      <c r="AK99" s="31">
        <f t="shared" si="113"/>
        <v>1171639.0800181367</v>
      </c>
      <c r="AL99" s="31">
        <f t="shared" si="114"/>
        <v>1.5707954732897369</v>
      </c>
      <c r="AM99" s="31" t="str">
        <f t="shared" si="98"/>
        <v>1+0.53460051349495i</v>
      </c>
      <c r="AN99" s="31">
        <f t="shared" si="115"/>
        <v>1.133930204655059</v>
      </c>
      <c r="AO99" s="31">
        <f t="shared" si="116"/>
        <v>0.49094336606393552</v>
      </c>
      <c r="AS99" s="58" t="str">
        <f t="shared" si="117"/>
        <v>340875.849182401+182232.77810019i</v>
      </c>
      <c r="AT99" s="49">
        <f t="shared" si="118"/>
        <v>111.74365509657333</v>
      </c>
      <c r="AU99" s="61">
        <f t="shared" si="119"/>
        <v>28.129031757653181</v>
      </c>
      <c r="AV99" s="58" t="str">
        <f t="shared" si="120"/>
        <v>6035974.92206116+2957635.04685417i</v>
      </c>
      <c r="AW99" s="64">
        <f t="shared" si="121"/>
        <v>136.54951978017584</v>
      </c>
      <c r="AX99" s="61">
        <f t="shared" si="122"/>
        <v>26.104910155384179</v>
      </c>
      <c r="AY99" s="310"/>
      <c r="BA99" s="31">
        <f t="shared" si="123"/>
        <v>0</v>
      </c>
      <c r="BB99" s="31">
        <f t="shared" si="124"/>
        <v>0</v>
      </c>
    </row>
    <row r="100" spans="14:54" x14ac:dyDescent="0.45">
      <c r="N100" s="10">
        <v>82</v>
      </c>
      <c r="O100" s="50">
        <f t="shared" si="99"/>
        <v>66.069344800759623</v>
      </c>
      <c r="P100" s="48" t="str">
        <f t="shared" si="90"/>
        <v>17.4002386318441</v>
      </c>
      <c r="Q100" s="17" t="str">
        <f t="shared" si="91"/>
        <v>1+0.0355523472071584i</v>
      </c>
      <c r="R100" s="17">
        <f t="shared" si="100"/>
        <v>1.0006317851197504</v>
      </c>
      <c r="S100" s="17">
        <f t="shared" si="101"/>
        <v>3.553737953050369E-2</v>
      </c>
      <c r="T100" s="17" t="str">
        <f t="shared" si="92"/>
        <v>1+0.000124537780952135i</v>
      </c>
      <c r="U100" s="17">
        <f t="shared" si="102"/>
        <v>1.0000000077548294</v>
      </c>
      <c r="V100" s="17">
        <f t="shared" si="103"/>
        <v>1.2453778030828883E-4</v>
      </c>
      <c r="W100" s="31" t="str">
        <f t="shared" si="93"/>
        <v>1-0.000307249672734518i</v>
      </c>
      <c r="X100" s="17">
        <f t="shared" si="104"/>
        <v>1.0000000472011796</v>
      </c>
      <c r="Y100" s="17">
        <f t="shared" si="105"/>
        <v>-3.0724966306615369E-4</v>
      </c>
      <c r="Z100" s="31" t="str">
        <f t="shared" si="94"/>
        <v>0.999999996040673+0.000429707059074241i</v>
      </c>
      <c r="AA100" s="17">
        <f t="shared" si="106"/>
        <v>1.0000000883647475</v>
      </c>
      <c r="AB100" s="17">
        <f t="shared" si="107"/>
        <v>4.297070343273889E-4</v>
      </c>
      <c r="AC100" s="66" t="str">
        <f t="shared" si="108"/>
        <v>17.3778908112615-0.628481042127869i</v>
      </c>
      <c r="AD100" s="64">
        <f t="shared" si="109"/>
        <v>24.805617913998542</v>
      </c>
      <c r="AE100" s="61">
        <f t="shared" si="110"/>
        <v>-2.0712308812954241</v>
      </c>
      <c r="AF100" s="31" t="str">
        <f t="shared" si="95"/>
        <v>-9090.90909090909</v>
      </c>
      <c r="AG100" s="31" t="str">
        <f t="shared" si="96"/>
        <v>2.27623467397318E-08i</v>
      </c>
      <c r="AH100" s="31">
        <f t="shared" si="111"/>
        <v>2.27623467397318E-8</v>
      </c>
      <c r="AI100" s="31">
        <f t="shared" si="112"/>
        <v>1.5707963267948966</v>
      </c>
      <c r="AJ100" s="31" t="str">
        <f t="shared" si="97"/>
        <v>1+1198930.06006439i</v>
      </c>
      <c r="AK100" s="31">
        <f t="shared" si="113"/>
        <v>1198930.0600648071</v>
      </c>
      <c r="AL100" s="31">
        <f t="shared" si="114"/>
        <v>1.5707954927178864</v>
      </c>
      <c r="AM100" s="31" t="str">
        <f t="shared" si="98"/>
        <v>1+0.547052959129076i</v>
      </c>
      <c r="AN100" s="31">
        <f t="shared" si="115"/>
        <v>1.1398539117324986</v>
      </c>
      <c r="AO100" s="31">
        <f t="shared" si="116"/>
        <v>0.50057779228361354</v>
      </c>
      <c r="AS100" s="58" t="str">
        <f t="shared" si="117"/>
        <v>333116.567545974+182232.765005765i</v>
      </c>
      <c r="AT100" s="49">
        <f t="shared" si="118"/>
        <v>111.58891249982345</v>
      </c>
      <c r="AU100" s="61">
        <f t="shared" si="119"/>
        <v>28.681042604919849</v>
      </c>
      <c r="AV100" s="58" t="str">
        <f t="shared" si="120"/>
        <v>5903393.17629682+2957463.64498311i</v>
      </c>
      <c r="AW100" s="64">
        <f t="shared" si="121"/>
        <v>136.394530413822</v>
      </c>
      <c r="AX100" s="61">
        <f t="shared" si="122"/>
        <v>26.609811723624443</v>
      </c>
      <c r="AY100" s="310"/>
      <c r="BA100" s="31">
        <f t="shared" si="123"/>
        <v>0</v>
      </c>
      <c r="BB100" s="31">
        <f t="shared" si="124"/>
        <v>0</v>
      </c>
    </row>
    <row r="101" spans="14:54" x14ac:dyDescent="0.45">
      <c r="N101" s="10">
        <v>83</v>
      </c>
      <c r="O101" s="50">
        <f t="shared" si="99"/>
        <v>67.60829753919819</v>
      </c>
      <c r="P101" s="48" t="str">
        <f t="shared" si="90"/>
        <v>17.4002386318441</v>
      </c>
      <c r="Q101" s="17" t="str">
        <f t="shared" si="91"/>
        <v>1+0.0363804677562175i</v>
      </c>
      <c r="R101" s="17">
        <f t="shared" si="100"/>
        <v>1.0006615503926197</v>
      </c>
      <c r="S101" s="17">
        <f t="shared" si="101"/>
        <v>3.6364430174329936E-2</v>
      </c>
      <c r="T101" s="17" t="str">
        <f t="shared" si="92"/>
        <v>1+0.000127438638522515i</v>
      </c>
      <c r="U101" s="17">
        <f t="shared" si="102"/>
        <v>1.0000000081203033</v>
      </c>
      <c r="V101" s="17">
        <f t="shared" si="103"/>
        <v>1.2743863783262142E-4</v>
      </c>
      <c r="W101" s="31" t="str">
        <f t="shared" si="93"/>
        <v>1-0.000314406436989787i</v>
      </c>
      <c r="X101" s="17">
        <f t="shared" si="104"/>
        <v>1.0000000494257026</v>
      </c>
      <c r="Y101" s="17">
        <f t="shared" si="105"/>
        <v>-3.1440642662994799E-4</v>
      </c>
      <c r="Z101" s="31" t="str">
        <f t="shared" si="94"/>
        <v>0.999999995854075+0.000439716222284243i</v>
      </c>
      <c r="AA101" s="17">
        <f t="shared" si="106"/>
        <v>1.0000000925292487</v>
      </c>
      <c r="AB101" s="17">
        <f t="shared" si="107"/>
        <v>4.3971619576751368E-4</v>
      </c>
      <c r="AC101" s="66" t="str">
        <f t="shared" si="108"/>
        <v>17.3768389830633-0.64308198011127i</v>
      </c>
      <c r="AD101" s="64">
        <f t="shared" si="109"/>
        <v>24.80535952952745</v>
      </c>
      <c r="AE101" s="61">
        <f t="shared" si="110"/>
        <v>-2.1194347207912867</v>
      </c>
      <c r="AF101" s="31" t="str">
        <f t="shared" si="95"/>
        <v>-9090.90909090909</v>
      </c>
      <c r="AG101" s="31" t="str">
        <f t="shared" si="96"/>
        <v>2.27623467397318E-08i</v>
      </c>
      <c r="AH101" s="31">
        <f t="shared" si="111"/>
        <v>2.27623467397318E-8</v>
      </c>
      <c r="AI101" s="31">
        <f t="shared" si="112"/>
        <v>1.5707963267948966</v>
      </c>
      <c r="AJ101" s="31" t="str">
        <f t="shared" si="97"/>
        <v>1+1226856.72869863i</v>
      </c>
      <c r="AK101" s="31">
        <f t="shared" si="113"/>
        <v>1226856.7286990373</v>
      </c>
      <c r="AL101" s="31">
        <f t="shared" si="114"/>
        <v>1.5707955117037971</v>
      </c>
      <c r="AM101" s="31" t="str">
        <f t="shared" si="98"/>
        <v>1+0.559795459483233i</v>
      </c>
      <c r="AN101" s="31">
        <f t="shared" si="115"/>
        <v>1.1460239772614025</v>
      </c>
      <c r="AO101" s="31">
        <f t="shared" si="116"/>
        <v>0.51033259844532408</v>
      </c>
      <c r="AS101" s="58" t="str">
        <f t="shared" si="117"/>
        <v>325533.908722976+182232.752500686i</v>
      </c>
      <c r="AT101" s="49">
        <f t="shared" si="118"/>
        <v>111.43580270218823</v>
      </c>
      <c r="AU101" s="61">
        <f t="shared" si="119"/>
        <v>29.239950740141587</v>
      </c>
      <c r="AV101" s="58" t="str">
        <f t="shared" si="120"/>
        <v>5773940.91472565+2957284.20702991i</v>
      </c>
      <c r="AW101" s="64">
        <f t="shared" si="121"/>
        <v>136.24116223171566</v>
      </c>
      <c r="AX101" s="61">
        <f t="shared" si="122"/>
        <v>27.120516019350255</v>
      </c>
      <c r="AY101" s="310"/>
      <c r="BA101" s="31">
        <f t="shared" si="123"/>
        <v>0</v>
      </c>
      <c r="BB101" s="31">
        <f t="shared" si="124"/>
        <v>0</v>
      </c>
    </row>
    <row r="102" spans="14:54" x14ac:dyDescent="0.45">
      <c r="N102" s="10">
        <v>84</v>
      </c>
      <c r="O102" s="50">
        <f t="shared" si="99"/>
        <v>69.183097091893657</v>
      </c>
      <c r="P102" s="48" t="str">
        <f t="shared" si="90"/>
        <v>17.4002386318441</v>
      </c>
      <c r="Q102" s="17" t="str">
        <f t="shared" si="91"/>
        <v>1+0.0372278777108333i</v>
      </c>
      <c r="R102" s="17">
        <f t="shared" si="100"/>
        <v>1.0006927175106517</v>
      </c>
      <c r="S102" s="17">
        <f t="shared" si="101"/>
        <v>3.7210693774646135E-2</v>
      </c>
      <c r="T102" s="17" t="str">
        <f t="shared" si="92"/>
        <v>1+0.00013040706574589i</v>
      </c>
      <c r="U102" s="17">
        <f t="shared" si="102"/>
        <v>1.0000000085030014</v>
      </c>
      <c r="V102" s="17">
        <f t="shared" si="103"/>
        <v>1.3040706500665568E-4</v>
      </c>
      <c r="W102" s="31" t="str">
        <f t="shared" si="93"/>
        <v>1-0.00032172990369961i</v>
      </c>
      <c r="X102" s="17">
        <f t="shared" si="104"/>
        <v>1.000000051755064</v>
      </c>
      <c r="Y102" s="17">
        <f t="shared" si="105"/>
        <v>-3.2172989259884259E-4</v>
      </c>
      <c r="Z102" s="31" t="str">
        <f t="shared" si="94"/>
        <v>0.999999995658684+0.000449958528855632i</v>
      </c>
      <c r="AA102" s="17">
        <f t="shared" si="106"/>
        <v>1.0000000968900182</v>
      </c>
      <c r="AB102" s="17">
        <f t="shared" si="107"/>
        <v>4.4995850044244457E-4</v>
      </c>
      <c r="AC102" s="66" t="str">
        <f t="shared" si="108"/>
        <v>17.3757377178542-0.658020285860179i</v>
      </c>
      <c r="AD102" s="64">
        <f t="shared" si="109"/>
        <v>24.805088984244996</v>
      </c>
      <c r="AE102" s="61">
        <f t="shared" si="110"/>
        <v>-2.1687584196178777</v>
      </c>
      <c r="AF102" s="31" t="str">
        <f t="shared" si="95"/>
        <v>-9090.90909090909</v>
      </c>
      <c r="AG102" s="31" t="str">
        <f t="shared" si="96"/>
        <v>2.27623467397318E-08i</v>
      </c>
      <c r="AH102" s="31">
        <f t="shared" si="111"/>
        <v>2.27623467397318E-8</v>
      </c>
      <c r="AI102" s="31">
        <f t="shared" si="112"/>
        <v>1.5707963267948966</v>
      </c>
      <c r="AJ102" s="31" t="str">
        <f t="shared" si="97"/>
        <v>1+1255433.8930098i</v>
      </c>
      <c r="AK102" s="31">
        <f t="shared" si="113"/>
        <v>1255433.8930101981</v>
      </c>
      <c r="AL102" s="31">
        <f t="shared" si="114"/>
        <v>1.5707955302575356</v>
      </c>
      <c r="AM102" s="31" t="str">
        <f t="shared" si="98"/>
        <v>1+0.572834770799777i</v>
      </c>
      <c r="AN102" s="31">
        <f t="shared" si="115"/>
        <v>1.1524494238955707</v>
      </c>
      <c r="AO102" s="31">
        <f t="shared" si="116"/>
        <v>0.52020553009903658</v>
      </c>
      <c r="AS102" s="58" t="str">
        <f t="shared" si="117"/>
        <v>318123.852287334+182232.740558428i</v>
      </c>
      <c r="AT102" s="49">
        <f t="shared" si="118"/>
        <v>111.28436612319533</v>
      </c>
      <c r="AU102" s="61">
        <f t="shared" si="119"/>
        <v>29.805626992269428</v>
      </c>
      <c r="AV102" s="58" t="str">
        <f t="shared" si="120"/>
        <v>5647549.45917345+2957096.35532796i</v>
      </c>
      <c r="AW102" s="64">
        <f t="shared" si="121"/>
        <v>136.08945510744033</v>
      </c>
      <c r="AX102" s="61">
        <f t="shared" si="122"/>
        <v>27.636868572651512</v>
      </c>
      <c r="AY102" s="310"/>
      <c r="BA102" s="31">
        <f t="shared" si="123"/>
        <v>0</v>
      </c>
      <c r="BB102" s="31">
        <f t="shared" si="124"/>
        <v>0</v>
      </c>
    </row>
    <row r="103" spans="14:54" x14ac:dyDescent="0.45">
      <c r="N103" s="10">
        <v>85</v>
      </c>
      <c r="O103" s="50">
        <f t="shared" si="99"/>
        <v>70.794578438413865</v>
      </c>
      <c r="P103" s="48" t="str">
        <f t="shared" si="90"/>
        <v>17.4002386318441</v>
      </c>
      <c r="Q103" s="17" t="str">
        <f t="shared" si="91"/>
        <v>1+0.0380950263789806i</v>
      </c>
      <c r="R103" s="17">
        <f t="shared" si="100"/>
        <v>1.0007253524493198</v>
      </c>
      <c r="S103" s="17">
        <f t="shared" si="101"/>
        <v>3.8076614180351562E-2</v>
      </c>
      <c r="T103" s="17" t="str">
        <f t="shared" si="92"/>
        <v>1+0.000133444636521665i</v>
      </c>
      <c r="U103" s="17">
        <f t="shared" si="102"/>
        <v>1.0000000089037355</v>
      </c>
      <c r="V103" s="17">
        <f t="shared" si="103"/>
        <v>1.3344463572956118E-4</v>
      </c>
      <c r="W103" s="31" t="str">
        <f t="shared" si="93"/>
        <v>1-0.000329223955862973i</v>
      </c>
      <c r="X103" s="17">
        <f t="shared" si="104"/>
        <v>1.0000000541942051</v>
      </c>
      <c r="Y103" s="17">
        <f t="shared" si="105"/>
        <v>-3.2922394396828637E-4</v>
      </c>
      <c r="Z103" s="31" t="str">
        <f t="shared" si="94"/>
        <v>0.999999995454084+0.000460439409394927i</v>
      </c>
      <c r="AA103" s="17">
        <f t="shared" si="106"/>
        <v>1.0000001014563036</v>
      </c>
      <c r="AB103" s="17">
        <f t="shared" si="107"/>
        <v>4.6043937894964839E-4</v>
      </c>
      <c r="AC103" s="66" t="str">
        <f t="shared" si="108"/>
        <v>17.3745846986527-0.673303622913269i</v>
      </c>
      <c r="AD103" s="64">
        <f t="shared" si="109"/>
        <v>24.804805706617099</v>
      </c>
      <c r="AE103" s="61">
        <f t="shared" si="110"/>
        <v>-2.219227851895635</v>
      </c>
      <c r="AF103" s="31" t="str">
        <f t="shared" si="95"/>
        <v>-9090.90909090909</v>
      </c>
      <c r="AG103" s="31" t="str">
        <f t="shared" si="96"/>
        <v>2.27623467397318E-08i</v>
      </c>
      <c r="AH103" s="31">
        <f t="shared" si="111"/>
        <v>2.27623467397318E-8</v>
      </c>
      <c r="AI103" s="31">
        <f t="shared" si="112"/>
        <v>1.5707963267948966</v>
      </c>
      <c r="AJ103" s="31" t="str">
        <f t="shared" si="97"/>
        <v>1+1284676.70498868i</v>
      </c>
      <c r="AK103" s="31">
        <f t="shared" si="113"/>
        <v>1284676.7049890691</v>
      </c>
      <c r="AL103" s="31">
        <f t="shared" si="114"/>
        <v>1.5707955483889395</v>
      </c>
      <c r="AM103" s="31" t="str">
        <f t="shared" si="98"/>
        <v>1+0.586177806694165i</v>
      </c>
      <c r="AN103" s="31">
        <f t="shared" si="115"/>
        <v>1.1591395175132206</v>
      </c>
      <c r="AO103" s="31">
        <f t="shared" si="116"/>
        <v>0.53019412243972952</v>
      </c>
      <c r="AS103" s="58" t="str">
        <f t="shared" si="117"/>
        <v>310882.469329037+182232.72915366i</v>
      </c>
      <c r="AT103" s="49">
        <f t="shared" si="118"/>
        <v>111.13464286231194</v>
      </c>
      <c r="AU103" s="61">
        <f t="shared" si="119"/>
        <v>30.377930137815056</v>
      </c>
      <c r="AV103" s="58" t="str">
        <f t="shared" si="120"/>
        <v>5524151.75143619+2956899.69464744i</v>
      </c>
      <c r="AW103" s="64">
        <f t="shared" si="121"/>
        <v>135.93944856892904</v>
      </c>
      <c r="AX103" s="61">
        <f t="shared" si="122"/>
        <v>28.158702285919411</v>
      </c>
      <c r="AY103" s="310"/>
      <c r="BA103" s="31">
        <f t="shared" si="123"/>
        <v>0</v>
      </c>
      <c r="BB103" s="31">
        <f t="shared" si="124"/>
        <v>0</v>
      </c>
    </row>
    <row r="104" spans="14:54" x14ac:dyDescent="0.45">
      <c r="N104" s="10">
        <v>86</v>
      </c>
      <c r="O104" s="50">
        <f t="shared" si="99"/>
        <v>72.443596007499011</v>
      </c>
      <c r="P104" s="48" t="str">
        <f t="shared" si="90"/>
        <v>17.4002386318441</v>
      </c>
      <c r="Q104" s="17" t="str">
        <f t="shared" si="91"/>
        <v>1+0.0389823735343612i</v>
      </c>
      <c r="R104" s="17">
        <f t="shared" si="100"/>
        <v>1.0007595242846168</v>
      </c>
      <c r="S104" s="17">
        <f t="shared" si="101"/>
        <v>3.89626453166797E-2</v>
      </c>
      <c r="T104" s="17" t="str">
        <f t="shared" si="92"/>
        <v>1+0.000136552961410071i</v>
      </c>
      <c r="U104" s="17">
        <f t="shared" si="102"/>
        <v>1.0000000093233556</v>
      </c>
      <c r="V104" s="17">
        <f t="shared" si="103"/>
        <v>1.3655296056131646E-4</v>
      </c>
      <c r="W104" s="31" t="str">
        <f t="shared" si="93"/>
        <v>1-0.000336892566925528i</v>
      </c>
      <c r="X104" s="17">
        <f t="shared" si="104"/>
        <v>1.0000000567482992</v>
      </c>
      <c r="Y104" s="17">
        <f t="shared" si="105"/>
        <v>-3.368925541801417E-4</v>
      </c>
      <c r="Z104" s="31" t="str">
        <f t="shared" si="94"/>
        <v>0.999999995239842+0.000471164421003716i</v>
      </c>
      <c r="AA104" s="17">
        <f t="shared" si="106"/>
        <v>1.0000001062377921</v>
      </c>
      <c r="AB104" s="17">
        <f t="shared" si="107"/>
        <v>4.7116438838101218E-4</v>
      </c>
      <c r="AC104" s="66" t="str">
        <f t="shared" si="108"/>
        <v>17.3733775005223-0.688939819460434i</v>
      </c>
      <c r="AD104" s="64">
        <f t="shared" si="109"/>
        <v>24.804509098326516</v>
      </c>
      <c r="AE104" s="61">
        <f t="shared" si="110"/>
        <v>-2.2708694794057367</v>
      </c>
      <c r="AF104" s="31" t="str">
        <f t="shared" si="95"/>
        <v>-9090.90909090909</v>
      </c>
      <c r="AG104" s="31" t="str">
        <f t="shared" si="96"/>
        <v>2.27623467397318E-08i</v>
      </c>
      <c r="AH104" s="31">
        <f t="shared" si="111"/>
        <v>2.27623467397318E-8</v>
      </c>
      <c r="AI104" s="31">
        <f t="shared" si="112"/>
        <v>1.5707963267948966</v>
      </c>
      <c r="AJ104" s="31" t="str">
        <f t="shared" si="97"/>
        <v>1+1314600.66956124i</v>
      </c>
      <c r="AK104" s="31">
        <f t="shared" si="113"/>
        <v>1314600.6695616203</v>
      </c>
      <c r="AL104" s="31">
        <f t="shared" si="114"/>
        <v>1.5707955661076225</v>
      </c>
      <c r="AM104" s="31" t="str">
        <f t="shared" si="98"/>
        <v>1+0.59983164182064i</v>
      </c>
      <c r="AN104" s="31">
        <f t="shared" si="115"/>
        <v>1.1661037683367825</v>
      </c>
      <c r="AO104" s="31">
        <f t="shared" si="116"/>
        <v>0.54029569829680124</v>
      </c>
      <c r="AS104" s="58" t="str">
        <f t="shared" si="117"/>
        <v>303805.920370999+182232.718262192i</v>
      </c>
      <c r="AT104" s="49">
        <f t="shared" si="118"/>
        <v>110.98667259641326</v>
      </c>
      <c r="AU104" s="61">
        <f t="shared" si="119"/>
        <v>30.956706785650699</v>
      </c>
      <c r="AV104" s="58" t="str">
        <f t="shared" si="120"/>
        <v>5403682.31751832+2956693.81138398i</v>
      </c>
      <c r="AW104" s="64">
        <f t="shared" si="121"/>
        <v>135.79118169473978</v>
      </c>
      <c r="AX104" s="61">
        <f t="shared" si="122"/>
        <v>28.685837306244984</v>
      </c>
      <c r="AY104" s="310"/>
      <c r="BA104" s="31">
        <f t="shared" si="123"/>
        <v>0</v>
      </c>
      <c r="BB104" s="31">
        <f t="shared" si="124"/>
        <v>0</v>
      </c>
    </row>
    <row r="105" spans="14:54" x14ac:dyDescent="0.45">
      <c r="N105" s="10">
        <v>87</v>
      </c>
      <c r="O105" s="50">
        <f t="shared" si="99"/>
        <v>74.131024130091816</v>
      </c>
      <c r="P105" s="48" t="str">
        <f t="shared" si="90"/>
        <v>17.4002386318441</v>
      </c>
      <c r="Q105" s="17" t="str">
        <f t="shared" si="91"/>
        <v>1+0.0398903896601826i</v>
      </c>
      <c r="R105" s="17">
        <f t="shared" si="100"/>
        <v>1.0007953053383301</v>
      </c>
      <c r="S105" s="17">
        <f t="shared" si="101"/>
        <v>3.9869251401254004E-2</v>
      </c>
      <c r="T105" s="17" t="str">
        <f t="shared" si="92"/>
        <v>1+0.000139733688486111i</v>
      </c>
      <c r="U105" s="17">
        <f t="shared" si="102"/>
        <v>1.0000000097627517</v>
      </c>
      <c r="V105" s="17">
        <f t="shared" si="103"/>
        <v>1.3973368757665413E-4</v>
      </c>
      <c r="W105" s="31" t="str">
        <f t="shared" si="93"/>
        <v>1-0.000344739802886368i</v>
      </c>
      <c r="X105" s="17">
        <f t="shared" si="104"/>
        <v>1.000000059422764</v>
      </c>
      <c r="Y105" s="17">
        <f t="shared" si="105"/>
        <v>-3.4473978922944058E-4</v>
      </c>
      <c r="Z105" s="31" t="str">
        <f t="shared" si="94"/>
        <v>0.999999995015502+0.000482139250225123i</v>
      </c>
      <c r="AA105" s="17">
        <f t="shared" si="106"/>
        <v>1.0000001112446242</v>
      </c>
      <c r="AB105" s="17">
        <f t="shared" si="107"/>
        <v>4.8213921526926663E-4</v>
      </c>
      <c r="AC105" s="66" t="str">
        <f t="shared" si="108"/>
        <v>17.3721135856043-0.704936871196112i</v>
      </c>
      <c r="AD105" s="64">
        <f t="shared" si="109"/>
        <v>24.804198533025975</v>
      </c>
      <c r="AE105" s="61">
        <f t="shared" si="110"/>
        <v>-2.3237103642097092</v>
      </c>
      <c r="AF105" s="31" t="str">
        <f t="shared" si="95"/>
        <v>-9090.90909090909</v>
      </c>
      <c r="AG105" s="31" t="str">
        <f t="shared" si="96"/>
        <v>2.27623467397318E-08i</v>
      </c>
      <c r="AH105" s="31">
        <f t="shared" si="111"/>
        <v>2.27623467397318E-8</v>
      </c>
      <c r="AI105" s="31">
        <f t="shared" si="112"/>
        <v>1.5707963267948966</v>
      </c>
      <c r="AJ105" s="31" t="str">
        <f t="shared" si="97"/>
        <v>1+1345221.65280961i</v>
      </c>
      <c r="AK105" s="31">
        <f t="shared" si="113"/>
        <v>1345221.6528099815</v>
      </c>
      <c r="AL105" s="31">
        <f t="shared" si="114"/>
        <v>1.5707955834229788</v>
      </c>
      <c r="AM105" s="31" t="str">
        <f t="shared" si="98"/>
        <v>1+0.613803515623321i</v>
      </c>
      <c r="AN105" s="31">
        <f t="shared" si="115"/>
        <v>1.1733519317713457</v>
      </c>
      <c r="AO105" s="31">
        <f t="shared" si="116"/>
        <v>0.5505073668640913</v>
      </c>
      <c r="AS105" s="58" t="str">
        <f t="shared" si="117"/>
        <v>296890.453333284+182232.70786092i</v>
      </c>
      <c r="AT105" s="49">
        <f t="shared" si="118"/>
        <v>110.84049447396399</v>
      </c>
      <c r="AU105" s="61">
        <f t="shared" si="119"/>
        <v>31.541791304246015</v>
      </c>
      <c r="AV105" s="58" t="str">
        <f t="shared" si="120"/>
        <v>5286077.23269643+2956478.27271139i</v>
      </c>
      <c r="AW105" s="64">
        <f t="shared" si="121"/>
        <v>135.64469300698994</v>
      </c>
      <c r="AX105" s="61">
        <f t="shared" si="122"/>
        <v>29.218080940036355</v>
      </c>
      <c r="AY105" s="310"/>
      <c r="BA105" s="31">
        <f t="shared" si="123"/>
        <v>0</v>
      </c>
      <c r="BB105" s="31">
        <f t="shared" si="124"/>
        <v>0</v>
      </c>
    </row>
    <row r="106" spans="14:54" x14ac:dyDescent="0.45">
      <c r="N106" s="10">
        <v>88</v>
      </c>
      <c r="O106" s="50">
        <f t="shared" si="99"/>
        <v>75.857757502918361</v>
      </c>
      <c r="P106" s="48" t="str">
        <f t="shared" si="90"/>
        <v>17.4002386318441</v>
      </c>
      <c r="Q106" s="17" t="str">
        <f t="shared" si="91"/>
        <v>1+0.0408195561986135i</v>
      </c>
      <c r="R106" s="17">
        <f t="shared" si="100"/>
        <v>1.0008327713300817</v>
      </c>
      <c r="S106" s="17">
        <f t="shared" si="101"/>
        <v>4.0796907163853126E-2</v>
      </c>
      <c r="T106" s="17" t="str">
        <f t="shared" si="92"/>
        <v>1+0.000142988504213379i</v>
      </c>
      <c r="U106" s="17">
        <f t="shared" si="102"/>
        <v>1.0000000102228561</v>
      </c>
      <c r="V106" s="17">
        <f t="shared" si="103"/>
        <v>1.4298850323887842E-4</v>
      </c>
      <c r="W106" s="31" t="str">
        <f t="shared" si="93"/>
        <v>1-0.000352769824453869i</v>
      </c>
      <c r="X106" s="17">
        <f t="shared" si="104"/>
        <v>1.0000000622232725</v>
      </c>
      <c r="Y106" s="17">
        <f t="shared" si="105"/>
        <v>-3.527698098202077E-4</v>
      </c>
      <c r="Z106" s="31" t="str">
        <f t="shared" si="94"/>
        <v>0.99999999478059+0.000493369716058865i</v>
      </c>
      <c r="AA106" s="17">
        <f t="shared" si="106"/>
        <v>1.0000001164874215</v>
      </c>
      <c r="AB106" s="17">
        <f t="shared" si="107"/>
        <v>4.9336967860299022E-4</v>
      </c>
      <c r="AC106" s="66" t="str">
        <f t="shared" si="108"/>
        <v>17.3707902979255-0.721302944169871i</v>
      </c>
      <c r="AD106" s="64">
        <f t="shared" si="109"/>
        <v>24.803873355032717</v>
      </c>
      <c r="AE106" s="61">
        <f t="shared" si="110"/>
        <v>-2.3777781814873427</v>
      </c>
      <c r="AF106" s="31" t="str">
        <f t="shared" si="95"/>
        <v>-9090.90909090909</v>
      </c>
      <c r="AG106" s="31" t="str">
        <f t="shared" si="96"/>
        <v>2.27623467397318E-08i</v>
      </c>
      <c r="AH106" s="31">
        <f t="shared" si="111"/>
        <v>2.27623467397318E-8</v>
      </c>
      <c r="AI106" s="31">
        <f t="shared" si="112"/>
        <v>1.5707963267948966</v>
      </c>
      <c r="AJ106" s="31" t="str">
        <f t="shared" si="97"/>
        <v>1+1376555.8903844i</v>
      </c>
      <c r="AK106" s="31">
        <f t="shared" si="113"/>
        <v>1376555.8903847632</v>
      </c>
      <c r="AL106" s="31">
        <f t="shared" si="114"/>
        <v>1.5707956003441894</v>
      </c>
      <c r="AM106" s="31" t="str">
        <f t="shared" si="98"/>
        <v>1+0.628100836174635i</v>
      </c>
      <c r="AN106" s="31">
        <f t="shared" si="115"/>
        <v>1.1808940089623943</v>
      </c>
      <c r="AO106" s="31">
        <f t="shared" si="116"/>
        <v>0.56082602321918829</v>
      </c>
      <c r="AS106" s="58" t="str">
        <f t="shared" si="117"/>
        <v>290132.401543737+182232.697927783i</v>
      </c>
      <c r="AT106" s="49">
        <f t="shared" si="118"/>
        <v>110.69614700635393</v>
      </c>
      <c r="AU106" s="61">
        <f t="shared" si="119"/>
        <v>32.133005794124969</v>
      </c>
      <c r="AV106" s="58" t="str">
        <f t="shared" si="120"/>
        <v>5171274.0873891+2956252.62569615i</v>
      </c>
      <c r="AW106" s="64">
        <f t="shared" si="121"/>
        <v>135.50002036138667</v>
      </c>
      <c r="AX106" s="61">
        <f t="shared" si="122"/>
        <v>29.755227612637636</v>
      </c>
      <c r="AY106" s="310"/>
      <c r="BA106" s="31">
        <f t="shared" si="123"/>
        <v>0</v>
      </c>
      <c r="BB106" s="31">
        <f t="shared" si="124"/>
        <v>0</v>
      </c>
    </row>
    <row r="107" spans="14:54" x14ac:dyDescent="0.45">
      <c r="N107" s="10">
        <v>89</v>
      </c>
      <c r="O107" s="50">
        <f t="shared" si="99"/>
        <v>77.624711662869217</v>
      </c>
      <c r="P107" s="48" t="str">
        <f t="shared" si="90"/>
        <v>17.4002386318441</v>
      </c>
      <c r="Q107" s="17" t="str">
        <f t="shared" si="91"/>
        <v>1+0.0417703658060517i</v>
      </c>
      <c r="R107" s="17">
        <f t="shared" si="100"/>
        <v>1.0008720015364458</v>
      </c>
      <c r="S107" s="17">
        <f t="shared" si="101"/>
        <v>4.1746098069882255E-2</v>
      </c>
      <c r="T107" s="17" t="str">
        <f t="shared" si="92"/>
        <v>1+0.000146319134338258i</v>
      </c>
      <c r="U107" s="17">
        <f t="shared" si="102"/>
        <v>1.0000000107046445</v>
      </c>
      <c r="V107" s="17">
        <f t="shared" si="103"/>
        <v>1.463191332940618E-4</v>
      </c>
      <c r="W107" s="31" t="str">
        <f t="shared" si="93"/>
        <v>1-0.000360986889251756i</v>
      </c>
      <c r="X107" s="17">
        <f t="shared" si="104"/>
        <v>1.000000065155765</v>
      </c>
      <c r="Y107" s="17">
        <f t="shared" si="105"/>
        <v>-3.6098687357150543E-4</v>
      </c>
      <c r="Z107" s="31" t="str">
        <f t="shared" si="94"/>
        <v>0.999999994534607+0.000504861773046582i</v>
      </c>
      <c r="AA107" s="17">
        <f t="shared" si="106"/>
        <v>1.0000001219773045</v>
      </c>
      <c r="AB107" s="17">
        <f t="shared" si="107"/>
        <v>5.0486173291188928E-4</v>
      </c>
      <c r="AC107" s="66" t="str">
        <f t="shared" si="108"/>
        <v>17.3694048579752-0.738046377629481i</v>
      </c>
      <c r="AD107" s="64">
        <f t="shared" si="109"/>
        <v>24.80353287796386</v>
      </c>
      <c r="AE107" s="61">
        <f t="shared" si="110"/>
        <v>-2.4331012325925117</v>
      </c>
      <c r="AF107" s="31" t="str">
        <f t="shared" si="95"/>
        <v>-9090.90909090909</v>
      </c>
      <c r="AG107" s="31" t="str">
        <f t="shared" si="96"/>
        <v>2.27623467397318E-08i</v>
      </c>
      <c r="AH107" s="31">
        <f t="shared" si="111"/>
        <v>2.27623467397318E-8</v>
      </c>
      <c r="AI107" s="31">
        <f t="shared" si="112"/>
        <v>1.5707963267948966</v>
      </c>
      <c r="AJ107" s="31" t="str">
        <f t="shared" si="97"/>
        <v>1+1408619.99611316i</v>
      </c>
      <c r="AK107" s="31">
        <f t="shared" si="113"/>
        <v>1408619.996113515</v>
      </c>
      <c r="AL107" s="31">
        <f t="shared" si="114"/>
        <v>1.5707956168802264</v>
      </c>
      <c r="AM107" s="31" t="str">
        <f t="shared" si="98"/>
        <v>1+0.642731184103186i</v>
      </c>
      <c r="AN107" s="31">
        <f t="shared" si="115"/>
        <v>1.1887402470761574</v>
      </c>
      <c r="AO107" s="31">
        <f t="shared" si="116"/>
        <v>0.57124834867733365</v>
      </c>
      <c r="AS107" s="58" t="str">
        <f t="shared" si="117"/>
        <v>283528.181793843+182232.688441709i</v>
      </c>
      <c r="AT107" s="49">
        <f t="shared" si="118"/>
        <v>110.55366795687564</v>
      </c>
      <c r="AU107" s="61">
        <f t="shared" si="119"/>
        <v>32.730160108143188</v>
      </c>
      <c r="AV107" s="58" t="str">
        <f t="shared" si="120"/>
        <v>5059211.95381294+2956016.39637248i</v>
      </c>
      <c r="AW107" s="64">
        <f t="shared" si="121"/>
        <v>135.35720083483952</v>
      </c>
      <c r="AX107" s="61">
        <f t="shared" si="122"/>
        <v>30.297058875550636</v>
      </c>
      <c r="AY107" s="310"/>
      <c r="BA107" s="31">
        <f t="shared" si="123"/>
        <v>0</v>
      </c>
      <c r="BB107" s="31">
        <f t="shared" si="124"/>
        <v>0</v>
      </c>
    </row>
    <row r="108" spans="14:54" x14ac:dyDescent="0.45">
      <c r="N108" s="10">
        <v>90</v>
      </c>
      <c r="O108" s="50">
        <f t="shared" si="99"/>
        <v>79.432823472428197</v>
      </c>
      <c r="P108" s="48" t="str">
        <f t="shared" si="90"/>
        <v>17.4002386318441</v>
      </c>
      <c r="Q108" s="17" t="str">
        <f t="shared" si="91"/>
        <v>1+0.0427433226143363i</v>
      </c>
      <c r="R108" s="17">
        <f t="shared" si="100"/>
        <v>1.0009130789574654</v>
      </c>
      <c r="S108" s="17">
        <f t="shared" si="101"/>
        <v>4.2717320547534014E-2</v>
      </c>
      <c r="T108" s="17" t="str">
        <f t="shared" si="92"/>
        <v>1+0.000149727344804925i</v>
      </c>
      <c r="U108" s="17">
        <f t="shared" si="102"/>
        <v>1.0000000112091387</v>
      </c>
      <c r="V108" s="17">
        <f t="shared" si="103"/>
        <v>1.4972734368604861E-4</v>
      </c>
      <c r="W108" s="31" t="str">
        <f t="shared" si="93"/>
        <v>1-0.000369395354076551i</v>
      </c>
      <c r="X108" s="17">
        <f t="shared" si="104"/>
        <v>1.0000000682264616</v>
      </c>
      <c r="Y108" s="17">
        <f t="shared" si="105"/>
        <v>-3.6939533727485991E-4</v>
      </c>
      <c r="Z108" s="31" t="str">
        <f t="shared" si="94"/>
        <v>0.999999994277031+0.000516621514429004i</v>
      </c>
      <c r="AA108" s="17">
        <f t="shared" si="106"/>
        <v>1.0000001277259176</v>
      </c>
      <c r="AB108" s="17">
        <f t="shared" si="107"/>
        <v>5.1662147142390619E-4</v>
      </c>
      <c r="AC108" s="66" t="str">
        <f t="shared" si="108"/>
        <v>17.3679543570404-0.755175686851128i</v>
      </c>
      <c r="AD108" s="64">
        <f t="shared" si="109"/>
        <v>24.803176383309125</v>
      </c>
      <c r="AE108" s="61">
        <f t="shared" si="110"/>
        <v>-2.4897084583263491</v>
      </c>
      <c r="AF108" s="31" t="str">
        <f t="shared" si="95"/>
        <v>-9090.90909090909</v>
      </c>
      <c r="AG108" s="31" t="str">
        <f t="shared" si="96"/>
        <v>2.27623467397318E-08i</v>
      </c>
      <c r="AH108" s="31">
        <f t="shared" si="111"/>
        <v>2.27623467397318E-8</v>
      </c>
      <c r="AI108" s="31">
        <f t="shared" si="112"/>
        <v>1.5707963267948966</v>
      </c>
      <c r="AJ108" s="31" t="str">
        <f t="shared" si="97"/>
        <v>1+1441430.97080914i</v>
      </c>
      <c r="AK108" s="31">
        <f t="shared" si="113"/>
        <v>1441430.9708094869</v>
      </c>
      <c r="AL108" s="31">
        <f t="shared" si="114"/>
        <v>1.5707956330398571</v>
      </c>
      <c r="AM108" s="31" t="str">
        <f t="shared" si="98"/>
        <v>1+0.657702316613102i</v>
      </c>
      <c r="AN108" s="31">
        <f t="shared" si="115"/>
        <v>1.1969011393086069</v>
      </c>
      <c r="AO108" s="31">
        <f t="shared" si="116"/>
        <v>0.58177081202095682</v>
      </c>
      <c r="AS108" s="58" t="str">
        <f t="shared" si="117"/>
        <v>277074.292438874+182232.67938258i</v>
      </c>
      <c r="AT108" s="49">
        <f t="shared" si="118"/>
        <v>110.41309422788697</v>
      </c>
      <c r="AU108" s="61">
        <f t="shared" si="119"/>
        <v>33.333051921935358</v>
      </c>
      <c r="AV108" s="58" t="str">
        <f t="shared" si="120"/>
        <v>4949831.35340709+2955769.08877651i</v>
      </c>
      <c r="AW108" s="64">
        <f t="shared" si="121"/>
        <v>135.21627061119608</v>
      </c>
      <c r="AX108" s="61">
        <f t="shared" si="122"/>
        <v>30.843343463609013</v>
      </c>
      <c r="AY108" s="310"/>
      <c r="BA108" s="31">
        <f t="shared" si="123"/>
        <v>0</v>
      </c>
      <c r="BB108" s="31">
        <f t="shared" si="124"/>
        <v>0</v>
      </c>
    </row>
    <row r="109" spans="14:54" x14ac:dyDescent="0.45">
      <c r="N109" s="10">
        <v>91</v>
      </c>
      <c r="O109" s="50">
        <f t="shared" si="99"/>
        <v>81.283051616409963</v>
      </c>
      <c r="P109" s="48" t="str">
        <f t="shared" si="90"/>
        <v>17.4002386318441</v>
      </c>
      <c r="Q109" s="17" t="str">
        <f t="shared" si="91"/>
        <v>1+0.0437389424980458i</v>
      </c>
      <c r="R109" s="17">
        <f t="shared" si="100"/>
        <v>1.0009560904909103</v>
      </c>
      <c r="S109" s="17">
        <f t="shared" si="101"/>
        <v>4.3711082218621612E-2</v>
      </c>
      <c r="T109" s="17" t="str">
        <f t="shared" si="92"/>
        <v>1+0.000153214942691684i</v>
      </c>
      <c r="U109" s="17">
        <f t="shared" si="102"/>
        <v>1.0000000117374093</v>
      </c>
      <c r="V109" s="17">
        <f t="shared" si="103"/>
        <v>1.5321494149278636E-4</v>
      </c>
      <c r="W109" s="31" t="str">
        <f t="shared" si="93"/>
        <v>1-0.000377999677207602i</v>
      </c>
      <c r="X109" s="17">
        <f t="shared" si="104"/>
        <v>1.0000000714418755</v>
      </c>
      <c r="Y109" s="17">
        <f t="shared" si="105"/>
        <v>-3.7799965920426567E-4</v>
      </c>
      <c r="Z109" s="31" t="str">
        <f t="shared" si="94"/>
        <v>0.999999994007316+0.00052865517537667i</v>
      </c>
      <c r="AA109" s="17">
        <f t="shared" si="106"/>
        <v>1.0000001337454545</v>
      </c>
      <c r="AB109" s="17">
        <f t="shared" si="107"/>
        <v>5.2865512929587766E-4</v>
      </c>
      <c r="AC109" s="66" t="str">
        <f t="shared" si="108"/>
        <v>17.3664357512872-0.772699565950938i</v>
      </c>
      <c r="AD109" s="64">
        <f t="shared" si="109"/>
        <v>24.802803118937305</v>
      </c>
      <c r="AE109" s="61">
        <f t="shared" si="110"/>
        <v>-2.5476294524268672</v>
      </c>
      <c r="AF109" s="31" t="str">
        <f t="shared" si="95"/>
        <v>-9090.90909090909</v>
      </c>
      <c r="AG109" s="31" t="str">
        <f t="shared" si="96"/>
        <v>2.27623467397318E-08i</v>
      </c>
      <c r="AH109" s="31">
        <f t="shared" si="111"/>
        <v>2.27623467397318E-8</v>
      </c>
      <c r="AI109" s="31">
        <f t="shared" si="112"/>
        <v>1.5707963267948966</v>
      </c>
      <c r="AJ109" s="31" t="str">
        <f t="shared" si="97"/>
        <v>1+1475006.21128543i</v>
      </c>
      <c r="AK109" s="31">
        <f t="shared" si="113"/>
        <v>1475006.211285769</v>
      </c>
      <c r="AL109" s="31">
        <f t="shared" si="114"/>
        <v>1.5707956488316499</v>
      </c>
      <c r="AM109" s="31" t="str">
        <f t="shared" si="98"/>
        <v>1+0.673022171597004i</v>
      </c>
      <c r="AN109" s="31">
        <f t="shared" si="115"/>
        <v>1.2053874246320753</v>
      </c>
      <c r="AO109" s="31">
        <f t="shared" si="116"/>
        <v>0.59238967164095602</v>
      </c>
      <c r="AS109" s="58" t="str">
        <f t="shared" si="117"/>
        <v>270767.31154127+182232.67073118i</v>
      </c>
      <c r="AT109" s="49">
        <f t="shared" si="118"/>
        <v>110.27446174674564</v>
      </c>
      <c r="AU109" s="61">
        <f t="shared" si="119"/>
        <v>33.941466856600208</v>
      </c>
      <c r="AV109" s="58" t="str">
        <f t="shared" si="120"/>
        <v>4843074.22500629+2955510.18393687i</v>
      </c>
      <c r="AW109" s="64">
        <f t="shared" si="121"/>
        <v>135.07726486568293</v>
      </c>
      <c r="AX109" s="61">
        <f t="shared" si="122"/>
        <v>31.39383740417335</v>
      </c>
      <c r="AY109" s="310"/>
      <c r="BA109" s="31">
        <f t="shared" si="123"/>
        <v>0</v>
      </c>
      <c r="BB109" s="31">
        <f t="shared" si="124"/>
        <v>0</v>
      </c>
    </row>
    <row r="110" spans="14:54" x14ac:dyDescent="0.45">
      <c r="N110" s="10">
        <v>92</v>
      </c>
      <c r="O110" s="50">
        <f t="shared" si="99"/>
        <v>83.176377110267126</v>
      </c>
      <c r="P110" s="48" t="str">
        <f t="shared" si="90"/>
        <v>17.4002386318441</v>
      </c>
      <c r="Q110" s="17" t="str">
        <f t="shared" si="91"/>
        <v>1+0.0447577533480212i</v>
      </c>
      <c r="R110" s="17">
        <f t="shared" si="100"/>
        <v>1.0010011271146313</v>
      </c>
      <c r="S110" s="17">
        <f t="shared" si="101"/>
        <v>4.4727902133053193E-2</v>
      </c>
      <c r="T110" s="17" t="str">
        <f t="shared" si="92"/>
        <v>1+0.000156783777169098i</v>
      </c>
      <c r="U110" s="17">
        <f t="shared" si="102"/>
        <v>1.0000000122905763</v>
      </c>
      <c r="V110" s="17">
        <f t="shared" si="103"/>
        <v>1.5678377588445604E-4</v>
      </c>
      <c r="W110" s="31" t="str">
        <f t="shared" si="93"/>
        <v>1-0.000386804420770926i</v>
      </c>
      <c r="X110" s="17">
        <f t="shared" si="104"/>
        <v>1.0000000748088271</v>
      </c>
      <c r="Y110" s="17">
        <f t="shared" si="105"/>
        <v>-3.8680440148000363E-4</v>
      </c>
      <c r="Z110" s="31" t="str">
        <f t="shared" si="94"/>
        <v>0.999999993724889+0.0005409691362959i</v>
      </c>
      <c r="AA110" s="17">
        <f t="shared" si="106"/>
        <v>1.0000001400486824</v>
      </c>
      <c r="AB110" s="17">
        <f t="shared" si="107"/>
        <v>5.40969086919442E-4</v>
      </c>
      <c r="AC110" s="66" t="str">
        <f t="shared" si="108"/>
        <v>17.3648458555821-0.790626890671595i</v>
      </c>
      <c r="AD110" s="64">
        <f t="shared" si="109"/>
        <v>24.80241229753554</v>
      </c>
      <c r="AE110" s="61">
        <f t="shared" si="110"/>
        <v>-2.6068944752732435</v>
      </c>
      <c r="AF110" s="31" t="str">
        <f t="shared" si="95"/>
        <v>-9090.90909090909</v>
      </c>
      <c r="AG110" s="31" t="str">
        <f t="shared" si="96"/>
        <v>2.27623467397318E-08i</v>
      </c>
      <c r="AH110" s="31">
        <f t="shared" si="111"/>
        <v>2.27623467397318E-8</v>
      </c>
      <c r="AI110" s="31">
        <f t="shared" si="112"/>
        <v>1.5707963267948966</v>
      </c>
      <c r="AJ110" s="31" t="str">
        <f t="shared" si="97"/>
        <v>1+1509363.51957897i</v>
      </c>
      <c r="AK110" s="31">
        <f t="shared" si="113"/>
        <v>1509363.5195793011</v>
      </c>
      <c r="AL110" s="31">
        <f t="shared" si="114"/>
        <v>1.5707956642639775</v>
      </c>
      <c r="AM110" s="31" t="str">
        <f t="shared" si="98"/>
        <v>1+0.688698871844789i</v>
      </c>
      <c r="AN110" s="31">
        <f t="shared" si="115"/>
        <v>1.2142100872914394</v>
      </c>
      <c r="AO110" s="31">
        <f t="shared" si="116"/>
        <v>0.60310097862014012</v>
      </c>
      <c r="AS110" s="58" t="str">
        <f t="shared" si="117"/>
        <v>264603.895056272+182232.662469155i</v>
      </c>
      <c r="AT110" s="49">
        <f t="shared" si="118"/>
        <v>110.13780535114934</v>
      </c>
      <c r="AU110" s="61">
        <f t="shared" si="119"/>
        <v>34.555178655369126</v>
      </c>
      <c r="AV110" s="58" t="str">
        <f t="shared" si="120"/>
        <v>4738883.89374558+2955239.13882126i</v>
      </c>
      <c r="AW110" s="64">
        <f t="shared" si="121"/>
        <v>134.94021764868486</v>
      </c>
      <c r="AX110" s="61">
        <f t="shared" si="122"/>
        <v>31.948284180095836</v>
      </c>
      <c r="AY110" s="310"/>
      <c r="BA110" s="31">
        <f t="shared" si="123"/>
        <v>0</v>
      </c>
      <c r="BB110" s="31">
        <f t="shared" si="124"/>
        <v>0</v>
      </c>
    </row>
    <row r="111" spans="14:54" x14ac:dyDescent="0.45">
      <c r="N111" s="10">
        <v>93</v>
      </c>
      <c r="O111" s="50">
        <f t="shared" si="99"/>
        <v>85.113803820237734</v>
      </c>
      <c r="P111" s="48" t="str">
        <f t="shared" si="90"/>
        <v>17.4002386318441</v>
      </c>
      <c r="Q111" s="17" t="str">
        <f t="shared" si="91"/>
        <v>1+0.0458002953512606i</v>
      </c>
      <c r="R111" s="17">
        <f t="shared" si="100"/>
        <v>1.001048284077378</v>
      </c>
      <c r="S111" s="17">
        <f t="shared" si="101"/>
        <v>4.5768311006912303E-2</v>
      </c>
      <c r="T111" s="17" t="str">
        <f t="shared" si="92"/>
        <v>1+0.000160435740480445i</v>
      </c>
      <c r="U111" s="17">
        <f t="shared" si="102"/>
        <v>1.0000000128698134</v>
      </c>
      <c r="V111" s="17">
        <f t="shared" si="103"/>
        <v>1.6043573910392634E-4</v>
      </c>
      <c r="W111" s="31" t="str">
        <f t="shared" si="93"/>
        <v>1-0.000395814253158105i</v>
      </c>
      <c r="X111" s="17">
        <f t="shared" si="104"/>
        <v>1.0000000783344585</v>
      </c>
      <c r="Y111" s="17">
        <f t="shared" si="105"/>
        <v>-3.9581423248750936E-4</v>
      </c>
      <c r="Z111" s="31" t="str">
        <f t="shared" si="94"/>
        <v>0.999999993429152+0.000553569926211767i</v>
      </c>
      <c r="AA111" s="17">
        <f t="shared" si="106"/>
        <v>1.000000146648973</v>
      </c>
      <c r="AB111" s="17">
        <f t="shared" si="107"/>
        <v>5.5356987330393943E-4</v>
      </c>
      <c r="AC111" s="66" t="str">
        <f t="shared" si="108"/>
        <v>17.3631813370383-0.808966721137148i</v>
      </c>
      <c r="AD111" s="64">
        <f t="shared" si="109"/>
        <v>24.802003094976381</v>
      </c>
      <c r="AE111" s="61">
        <f t="shared" si="110"/>
        <v>-2.6675344678031609</v>
      </c>
      <c r="AF111" s="31" t="str">
        <f t="shared" si="95"/>
        <v>-9090.90909090909</v>
      </c>
      <c r="AG111" s="31" t="str">
        <f t="shared" si="96"/>
        <v>2.27623467397318E-08i</v>
      </c>
      <c r="AH111" s="31">
        <f t="shared" si="111"/>
        <v>2.27623467397318E-8</v>
      </c>
      <c r="AI111" s="31">
        <f t="shared" si="112"/>
        <v>1.5707963267948966</v>
      </c>
      <c r="AJ111" s="31" t="str">
        <f t="shared" si="97"/>
        <v>1+1544521.11238938i</v>
      </c>
      <c r="AK111" s="31">
        <f t="shared" si="113"/>
        <v>1544521.1123897037</v>
      </c>
      <c r="AL111" s="31">
        <f t="shared" si="114"/>
        <v>1.5707956793450224</v>
      </c>
      <c r="AM111" s="31" t="str">
        <f t="shared" si="98"/>
        <v>1+0.704740729350435i</v>
      </c>
      <c r="AN111" s="31">
        <f t="shared" si="115"/>
        <v>1.2233803560648597</v>
      </c>
      <c r="AO111" s="31">
        <f t="shared" si="116"/>
        <v>0.61390058078280296</v>
      </c>
      <c r="AS111" s="58" t="str">
        <f t="shared" si="117"/>
        <v>258580.775058879+182232.654578984i</v>
      </c>
      <c r="AT111" s="49">
        <f t="shared" si="118"/>
        <v>110.00315867455438</v>
      </c>
      <c r="AU111" s="61">
        <f t="shared" si="119"/>
        <v>35.173949415629899</v>
      </c>
      <c r="AV111" s="58" t="str">
        <f t="shared" si="120"/>
        <v>4637205.04067811+2954955.38523628i</v>
      </c>
      <c r="AW111" s="64">
        <f t="shared" si="121"/>
        <v>134.80516176953077</v>
      </c>
      <c r="AX111" s="61">
        <f t="shared" si="122"/>
        <v>32.506414947826727</v>
      </c>
      <c r="AY111" s="310"/>
      <c r="BA111" s="31">
        <f t="shared" si="123"/>
        <v>0</v>
      </c>
      <c r="BB111" s="31">
        <f t="shared" si="124"/>
        <v>0</v>
      </c>
    </row>
    <row r="112" spans="14:54" x14ac:dyDescent="0.45">
      <c r="N112" s="10">
        <v>94</v>
      </c>
      <c r="O112" s="50">
        <f t="shared" si="99"/>
        <v>87.096358995608071</v>
      </c>
      <c r="P112" s="48" t="str">
        <f t="shared" si="90"/>
        <v>17.4002386318441</v>
      </c>
      <c r="Q112" s="17" t="str">
        <f t="shared" si="91"/>
        <v>1+0.0468671212773336i</v>
      </c>
      <c r="R112" s="17">
        <f t="shared" si="100"/>
        <v>1.0010976610984685</v>
      </c>
      <c r="S112" s="17">
        <f t="shared" si="101"/>
        <v>4.6832851464098019E-2</v>
      </c>
      <c r="T112" s="17" t="str">
        <f t="shared" si="92"/>
        <v>1+0.000164172768945013i</v>
      </c>
      <c r="U112" s="17">
        <f t="shared" si="102"/>
        <v>1.0000000134763489</v>
      </c>
      <c r="V112" s="17">
        <f t="shared" si="103"/>
        <v>1.6417276747004666E-4</v>
      </c>
      <c r="W112" s="31" t="str">
        <f t="shared" si="93"/>
        <v>1-0.000405033951501529i</v>
      </c>
      <c r="X112" s="17">
        <f t="shared" si="104"/>
        <v>1.0000000820262476</v>
      </c>
      <c r="Y112" s="17">
        <f t="shared" si="105"/>
        <v>-4.0503392935258681E-4</v>
      </c>
      <c r="Z112" s="31" t="str">
        <f t="shared" si="94"/>
        <v>0.999999993119478+0.000566464226229874i</v>
      </c>
      <c r="AA112" s="17">
        <f t="shared" si="106"/>
        <v>1.0000001535603262</v>
      </c>
      <c r="AB112" s="17">
        <f t="shared" si="107"/>
        <v>5.6646416953811567E-4</v>
      </c>
      <c r="AC112" s="66" t="str">
        <f t="shared" si="108"/>
        <v>17.3614387082785-0.827728304568576i</v>
      </c>
      <c r="AD112" s="64">
        <f t="shared" si="109"/>
        <v>24.801574648610831</v>
      </c>
      <c r="AE112" s="61">
        <f t="shared" si="110"/>
        <v>-2.7295810656402963</v>
      </c>
      <c r="AF112" s="31" t="str">
        <f t="shared" si="95"/>
        <v>-9090.90909090909</v>
      </c>
      <c r="AG112" s="31" t="str">
        <f t="shared" si="96"/>
        <v>2.27623467397318E-08i</v>
      </c>
      <c r="AH112" s="31">
        <f t="shared" si="111"/>
        <v>2.27623467397318E-8</v>
      </c>
      <c r="AI112" s="31">
        <f t="shared" si="112"/>
        <v>1.5707963267948966</v>
      </c>
      <c r="AJ112" s="31" t="str">
        <f t="shared" si="97"/>
        <v>1+1580497.63073772i</v>
      </c>
      <c r="AK112" s="31">
        <f t="shared" si="113"/>
        <v>1580497.6307380367</v>
      </c>
      <c r="AL112" s="31">
        <f t="shared" si="114"/>
        <v>1.5707956940827807</v>
      </c>
      <c r="AM112" s="31" t="str">
        <f t="shared" si="98"/>
        <v>1+0.721156249719126i</v>
      </c>
      <c r="AN112" s="31">
        <f t="shared" si="115"/>
        <v>1.2329097033071621</v>
      </c>
      <c r="AO112" s="31">
        <f t="shared" si="116"/>
        <v>0.6247841277273517</v>
      </c>
      <c r="AS112" s="58" t="str">
        <f t="shared" si="117"/>
        <v>252694.758011144+182232.647043929i</v>
      </c>
      <c r="AT112" s="49">
        <f t="shared" si="118"/>
        <v>109.87055403237906</v>
      </c>
      <c r="AU112" s="61">
        <f t="shared" si="119"/>
        <v>35.797529877273718</v>
      </c>
      <c r="AV112" s="58" t="str">
        <f t="shared" si="120"/>
        <v>4537983.67308846+2954658.32867859i</v>
      </c>
      <c r="AW112" s="64">
        <f t="shared" si="121"/>
        <v>134.67212868098989</v>
      </c>
      <c r="AX112" s="61">
        <f t="shared" si="122"/>
        <v>33.0679488116334</v>
      </c>
      <c r="AY112" s="310"/>
      <c r="BA112" s="31">
        <f t="shared" si="123"/>
        <v>0</v>
      </c>
      <c r="BB112" s="31">
        <f t="shared" si="124"/>
        <v>0</v>
      </c>
    </row>
    <row r="113" spans="14:54" x14ac:dyDescent="0.45">
      <c r="N113" s="10">
        <v>95</v>
      </c>
      <c r="O113" s="50">
        <f t="shared" si="99"/>
        <v>89.125093813374562</v>
      </c>
      <c r="P113" s="48" t="str">
        <f t="shared" si="90"/>
        <v>17.4002386318441</v>
      </c>
      <c r="Q113" s="17" t="str">
        <f t="shared" si="91"/>
        <v>1+0.0479587967714677i</v>
      </c>
      <c r="R113" s="17">
        <f t="shared" si="100"/>
        <v>1.0011493625767172</v>
      </c>
      <c r="S113" s="17">
        <f t="shared" si="101"/>
        <v>4.792207828146916E-2</v>
      </c>
      <c r="T113" s="17" t="str">
        <f t="shared" si="92"/>
        <v>1+0.000167996843984759i</v>
      </c>
      <c r="U113" s="17">
        <f t="shared" si="102"/>
        <v>1.0000000141114698</v>
      </c>
      <c r="V113" s="17">
        <f t="shared" si="103"/>
        <v>1.6799684240430409E-4</v>
      </c>
      <c r="W113" s="31" t="str">
        <f t="shared" si="93"/>
        <v>1-0.000414468404207297i</v>
      </c>
      <c r="X113" s="17">
        <f t="shared" si="104"/>
        <v>1.0000000858920253</v>
      </c>
      <c r="Y113" s="17">
        <f t="shared" si="105"/>
        <v>-4.1446838047427798E-4</v>
      </c>
      <c r="Z113" s="31" t="str">
        <f t="shared" si="94"/>
        <v>0.999999992795209+0.00057965887307877i</v>
      </c>
      <c r="AA113" s="17">
        <f t="shared" si="106"/>
        <v>1.0000001607974007</v>
      </c>
      <c r="AB113" s="17">
        <f t="shared" si="107"/>
        <v>5.7965881233245709E-4</v>
      </c>
      <c r="AC113" s="66" t="str">
        <f t="shared" si="108"/>
        <v>17.3596143204013-0.846921077952175i</v>
      </c>
      <c r="AD113" s="64">
        <f t="shared" si="109"/>
        <v>24.801126055483373</v>
      </c>
      <c r="AE113" s="61">
        <f t="shared" si="110"/>
        <v>-2.7930666134294557</v>
      </c>
      <c r="AF113" s="31" t="str">
        <f t="shared" si="95"/>
        <v>-9090.90909090909</v>
      </c>
      <c r="AG113" s="31" t="str">
        <f t="shared" si="96"/>
        <v>2.27623467397318E-08i</v>
      </c>
      <c r="AH113" s="31">
        <f t="shared" si="111"/>
        <v>2.27623467397318E-8</v>
      </c>
      <c r="AI113" s="31">
        <f t="shared" si="112"/>
        <v>1.5707963267948966</v>
      </c>
      <c r="AJ113" s="31" t="str">
        <f t="shared" si="97"/>
        <v>1+1617312.14985024i</v>
      </c>
      <c r="AK113" s="31">
        <f t="shared" si="113"/>
        <v>1617312.1498505492</v>
      </c>
      <c r="AL113" s="31">
        <f t="shared" si="114"/>
        <v>1.5707957084850668</v>
      </c>
      <c r="AM113" s="31" t="str">
        <f t="shared" si="98"/>
        <v>1+0.737954136677051i</v>
      </c>
      <c r="AN113" s="31">
        <f t="shared" si="115"/>
        <v>1.2428098437970192</v>
      </c>
      <c r="AO113" s="31">
        <f t="shared" si="116"/>
        <v>0.63574707685121057</v>
      </c>
      <c r="AS113" s="58" t="str">
        <f t="shared" si="117"/>
        <v>246942.723068917+182232.639848007i</v>
      </c>
      <c r="AT113" s="49">
        <f t="shared" si="118"/>
        <v>109.74002230972842</v>
      </c>
      <c r="AU113" s="61">
        <f t="shared" si="119"/>
        <v>36.425659767897137</v>
      </c>
      <c r="AV113" s="58" t="str">
        <f t="shared" si="120"/>
        <v>4441167.09548421+2954347.34713602i</v>
      </c>
      <c r="AW113" s="64">
        <f t="shared" si="121"/>
        <v>134.54114836521177</v>
      </c>
      <c r="AX113" s="61">
        <f t="shared" si="122"/>
        <v>33.632593154467649</v>
      </c>
      <c r="AY113" s="310"/>
      <c r="BA113" s="31">
        <f t="shared" si="123"/>
        <v>0</v>
      </c>
      <c r="BB113" s="31">
        <f t="shared" si="124"/>
        <v>0</v>
      </c>
    </row>
    <row r="114" spans="14:54" x14ac:dyDescent="0.45">
      <c r="N114" s="10">
        <v>96</v>
      </c>
      <c r="O114" s="50">
        <f t="shared" si="99"/>
        <v>91.201083935590972</v>
      </c>
      <c r="P114" s="48" t="str">
        <f t="shared" si="90"/>
        <v>17.4002386318441</v>
      </c>
      <c r="Q114" s="17" t="str">
        <f t="shared" si="91"/>
        <v>1+0.0490759006544598i</v>
      </c>
      <c r="R114" s="17">
        <f t="shared" si="100"/>
        <v>1.0012034978090352</v>
      </c>
      <c r="S114" s="17">
        <f t="shared" si="101"/>
        <v>4.9036558637423039E-2</v>
      </c>
      <c r="T114" s="17" t="str">
        <f t="shared" si="92"/>
        <v>1+0.000171909993174887i</v>
      </c>
      <c r="U114" s="17">
        <f t="shared" si="102"/>
        <v>1.0000000147765229</v>
      </c>
      <c r="V114" s="17">
        <f t="shared" si="103"/>
        <v>1.7190999148139905E-4</v>
      </c>
      <c r="W114" s="31" t="str">
        <f t="shared" si="93"/>
        <v>1-0.000424122613547114i</v>
      </c>
      <c r="X114" s="17">
        <f t="shared" si="104"/>
        <v>1.0000000899399917</v>
      </c>
      <c r="Y114" s="17">
        <f t="shared" si="105"/>
        <v>-4.2412258811672608E-4</v>
      </c>
      <c r="Z114" s="31" t="str">
        <f t="shared" si="94"/>
        <v>0.999999992455657+0.000593160862734864i</v>
      </c>
      <c r="AA114" s="17">
        <f t="shared" si="106"/>
        <v>1.0000001683755475</v>
      </c>
      <c r="AB114" s="17">
        <f t="shared" si="107"/>
        <v>5.9316079764401791E-4</v>
      </c>
      <c r="AC114" s="66" t="str">
        <f t="shared" si="108"/>
        <v>17.3577043556401-0.866554670651883i</v>
      </c>
      <c r="AD114" s="64">
        <f t="shared" si="109"/>
        <v>24.800656370465987</v>
      </c>
      <c r="AE114" s="61">
        <f t="shared" si="110"/>
        <v>-2.8580241793749801</v>
      </c>
      <c r="AF114" s="31" t="str">
        <f t="shared" si="95"/>
        <v>-9090.90909090909</v>
      </c>
      <c r="AG114" s="31" t="str">
        <f t="shared" si="96"/>
        <v>2.27623467397318E-08i</v>
      </c>
      <c r="AH114" s="31">
        <f t="shared" si="111"/>
        <v>2.27623467397318E-8</v>
      </c>
      <c r="AI114" s="31">
        <f t="shared" si="112"/>
        <v>1.5707963267948966</v>
      </c>
      <c r="AJ114" s="31" t="str">
        <f t="shared" si="97"/>
        <v>1+1654984.18927227i</v>
      </c>
      <c r="AK114" s="31">
        <f t="shared" si="113"/>
        <v>1654984.1892725721</v>
      </c>
      <c r="AL114" s="31">
        <f t="shared" si="114"/>
        <v>1.5707957225595168</v>
      </c>
      <c r="AM114" s="31" t="str">
        <f t="shared" si="98"/>
        <v>1+0.75514329668622i</v>
      </c>
      <c r="AN114" s="31">
        <f t="shared" si="115"/>
        <v>1.2530927334120698</v>
      </c>
      <c r="AO114" s="31">
        <f t="shared" si="116"/>
        <v>0.64678470036895874</v>
      </c>
      <c r="AS114" s="58" t="str">
        <f t="shared" si="117"/>
        <v>241321.620427133+182232.632975955i</v>
      </c>
      <c r="AT114" s="49">
        <f t="shared" si="118"/>
        <v>109.61159285139709</v>
      </c>
      <c r="AU114" s="61">
        <f t="shared" si="119"/>
        <v>37.058068204911876</v>
      </c>
      <c r="AV114" s="58" t="str">
        <f t="shared" si="120"/>
        <v>4346703.88124868+2954021.78983608i</v>
      </c>
      <c r="AW114" s="64">
        <f t="shared" si="121"/>
        <v>134.41224922186308</v>
      </c>
      <c r="AX114" s="61">
        <f t="shared" si="122"/>
        <v>34.20004402553684</v>
      </c>
      <c r="AY114" s="310"/>
      <c r="BA114" s="31">
        <f t="shared" si="123"/>
        <v>0</v>
      </c>
      <c r="BB114" s="31">
        <f t="shared" si="124"/>
        <v>0</v>
      </c>
    </row>
    <row r="115" spans="14:54" x14ac:dyDescent="0.45">
      <c r="N115" s="10">
        <v>97</v>
      </c>
      <c r="O115" s="50">
        <f t="shared" si="99"/>
        <v>93.325430079699174</v>
      </c>
      <c r="P115" s="48" t="str">
        <f t="shared" si="90"/>
        <v>17.4002386318441</v>
      </c>
      <c r="Q115" s="17" t="str">
        <f t="shared" si="91"/>
        <v>1+0.0502190252295753i</v>
      </c>
      <c r="R115" s="17">
        <f t="shared" si="100"/>
        <v>1.0012601812191517</v>
      </c>
      <c r="S115" s="17">
        <f t="shared" si="101"/>
        <v>5.0176872363833655E-2</v>
      </c>
      <c r="T115" s="17" t="str">
        <f t="shared" si="92"/>
        <v>1+0.000175914291318895i</v>
      </c>
      <c r="U115" s="17">
        <f t="shared" si="102"/>
        <v>1.0000000154729187</v>
      </c>
      <c r="V115" s="17">
        <f t="shared" si="103"/>
        <v>1.7591428950428998E-4</v>
      </c>
      <c r="W115" s="31" t="str">
        <f t="shared" si="93"/>
        <v>1-0.000434001698310561i</v>
      </c>
      <c r="X115" s="17">
        <f t="shared" si="104"/>
        <v>1.0000000941787326</v>
      </c>
      <c r="Y115" s="17">
        <f t="shared" si="105"/>
        <v>-4.3400167106140956E-4</v>
      </c>
      <c r="Z115" s="31" t="str">
        <f t="shared" si="94"/>
        <v>0.999999992100103+0.000606977354131794i</v>
      </c>
      <c r="AA115" s="17">
        <f t="shared" si="106"/>
        <v>1.0000001763108417</v>
      </c>
      <c r="AB115" s="17">
        <f t="shared" si="107"/>
        <v>6.0697728438569639E-4</v>
      </c>
      <c r="AC115" s="66" t="str">
        <f t="shared" si="108"/>
        <v>17.3557048197013-0.886638906956278i</v>
      </c>
      <c r="AD115" s="64">
        <f t="shared" si="109"/>
        <v>24.800164604307163</v>
      </c>
      <c r="AE115" s="61">
        <f t="shared" si="110"/>
        <v>-2.9244875699787052</v>
      </c>
      <c r="AF115" s="31" t="str">
        <f t="shared" si="95"/>
        <v>-9090.90909090909</v>
      </c>
      <c r="AG115" s="31" t="str">
        <f t="shared" si="96"/>
        <v>2.27623467397318E-08i</v>
      </c>
      <c r="AH115" s="31">
        <f t="shared" si="111"/>
        <v>2.27623467397318E-8</v>
      </c>
      <c r="AI115" s="31">
        <f t="shared" si="112"/>
        <v>1.5707963267948966</v>
      </c>
      <c r="AJ115" s="31" t="str">
        <f t="shared" si="97"/>
        <v>1+1693533.72321777i</v>
      </c>
      <c r="AK115" s="31">
        <f t="shared" si="113"/>
        <v>1693533.7232180652</v>
      </c>
      <c r="AL115" s="31">
        <f t="shared" si="114"/>
        <v>1.5707957363135934</v>
      </c>
      <c r="AM115" s="31" t="str">
        <f t="shared" si="98"/>
        <v>1+0.772732843666797i</v>
      </c>
      <c r="AN115" s="31">
        <f t="shared" si="115"/>
        <v>1.2637705676590885</v>
      </c>
      <c r="AO115" s="31">
        <f t="shared" si="116"/>
        <v>0.65789209331605492</v>
      </c>
      <c r="AS115" s="58" t="str">
        <f t="shared" si="117"/>
        <v>235828.469702766+182232.626413195i</v>
      </c>
      <c r="AT115" s="49">
        <f t="shared" si="118"/>
        <v>109.48529335492151</v>
      </c>
      <c r="AU115" s="61">
        <f t="shared" si="119"/>
        <v>37.69447415412337</v>
      </c>
      <c r="AV115" s="58" t="str">
        <f t="shared" si="120"/>
        <v>4254543.84493785+2953680.97593988i</v>
      </c>
      <c r="AW115" s="64">
        <f t="shared" si="121"/>
        <v>134.28545795922867</v>
      </c>
      <c r="AX115" s="61">
        <f t="shared" si="122"/>
        <v>34.769986584144611</v>
      </c>
      <c r="AY115" s="310"/>
      <c r="BA115" s="31">
        <f t="shared" si="123"/>
        <v>0</v>
      </c>
      <c r="BB115" s="31">
        <f t="shared" si="124"/>
        <v>0</v>
      </c>
    </row>
    <row r="116" spans="14:54" x14ac:dyDescent="0.45">
      <c r="N116" s="10">
        <v>98</v>
      </c>
      <c r="O116" s="50">
        <f t="shared" si="99"/>
        <v>95.499258602143655</v>
      </c>
      <c r="P116" s="48" t="str">
        <f t="shared" si="90"/>
        <v>17.4002386318441</v>
      </c>
      <c r="Q116" s="17" t="str">
        <f t="shared" si="91"/>
        <v>1+0.0513887765965947i</v>
      </c>
      <c r="R116" s="17">
        <f t="shared" si="100"/>
        <v>1.0013195325969102</v>
      </c>
      <c r="S116" s="17">
        <f t="shared" si="101"/>
        <v>5.1343612201254739E-2</v>
      </c>
      <c r="T116" s="17" t="str">
        <f t="shared" si="92"/>
        <v>1+0.00018001186154866i</v>
      </c>
      <c r="U116" s="17">
        <f t="shared" si="102"/>
        <v>1.000000016202135</v>
      </c>
      <c r="V116" s="17">
        <f t="shared" si="103"/>
        <v>1.8001185960427569E-4</v>
      </c>
      <c r="W116" s="31" t="str">
        <f t="shared" si="93"/>
        <v>1-0.000444110896519143i</v>
      </c>
      <c r="X116" s="17">
        <f t="shared" si="104"/>
        <v>1.0000000986172393</v>
      </c>
      <c r="Y116" s="17">
        <f t="shared" si="105"/>
        <v>-4.4411086732115132E-4</v>
      </c>
      <c r="Z116" s="31" t="str">
        <f t="shared" si="94"/>
        <v>0.999999991727793+0.000621115672956178i</v>
      </c>
      <c r="AA116" s="17">
        <f t="shared" si="106"/>
        <v>1.0000001846201154</v>
      </c>
      <c r="AB116" s="17">
        <f t="shared" si="107"/>
        <v>6.2111559822188836E-4</v>
      </c>
      <c r="AC116" s="66" t="str">
        <f t="shared" si="108"/>
        <v>17.35361153377-0.907183808549951i</v>
      </c>
      <c r="AD116" s="64">
        <f t="shared" si="109"/>
        <v>24.799649721592605</v>
      </c>
      <c r="AE116" s="61">
        <f t="shared" si="110"/>
        <v>-2.9924913449719255</v>
      </c>
      <c r="AF116" s="31" t="str">
        <f t="shared" si="95"/>
        <v>-9090.90909090909</v>
      </c>
      <c r="AG116" s="31" t="str">
        <f t="shared" si="96"/>
        <v>2.27623467397318E-08i</v>
      </c>
      <c r="AH116" s="31">
        <f t="shared" si="111"/>
        <v>2.27623467397318E-8</v>
      </c>
      <c r="AI116" s="31">
        <f t="shared" si="112"/>
        <v>1.5707963267948966</v>
      </c>
      <c r="AJ116" s="31" t="str">
        <f t="shared" si="97"/>
        <v>1+1732981.19115987i</v>
      </c>
      <c r="AK116" s="31">
        <f t="shared" si="113"/>
        <v>1732981.1911601587</v>
      </c>
      <c r="AL116" s="31">
        <f t="shared" si="114"/>
        <v>1.5707957497545888</v>
      </c>
      <c r="AM116" s="31" t="str">
        <f t="shared" si="98"/>
        <v>1+0.790732103829413i</v>
      </c>
      <c r="AN116" s="31">
        <f t="shared" si="115"/>
        <v>1.2748557800890616</v>
      </c>
      <c r="AO116" s="31">
        <f t="shared" si="116"/>
        <v>0.66906418252143696</v>
      </c>
      <c r="AS116" s="58" t="str">
        <f t="shared" si="117"/>
        <v>230460.358354598+182232.620145811i</v>
      </c>
      <c r="AT116" s="49">
        <f t="shared" si="118"/>
        <v>109.3611497674575</v>
      </c>
      <c r="AU116" s="61">
        <f t="shared" si="119"/>
        <v>38.334586943823211</v>
      </c>
      <c r="AV116" s="58" t="str">
        <f t="shared" si="120"/>
        <v>4164638.01520503+2953324.19317956i</v>
      </c>
      <c r="AW116" s="64">
        <f t="shared" si="121"/>
        <v>134.16079948905011</v>
      </c>
      <c r="AX116" s="61">
        <f t="shared" si="122"/>
        <v>35.34209559885128</v>
      </c>
      <c r="AY116" s="310"/>
      <c r="BA116" s="31">
        <f t="shared" si="123"/>
        <v>0</v>
      </c>
      <c r="BB116" s="31">
        <f t="shared" si="124"/>
        <v>0</v>
      </c>
    </row>
    <row r="117" spans="14:54" x14ac:dyDescent="0.45">
      <c r="N117" s="10">
        <v>99</v>
      </c>
      <c r="O117" s="50">
        <f t="shared" si="99"/>
        <v>97.723722095581124</v>
      </c>
      <c r="P117" s="48" t="str">
        <f t="shared" si="90"/>
        <v>17.4002386318441</v>
      </c>
      <c r="Q117" s="17" t="str">
        <f t="shared" si="91"/>
        <v>1+0.0525857749731766i</v>
      </c>
      <c r="R117" s="17">
        <f t="shared" si="100"/>
        <v>1.001381677348617</v>
      </c>
      <c r="S117" s="17">
        <f t="shared" si="101"/>
        <v>5.2537384057284801E-2</v>
      </c>
      <c r="T117" s="17" t="str">
        <f t="shared" si="92"/>
        <v>1+0.000184204876450157i</v>
      </c>
      <c r="U117" s="17">
        <f t="shared" si="102"/>
        <v>1.0000000169657182</v>
      </c>
      <c r="V117" s="17">
        <f t="shared" si="103"/>
        <v>1.842048743667117E-4</v>
      </c>
      <c r="W117" s="31" t="str">
        <f t="shared" si="93"/>
        <v>1-0.000454455568203562i</v>
      </c>
      <c r="X117" s="17">
        <f t="shared" si="104"/>
        <v>1.0000001032649264</v>
      </c>
      <c r="Y117" s="17">
        <f t="shared" si="105"/>
        <v>-4.5445553691735035E-4</v>
      </c>
      <c r="Z117" s="31" t="str">
        <f t="shared" si="94"/>
        <v>0.999999991337936+0.000635583315531801i</v>
      </c>
      <c r="AA117" s="17">
        <f t="shared" si="106"/>
        <v>1.000000193320993</v>
      </c>
      <c r="AB117" s="17">
        <f t="shared" si="107"/>
        <v>6.3558323545256771E-4</v>
      </c>
      <c r="AC117" s="66" t="str">
        <f t="shared" si="108"/>
        <v>17.3514201261704-0.928199596898374i</v>
      </c>
      <c r="AD117" s="64">
        <f t="shared" si="109"/>
        <v>24.799110638613946</v>
      </c>
      <c r="AE117" s="61">
        <f t="shared" si="110"/>
        <v>-3.0620708324357779</v>
      </c>
      <c r="AF117" s="31" t="str">
        <f t="shared" si="95"/>
        <v>-9090.90909090909</v>
      </c>
      <c r="AG117" s="31" t="str">
        <f t="shared" si="96"/>
        <v>2.27623467397318E-08i</v>
      </c>
      <c r="AH117" s="31">
        <f t="shared" si="111"/>
        <v>2.27623467397318E-8</v>
      </c>
      <c r="AI117" s="31">
        <f t="shared" si="112"/>
        <v>1.5707963267948966</v>
      </c>
      <c r="AJ117" s="31" t="str">
        <f t="shared" si="97"/>
        <v>1+1773347.50866825i</v>
      </c>
      <c r="AK117" s="31">
        <f t="shared" si="113"/>
        <v>1773347.5086685319</v>
      </c>
      <c r="AL117" s="31">
        <f t="shared" si="114"/>
        <v>1.5707957628896299</v>
      </c>
      <c r="AM117" s="31" t="str">
        <f t="shared" si="98"/>
        <v>1+0.809150620620055i</v>
      </c>
      <c r="AN117" s="31">
        <f t="shared" si="115"/>
        <v>1.2863610406296593</v>
      </c>
      <c r="AO117" s="31">
        <f t="shared" si="116"/>
        <v>0.68029573652310504</v>
      </c>
      <c r="AS117" s="58" t="str">
        <f t="shared" si="117"/>
        <v>225214.440138931+182232.614160504i</v>
      </c>
      <c r="AT117" s="49">
        <f t="shared" si="118"/>
        <v>109.23918618725537</v>
      </c>
      <c r="AU117" s="61">
        <f t="shared" si="119"/>
        <v>38.978106832909702</v>
      </c>
      <c r="AV117" s="58" t="str">
        <f t="shared" si="120"/>
        <v>4076938.60833636+2952950.69643656i</v>
      </c>
      <c r="AW117" s="64">
        <f t="shared" si="121"/>
        <v>134.03829682586931</v>
      </c>
      <c r="AX117" s="61">
        <f t="shared" si="122"/>
        <v>35.916036000473888</v>
      </c>
      <c r="AY117" s="310"/>
      <c r="BA117" s="31">
        <f t="shared" si="123"/>
        <v>0</v>
      </c>
      <c r="BB117" s="31">
        <f t="shared" si="124"/>
        <v>0</v>
      </c>
    </row>
    <row r="118" spans="14:54" x14ac:dyDescent="0.45">
      <c r="N118" s="10">
        <v>100</v>
      </c>
      <c r="O118" s="50">
        <f t="shared" si="99"/>
        <v>100</v>
      </c>
      <c r="P118" s="48" t="str">
        <f t="shared" si="90"/>
        <v>17.4002386318441</v>
      </c>
      <c r="Q118" s="17" t="str">
        <f t="shared" si="91"/>
        <v>1+0.0538106550237043i</v>
      </c>
      <c r="R118" s="17">
        <f t="shared" si="100"/>
        <v>1.0014467467589478</v>
      </c>
      <c r="S118" s="17">
        <f t="shared" si="101"/>
        <v>5.3758807267970839E-2</v>
      </c>
      <c r="T118" s="17" t="str">
        <f t="shared" si="92"/>
        <v>1+0.000188495559215388i</v>
      </c>
      <c r="U118" s="17">
        <f t="shared" si="102"/>
        <v>1.0000000177652877</v>
      </c>
      <c r="V118" s="17">
        <f t="shared" si="103"/>
        <v>1.8849555698293612E-4</v>
      </c>
      <c r="W118" s="31" t="str">
        <f t="shared" si="93"/>
        <v>1-0.000465041198245673i</v>
      </c>
      <c r="X118" s="17">
        <f t="shared" si="104"/>
        <v>1.0000001081316523</v>
      </c>
      <c r="Y118" s="17">
        <f t="shared" si="105"/>
        <v>-4.6504116472189348E-4</v>
      </c>
      <c r="Z118" s="31" t="str">
        <f t="shared" si="94"/>
        <v>0.999999990929705+0.00065038795279426i</v>
      </c>
      <c r="AA118" s="17">
        <f t="shared" si="106"/>
        <v>1.000000202431929</v>
      </c>
      <c r="AB118" s="17">
        <f t="shared" si="107"/>
        <v>6.5038786698781682E-4</v>
      </c>
      <c r="AC118" s="66" t="str">
        <f t="shared" si="108"/>
        <v>17.3491260236661-0.949696695534264i</v>
      </c>
      <c r="AD118" s="64">
        <f t="shared" si="109"/>
        <v>24.798546221140711</v>
      </c>
      <c r="AE118" s="61">
        <f t="shared" si="110"/>
        <v>-3.1332621441031745</v>
      </c>
      <c r="AF118" s="31" t="str">
        <f t="shared" si="95"/>
        <v>-9090.90909090909</v>
      </c>
      <c r="AG118" s="31" t="str">
        <f t="shared" si="96"/>
        <v>2.27623467397318E-08i</v>
      </c>
      <c r="AH118" s="31">
        <f t="shared" si="111"/>
        <v>2.27623467397318E-8</v>
      </c>
      <c r="AI118" s="31">
        <f t="shared" si="112"/>
        <v>1.5707963267948966</v>
      </c>
      <c r="AJ118" s="31" t="str">
        <f t="shared" si="97"/>
        <v>1+1814654.07849876i</v>
      </c>
      <c r="AK118" s="31">
        <f t="shared" si="113"/>
        <v>1814654.0784990357</v>
      </c>
      <c r="AL118" s="31">
        <f t="shared" si="114"/>
        <v>1.5707957757256807</v>
      </c>
      <c r="AM118" s="31" t="str">
        <f t="shared" si="98"/>
        <v>1+0.827998159780126i</v>
      </c>
      <c r="AN118" s="31">
        <f t="shared" si="115"/>
        <v>1.2982992538699525</v>
      </c>
      <c r="AO118" s="31">
        <f t="shared" si="116"/>
        <v>0.6915813763914499</v>
      </c>
      <c r="AS118" s="58" t="str">
        <f t="shared" si="117"/>
        <v>220087.93360049+182232.608444579i</v>
      </c>
      <c r="AT118" s="49">
        <f t="shared" si="118"/>
        <v>109.11942477049408</v>
      </c>
      <c r="AU118" s="61">
        <f t="shared" si="119"/>
        <v>39.624725631018819</v>
      </c>
      <c r="AV118" s="58" t="str">
        <f t="shared" si="120"/>
        <v>3991399.00238156+2952559.70625905i</v>
      </c>
      <c r="AW118" s="64">
        <f t="shared" si="121"/>
        <v>133.91797099163477</v>
      </c>
      <c r="AX118" s="61">
        <f t="shared" si="122"/>
        <v>36.491463486915677</v>
      </c>
      <c r="AY118" s="310"/>
      <c r="BA118" s="31">
        <f t="shared" si="123"/>
        <v>0</v>
      </c>
      <c r="BB118" s="31">
        <f t="shared" si="124"/>
        <v>0</v>
      </c>
    </row>
    <row r="119" spans="14:54" x14ac:dyDescent="0.45">
      <c r="N119" s="10">
        <v>1</v>
      </c>
      <c r="O119" s="50">
        <f>10^(2+(N119/100))</f>
        <v>102.32929922807544</v>
      </c>
      <c r="P119" s="48" t="str">
        <f t="shared" si="90"/>
        <v>17.4002386318441</v>
      </c>
      <c r="Q119" s="17" t="str">
        <f t="shared" si="91"/>
        <v>1+0.0550640661957937i</v>
      </c>
      <c r="R119" s="17">
        <f t="shared" si="100"/>
        <v>1.0015148782649286</v>
      </c>
      <c r="S119" s="17">
        <f t="shared" si="101"/>
        <v>5.500851486211774E-2</v>
      </c>
      <c r="T119" s="17" t="str">
        <f t="shared" si="92"/>
        <v>1+0.000192886184821148i</v>
      </c>
      <c r="U119" s="17">
        <f t="shared" si="102"/>
        <v>1.00000001860254</v>
      </c>
      <c r="V119" s="17">
        <f t="shared" si="103"/>
        <v>1.9288618242903271E-4</v>
      </c>
      <c r="W119" s="31" t="str">
        <f t="shared" si="93"/>
        <v>1-0.000475873399286642i</v>
      </c>
      <c r="X119" s="17">
        <f t="shared" si="104"/>
        <v>1.0000001132277396</v>
      </c>
      <c r="Y119" s="17">
        <f t="shared" si="105"/>
        <v>-4.7587336336526526E-4</v>
      </c>
      <c r="Z119" s="31" t="str">
        <f t="shared" si="94"/>
        <v>0.999999990502235+0.000665537434358192i</v>
      </c>
      <c r="AA119" s="17">
        <f t="shared" si="106"/>
        <v>1.0000002119722511</v>
      </c>
      <c r="AB119" s="17">
        <f t="shared" si="107"/>
        <v>6.6553734241493279E-4</v>
      </c>
      <c r="AC119" s="66" t="str">
        <f t="shared" si="108"/>
        <v>17.3467244423883-0.971685732232769i</v>
      </c>
      <c r="AD119" s="64">
        <f t="shared" si="109"/>
        <v>24.797955282092307</v>
      </c>
      <c r="AE119" s="61">
        <f t="shared" si="110"/>
        <v>-3.2061021908346956</v>
      </c>
      <c r="AF119" s="31" t="str">
        <f t="shared" si="95"/>
        <v>-9090.90909090909</v>
      </c>
      <c r="AG119" s="31" t="str">
        <f t="shared" si="96"/>
        <v>2.27623467397318E-08i</v>
      </c>
      <c r="AH119" s="31">
        <f t="shared" si="111"/>
        <v>2.27623467397318E-8</v>
      </c>
      <c r="AI119" s="31">
        <f t="shared" si="112"/>
        <v>1.5707963267948966</v>
      </c>
      <c r="AJ119" s="31" t="str">
        <f t="shared" si="97"/>
        <v>1+1856922.80194147i</v>
      </c>
      <c r="AK119" s="31">
        <f t="shared" si="113"/>
        <v>1856922.8019417392</v>
      </c>
      <c r="AL119" s="31">
        <f t="shared" si="114"/>
        <v>1.5707957882695476</v>
      </c>
      <c r="AM119" s="31" t="str">
        <f t="shared" si="98"/>
        <v>1+0.847284714524363i</v>
      </c>
      <c r="AN119" s="31">
        <f t="shared" si="115"/>
        <v>1.310683557334352</v>
      </c>
      <c r="AO119" s="31">
        <f t="shared" si="116"/>
        <v>0.70291558741584237</v>
      </c>
      <c r="AS119" s="58" t="str">
        <f t="shared" si="117"/>
        <v>215078.120597653+182232.602985914i</v>
      </c>
      <c r="AT119" s="49">
        <f t="shared" si="118"/>
        <v>109.00188564421052</v>
      </c>
      <c r="AU119" s="61">
        <f t="shared" si="119"/>
        <v>40.27412736811651</v>
      </c>
      <c r="AV119" s="58" t="str">
        <f t="shared" si="120"/>
        <v>3907973.7118633+2952150.40731562i</v>
      </c>
      <c r="AW119" s="64">
        <f t="shared" si="121"/>
        <v>133.79984092630283</v>
      </c>
      <c r="AX119" s="61">
        <f t="shared" si="122"/>
        <v>37.068025177281804</v>
      </c>
      <c r="AY119" s="310"/>
      <c r="BA119" s="31">
        <f t="shared" si="123"/>
        <v>0</v>
      </c>
      <c r="BB119" s="31">
        <f t="shared" si="124"/>
        <v>0</v>
      </c>
    </row>
    <row r="120" spans="14:54" x14ac:dyDescent="0.45">
      <c r="N120" s="10">
        <v>2</v>
      </c>
      <c r="O120" s="50">
        <f t="shared" ref="O120:O183" si="125">10^(2+(N120/100))</f>
        <v>104.71285480508998</v>
      </c>
      <c r="P120" s="48" t="str">
        <f t="shared" si="90"/>
        <v>17.4002386318441</v>
      </c>
      <c r="Q120" s="17" t="str">
        <f t="shared" si="91"/>
        <v>1+0.0563466730646393i</v>
      </c>
      <c r="R120" s="17">
        <f t="shared" si="100"/>
        <v>1.0015862157425357</v>
      </c>
      <c r="S120" s="17">
        <f t="shared" si="101"/>
        <v>5.6287153828348334E-2</v>
      </c>
      <c r="T120" s="17" t="str">
        <f t="shared" si="92"/>
        <v>1+0.000197379081235251i</v>
      </c>
      <c r="U120" s="17">
        <f t="shared" si="102"/>
        <v>1.0000000194792507</v>
      </c>
      <c r="V120" s="17">
        <f t="shared" si="103"/>
        <v>1.973790786720533E-4</v>
      </c>
      <c r="W120" s="31" t="str">
        <f t="shared" si="93"/>
        <v>1-0.000486957914702842i</v>
      </c>
      <c r="X120" s="17">
        <f t="shared" si="104"/>
        <v>1.0000001185639984</v>
      </c>
      <c r="Y120" s="17">
        <f t="shared" si="105"/>
        <v>-4.869578762123936E-4</v>
      </c>
      <c r="Z120" s="31" t="str">
        <f t="shared" si="94"/>
        <v>0.999999990054619+0.000681039792679251i</v>
      </c>
      <c r="AA120" s="17">
        <f t="shared" si="106"/>
        <v>1.0000002219621942</v>
      </c>
      <c r="AB120" s="17">
        <f t="shared" si="107"/>
        <v>6.8103969416027509E-4</v>
      </c>
      <c r="AC120" s="66" t="str">
        <f t="shared" si="108"/>
        <v>17.3442103783771-0.994177541061651i</v>
      </c>
      <c r="AD120" s="64">
        <f t="shared" si="109"/>
        <v>24.797336579105377</v>
      </c>
      <c r="AE120" s="61">
        <f t="shared" si="110"/>
        <v>-3.2806286982597972</v>
      </c>
      <c r="AF120" s="31" t="str">
        <f t="shared" si="95"/>
        <v>-9090.90909090909</v>
      </c>
      <c r="AG120" s="31" t="str">
        <f t="shared" si="96"/>
        <v>2.27623467397318E-08i</v>
      </c>
      <c r="AH120" s="31">
        <f t="shared" si="111"/>
        <v>2.27623467397318E-8</v>
      </c>
      <c r="AI120" s="31">
        <f t="shared" si="112"/>
        <v>1.5707963267948966</v>
      </c>
      <c r="AJ120" s="31" t="str">
        <f t="shared" si="97"/>
        <v>1+1900176.09043305i</v>
      </c>
      <c r="AK120" s="31">
        <f t="shared" si="113"/>
        <v>1900176.0904333133</v>
      </c>
      <c r="AL120" s="31">
        <f t="shared" si="114"/>
        <v>1.570795800527881</v>
      </c>
      <c r="AM120" s="31" t="str">
        <f t="shared" si="98"/>
        <v>1+0.86702051083938i</v>
      </c>
      <c r="AN120" s="31">
        <f t="shared" si="115"/>
        <v>1.3235273197845896</v>
      </c>
      <c r="AO120" s="31">
        <f t="shared" si="116"/>
        <v>0.71429273160093743</v>
      </c>
      <c r="AS120" s="58" t="str">
        <f t="shared" si="117"/>
        <v>210182.344861252+182232.597772929i</v>
      </c>
      <c r="AT120" s="49">
        <f t="shared" si="118"/>
        <v>108.88658682602977</v>
      </c>
      <c r="AU120" s="61">
        <f t="shared" si="119"/>
        <v>40.925989010483413</v>
      </c>
      <c r="AV120" s="58" t="str">
        <f t="shared" si="120"/>
        <v>3826618.36304933+2951721.94678312i</v>
      </c>
      <c r="AW120" s="64">
        <f t="shared" si="121"/>
        <v>133.68392340513515</v>
      </c>
      <c r="AX120" s="61">
        <f t="shared" si="122"/>
        <v>37.645360312223573</v>
      </c>
      <c r="AY120" s="310"/>
      <c r="BA120" s="31">
        <f t="shared" si="123"/>
        <v>0</v>
      </c>
      <c r="BB120" s="31">
        <f t="shared" si="124"/>
        <v>0</v>
      </c>
    </row>
    <row r="121" spans="14:54" x14ac:dyDescent="0.45">
      <c r="N121" s="10">
        <v>3</v>
      </c>
      <c r="O121" s="50">
        <f t="shared" si="125"/>
        <v>107.15193052376065</v>
      </c>
      <c r="P121" s="48" t="str">
        <f t="shared" si="90"/>
        <v>17.4002386318441</v>
      </c>
      <c r="Q121" s="17" t="str">
        <f t="shared" si="91"/>
        <v>1+0.0576591556853801i</v>
      </c>
      <c r="R121" s="17">
        <f t="shared" si="100"/>
        <v>1.0016609098064828</v>
      </c>
      <c r="S121" s="17">
        <f t="shared" si="101"/>
        <v>5.7595385384741266E-2</v>
      </c>
      <c r="T121" s="17" t="str">
        <f t="shared" si="92"/>
        <v>1+0.000201976630650846i</v>
      </c>
      <c r="U121" s="17">
        <f t="shared" si="102"/>
        <v>1.0000000203972794</v>
      </c>
      <c r="V121" s="17">
        <f t="shared" si="103"/>
        <v>2.0197662790433018E-4</v>
      </c>
      <c r="W121" s="31" t="str">
        <f t="shared" si="93"/>
        <v>1-0.000498300621651068i</v>
      </c>
      <c r="X121" s="17">
        <f t="shared" si="104"/>
        <v>1.0000001241517471</v>
      </c>
      <c r="Y121" s="17">
        <f t="shared" si="105"/>
        <v>-4.9830058040780973E-4</v>
      </c>
      <c r="Z121" s="31" t="str">
        <f t="shared" si="94"/>
        <v>0.999999989585908+0.000696903247313015i</v>
      </c>
      <c r="AA121" s="17">
        <f t="shared" si="106"/>
        <v>1.0000002324229491</v>
      </c>
      <c r="AB121" s="17">
        <f t="shared" si="107"/>
        <v>6.9690314174803152E-4</v>
      </c>
      <c r="AC121" s="66" t="str">
        <f t="shared" si="108"/>
        <v>17.3415785977201-1.0171831642916i</v>
      </c>
      <c r="AD121" s="64">
        <f t="shared" si="109"/>
        <v>24.796688811991334</v>
      </c>
      <c r="AE121" s="61">
        <f t="shared" si="110"/>
        <v>-3.3568802225737775</v>
      </c>
      <c r="AF121" s="31" t="str">
        <f t="shared" si="95"/>
        <v>-9090.90909090909</v>
      </c>
      <c r="AG121" s="31" t="str">
        <f t="shared" si="96"/>
        <v>2.27623467397318E-08i</v>
      </c>
      <c r="AH121" s="31">
        <f t="shared" si="111"/>
        <v>2.27623467397318E-8</v>
      </c>
      <c r="AI121" s="31">
        <f t="shared" si="112"/>
        <v>1.5707963267948966</v>
      </c>
      <c r="AJ121" s="31" t="str">
        <f t="shared" si="97"/>
        <v>1+1944436.87743958i</v>
      </c>
      <c r="AK121" s="31">
        <f t="shared" si="113"/>
        <v>1944436.8774398372</v>
      </c>
      <c r="AL121" s="31">
        <f t="shared" si="114"/>
        <v>1.570795812507181</v>
      </c>
      <c r="AM121" s="31" t="str">
        <f t="shared" si="98"/>
        <v>1+0.887216012905617i</v>
      </c>
      <c r="AN121" s="31">
        <f t="shared" si="115"/>
        <v>1.3368441395900046</v>
      </c>
      <c r="AO121" s="31">
        <f t="shared" si="116"/>
        <v>0.72570706091039094</v>
      </c>
      <c r="AS121" s="58" t="str">
        <f t="shared" si="117"/>
        <v>205398.010586188+182232.592794567i</v>
      </c>
      <c r="AT121" s="49">
        <f t="shared" si="118"/>
        <v>108.77354415136122</v>
      </c>
      <c r="AU121" s="61">
        <f t="shared" si="119"/>
        <v>41.57998121952425</v>
      </c>
      <c r="AV121" s="58" t="str">
        <f t="shared" si="120"/>
        <v>3747289.66977156+2951273.43266605i</v>
      </c>
      <c r="AW121" s="64">
        <f t="shared" si="121"/>
        <v>133.57023296335254</v>
      </c>
      <c r="AX121" s="61">
        <f t="shared" si="122"/>
        <v>38.223100996950528</v>
      </c>
      <c r="AY121" s="310"/>
      <c r="BA121" s="31">
        <f t="shared" si="123"/>
        <v>0</v>
      </c>
      <c r="BB121" s="31">
        <f t="shared" si="124"/>
        <v>0</v>
      </c>
    </row>
    <row r="122" spans="14:54" x14ac:dyDescent="0.45">
      <c r="N122" s="10">
        <v>4</v>
      </c>
      <c r="O122" s="50">
        <f t="shared" si="125"/>
        <v>109.64781961431861</v>
      </c>
      <c r="P122" s="48" t="str">
        <f t="shared" si="90"/>
        <v>17.4002386318441</v>
      </c>
      <c r="Q122" s="17" t="str">
        <f t="shared" si="91"/>
        <v>1+0.0590022099536745i</v>
      </c>
      <c r="R122" s="17">
        <f t="shared" si="100"/>
        <v>1.0017391181237845</v>
      </c>
      <c r="S122" s="17">
        <f t="shared" si="101"/>
        <v>5.8933885250856827E-2</v>
      </c>
      <c r="T122" s="17" t="str">
        <f t="shared" si="92"/>
        <v>1+0.000206681270749489i</v>
      </c>
      <c r="U122" s="17">
        <f t="shared" si="102"/>
        <v>1.0000000213585736</v>
      </c>
      <c r="V122" s="17">
        <f t="shared" si="103"/>
        <v>2.0668126780654428E-4</v>
      </c>
      <c r="W122" s="31" t="str">
        <f t="shared" si="93"/>
        <v>1-0.000509907534184681i</v>
      </c>
      <c r="X122" s="17">
        <f t="shared" si="104"/>
        <v>1.0000001300028383</v>
      </c>
      <c r="Y122" s="17">
        <f t="shared" si="105"/>
        <v>-5.099074899917338E-4</v>
      </c>
      <c r="Z122" s="31" t="str">
        <f t="shared" si="94"/>
        <v>0.999999989095107+0.000713136209273109i</v>
      </c>
      <c r="AA122" s="17">
        <f t="shared" si="106"/>
        <v>1.0000002433767041</v>
      </c>
      <c r="AB122" s="17">
        <f t="shared" si="107"/>
        <v>7.1313609615819258E-4</v>
      </c>
      <c r="AC122" s="66" t="str">
        <f t="shared" si="108"/>
        <v>17.338823626277-1.04071385415089i</v>
      </c>
      <c r="AD122" s="64">
        <f t="shared" si="109"/>
        <v>24.796010620081223</v>
      </c>
      <c r="AE122" s="61">
        <f t="shared" si="110"/>
        <v>-3.4348961664795747</v>
      </c>
      <c r="AF122" s="31" t="str">
        <f t="shared" si="95"/>
        <v>-9090.90909090909</v>
      </c>
      <c r="AG122" s="31" t="str">
        <f t="shared" si="96"/>
        <v>2.27623467397318E-08i</v>
      </c>
      <c r="AH122" s="31">
        <f t="shared" si="111"/>
        <v>2.27623467397318E-8</v>
      </c>
      <c r="AI122" s="31">
        <f t="shared" si="112"/>
        <v>1.5707963267948966</v>
      </c>
      <c r="AJ122" s="31" t="str">
        <f t="shared" si="97"/>
        <v>1+1989728.63061619i</v>
      </c>
      <c r="AK122" s="31">
        <f t="shared" si="113"/>
        <v>1989728.6306164414</v>
      </c>
      <c r="AL122" s="31">
        <f t="shared" si="114"/>
        <v>1.5707958242137985</v>
      </c>
      <c r="AM122" s="31" t="str">
        <f t="shared" si="98"/>
        <v>1+0.907881928645589i</v>
      </c>
      <c r="AN122" s="31">
        <f t="shared" si="115"/>
        <v>1.3506478432075604</v>
      </c>
      <c r="AO122" s="31">
        <f t="shared" si="116"/>
        <v>0.7371527311874656</v>
      </c>
      <c r="AS122" s="58" t="str">
        <f t="shared" si="117"/>
        <v>200722.581055102+182232.58804027i</v>
      </c>
      <c r="AT122" s="49">
        <f t="shared" si="118"/>
        <v>108.66277120867325</v>
      </c>
      <c r="AU122" s="61">
        <f t="shared" si="119"/>
        <v>42.23576914935925</v>
      </c>
      <c r="AV122" s="58" t="str">
        <f t="shared" si="120"/>
        <v>3669945.40977678+2950803.93204527i</v>
      </c>
      <c r="AW122" s="64">
        <f t="shared" si="121"/>
        <v>133.45878182875447</v>
      </c>
      <c r="AX122" s="61">
        <f t="shared" si="122"/>
        <v>38.800872982879724</v>
      </c>
      <c r="AY122" s="310"/>
      <c r="BA122" s="31">
        <f t="shared" si="123"/>
        <v>0</v>
      </c>
      <c r="BB122" s="31">
        <f t="shared" si="124"/>
        <v>0</v>
      </c>
    </row>
    <row r="123" spans="14:54" x14ac:dyDescent="0.45">
      <c r="N123" s="10">
        <v>5</v>
      </c>
      <c r="O123" s="50">
        <f t="shared" si="125"/>
        <v>112.20184543019634</v>
      </c>
      <c r="P123" s="48" t="str">
        <f t="shared" si="90"/>
        <v>17.4002386318441</v>
      </c>
      <c r="Q123" s="17" t="str">
        <f t="shared" si="91"/>
        <v>1+0.0603765479746728i</v>
      </c>
      <c r="R123" s="17">
        <f t="shared" si="100"/>
        <v>1.0018210057417132</v>
      </c>
      <c r="S123" s="17">
        <f t="shared" si="101"/>
        <v>6.0303343921934628E-2</v>
      </c>
      <c r="T123" s="17" t="str">
        <f t="shared" si="92"/>
        <v>1+0.000211495495993634i</v>
      </c>
      <c r="U123" s="17">
        <f t="shared" si="102"/>
        <v>1.0000000223651722</v>
      </c>
      <c r="V123" s="17">
        <f t="shared" si="103"/>
        <v>2.1149549284021191E-4</v>
      </c>
      <c r="W123" s="31" t="str">
        <f t="shared" si="93"/>
        <v>1-0.000521784806442343i</v>
      </c>
      <c r="X123" s="17">
        <f t="shared" si="104"/>
        <v>1.0000001361296829</v>
      </c>
      <c r="Y123" s="17">
        <f t="shared" si="105"/>
        <v>-5.2178475908874733E-4</v>
      </c>
      <c r="Z123" s="31" t="str">
        <f t="shared" si="94"/>
        <v>0.999999988581175+0.000729747285490834i</v>
      </c>
      <c r="AA123" s="17">
        <f t="shared" si="106"/>
        <v>1.0000002548466929</v>
      </c>
      <c r="AB123" s="17">
        <f t="shared" si="107"/>
        <v>7.2974716428601924E-4</v>
      </c>
      <c r="AC123" s="66" t="str">
        <f t="shared" si="108"/>
        <v>17.3359397389716-1.06478107440701i</v>
      </c>
      <c r="AD123" s="64">
        <f t="shared" si="109"/>
        <v>24.795300579451283</v>
      </c>
      <c r="AE123" s="61">
        <f t="shared" si="110"/>
        <v>-3.5147167952622267</v>
      </c>
      <c r="AF123" s="31" t="str">
        <f t="shared" si="95"/>
        <v>-9090.90909090909</v>
      </c>
      <c r="AG123" s="31" t="str">
        <f t="shared" si="96"/>
        <v>2.27623467397318E-08i</v>
      </c>
      <c r="AH123" s="31">
        <f t="shared" si="111"/>
        <v>2.27623467397318E-8</v>
      </c>
      <c r="AI123" s="31">
        <f t="shared" si="112"/>
        <v>1.5707963267948966</v>
      </c>
      <c r="AJ123" s="31" t="str">
        <f t="shared" si="97"/>
        <v>1+2036075.36424993i</v>
      </c>
      <c r="AK123" s="31">
        <f t="shared" si="113"/>
        <v>2036075.3642501754</v>
      </c>
      <c r="AL123" s="31">
        <f t="shared" si="114"/>
        <v>1.5707958356539411</v>
      </c>
      <c r="AM123" s="31" t="str">
        <f t="shared" si="98"/>
        <v>1+0.929029215401367i</v>
      </c>
      <c r="AN123" s="31">
        <f t="shared" si="115"/>
        <v>1.3649524838137332</v>
      </c>
      <c r="AO123" s="31">
        <f t="shared" si="116"/>
        <v>0.74862381667437616</v>
      </c>
      <c r="AS123" s="58" t="str">
        <f t="shared" si="117"/>
        <v>196153.577293367+182232.58349995i</v>
      </c>
      <c r="AT123" s="49">
        <f t="shared" si="118"/>
        <v>108.55427928340076</v>
      </c>
      <c r="AU123" s="61">
        <f t="shared" si="119"/>
        <v>42.893013278721163</v>
      </c>
      <c r="AV123" s="58" t="str">
        <f t="shared" si="120"/>
        <v>3594544.40159256+2950312.46925303i</v>
      </c>
      <c r="AW123" s="64">
        <f t="shared" si="121"/>
        <v>133.34957986285201</v>
      </c>
      <c r="AX123" s="61">
        <f t="shared" si="122"/>
        <v>39.378296483458904</v>
      </c>
      <c r="AY123" s="310"/>
      <c r="BA123" s="31">
        <f t="shared" si="123"/>
        <v>0</v>
      </c>
      <c r="BB123" s="31">
        <f t="shared" si="124"/>
        <v>0</v>
      </c>
    </row>
    <row r="124" spans="14:54" x14ac:dyDescent="0.45">
      <c r="N124" s="10">
        <v>6</v>
      </c>
      <c r="O124" s="50">
        <f t="shared" si="125"/>
        <v>114.81536214968835</v>
      </c>
      <c r="P124" s="48" t="str">
        <f t="shared" si="90"/>
        <v>17.4002386318441</v>
      </c>
      <c r="Q124" s="17" t="str">
        <f t="shared" si="91"/>
        <v>1+0.0617828984405855i</v>
      </c>
      <c r="R124" s="17">
        <f t="shared" si="100"/>
        <v>1.0019067454307911</v>
      </c>
      <c r="S124" s="17">
        <f t="shared" si="101"/>
        <v>6.1704466945028937E-2</v>
      </c>
      <c r="T124" s="17" t="str">
        <f t="shared" si="92"/>
        <v>1+0.000216421858949228i</v>
      </c>
      <c r="U124" s="17">
        <f t="shared" si="102"/>
        <v>1.0000000234192103</v>
      </c>
      <c r="V124" s="17">
        <f t="shared" si="103"/>
        <v>2.1642185557027539E-4</v>
      </c>
      <c r="W124" s="31" t="str">
        <f t="shared" si="93"/>
        <v>1-0.00053393873591102i</v>
      </c>
      <c r="X124" s="17">
        <f t="shared" si="104"/>
        <v>1.0000001425452767</v>
      </c>
      <c r="Y124" s="17">
        <f t="shared" si="105"/>
        <v>-5.339386851707285E-4</v>
      </c>
      <c r="Z124" s="31" t="str">
        <f t="shared" si="94"/>
        <v>0.999999988043023+0.000746745283378673i</v>
      </c>
      <c r="AA124" s="17">
        <f t="shared" si="106"/>
        <v>1.0000002668572465</v>
      </c>
      <c r="AB124" s="17">
        <f t="shared" si="107"/>
        <v>7.4674515350537545E-4</v>
      </c>
      <c r="AC124" s="66" t="str">
        <f t="shared" si="108"/>
        <v>17.3329209486377-1.08939650175702i</v>
      </c>
      <c r="AD124" s="64">
        <f t="shared" si="109"/>
        <v>24.794557200025217</v>
      </c>
      <c r="AE124" s="61">
        <f t="shared" si="110"/>
        <v>-3.5963832529828288</v>
      </c>
      <c r="AF124" s="31" t="str">
        <f t="shared" si="95"/>
        <v>-9090.90909090909</v>
      </c>
      <c r="AG124" s="31" t="str">
        <f t="shared" si="96"/>
        <v>2.27623467397318E-08i</v>
      </c>
      <c r="AH124" s="31">
        <f t="shared" si="111"/>
        <v>2.27623467397318E-8</v>
      </c>
      <c r="AI124" s="31">
        <f t="shared" si="112"/>
        <v>1.5707963267948966</v>
      </c>
      <c r="AJ124" s="31" t="str">
        <f t="shared" si="97"/>
        <v>1+2083501.65199244i</v>
      </c>
      <c r="AK124" s="31">
        <f t="shared" si="113"/>
        <v>2083501.6519926796</v>
      </c>
      <c r="AL124" s="31">
        <f t="shared" si="114"/>
        <v>1.570795846833674</v>
      </c>
      <c r="AM124" s="31" t="str">
        <f t="shared" si="98"/>
        <v>1+0.950669085744306i</v>
      </c>
      <c r="AN124" s="31">
        <f t="shared" si="115"/>
        <v>1.3797723401307602</v>
      </c>
      <c r="AO124" s="31">
        <f t="shared" si="116"/>
        <v>0.76011432504537935</v>
      </c>
      <c r="AS124" s="58" t="str">
        <f t="shared" si="117"/>
        <v>191688.576754713+182232.579163977i</v>
      </c>
      <c r="AT124" s="49">
        <f t="shared" si="118"/>
        <v>108.44807731097313</v>
      </c>
      <c r="AU124" s="61">
        <f t="shared" si="119"/>
        <v>43.551370272287656</v>
      </c>
      <c r="AV124" s="58" t="str">
        <f t="shared" si="120"/>
        <v>3521046.48189371+2949798.02397221i</v>
      </c>
      <c r="AW124" s="64">
        <f t="shared" si="121"/>
        <v>133.24263451099836</v>
      </c>
      <c r="AX124" s="61">
        <f t="shared" si="122"/>
        <v>39.954987019304809</v>
      </c>
      <c r="AY124" s="310"/>
      <c r="BA124" s="31">
        <f t="shared" si="123"/>
        <v>0</v>
      </c>
      <c r="BB124" s="31">
        <f t="shared" si="124"/>
        <v>0</v>
      </c>
    </row>
    <row r="125" spans="14:54" x14ac:dyDescent="0.45">
      <c r="N125" s="10">
        <v>7</v>
      </c>
      <c r="O125" s="50">
        <f t="shared" si="125"/>
        <v>117.48975549395293</v>
      </c>
      <c r="P125" s="48" t="str">
        <f t="shared" si="90"/>
        <v>17.4002386318441</v>
      </c>
      <c r="Q125" s="17" t="str">
        <f t="shared" si="91"/>
        <v>1+0.0632220070170446i</v>
      </c>
      <c r="R125" s="17">
        <f t="shared" si="100"/>
        <v>1.0019965180434827</v>
      </c>
      <c r="S125" s="17">
        <f t="shared" si="101"/>
        <v>6.3137975196817325E-2</v>
      </c>
      <c r="T125" s="17" t="str">
        <f t="shared" si="92"/>
        <v>1+0.000221462971639118i</v>
      </c>
      <c r="U125" s="17">
        <f t="shared" si="102"/>
        <v>1.0000000245229237</v>
      </c>
      <c r="V125" s="17">
        <f t="shared" si="103"/>
        <v>2.2146296801850505E-4</v>
      </c>
      <c r="W125" s="31" t="str">
        <f t="shared" si="93"/>
        <v>1-0.00054637576676499i</v>
      </c>
      <c r="X125" s="17">
        <f t="shared" si="104"/>
        <v>1.000000149263228</v>
      </c>
      <c r="Y125" s="17">
        <f t="shared" si="105"/>
        <v>-5.4637571239578861E-4</v>
      </c>
      <c r="Z125" s="31" t="str">
        <f t="shared" si="94"/>
        <v>0.999999987479508+0.000764139215500102i</v>
      </c>
      <c r="AA125" s="17">
        <f t="shared" si="106"/>
        <v>1.0000002794338396</v>
      </c>
      <c r="AB125" s="17">
        <f t="shared" si="107"/>
        <v>7.6413907633835854E-4</v>
      </c>
      <c r="AC125" s="66" t="str">
        <f t="shared" si="108"/>
        <v>17.3297609944032-1.11457202700692i</v>
      </c>
      <c r="AD125" s="64">
        <f t="shared" si="109"/>
        <v>24.793778922547986</v>
      </c>
      <c r="AE125" s="61">
        <f t="shared" si="110"/>
        <v>-3.6799375787773472</v>
      </c>
      <c r="AF125" s="31" t="str">
        <f t="shared" si="95"/>
        <v>-9090.90909090909</v>
      </c>
      <c r="AG125" s="31" t="str">
        <f t="shared" si="96"/>
        <v>2.27623467397318E-08i</v>
      </c>
      <c r="AH125" s="31">
        <f t="shared" si="111"/>
        <v>2.27623467397318E-8</v>
      </c>
      <c r="AI125" s="31">
        <f t="shared" si="112"/>
        <v>1.5707963267948966</v>
      </c>
      <c r="AJ125" s="31" t="str">
        <f t="shared" si="97"/>
        <v>1+2132032.63988923i</v>
      </c>
      <c r="AK125" s="31">
        <f t="shared" si="113"/>
        <v>2132032.6398894647</v>
      </c>
      <c r="AL125" s="31">
        <f t="shared" si="114"/>
        <v>1.5707958577589254</v>
      </c>
      <c r="AM125" s="31" t="str">
        <f t="shared" si="98"/>
        <v>1+0.972813013420099i</v>
      </c>
      <c r="AN125" s="31">
        <f t="shared" si="115"/>
        <v>1.3951219154896441</v>
      </c>
      <c r="AO125" s="31">
        <f t="shared" si="116"/>
        <v>0.77161821286264598</v>
      </c>
      <c r="AS125" s="58" t="str">
        <f t="shared" si="117"/>
        <v>187325.212036753+182232.575023157i</v>
      </c>
      <c r="AT125" s="49">
        <f t="shared" si="118"/>
        <v>108.34417183937403</v>
      </c>
      <c r="AU125" s="61">
        <f t="shared" si="119"/>
        <v>44.210493866238259</v>
      </c>
      <c r="AV125" s="58" t="str">
        <f t="shared" si="120"/>
        <v>3449412.48335308+2949259.52925666i</v>
      </c>
      <c r="AW125" s="64">
        <f t="shared" si="121"/>
        <v>133.13795076192201</v>
      </c>
      <c r="AX125" s="61">
        <f t="shared" si="122"/>
        <v>40.530556287460961</v>
      </c>
      <c r="AY125" s="310"/>
      <c r="BA125" s="31">
        <f t="shared" si="123"/>
        <v>0</v>
      </c>
      <c r="BB125" s="31">
        <f t="shared" si="124"/>
        <v>0</v>
      </c>
    </row>
    <row r="126" spans="14:54" x14ac:dyDescent="0.45">
      <c r="N126" s="10">
        <v>8</v>
      </c>
      <c r="O126" s="50">
        <f t="shared" si="125"/>
        <v>120.22644346174135</v>
      </c>
      <c r="P126" s="48" t="str">
        <f t="shared" si="90"/>
        <v>17.4002386318441</v>
      </c>
      <c r="Q126" s="17" t="str">
        <f t="shared" si="91"/>
        <v>1+0.0646946367384665i</v>
      </c>
      <c r="R126" s="17">
        <f t="shared" si="100"/>
        <v>1.002090512889291</v>
      </c>
      <c r="S126" s="17">
        <f t="shared" si="101"/>
        <v>6.4604605162798076E-2</v>
      </c>
      <c r="T126" s="17" t="str">
        <f t="shared" si="92"/>
        <v>1+0.000226621506927982i</v>
      </c>
      <c r="U126" s="17">
        <f t="shared" si="102"/>
        <v>1.0000000256786534</v>
      </c>
      <c r="V126" s="17">
        <f t="shared" si="103"/>
        <v>2.2662150304842533E-4</v>
      </c>
      <c r="W126" s="31" t="str">
        <f t="shared" si="93"/>
        <v>1-0.000559102493282639i</v>
      </c>
      <c r="X126" s="17">
        <f t="shared" si="104"/>
        <v>1.0000001562977867</v>
      </c>
      <c r="Y126" s="17">
        <f t="shared" si="105"/>
        <v>-5.5910243502499055E-4</v>
      </c>
      <c r="Z126" s="31" t="str">
        <f t="shared" si="94"/>
        <v>0.999999986889435+0.000781938304348168i</v>
      </c>
      <c r="AA126" s="17">
        <f t="shared" si="106"/>
        <v>1.0000002926031482</v>
      </c>
      <c r="AB126" s="17">
        <f t="shared" si="107"/>
        <v>7.8193815523367599E-4</v>
      </c>
      <c r="AC126" s="66" t="str">
        <f t="shared" si="108"/>
        <v>17.3264533295962-1.14031975601864i</v>
      </c>
      <c r="AD126" s="64">
        <f t="shared" si="109"/>
        <v>24.792964115425498</v>
      </c>
      <c r="AE126" s="61">
        <f t="shared" si="110"/>
        <v>-3.7654227232433941</v>
      </c>
      <c r="AF126" s="31" t="str">
        <f t="shared" si="95"/>
        <v>-9090.90909090909</v>
      </c>
      <c r="AG126" s="31" t="str">
        <f t="shared" si="96"/>
        <v>2.27623467397318E-08i</v>
      </c>
      <c r="AH126" s="31">
        <f t="shared" si="111"/>
        <v>2.27623467397318E-8</v>
      </c>
      <c r="AI126" s="31">
        <f t="shared" si="112"/>
        <v>1.5707963267948966</v>
      </c>
      <c r="AJ126" s="31" t="str">
        <f t="shared" si="97"/>
        <v>1+2181694.05971249i</v>
      </c>
      <c r="AK126" s="31">
        <f t="shared" si="113"/>
        <v>2181694.0597127192</v>
      </c>
      <c r="AL126" s="31">
        <f t="shared" si="114"/>
        <v>1.5707958684354875</v>
      </c>
      <c r="AM126" s="31" t="str">
        <f t="shared" si="98"/>
        <v>1+0.995472739432312i</v>
      </c>
      <c r="AN126" s="31">
        <f t="shared" si="115"/>
        <v>1.4110159371718207</v>
      </c>
      <c r="AO126" s="31">
        <f t="shared" si="116"/>
        <v>0.78312940135899578</v>
      </c>
      <c r="AS126" s="58" t="str">
        <f t="shared" si="117"/>
        <v>183061.169625755+182232.571068704i</v>
      </c>
      <c r="AT126" s="49">
        <f t="shared" si="118"/>
        <v>108.24256700156474</v>
      </c>
      <c r="AU126" s="61">
        <f t="shared" si="119"/>
        <v>44.870035772536895</v>
      </c>
      <c r="AV126" s="58" t="str">
        <f t="shared" si="120"/>
        <v>3379604.21296165+2948695.8694701i</v>
      </c>
      <c r="AW126" s="64">
        <f t="shared" si="121"/>
        <v>133.03553111699023</v>
      </c>
      <c r="AX126" s="61">
        <f t="shared" si="122"/>
        <v>41.104613049293555</v>
      </c>
      <c r="AY126" s="310"/>
      <c r="BA126" s="31">
        <f t="shared" si="123"/>
        <v>0</v>
      </c>
      <c r="BB126" s="31">
        <f t="shared" si="124"/>
        <v>0</v>
      </c>
    </row>
    <row r="127" spans="14:54" x14ac:dyDescent="0.45">
      <c r="N127" s="10">
        <v>9</v>
      </c>
      <c r="O127" s="50">
        <f t="shared" si="125"/>
        <v>123.02687708123821</v>
      </c>
      <c r="P127" s="48" t="str">
        <f t="shared" si="90"/>
        <v>17.4002386318441</v>
      </c>
      <c r="Q127" s="17" t="str">
        <f t="shared" si="91"/>
        <v>1+0.0662015684126218i</v>
      </c>
      <c r="R127" s="17">
        <f t="shared" si="100"/>
        <v>1.0021889281269729</v>
      </c>
      <c r="S127" s="17">
        <f t="shared" si="101"/>
        <v>6.6105109217555524E-2</v>
      </c>
      <c r="T127" s="17" t="str">
        <f t="shared" si="92"/>
        <v>1+0.000231900199939508i</v>
      </c>
      <c r="U127" s="17">
        <f t="shared" si="102"/>
        <v>1.0000000268888509</v>
      </c>
      <c r="V127" s="17">
        <f t="shared" si="103"/>
        <v>2.3190019578248815E-4</v>
      </c>
      <c r="W127" s="31" t="str">
        <f t="shared" si="93"/>
        <v>1-0.000572125663342821i</v>
      </c>
      <c r="X127" s="17">
        <f t="shared" si="104"/>
        <v>1.000000163663874</v>
      </c>
      <c r="Y127" s="17">
        <f t="shared" si="105"/>
        <v>-5.7212560091862653E-4</v>
      </c>
      <c r="Z127" s="31" t="str">
        <f t="shared" si="94"/>
        <v>0.999999986271553+0.000800151987235376i</v>
      </c>
      <c r="AA127" s="17">
        <f t="shared" si="106"/>
        <v>1.0000003063931073</v>
      </c>
      <c r="AB127" s="17">
        <f t="shared" si="107"/>
        <v>8.0015182745632192E-4</v>
      </c>
      <c r="AC127" s="66" t="str">
        <f t="shared" si="108"/>
        <v>17.3229911091575-1.16665201040216i</v>
      </c>
      <c r="AD127" s="64">
        <f t="shared" si="109"/>
        <v>24.792111071425115</v>
      </c>
      <c r="AE127" s="61">
        <f t="shared" si="110"/>
        <v>-3.8528825648976541</v>
      </c>
      <c r="AF127" s="31" t="str">
        <f t="shared" si="95"/>
        <v>-9090.90909090909</v>
      </c>
      <c r="AG127" s="31" t="str">
        <f t="shared" si="96"/>
        <v>2.27623467397318E-08i</v>
      </c>
      <c r="AH127" s="31">
        <f t="shared" si="111"/>
        <v>2.27623467397318E-8</v>
      </c>
      <c r="AI127" s="31">
        <f t="shared" si="112"/>
        <v>1.5707963267948966</v>
      </c>
      <c r="AJ127" s="31" t="str">
        <f t="shared" si="97"/>
        <v>1+2232512.24260434i</v>
      </c>
      <c r="AK127" s="31">
        <f t="shared" si="113"/>
        <v>2232512.2426045639</v>
      </c>
      <c r="AL127" s="31">
        <f t="shared" si="114"/>
        <v>1.5707958788690215</v>
      </c>
      <c r="AM127" s="31" t="str">
        <f t="shared" si="98"/>
        <v>1+1.01866027826761i</v>
      </c>
      <c r="AN127" s="31">
        <f t="shared" si="115"/>
        <v>1.4274693560704708</v>
      </c>
      <c r="AO127" s="31">
        <f t="shared" si="116"/>
        <v>0.79464179244768818</v>
      </c>
      <c r="AS127" s="58" t="str">
        <f t="shared" si="117"/>
        <v>178894.188669995+182232.56729223i</v>
      </c>
      <c r="AT127" s="49">
        <f t="shared" si="118"/>
        <v>108.14326449801823</v>
      </c>
      <c r="AU127" s="61">
        <f t="shared" si="119"/>
        <v>45.529646596225412</v>
      </c>
      <c r="AV127" s="58" t="str">
        <f t="shared" si="120"/>
        <v>3311584.43080249+2948105.87814113i</v>
      </c>
      <c r="AW127" s="64">
        <f t="shared" si="121"/>
        <v>132.93537556944332</v>
      </c>
      <c r="AX127" s="61">
        <f t="shared" si="122"/>
        <v>41.676764031327771</v>
      </c>
      <c r="AY127" s="310"/>
      <c r="BA127" s="31">
        <f t="shared" si="123"/>
        <v>0</v>
      </c>
      <c r="BB127" s="31">
        <f t="shared" si="124"/>
        <v>0</v>
      </c>
    </row>
    <row r="128" spans="14:54" x14ac:dyDescent="0.45">
      <c r="N128" s="10">
        <v>10</v>
      </c>
      <c r="O128" s="50">
        <f t="shared" si="125"/>
        <v>125.89254117941677</v>
      </c>
      <c r="P128" s="48" t="str">
        <f t="shared" si="90"/>
        <v>17.4002386318441</v>
      </c>
      <c r="Q128" s="17" t="str">
        <f t="shared" si="91"/>
        <v>1+0.0677436010346307i</v>
      </c>
      <c r="R128" s="17">
        <f t="shared" si="100"/>
        <v>1.002291971174637</v>
      </c>
      <c r="S128" s="17">
        <f t="shared" si="101"/>
        <v>6.764025590575018E-2</v>
      </c>
      <c r="T128" s="17" t="str">
        <f t="shared" si="92"/>
        <v>1+0.000237301849506604i</v>
      </c>
      <c r="U128" s="17">
        <f t="shared" si="102"/>
        <v>1.0000000281560835</v>
      </c>
      <c r="V128" s="17">
        <f t="shared" si="103"/>
        <v>2.3730184505227694E-4</v>
      </c>
      <c r="W128" s="31" t="str">
        <f t="shared" si="93"/>
        <v>1-0.000585452182002687i</v>
      </c>
      <c r="X128" s="17">
        <f t="shared" si="104"/>
        <v>1.0000001713771141</v>
      </c>
      <c r="Y128" s="17">
        <f t="shared" si="105"/>
        <v>-5.8545211511395817E-4</v>
      </c>
      <c r="Z128" s="31" t="str">
        <f t="shared" si="94"/>
        <v>0.999999985624552+0.000818789921297479i</v>
      </c>
      <c r="AA128" s="17">
        <f t="shared" si="106"/>
        <v>1.0000003208329682</v>
      </c>
      <c r="AB128" s="17">
        <f t="shared" si="107"/>
        <v>8.1878975009114035E-4</v>
      </c>
      <c r="AC128" s="66" t="str">
        <f t="shared" si="108"/>
        <v>17.3193671765423-1.19358132792828i</v>
      </c>
      <c r="AD128" s="64">
        <f t="shared" si="109"/>
        <v>24.791218004230586</v>
      </c>
      <c r="AE128" s="61">
        <f t="shared" si="110"/>
        <v>-3.9423619266839944</v>
      </c>
      <c r="AF128" s="31" t="str">
        <f t="shared" si="95"/>
        <v>-9090.90909090909</v>
      </c>
      <c r="AG128" s="31" t="str">
        <f t="shared" si="96"/>
        <v>2.27623467397318E-08i</v>
      </c>
      <c r="AH128" s="31">
        <f t="shared" si="111"/>
        <v>2.27623467397318E-8</v>
      </c>
      <c r="AI128" s="31">
        <f t="shared" si="112"/>
        <v>1.5707963267948966</v>
      </c>
      <c r="AJ128" s="31" t="str">
        <f t="shared" si="97"/>
        <v>1+2284514.13303801i</v>
      </c>
      <c r="AK128" s="31">
        <f t="shared" si="113"/>
        <v>2284514.1330382293</v>
      </c>
      <c r="AL128" s="31">
        <f t="shared" si="114"/>
        <v>1.5707958890650593</v>
      </c>
      <c r="AM128" s="31" t="str">
        <f t="shared" si="98"/>
        <v>1+1.04238792426601i</v>
      </c>
      <c r="AN128" s="31">
        <f t="shared" si="115"/>
        <v>1.4444973467111668</v>
      </c>
      <c r="AO128" s="31">
        <f t="shared" si="116"/>
        <v>0.80614928485678383</v>
      </c>
      <c r="AS128" s="58" t="str">
        <f t="shared" si="117"/>
        <v>174822.059781012+182232.563685726i</v>
      </c>
      <c r="AT128" s="49">
        <f t="shared" si="118"/>
        <v>108.04626358951867</v>
      </c>
      <c r="AU128" s="61">
        <f t="shared" si="119"/>
        <v>46.188976759855478</v>
      </c>
      <c r="AV128" s="58" t="str">
        <f t="shared" si="120"/>
        <v>3245316.82926256+2947488.33573114i</v>
      </c>
      <c r="AW128" s="64">
        <f t="shared" si="121"/>
        <v>132.83748159374926</v>
      </c>
      <c r="AX128" s="61">
        <f t="shared" si="122"/>
        <v>42.246614833171478</v>
      </c>
      <c r="AY128" s="310"/>
      <c r="BA128" s="31">
        <f t="shared" si="123"/>
        <v>0</v>
      </c>
      <c r="BB128" s="31">
        <f t="shared" si="124"/>
        <v>0</v>
      </c>
    </row>
    <row r="129" spans="14:54" x14ac:dyDescent="0.45">
      <c r="N129" s="10">
        <v>11</v>
      </c>
      <c r="O129" s="50">
        <f t="shared" si="125"/>
        <v>128.82495516931343</v>
      </c>
      <c r="P129" s="48" t="str">
        <f t="shared" si="90"/>
        <v>17.4002386318441</v>
      </c>
      <c r="Q129" s="17" t="str">
        <f t="shared" si="91"/>
        <v>1+0.0693215522106009i</v>
      </c>
      <c r="R129" s="17">
        <f t="shared" si="100"/>
        <v>1.0023998591385013</v>
      </c>
      <c r="S129" s="17">
        <f t="shared" si="101"/>
        <v>6.9210830223451245E-2</v>
      </c>
      <c r="T129" s="17" t="str">
        <f t="shared" si="92"/>
        <v>1+0.00024282931965537i</v>
      </c>
      <c r="U129" s="17">
        <f t="shared" si="102"/>
        <v>1.0000000294830389</v>
      </c>
      <c r="V129" s="17">
        <f t="shared" si="103"/>
        <v>2.428293148824726E-4</v>
      </c>
      <c r="W129" s="31" t="str">
        <f t="shared" si="93"/>
        <v>1-0.000599089115158826i</v>
      </c>
      <c r="X129" s="17">
        <f t="shared" si="104"/>
        <v>1.0000001794538678</v>
      </c>
      <c r="Y129" s="17">
        <f t="shared" si="105"/>
        <v>-5.9908904348626236E-4</v>
      </c>
      <c r="Z129" s="31" t="str">
        <f t="shared" si="94"/>
        <v>0.999999984947058+0.000837861988613821i</v>
      </c>
      <c r="AA129" s="17">
        <f t="shared" si="106"/>
        <v>1.0000003359533576</v>
      </c>
      <c r="AB129" s="17">
        <f t="shared" si="107"/>
        <v>8.3786180516292718E-4</v>
      </c>
      <c r="AC129" s="66" t="str">
        <f t="shared" si="108"/>
        <v>17.3155740500969-1.22112046263616i</v>
      </c>
      <c r="AD129" s="64">
        <f t="shared" si="109"/>
        <v>24.790283044846714</v>
      </c>
      <c r="AE129" s="61">
        <f t="shared" si="110"/>
        <v>-4.0339065925107764</v>
      </c>
      <c r="AF129" s="31" t="str">
        <f t="shared" si="95"/>
        <v>-9090.90909090909</v>
      </c>
      <c r="AG129" s="31" t="str">
        <f t="shared" si="96"/>
        <v>2.27623467397318E-08i</v>
      </c>
      <c r="AH129" s="31">
        <f t="shared" si="111"/>
        <v>2.27623467397318E-8</v>
      </c>
      <c r="AI129" s="31">
        <f t="shared" si="112"/>
        <v>1.5707963267948966</v>
      </c>
      <c r="AJ129" s="31" t="str">
        <f t="shared" si="97"/>
        <v>1+2337727.30310414i</v>
      </c>
      <c r="AK129" s="31">
        <f t="shared" si="113"/>
        <v>2337727.3031043536</v>
      </c>
      <c r="AL129" s="31">
        <f t="shared" si="114"/>
        <v>1.5707958990290067</v>
      </c>
      <c r="AM129" s="31" t="str">
        <f t="shared" si="98"/>
        <v>1+1.06666825813949i</v>
      </c>
      <c r="AN129" s="31">
        <f t="shared" si="115"/>
        <v>1.462115307669793</v>
      </c>
      <c r="AO129" s="31">
        <f t="shared" si="116"/>
        <v>0.81764579028405548</v>
      </c>
      <c r="AS129" s="58" t="str">
        <f t="shared" si="117"/>
        <v>170842.623862168+182232.560241542i</v>
      </c>
      <c r="AT129" s="49">
        <f t="shared" si="118"/>
        <v>107.95156110029259</v>
      </c>
      <c r="AU129" s="61">
        <f t="shared" si="119"/>
        <v>46.847677429095391</v>
      </c>
      <c r="AV129" s="58" t="str">
        <f t="shared" si="120"/>
        <v>3180766.01266774+2946841.96731262i</v>
      </c>
      <c r="AW129" s="64">
        <f t="shared" si="121"/>
        <v>132.74184414513928</v>
      </c>
      <c r="AX129" s="61">
        <f t="shared" si="122"/>
        <v>42.813770836584673</v>
      </c>
      <c r="AY129" s="310"/>
      <c r="BA129" s="31">
        <f t="shared" si="123"/>
        <v>0</v>
      </c>
      <c r="BB129" s="31">
        <f t="shared" si="124"/>
        <v>0</v>
      </c>
    </row>
    <row r="130" spans="14:54" x14ac:dyDescent="0.45">
      <c r="N130" s="10">
        <v>12</v>
      </c>
      <c r="O130" s="50">
        <f t="shared" si="125"/>
        <v>131.82567385564084</v>
      </c>
      <c r="P130" s="48" t="str">
        <f t="shared" si="90"/>
        <v>17.4002386318441</v>
      </c>
      <c r="Q130" s="17" t="str">
        <f t="shared" si="91"/>
        <v>1+0.0709362585911324i</v>
      </c>
      <c r="R130" s="17">
        <f t="shared" si="100"/>
        <v>1.0025128192611343</v>
      </c>
      <c r="S130" s="17">
        <f t="shared" si="101"/>
        <v>7.081763389939609E-2</v>
      </c>
      <c r="T130" s="17" t="str">
        <f t="shared" si="92"/>
        <v>1+0.000248485541123644i</v>
      </c>
      <c r="U130" s="17">
        <f t="shared" si="102"/>
        <v>1.0000000308725316</v>
      </c>
      <c r="V130" s="17">
        <f t="shared" si="103"/>
        <v>2.4848553600939231E-4</v>
      </c>
      <c r="W130" s="31" t="str">
        <f t="shared" si="93"/>
        <v>1-0.000613043693293705i</v>
      </c>
      <c r="X130" s="17">
        <f t="shared" si="104"/>
        <v>1.0000001879112672</v>
      </c>
      <c r="Y130" s="17">
        <f t="shared" si="105"/>
        <v>-6.130436164951702E-4</v>
      </c>
      <c r="Z130" s="31" t="str">
        <f t="shared" si="94"/>
        <v>0.999999984237634+0.000857378301446941i</v>
      </c>
      <c r="AA130" s="17">
        <f t="shared" si="106"/>
        <v>1.0000003517863481</v>
      </c>
      <c r="AB130" s="17">
        <f t="shared" si="107"/>
        <v>8.5737810487577105E-4</v>
      </c>
      <c r="AC130" s="66" t="str">
        <f t="shared" si="108"/>
        <v>17.3116039088922-1.24928238460758i</v>
      </c>
      <c r="AD130" s="64">
        <f t="shared" si="109"/>
        <v>24.7893042378467</v>
      </c>
      <c r="AE130" s="61">
        <f t="shared" si="110"/>
        <v>-4.1275633237935399</v>
      </c>
      <c r="AF130" s="31" t="str">
        <f t="shared" si="95"/>
        <v>-9090.90909090909</v>
      </c>
      <c r="AG130" s="31" t="str">
        <f t="shared" si="96"/>
        <v>2.27623467397318E-08i</v>
      </c>
      <c r="AH130" s="31">
        <f t="shared" si="111"/>
        <v>2.27623467397318E-8</v>
      </c>
      <c r="AI130" s="31">
        <f t="shared" si="112"/>
        <v>1.5707963267948966</v>
      </c>
      <c r="AJ130" s="31" t="str">
        <f t="shared" si="97"/>
        <v>1+2392179.96712986i</v>
      </c>
      <c r="AK130" s="31">
        <f t="shared" si="113"/>
        <v>2392179.9671300692</v>
      </c>
      <c r="AL130" s="31">
        <f t="shared" si="114"/>
        <v>1.5707959087661472</v>
      </c>
      <c r="AM130" s="31" t="str">
        <f t="shared" si="98"/>
        <v>1+1.09151415364246i</v>
      </c>
      <c r="AN130" s="31">
        <f t="shared" si="115"/>
        <v>1.4803388624236733</v>
      </c>
      <c r="AO130" s="31">
        <f t="shared" si="116"/>
        <v>0.82912524946822952</v>
      </c>
      <c r="AS130" s="58" t="str">
        <f t="shared" si="117"/>
        <v>166953.770963865+182232.556952371i</v>
      </c>
      <c r="AT130" s="49">
        <f t="shared" si="118"/>
        <v>107.8591514314425</v>
      </c>
      <c r="AU130" s="61">
        <f t="shared" si="119"/>
        <v>47.505401433544215</v>
      </c>
      <c r="AV130" s="58" t="str">
        <f t="shared" si="120"/>
        <v>3117897.47732493+2946165.44015512i</v>
      </c>
      <c r="AW130" s="64">
        <f t="shared" si="121"/>
        <v>132.64845566928921</v>
      </c>
      <c r="AX130" s="61">
        <f t="shared" si="122"/>
        <v>43.377838109750691</v>
      </c>
      <c r="AY130" s="310"/>
      <c r="BA130" s="31">
        <f t="shared" si="123"/>
        <v>0</v>
      </c>
      <c r="BB130" s="31">
        <f t="shared" si="124"/>
        <v>0</v>
      </c>
    </row>
    <row r="131" spans="14:54" x14ac:dyDescent="0.45">
      <c r="N131" s="10">
        <v>13</v>
      </c>
      <c r="O131" s="50">
        <f t="shared" si="125"/>
        <v>134.89628825916537</v>
      </c>
      <c r="P131" s="48" t="str">
        <f t="shared" si="90"/>
        <v>17.4002386318441</v>
      </c>
      <c r="Q131" s="17" t="str">
        <f t="shared" si="91"/>
        <v>1+0.0725885763149211i</v>
      </c>
      <c r="R131" s="17">
        <f t="shared" si="100"/>
        <v>1.0026310893900245</v>
      </c>
      <c r="S131" s="17">
        <f t="shared" si="101"/>
        <v>7.2461485675726495E-2</v>
      </c>
      <c r="T131" s="17" t="str">
        <f t="shared" si="92"/>
        <v>1+0.000254273512914915i</v>
      </c>
      <c r="U131" s="17">
        <f t="shared" si="102"/>
        <v>1.0000000323275091</v>
      </c>
      <c r="V131" s="17">
        <f t="shared" si="103"/>
        <v>2.5427350743489554E-4</v>
      </c>
      <c r="W131" s="31" t="str">
        <f t="shared" si="93"/>
        <v>1-0.00062732331530936i</v>
      </c>
      <c r="X131" s="17">
        <f t="shared" si="104"/>
        <v>1.0000001967672516</v>
      </c>
      <c r="Y131" s="17">
        <f t="shared" si="105"/>
        <v>-6.273232330182483E-4</v>
      </c>
      <c r="Z131" s="31" t="str">
        <f t="shared" si="94"/>
        <v>0.999999983494777+0.000877349207604229i</v>
      </c>
      <c r="AA131" s="17">
        <f t="shared" si="106"/>
        <v>1.0000003683655252</v>
      </c>
      <c r="AB131" s="17">
        <f t="shared" si="107"/>
        <v>8.7734899697442935E-4</v>
      </c>
      <c r="AC131" s="66" t="str">
        <f t="shared" si="108"/>
        <v>17.3074485779978-1.27808027937832i</v>
      </c>
      <c r="AD131" s="64">
        <f t="shared" si="109"/>
        <v>24.788279537456098</v>
      </c>
      <c r="AE131" s="61">
        <f t="shared" si="110"/>
        <v>-4.2233798759779155</v>
      </c>
      <c r="AF131" s="31" t="str">
        <f t="shared" si="95"/>
        <v>-9090.90909090909</v>
      </c>
      <c r="AG131" s="31" t="str">
        <f t="shared" si="96"/>
        <v>2.27623467397318E-08i</v>
      </c>
      <c r="AH131" s="31">
        <f t="shared" si="111"/>
        <v>2.27623467397318E-8</v>
      </c>
      <c r="AI131" s="31">
        <f t="shared" si="112"/>
        <v>1.5707963267948966</v>
      </c>
      <c r="AJ131" s="31" t="str">
        <f t="shared" si="97"/>
        <v>1+2447900.99663838i</v>
      </c>
      <c r="AK131" s="31">
        <f t="shared" si="113"/>
        <v>2447900.9966385844</v>
      </c>
      <c r="AL131" s="31">
        <f t="shared" si="114"/>
        <v>1.5707959182816433</v>
      </c>
      <c r="AM131" s="31" t="str">
        <f t="shared" si="98"/>
        <v>1+1.11693878439758i</v>
      </c>
      <c r="AN131" s="31">
        <f t="shared" si="115"/>
        <v>1.499183860669379</v>
      </c>
      <c r="AO131" s="31">
        <f t="shared" si="116"/>
        <v>0.84058164807329494</v>
      </c>
      <c r="AS131" s="58" t="str">
        <f t="shared" si="117"/>
        <v>163153.439164823+182232.553811236i</v>
      </c>
      <c r="AT131" s="49">
        <f t="shared" si="118"/>
        <v>107.76902658456343</v>
      </c>
      <c r="AU131" s="61">
        <f t="shared" si="119"/>
        <v>48.161804176836029</v>
      </c>
      <c r="AV131" s="58" t="str">
        <f t="shared" si="120"/>
        <v>3056677.59195556+2945457.36121587i</v>
      </c>
      <c r="AW131" s="64">
        <f t="shared" si="121"/>
        <v>132.55730612201953</v>
      </c>
      <c r="AX131" s="61">
        <f t="shared" si="122"/>
        <v>43.938424300858046</v>
      </c>
      <c r="AY131" s="310"/>
      <c r="BA131" s="31">
        <f t="shared" si="123"/>
        <v>0</v>
      </c>
      <c r="BB131" s="31">
        <f t="shared" si="124"/>
        <v>0</v>
      </c>
    </row>
    <row r="132" spans="14:54" x14ac:dyDescent="0.45">
      <c r="N132" s="10">
        <v>14</v>
      </c>
      <c r="O132" s="50">
        <f t="shared" si="125"/>
        <v>138.0384264602886</v>
      </c>
      <c r="P132" s="48" t="str">
        <f t="shared" si="90"/>
        <v>17.4002386318441</v>
      </c>
      <c r="Q132" s="17" t="str">
        <f t="shared" si="91"/>
        <v>1+0.0742793814626956i</v>
      </c>
      <c r="R132" s="17">
        <f t="shared" si="100"/>
        <v>1.0027549184673594</v>
      </c>
      <c r="S132" s="17">
        <f t="shared" si="101"/>
        <v>7.4143221587708127E-2</v>
      </c>
      <c r="T132" s="17" t="str">
        <f t="shared" si="92"/>
        <v>1+0.000260196303888443i</v>
      </c>
      <c r="U132" s="17">
        <f t="shared" si="102"/>
        <v>1.0000000338510577</v>
      </c>
      <c r="V132" s="17">
        <f t="shared" si="103"/>
        <v>2.6019629801649638E-4</v>
      </c>
      <c r="W132" s="31" t="str">
        <f t="shared" si="93"/>
        <v>1-0.000641935552450398i</v>
      </c>
      <c r="X132" s="17">
        <f t="shared" si="104"/>
        <v>1.0000002060406055</v>
      </c>
      <c r="Y132" s="17">
        <f t="shared" si="105"/>
        <v>-6.4193546427388404E-4</v>
      </c>
      <c r="Z132" s="31" t="str">
        <f t="shared" si="94"/>
        <v>0.99999998271691+0.000897785295924481i</v>
      </c>
      <c r="AA132" s="17">
        <f t="shared" si="106"/>
        <v>1.0000003857260547</v>
      </c>
      <c r="AB132" s="17">
        <f t="shared" si="107"/>
        <v>8.9778507023058893E-4</v>
      </c>
      <c r="AC132" s="66" t="str">
        <f t="shared" si="108"/>
        <v>17.3030995131817-1.30752754695482i</v>
      </c>
      <c r="AD132" s="64">
        <f t="shared" si="109"/>
        <v>24.78720680346747</v>
      </c>
      <c r="AE132" s="61">
        <f t="shared" si="110"/>
        <v>-4.3214050150143848</v>
      </c>
      <c r="AF132" s="31" t="str">
        <f t="shared" si="95"/>
        <v>-9090.90909090909</v>
      </c>
      <c r="AG132" s="31" t="str">
        <f t="shared" si="96"/>
        <v>2.27623467397318E-08i</v>
      </c>
      <c r="AH132" s="31">
        <f t="shared" si="111"/>
        <v>2.27623467397318E-8</v>
      </c>
      <c r="AI132" s="31">
        <f t="shared" si="112"/>
        <v>1.5707963267948966</v>
      </c>
      <c r="AJ132" s="31" t="str">
        <f t="shared" si="97"/>
        <v>1+2504919.93565713i</v>
      </c>
      <c r="AK132" s="31">
        <f t="shared" si="113"/>
        <v>2504919.9356573299</v>
      </c>
      <c r="AL132" s="31">
        <f t="shared" si="114"/>
        <v>1.5707959275805401</v>
      </c>
      <c r="AM132" s="31" t="str">
        <f t="shared" si="98"/>
        <v>1+1.14295563088063i</v>
      </c>
      <c r="AN132" s="31">
        <f t="shared" si="115"/>
        <v>1.5186663801380931</v>
      </c>
      <c r="AO132" s="31">
        <f t="shared" si="116"/>
        <v>0.85200903228491087</v>
      </c>
      <c r="AS132" s="58" t="str">
        <f t="shared" si="117"/>
        <v>159439.613478815+182232.550811476i</v>
      </c>
      <c r="AT132" s="49">
        <f t="shared" si="118"/>
        <v>107.68117619533018</v>
      </c>
      <c r="AU132" s="61">
        <f t="shared" si="119"/>
        <v>48.816544530248514</v>
      </c>
      <c r="AV132" s="58" t="str">
        <f t="shared" si="120"/>
        <v>2997073.57850501+2944716.27453253i</v>
      </c>
      <c r="AW132" s="64">
        <f t="shared" si="121"/>
        <v>132.46838299879767</v>
      </c>
      <c r="AX132" s="61">
        <f t="shared" si="122"/>
        <v>44.49513951523415</v>
      </c>
      <c r="AY132" s="310"/>
      <c r="BA132" s="31">
        <f t="shared" si="123"/>
        <v>0</v>
      </c>
      <c r="BB132" s="31">
        <f t="shared" si="124"/>
        <v>0</v>
      </c>
    </row>
    <row r="133" spans="14:54" x14ac:dyDescent="0.45">
      <c r="N133" s="10">
        <v>15</v>
      </c>
      <c r="O133" s="50">
        <f t="shared" si="125"/>
        <v>141.25375446227542</v>
      </c>
      <c r="P133" s="48" t="str">
        <f t="shared" si="90"/>
        <v>17.4002386318441</v>
      </c>
      <c r="Q133" s="17" t="str">
        <f t="shared" si="91"/>
        <v>1+0.0760095705217253i</v>
      </c>
      <c r="R133" s="17">
        <f t="shared" si="100"/>
        <v>1.0028845670419388</v>
      </c>
      <c r="S133" s="17">
        <f t="shared" si="101"/>
        <v>7.5863695241895804E-2</v>
      </c>
      <c r="T133" s="17" t="str">
        <f t="shared" si="92"/>
        <v>1+0.000266257054386397i</v>
      </c>
      <c r="U133" s="17">
        <f t="shared" si="102"/>
        <v>1.0000000354464089</v>
      </c>
      <c r="V133" s="17">
        <f t="shared" si="103"/>
        <v>2.662570480944929E-4</v>
      </c>
      <c r="W133" s="31" t="str">
        <f t="shared" si="93"/>
        <v>1-0.000656888152318366i</v>
      </c>
      <c r="X133" s="17">
        <f t="shared" si="104"/>
        <v>1.0000002157509991</v>
      </c>
      <c r="Y133" s="17">
        <f t="shared" si="105"/>
        <v>-6.568880578355302E-4</v>
      </c>
      <c r="Z133" s="31" t="str">
        <f t="shared" si="94"/>
        <v>0.999999981902383+0.000918697401892224i</v>
      </c>
      <c r="AA133" s="17">
        <f t="shared" si="106"/>
        <v>1.0000004039047599</v>
      </c>
      <c r="AB133" s="17">
        <f t="shared" si="107"/>
        <v>9.1869716005686696E-4</v>
      </c>
      <c r="AC133" s="66" t="str">
        <f t="shared" si="108"/>
        <v>17.2985477850184-1.33763780040207i</v>
      </c>
      <c r="AD133" s="64">
        <f t="shared" si="109"/>
        <v>24.786083796978705</v>
      </c>
      <c r="AE133" s="61">
        <f t="shared" si="110"/>
        <v>-4.4216885337543372</v>
      </c>
      <c r="AF133" s="31" t="str">
        <f t="shared" si="95"/>
        <v>-9090.90909090909</v>
      </c>
      <c r="AG133" s="31" t="str">
        <f t="shared" si="96"/>
        <v>2.27623467397318E-08i</v>
      </c>
      <c r="AH133" s="31">
        <f t="shared" si="111"/>
        <v>2.27623467397318E-8</v>
      </c>
      <c r="AI133" s="31">
        <f t="shared" si="112"/>
        <v>1.5707963267948966</v>
      </c>
      <c r="AJ133" s="31" t="str">
        <f t="shared" si="97"/>
        <v>1+2563267.0163823i</v>
      </c>
      <c r="AK133" s="31">
        <f t="shared" si="113"/>
        <v>2563267.0163824945</v>
      </c>
      <c r="AL133" s="31">
        <f t="shared" si="114"/>
        <v>1.5707959366677684</v>
      </c>
      <c r="AM133" s="31" t="str">
        <f t="shared" si="98"/>
        <v>1+1.16957848756798i</v>
      </c>
      <c r="AN133" s="31">
        <f t="shared" si="115"/>
        <v>1.5388027289363</v>
      </c>
      <c r="AO133" s="31">
        <f t="shared" si="116"/>
        <v>0.86340152402125914</v>
      </c>
      <c r="AS133" s="58" t="str">
        <f t="shared" si="117"/>
        <v>155810.324786307+182232.547946729i</v>
      </c>
      <c r="AT133" s="49">
        <f t="shared" si="118"/>
        <v>107.59558757675788</v>
      </c>
      <c r="AU133" s="61">
        <f t="shared" si="119"/>
        <v>49.469285704219203</v>
      </c>
      <c r="AV133" s="58" t="str">
        <f t="shared" si="120"/>
        <v>2939053.4933123+2943940.65851506i</v>
      </c>
      <c r="AW133" s="64">
        <f t="shared" si="121"/>
        <v>132.38167137373659</v>
      </c>
      <c r="AX133" s="61">
        <f t="shared" si="122"/>
        <v>45.047597170464819</v>
      </c>
      <c r="AY133" s="310"/>
      <c r="BA133" s="31">
        <f t="shared" si="123"/>
        <v>0</v>
      </c>
      <c r="BB133" s="31">
        <f t="shared" si="124"/>
        <v>0</v>
      </c>
    </row>
    <row r="134" spans="14:54" x14ac:dyDescent="0.45">
      <c r="N134" s="10">
        <v>16</v>
      </c>
      <c r="O134" s="50">
        <f t="shared" si="125"/>
        <v>144.54397707459285</v>
      </c>
      <c r="P134" s="48" t="str">
        <f t="shared" si="90"/>
        <v>17.4002386318441</v>
      </c>
      <c r="Q134" s="17" t="str">
        <f t="shared" si="91"/>
        <v>1+0.0777800608611513i</v>
      </c>
      <c r="R134" s="17">
        <f t="shared" si="100"/>
        <v>1.0030203078041662</v>
      </c>
      <c r="S134" s="17">
        <f t="shared" si="101"/>
        <v>7.7623778092168472E-2</v>
      </c>
      <c r="T134" s="17" t="str">
        <f t="shared" si="92"/>
        <v>1+0.000272458977898916i</v>
      </c>
      <c r="U134" s="17">
        <f t="shared" si="102"/>
        <v>1.0000000371169466</v>
      </c>
      <c r="V134" s="17">
        <f t="shared" si="103"/>
        <v>2.7245897115701928E-4</v>
      </c>
      <c r="W134" s="31" t="str">
        <f t="shared" si="93"/>
        <v>1-0.000672189042979638i</v>
      </c>
      <c r="X134" s="17">
        <f t="shared" si="104"/>
        <v>1.0000002259190293</v>
      </c>
      <c r="Y134" s="17">
        <f t="shared" si="105"/>
        <v>-6.7218894173945659E-4</v>
      </c>
      <c r="Z134" s="31" t="str">
        <f t="shared" si="94"/>
        <v>0.999999981049468+0.000940096613382849i</v>
      </c>
      <c r="AA134" s="17">
        <f t="shared" si="106"/>
        <v>1.0000004229402</v>
      </c>
      <c r="AB134" s="17">
        <f t="shared" si="107"/>
        <v>9.4009635425160176E-4</v>
      </c>
      <c r="AC134" s="66" t="str">
        <f t="shared" si="108"/>
        <v>17.2937840623904-1.36842486396669i</v>
      </c>
      <c r="AD134" s="64">
        <f t="shared" si="109"/>
        <v>24.784908175948619</v>
      </c>
      <c r="AE134" s="61">
        <f t="shared" si="110"/>
        <v>-4.524281268234807</v>
      </c>
      <c r="AF134" s="31" t="str">
        <f t="shared" si="95"/>
        <v>-9090.90909090909</v>
      </c>
      <c r="AG134" s="31" t="str">
        <f t="shared" si="96"/>
        <v>2.27623467397318E-08i</v>
      </c>
      <c r="AH134" s="31">
        <f t="shared" si="111"/>
        <v>2.27623467397318E-8</v>
      </c>
      <c r="AI134" s="31">
        <f t="shared" si="112"/>
        <v>1.5707963267948966</v>
      </c>
      <c r="AJ134" s="31" t="str">
        <f t="shared" si="97"/>
        <v>1+2622973.17520841i</v>
      </c>
      <c r="AK134" s="31">
        <f t="shared" si="113"/>
        <v>2622973.1752086007</v>
      </c>
      <c r="AL134" s="31">
        <f t="shared" si="114"/>
        <v>1.5707959455481459</v>
      </c>
      <c r="AM134" s="31" t="str">
        <f t="shared" si="98"/>
        <v>1+1.19682147025064i</v>
      </c>
      <c r="AN134" s="31">
        <f t="shared" si="115"/>
        <v>1.5596094484366601</v>
      </c>
      <c r="AO134" s="31">
        <f t="shared" si="116"/>
        <v>0.87475333566538593</v>
      </c>
      <c r="AS134" s="58" t="str">
        <f t="shared" si="117"/>
        <v>152263.648790394+182232.545210916i</v>
      </c>
      <c r="AT134" s="49">
        <f t="shared" si="118"/>
        <v>107.51224577175367</v>
      </c>
      <c r="AU134" s="61">
        <f t="shared" si="119"/>
        <v>50.119696092446929</v>
      </c>
      <c r="AV134" s="58" t="str">
        <f t="shared" si="120"/>
        <v>2882586.20862328+2943128.92313431i</v>
      </c>
      <c r="AW134" s="64">
        <f t="shared" si="121"/>
        <v>132.2971539477023</v>
      </c>
      <c r="AX134" s="61">
        <f t="shared" si="122"/>
        <v>45.595414824212099</v>
      </c>
      <c r="AY134" s="310"/>
      <c r="BA134" s="31">
        <f t="shared" si="123"/>
        <v>0</v>
      </c>
      <c r="BB134" s="31">
        <f t="shared" si="124"/>
        <v>0</v>
      </c>
    </row>
    <row r="135" spans="14:54" x14ac:dyDescent="0.45">
      <c r="N135" s="10">
        <v>17</v>
      </c>
      <c r="O135" s="50">
        <f t="shared" si="125"/>
        <v>147.91083881682084</v>
      </c>
      <c r="P135" s="48" t="str">
        <f t="shared" si="90"/>
        <v>17.4002386318441</v>
      </c>
      <c r="Q135" s="17" t="str">
        <f t="shared" si="91"/>
        <v>1+0.0795917912183867i</v>
      </c>
      <c r="R135" s="17">
        <f t="shared" si="100"/>
        <v>1.003162426145114</v>
      </c>
      <c r="S135" s="17">
        <f t="shared" si="101"/>
        <v>7.9424359712999409E-2</v>
      </c>
      <c r="T135" s="17" t="str">
        <f t="shared" si="92"/>
        <v>1+0.000278805362767937i</v>
      </c>
      <c r="U135" s="17">
        <f t="shared" si="102"/>
        <v>1.0000000388662145</v>
      </c>
      <c r="V135" s="17">
        <f t="shared" si="103"/>
        <v>2.7880535554386456E-4</v>
      </c>
      <c r="W135" s="31" t="str">
        <f t="shared" si="93"/>
        <v>1-0.00068784633716897i</v>
      </c>
      <c r="X135" s="17">
        <f t="shared" si="104"/>
        <v>1.0000002365662637</v>
      </c>
      <c r="Y135" s="17">
        <f t="shared" si="105"/>
        <v>-6.8784622868816258E-4</v>
      </c>
      <c r="Z135" s="31" t="str">
        <f t="shared" si="94"/>
        <v>0.999999980156357+0.000961994276541539i</v>
      </c>
      <c r="AA135" s="17">
        <f t="shared" si="106"/>
        <v>1.0000004428727534</v>
      </c>
      <c r="AB135" s="17">
        <f t="shared" si="107"/>
        <v>9.6199399887741152E-4</v>
      </c>
      <c r="AC135" s="66" t="str">
        <f t="shared" si="108"/>
        <v>17.288798595366-1.39990277069642i</v>
      </c>
      <c r="AD135" s="64">
        <f t="shared" si="109"/>
        <v>24.783677490562091</v>
      </c>
      <c r="AE135" s="61">
        <f t="shared" si="110"/>
        <v>-4.6292351138158523</v>
      </c>
      <c r="AF135" s="31" t="str">
        <f t="shared" si="95"/>
        <v>-9090.90909090909</v>
      </c>
      <c r="AG135" s="31" t="str">
        <f t="shared" si="96"/>
        <v>2.27623467397318E-08i</v>
      </c>
      <c r="AH135" s="31">
        <f t="shared" si="111"/>
        <v>2.27623467397318E-8</v>
      </c>
      <c r="AI135" s="31">
        <f t="shared" si="112"/>
        <v>1.5707963267948966</v>
      </c>
      <c r="AJ135" s="31" t="str">
        <f t="shared" si="97"/>
        <v>1+2684070.06913116i</v>
      </c>
      <c r="AK135" s="31">
        <f t="shared" si="113"/>
        <v>2684070.069131346</v>
      </c>
      <c r="AL135" s="31">
        <f t="shared" si="114"/>
        <v>1.5707959542263816</v>
      </c>
      <c r="AM135" s="31" t="str">
        <f t="shared" si="98"/>
        <v>1+1.22469902351862i</v>
      </c>
      <c r="AN135" s="31">
        <f t="shared" si="115"/>
        <v>1.5811033167403898</v>
      </c>
      <c r="AO135" s="31">
        <f t="shared" si="116"/>
        <v>0.8860587842315073</v>
      </c>
      <c r="AS135" s="58" t="str">
        <f t="shared" si="117"/>
        <v>148797.704996517+182232.542598234i</v>
      </c>
      <c r="AT135" s="49">
        <f t="shared" si="118"/>
        <v>107.43113361450243</v>
      </c>
      <c r="AU135" s="61">
        <f t="shared" si="119"/>
        <v>50.767450083561791</v>
      </c>
      <c r="AV135" s="58" t="str">
        <f t="shared" si="120"/>
        <v>2827641.39443179+2942279.40700443i</v>
      </c>
      <c r="AW135" s="64">
        <f t="shared" si="121"/>
        <v>132.21481110506454</v>
      </c>
      <c r="AX135" s="61">
        <f t="shared" si="122"/>
        <v>46.138214969745924</v>
      </c>
      <c r="AY135" s="310"/>
      <c r="BA135" s="31">
        <f t="shared" si="123"/>
        <v>0</v>
      </c>
      <c r="BB135" s="31">
        <f t="shared" si="124"/>
        <v>0</v>
      </c>
    </row>
    <row r="136" spans="14:54" x14ac:dyDescent="0.45">
      <c r="N136" s="10">
        <v>18</v>
      </c>
      <c r="O136" s="50">
        <f t="shared" si="125"/>
        <v>151.3561248436209</v>
      </c>
      <c r="P136" s="48" t="str">
        <f t="shared" si="90"/>
        <v>17.4002386318441</v>
      </c>
      <c r="Q136" s="17" t="str">
        <f t="shared" si="91"/>
        <v>1+0.081445722196848i</v>
      </c>
      <c r="R136" s="17">
        <f t="shared" si="100"/>
        <v>1.0033112207406862</v>
      </c>
      <c r="S136" s="17">
        <f t="shared" si="101"/>
        <v>8.1266348069283789E-2</v>
      </c>
      <c r="T136" s="17" t="str">
        <f t="shared" si="92"/>
        <v>1+0.000285299573930724i</v>
      </c>
      <c r="U136" s="17">
        <f t="shared" si="102"/>
        <v>1.0000000406979226</v>
      </c>
      <c r="V136" s="17">
        <f t="shared" si="103"/>
        <v>2.8529956618999092E-4</v>
      </c>
      <c r="W136" s="31" t="str">
        <f t="shared" si="93"/>
        <v>1-0.000703868336590991i</v>
      </c>
      <c r="X136" s="17">
        <f t="shared" si="104"/>
        <v>1.0000002477152869</v>
      </c>
      <c r="Y136" s="17">
        <f t="shared" si="105"/>
        <v>-7.0386822035171318E-4</v>
      </c>
      <c r="Z136" s="31" t="str">
        <f t="shared" si="94"/>
        <v>0.999999979221155+0.00098440200179915i</v>
      </c>
      <c r="AA136" s="17">
        <f t="shared" si="106"/>
        <v>1.0000004637446982</v>
      </c>
      <c r="AB136" s="17">
        <f t="shared" si="107"/>
        <v>9.8440170427668426E-4</v>
      </c>
      <c r="AC136" s="66" t="str">
        <f t="shared" si="108"/>
        <v>17.2835811974407-1.432085759515i</v>
      </c>
      <c r="AD136" s="64">
        <f t="shared" si="109"/>
        <v>24.782389178398802</v>
      </c>
      <c r="AE136" s="61">
        <f t="shared" si="110"/>
        <v>-4.7366030411315858</v>
      </c>
      <c r="AF136" s="31" t="str">
        <f t="shared" si="95"/>
        <v>-9090.90909090909</v>
      </c>
      <c r="AG136" s="31" t="str">
        <f t="shared" si="96"/>
        <v>2.27623467397318E-08i</v>
      </c>
      <c r="AH136" s="31">
        <f t="shared" si="111"/>
        <v>2.27623467397318E-8</v>
      </c>
      <c r="AI136" s="31">
        <f t="shared" si="112"/>
        <v>1.5707963267948966</v>
      </c>
      <c r="AJ136" s="31" t="str">
        <f t="shared" si="97"/>
        <v>1+2746590.09253243i</v>
      </c>
      <c r="AK136" s="31">
        <f t="shared" si="113"/>
        <v>2746590.0925326115</v>
      </c>
      <c r="AL136" s="31">
        <f t="shared" si="114"/>
        <v>1.5707959627070764</v>
      </c>
      <c r="AM136" s="31" t="str">
        <f t="shared" si="98"/>
        <v>1+1.25322592841969i</v>
      </c>
      <c r="AN136" s="31">
        <f t="shared" si="115"/>
        <v>1.6033013527292348</v>
      </c>
      <c r="AO136" s="31">
        <f t="shared" si="116"/>
        <v>0.89731230488438385</v>
      </c>
      <c r="AS136" s="58" t="str">
        <f t="shared" si="117"/>
        <v>145410.6557154+182232.540103144i</v>
      </c>
      <c r="AT136" s="49">
        <f t="shared" si="118"/>
        <v>107.35223180015687</v>
      </c>
      <c r="AU136" s="61">
        <f t="shared" si="119"/>
        <v>51.412228835726971</v>
      </c>
      <c r="AV136" s="58" t="str">
        <f t="shared" si="120"/>
        <v>2774189.50063217+2941390.3743568i</v>
      </c>
      <c r="AW136" s="64">
        <f t="shared" si="121"/>
        <v>132.13462097855566</v>
      </c>
      <c r="AX136" s="61">
        <f t="shared" si="122"/>
        <v>46.675625794595419</v>
      </c>
      <c r="AY136" s="310"/>
      <c r="BA136" s="31">
        <f t="shared" si="123"/>
        <v>0</v>
      </c>
      <c r="BB136" s="31">
        <f t="shared" si="124"/>
        <v>0</v>
      </c>
    </row>
    <row r="137" spans="14:54" x14ac:dyDescent="0.45">
      <c r="N137" s="10">
        <v>19</v>
      </c>
      <c r="O137" s="50">
        <f t="shared" si="125"/>
        <v>154.8816618912482</v>
      </c>
      <c r="P137" s="48" t="str">
        <f t="shared" si="90"/>
        <v>17.4002386318441</v>
      </c>
      <c r="Q137" s="17" t="str">
        <f t="shared" si="91"/>
        <v>1+0.0833428367752796i</v>
      </c>
      <c r="R137" s="17">
        <f t="shared" si="100"/>
        <v>1.003467004161946</v>
      </c>
      <c r="S137" s="17">
        <f t="shared" si="101"/>
        <v>8.3150669781985445E-2</v>
      </c>
      <c r="T137" s="17" t="str">
        <f t="shared" si="92"/>
        <v>1+0.000291945054703994i</v>
      </c>
      <c r="U137" s="17">
        <f t="shared" si="102"/>
        <v>1.0000000426159565</v>
      </c>
      <c r="V137" s="17">
        <f t="shared" si="103"/>
        <v>2.9194504640964907E-4</v>
      </c>
      <c r="W137" s="31" t="str">
        <f t="shared" si="93"/>
        <v>1-0.000720263536321872i</v>
      </c>
      <c r="X137" s="17">
        <f t="shared" si="104"/>
        <v>1.0000002593897472</v>
      </c>
      <c r="Y137" s="17">
        <f t="shared" si="105"/>
        <v>-7.2026341176924344E-4</v>
      </c>
      <c r="Z137" s="31" t="str">
        <f t="shared" si="94"/>
        <v>0.999999978241878+0.00100733167002822i</v>
      </c>
      <c r="AA137" s="17">
        <f t="shared" si="106"/>
        <v>1.0000004856003071</v>
      </c>
      <c r="AB137" s="17">
        <f t="shared" si="107"/>
        <v>1.007331351227163E-3</v>
      </c>
      <c r="AC137" s="66" t="str">
        <f t="shared" si="108"/>
        <v>17.2781212271257-1.46498827170864i</v>
      </c>
      <c r="AD137" s="64">
        <f t="shared" si="109"/>
        <v>24.781040559397333</v>
      </c>
      <c r="AE137" s="61">
        <f t="shared" si="110"/>
        <v>-4.8464391118133134</v>
      </c>
      <c r="AF137" s="31" t="str">
        <f t="shared" si="95"/>
        <v>-9090.90909090909</v>
      </c>
      <c r="AG137" s="31" t="str">
        <f t="shared" si="96"/>
        <v>2.27623467397318E-08i</v>
      </c>
      <c r="AH137" s="31">
        <f t="shared" si="111"/>
        <v>2.27623467397318E-8</v>
      </c>
      <c r="AI137" s="31">
        <f t="shared" si="112"/>
        <v>1.5707963267948966</v>
      </c>
      <c r="AJ137" s="31" t="str">
        <f t="shared" si="97"/>
        <v>1+2810566.39435619i</v>
      </c>
      <c r="AK137" s="31">
        <f t="shared" si="113"/>
        <v>2810566.3943563681</v>
      </c>
      <c r="AL137" s="31">
        <f t="shared" si="114"/>
        <v>1.570795970994727</v>
      </c>
      <c r="AM137" s="31" t="str">
        <f t="shared" si="98"/>
        <v>1+1.28241731029641i</v>
      </c>
      <c r="AN137" s="31">
        <f t="shared" si="115"/>
        <v>1.6262208207214293</v>
      </c>
      <c r="AO137" s="31">
        <f t="shared" si="116"/>
        <v>0.90850846373807326</v>
      </c>
      <c r="AS137" s="58" t="str">
        <f t="shared" si="117"/>
        <v>142100.70508868+182232.537720349i</v>
      </c>
      <c r="AT137" s="49">
        <f t="shared" si="118"/>
        <v>107.27551896224111</v>
      </c>
      <c r="AU137" s="61">
        <f t="shared" si="119"/>
        <v>52.053721009953918</v>
      </c>
      <c r="AV137" s="58" t="str">
        <f t="shared" si="120"/>
        <v>2722201.73946626+2940460.0119025i</v>
      </c>
      <c r="AW137" s="64">
        <f t="shared" si="121"/>
        <v>132.05655952163843</v>
      </c>
      <c r="AX137" s="61">
        <f t="shared" si="122"/>
        <v>47.207281898140621</v>
      </c>
      <c r="AY137" s="310"/>
      <c r="BA137" s="31">
        <f t="shared" si="123"/>
        <v>0</v>
      </c>
      <c r="BB137" s="31">
        <f t="shared" si="124"/>
        <v>0</v>
      </c>
    </row>
    <row r="138" spans="14:54" x14ac:dyDescent="0.45">
      <c r="N138" s="10">
        <v>20</v>
      </c>
      <c r="O138" s="50">
        <f t="shared" si="125"/>
        <v>158.48931924611153</v>
      </c>
      <c r="P138" s="48" t="str">
        <f t="shared" si="90"/>
        <v>17.4002386318441</v>
      </c>
      <c r="Q138" s="17" t="str">
        <f t="shared" si="91"/>
        <v>1+0.0852841408289424i</v>
      </c>
      <c r="R138" s="17">
        <f t="shared" si="100"/>
        <v>1.0036301035127089</v>
      </c>
      <c r="S138" s="17">
        <f t="shared" si="101"/>
        <v>8.5078270388808247E-2</v>
      </c>
      <c r="T138" s="17" t="str">
        <f t="shared" si="92"/>
        <v>1+0.000298745328609619i</v>
      </c>
      <c r="U138" s="17">
        <f t="shared" si="102"/>
        <v>1.0000000446243846</v>
      </c>
      <c r="V138" s="17">
        <f t="shared" si="103"/>
        <v>2.9874531972206832E-4</v>
      </c>
      <c r="W138" s="31" t="str">
        <f t="shared" si="93"/>
        <v>1-0.000737040629313527i</v>
      </c>
      <c r="X138" s="17">
        <f t="shared" si="104"/>
        <v>1.0000002716144076</v>
      </c>
      <c r="Y138" s="17">
        <f t="shared" si="105"/>
        <v>-7.3704049585298303E-4</v>
      </c>
      <c r="Z138" s="31" t="str">
        <f t="shared" si="94"/>
        <v>0.99999997721645+0.00103079543884234i</v>
      </c>
      <c r="AA138" s="17">
        <f t="shared" si="106"/>
        <v>1.0000005084859394</v>
      </c>
      <c r="AB138" s="17">
        <f t="shared" si="107"/>
        <v>1.0307950972408616E-3</v>
      </c>
      <c r="AC138" s="66" t="str">
        <f t="shared" si="108"/>
        <v>17.2724075688703-1.49862494677755i</v>
      </c>
      <c r="AD138" s="64">
        <f t="shared" si="109"/>
        <v>24.779628830607415</v>
      </c>
      <c r="AE138" s="61">
        <f t="shared" si="110"/>
        <v>-4.9587984939394874</v>
      </c>
      <c r="AF138" s="31" t="str">
        <f t="shared" si="95"/>
        <v>-9090.90909090909</v>
      </c>
      <c r="AG138" s="31" t="str">
        <f t="shared" si="96"/>
        <v>2.27623467397318E-08i</v>
      </c>
      <c r="AH138" s="31">
        <f t="shared" si="111"/>
        <v>2.27623467397318E-8</v>
      </c>
      <c r="AI138" s="31">
        <f t="shared" si="112"/>
        <v>1.5707963267948966</v>
      </c>
      <c r="AJ138" s="31" t="str">
        <f t="shared" si="97"/>
        <v>1+2876032.89568448i</v>
      </c>
      <c r="AK138" s="31">
        <f t="shared" si="113"/>
        <v>2876032.8956846539</v>
      </c>
      <c r="AL138" s="31">
        <f t="shared" si="114"/>
        <v>1.5707959790937276</v>
      </c>
      <c r="AM138" s="31" t="str">
        <f t="shared" si="98"/>
        <v>1+1.31228864680585i</v>
      </c>
      <c r="AN138" s="31">
        <f t="shared" si="115"/>
        <v>1.6498792357428858</v>
      </c>
      <c r="AO138" s="31">
        <f t="shared" si="116"/>
        <v>0.91964196986856306</v>
      </c>
      <c r="AS138" s="58" t="str">
        <f t="shared" si="117"/>
        <v>138866.098136724+182232.535444798i</v>
      </c>
      <c r="AT138" s="49">
        <f t="shared" si="118"/>
        <v>107.20097175712354</v>
      </c>
      <c r="AU138" s="61">
        <f t="shared" si="119"/>
        <v>52.691623458375275</v>
      </c>
      <c r="AV138" s="58" t="str">
        <f t="shared" si="120"/>
        <v>2671650.06824834+2939486.4255818i</v>
      </c>
      <c r="AW138" s="64">
        <f t="shared" si="121"/>
        <v>131.98060058773095</v>
      </c>
      <c r="AX138" s="61">
        <f t="shared" si="122"/>
        <v>47.732824964435743</v>
      </c>
      <c r="AY138" s="310"/>
      <c r="BA138" s="31">
        <f t="shared" si="123"/>
        <v>0</v>
      </c>
      <c r="BB138" s="31">
        <f t="shared" si="124"/>
        <v>0</v>
      </c>
    </row>
    <row r="139" spans="14:54" x14ac:dyDescent="0.45">
      <c r="N139" s="10">
        <v>21</v>
      </c>
      <c r="O139" s="50">
        <f t="shared" si="125"/>
        <v>162.18100973589304</v>
      </c>
      <c r="P139" s="48" t="str">
        <f t="shared" si="90"/>
        <v>17.4002386318441</v>
      </c>
      <c r="Q139" s="17" t="str">
        <f t="shared" si="91"/>
        <v>1+0.0872706636629414i</v>
      </c>
      <c r="R139" s="17">
        <f t="shared" si="100"/>
        <v>1.0038008610955513</v>
      </c>
      <c r="S139" s="17">
        <f t="shared" si="101"/>
        <v>8.705011459903321E-2</v>
      </c>
      <c r="T139" s="17" t="str">
        <f t="shared" si="92"/>
        <v>1+0.000305704001242833i</v>
      </c>
      <c r="U139" s="17">
        <f t="shared" si="102"/>
        <v>1.0000000467274672</v>
      </c>
      <c r="V139" s="17">
        <f t="shared" si="103"/>
        <v>3.057039917196509E-4</v>
      </c>
      <c r="W139" s="31" t="str">
        <f t="shared" si="93"/>
        <v>1-0.000754208511002727i</v>
      </c>
      <c r="X139" s="17">
        <f t="shared" si="104"/>
        <v>1.0000002844151985</v>
      </c>
      <c r="Y139" s="17">
        <f t="shared" si="105"/>
        <v>-7.5420836799717985E-4</v>
      </c>
      <c r="Z139" s="31" t="str">
        <f t="shared" si="94"/>
        <v>0.999999976142694+0.00105480574904233i</v>
      </c>
      <c r="AA139" s="17">
        <f t="shared" si="106"/>
        <v>1.0000005324501366</v>
      </c>
      <c r="AB139" s="17">
        <f t="shared" si="107"/>
        <v>1.0548053830097619E-3</v>
      </c>
      <c r="AC139" s="66" t="str">
        <f t="shared" si="108"/>
        <v>17.2664286133057-1.53301061760281i</v>
      </c>
      <c r="AD139" s="64">
        <f t="shared" si="109"/>
        <v>24.778151060723008</v>
      </c>
      <c r="AE139" s="61">
        <f t="shared" si="110"/>
        <v>-5.0737374771627204</v>
      </c>
      <c r="AF139" s="31" t="str">
        <f t="shared" si="95"/>
        <v>-9090.90909090909</v>
      </c>
      <c r="AG139" s="31" t="str">
        <f t="shared" si="96"/>
        <v>2.27623467397318E-08i</v>
      </c>
      <c r="AH139" s="31">
        <f t="shared" si="111"/>
        <v>2.27623467397318E-8</v>
      </c>
      <c r="AI139" s="31">
        <f t="shared" si="112"/>
        <v>1.5707963267948966</v>
      </c>
      <c r="AJ139" s="31" t="str">
        <f t="shared" si="97"/>
        <v>1+2943024.30772284i</v>
      </c>
      <c r="AK139" s="31">
        <f t="shared" si="113"/>
        <v>2943024.30772301</v>
      </c>
      <c r="AL139" s="31">
        <f t="shared" si="114"/>
        <v>1.5707959870083725</v>
      </c>
      <c r="AM139" s="31" t="str">
        <f t="shared" si="98"/>
        <v>1+1.34285577612602i</v>
      </c>
      <c r="AN139" s="31">
        <f t="shared" si="115"/>
        <v>1.6742943694210453</v>
      </c>
      <c r="AO139" s="31">
        <f t="shared" si="116"/>
        <v>0.93070768648314417</v>
      </c>
      <c r="AS139" s="58" t="str">
        <f t="shared" si="117"/>
        <v>135705.11982811+182232.533271665i</v>
      </c>
      <c r="AT139" s="49">
        <f t="shared" si="118"/>
        <v>107.12856495486675</v>
      </c>
      <c r="AU139" s="61">
        <f t="shared" si="119"/>
        <v>53.325641864202879</v>
      </c>
      <c r="AV139" s="58" t="str">
        <f t="shared" si="120"/>
        <v>2622507.17235028+2938467.6371975i</v>
      </c>
      <c r="AW139" s="64">
        <f t="shared" si="121"/>
        <v>131.90671601558972</v>
      </c>
      <c r="AX139" s="61">
        <f t="shared" si="122"/>
        <v>48.251904387040078</v>
      </c>
      <c r="AY139" s="310"/>
      <c r="BA139" s="31">
        <f t="shared" si="123"/>
        <v>0</v>
      </c>
      <c r="BB139" s="31">
        <f t="shared" si="124"/>
        <v>0</v>
      </c>
    </row>
    <row r="140" spans="14:54" x14ac:dyDescent="0.45">
      <c r="N140" s="10">
        <v>22</v>
      </c>
      <c r="O140" s="50">
        <f t="shared" si="125"/>
        <v>165.95869074375622</v>
      </c>
      <c r="P140" s="48" t="str">
        <f t="shared" si="90"/>
        <v>17.4002386318441</v>
      </c>
      <c r="Q140" s="17" t="str">
        <f t="shared" si="91"/>
        <v>1+0.0893034585579789i</v>
      </c>
      <c r="R140" s="17">
        <f t="shared" si="100"/>
        <v>1.0039796351074142</v>
      </c>
      <c r="S140" s="17">
        <f t="shared" si="101"/>
        <v>8.9067186541600896E-2</v>
      </c>
      <c r="T140" s="17" t="str">
        <f t="shared" si="92"/>
        <v>1+0.000312824762183979i</v>
      </c>
      <c r="U140" s="17">
        <f t="shared" si="102"/>
        <v>1.0000000489296648</v>
      </c>
      <c r="V140" s="17">
        <f t="shared" si="103"/>
        <v>3.1282475197970551E-4</v>
      </c>
      <c r="W140" s="31" t="str">
        <f t="shared" si="93"/>
        <v>1-0.000771776284027595i</v>
      </c>
      <c r="X140" s="17">
        <f t="shared" si="104"/>
        <v>1.0000002978192719</v>
      </c>
      <c r="Y140" s="17">
        <f t="shared" si="105"/>
        <v>-7.7177613079439295E-4</v>
      </c>
      <c r="Z140" s="31" t="str">
        <f t="shared" si="94"/>
        <v>0.999999975018334+0.00107937533121247i</v>
      </c>
      <c r="AA140" s="17">
        <f t="shared" si="106"/>
        <v>1.0000005575437316</v>
      </c>
      <c r="AB140" s="17">
        <f t="shared" si="107"/>
        <v>1.0793749390015186E-3</v>
      </c>
      <c r="AC140" s="66" t="str">
        <f t="shared" si="108"/>
        <v>17.2601722367976-1.56816030487647i</v>
      </c>
      <c r="AD140" s="64">
        <f t="shared" si="109"/>
        <v>24.776604184388088</v>
      </c>
      <c r="AE140" s="61">
        <f t="shared" si="110"/>
        <v>-5.1913134874628843</v>
      </c>
      <c r="AF140" s="31" t="str">
        <f t="shared" si="95"/>
        <v>-9090.90909090909</v>
      </c>
      <c r="AG140" s="31" t="str">
        <f t="shared" si="96"/>
        <v>2.27623467397318E-08i</v>
      </c>
      <c r="AH140" s="31">
        <f t="shared" si="111"/>
        <v>2.27623467397318E-8</v>
      </c>
      <c r="AI140" s="31">
        <f t="shared" si="112"/>
        <v>1.5707963267948966</v>
      </c>
      <c r="AJ140" s="31" t="str">
        <f t="shared" si="97"/>
        <v>1+3011576.15020471i</v>
      </c>
      <c r="AK140" s="31">
        <f t="shared" si="113"/>
        <v>3011576.150204876</v>
      </c>
      <c r="AL140" s="31">
        <f t="shared" si="114"/>
        <v>1.570795994742858</v>
      </c>
      <c r="AM140" s="31" t="str">
        <f t="shared" si="98"/>
        <v>1+1.37413490535349i</v>
      </c>
      <c r="AN140" s="31">
        <f t="shared" si="115"/>
        <v>1.6994842565057331</v>
      </c>
      <c r="AO140" s="31">
        <f t="shared" si="116"/>
        <v>0.94170064119848185</v>
      </c>
      <c r="AS140" s="58" t="str">
        <f t="shared" si="117"/>
        <v>132616.094170298+182232.531196338i</v>
      </c>
      <c r="AT140" s="49">
        <f t="shared" si="118"/>
        <v>107.05827153572989</v>
      </c>
      <c r="AU140" s="61">
        <f t="shared" si="119"/>
        <v>53.955491330616752</v>
      </c>
      <c r="AV140" s="58" t="str">
        <f t="shared" si="120"/>
        <v>2574746.44842997+2937401.58093076i</v>
      </c>
      <c r="AW140" s="64">
        <f t="shared" si="121"/>
        <v>131.83487572011796</v>
      </c>
      <c r="AX140" s="61">
        <f t="shared" si="122"/>
        <v>48.764177843153867</v>
      </c>
      <c r="AY140" s="310"/>
      <c r="BA140" s="31">
        <f t="shared" si="123"/>
        <v>0</v>
      </c>
      <c r="BB140" s="31">
        <f t="shared" si="124"/>
        <v>0</v>
      </c>
    </row>
    <row r="141" spans="14:54" x14ac:dyDescent="0.45">
      <c r="N141" s="10">
        <v>23</v>
      </c>
      <c r="O141" s="50">
        <f t="shared" si="125"/>
        <v>169.82436524617444</v>
      </c>
      <c r="P141" s="48" t="str">
        <f t="shared" si="90"/>
        <v>17.4002386318441</v>
      </c>
      <c r="Q141" s="17" t="str">
        <f t="shared" si="91"/>
        <v>1+0.0913836033288142i</v>
      </c>
      <c r="R141" s="17">
        <f t="shared" si="100"/>
        <v>1.0041668003660338</v>
      </c>
      <c r="S141" s="17">
        <f t="shared" si="101"/>
        <v>9.1130490005436132E-2</v>
      </c>
      <c r="T141" s="17" t="str">
        <f t="shared" si="92"/>
        <v>1+0.000320111386954758i</v>
      </c>
      <c r="U141" s="17">
        <f t="shared" si="102"/>
        <v>1.0000000512356488</v>
      </c>
      <c r="V141" s="17">
        <f t="shared" si="103"/>
        <v>3.2011137602068202E-4</v>
      </c>
      <c r="W141" s="31" t="str">
        <f t="shared" si="93"/>
        <v>1-0.000789753263053916i</v>
      </c>
      <c r="X141" s="17">
        <f t="shared" si="104"/>
        <v>1.0000003118550598</v>
      </c>
      <c r="Y141" s="17">
        <f t="shared" si="105"/>
        <v>-7.8975309886158453E-4</v>
      </c>
      <c r="Z141" s="31" t="str">
        <f t="shared" si="94"/>
        <v>0.999999973840984+0.00110451721247044i</v>
      </c>
      <c r="AA141" s="17">
        <f t="shared" si="106"/>
        <v>1.0000005838199504</v>
      </c>
      <c r="AB141" s="17">
        <f t="shared" si="107"/>
        <v>1.1045167922088474E-3</v>
      </c>
      <c r="AC141" s="66" t="str">
        <f t="shared" si="108"/>
        <v>17.2536257802977-1.60408921073856i</v>
      </c>
      <c r="AD141" s="64">
        <f t="shared" si="109"/>
        <v>24.77498499626774</v>
      </c>
      <c r="AE141" s="61">
        <f t="shared" si="110"/>
        <v>-5.3115851014675677</v>
      </c>
      <c r="AF141" s="31" t="str">
        <f t="shared" si="95"/>
        <v>-9090.90909090909</v>
      </c>
      <c r="AG141" s="31" t="str">
        <f t="shared" si="96"/>
        <v>2.27623467397318E-08i</v>
      </c>
      <c r="AH141" s="31">
        <f t="shared" si="111"/>
        <v>2.27623467397318E-8</v>
      </c>
      <c r="AI141" s="31">
        <f t="shared" si="112"/>
        <v>1.5707963267948966</v>
      </c>
      <c r="AJ141" s="31" t="str">
        <f t="shared" si="97"/>
        <v>1+3081724.77022432i</v>
      </c>
      <c r="AK141" s="31">
        <f t="shared" si="113"/>
        <v>3081724.7702244818</v>
      </c>
      <c r="AL141" s="31">
        <f t="shared" si="114"/>
        <v>1.5707960023012852</v>
      </c>
      <c r="AM141" s="31" t="str">
        <f t="shared" si="98"/>
        <v>1+1.4061426190966i</v>
      </c>
      <c r="AN141" s="31">
        <f t="shared" si="115"/>
        <v>1.725467202018006</v>
      </c>
      <c r="AO141" s="31">
        <f t="shared" si="116"/>
        <v>0.95261603538847828</v>
      </c>
      <c r="AS141" s="58" t="str">
        <f t="shared" si="117"/>
        <v>129597.383320997+182232.529214417i</v>
      </c>
      <c r="AT141" s="49">
        <f t="shared" si="118"/>
        <v>106.99006279157101</v>
      </c>
      <c r="AU141" s="61">
        <f t="shared" si="119"/>
        <v>54.580896916359279</v>
      </c>
      <c r="AV141" s="58" t="str">
        <f t="shared" si="120"/>
        <v>2528341.98788472+2936286.09973756i</v>
      </c>
      <c r="AW141" s="64">
        <f t="shared" si="121"/>
        <v>131.76504778783874</v>
      </c>
      <c r="AX141" s="61">
        <f t="shared" si="122"/>
        <v>49.269311814891751</v>
      </c>
      <c r="AY141" s="310"/>
      <c r="BA141" s="31">
        <f t="shared" si="123"/>
        <v>0</v>
      </c>
      <c r="BB141" s="31">
        <f t="shared" si="124"/>
        <v>0</v>
      </c>
    </row>
    <row r="142" spans="14:54" x14ac:dyDescent="0.45">
      <c r="N142" s="10">
        <v>24</v>
      </c>
      <c r="O142" s="50">
        <f t="shared" si="125"/>
        <v>173.78008287493768</v>
      </c>
      <c r="P142" s="48" t="str">
        <f t="shared" si="90"/>
        <v>17.4002386318441</v>
      </c>
      <c r="Q142" s="17" t="str">
        <f t="shared" si="91"/>
        <v>1+0.0935122008957401i</v>
      </c>
      <c r="R142" s="17">
        <f t="shared" si="100"/>
        <v>1.0043627490684655</v>
      </c>
      <c r="S142" s="17">
        <f t="shared" si="101"/>
        <v>9.3241048670960086E-2</v>
      </c>
      <c r="T142" s="17" t="str">
        <f t="shared" si="92"/>
        <v>1+0.000327567739020078i</v>
      </c>
      <c r="U142" s="17">
        <f t="shared" si="102"/>
        <v>1.0000000536503104</v>
      </c>
      <c r="V142" s="17">
        <f t="shared" si="103"/>
        <v>3.2756772730400453E-4</v>
      </c>
      <c r="W142" s="31" t="str">
        <f t="shared" si="93"/>
        <v>1-0.000808148979713934i</v>
      </c>
      <c r="X142" s="17">
        <f t="shared" si="104"/>
        <v>1.0000003265523334</v>
      </c>
      <c r="Y142" s="17">
        <f t="shared" si="105"/>
        <v>-8.081488037786842E-4</v>
      </c>
      <c r="Z142" s="31" t="str">
        <f t="shared" si="94"/>
        <v>0.999999972608148+0.00113024472337448i</v>
      </c>
      <c r="AA142" s="17">
        <f t="shared" si="106"/>
        <v>1.000000611334529</v>
      </c>
      <c r="AB142" s="17">
        <f t="shared" si="107"/>
        <v>1.1302442730560848E-3</v>
      </c>
      <c r="AC142" s="66" t="str">
        <f t="shared" si="108"/>
        <v>17.2467760274843-1.64081271156237i</v>
      </c>
      <c r="AD142" s="64">
        <f t="shared" si="109"/>
        <v>24.773290144876267</v>
      </c>
      <c r="AE142" s="61">
        <f t="shared" si="110"/>
        <v>-5.4346120602806911</v>
      </c>
      <c r="AF142" s="31" t="str">
        <f t="shared" si="95"/>
        <v>-9090.90909090909</v>
      </c>
      <c r="AG142" s="31" t="str">
        <f t="shared" si="96"/>
        <v>2.27623467397318E-08i</v>
      </c>
      <c r="AH142" s="31">
        <f t="shared" si="111"/>
        <v>2.27623467397318E-8</v>
      </c>
      <c r="AI142" s="31">
        <f t="shared" si="112"/>
        <v>1.5707963267948966</v>
      </c>
      <c r="AJ142" s="31" t="str">
        <f t="shared" si="97"/>
        <v>1+3153507.36150858i</v>
      </c>
      <c r="AK142" s="31">
        <f t="shared" si="113"/>
        <v>3153507.3615087382</v>
      </c>
      <c r="AL142" s="31">
        <f t="shared" si="114"/>
        <v>1.5707960096876616</v>
      </c>
      <c r="AM142" s="31" t="str">
        <f t="shared" si="98"/>
        <v>1+1.43889588826886i</v>
      </c>
      <c r="AN142" s="31">
        <f t="shared" si="115"/>
        <v>1.7522617890249823</v>
      </c>
      <c r="AO142" s="31">
        <f t="shared" si="116"/>
        <v>0.9634492525723608</v>
      </c>
      <c r="AS142" s="58" t="str">
        <f t="shared" si="117"/>
        <v>126647.386719756+182232.527321696i</v>
      </c>
      <c r="AT142" s="49">
        <f t="shared" si="118"/>
        <v>106.9239084313796</v>
      </c>
      <c r="AU142" s="61">
        <f t="shared" si="119"/>
        <v>55.201594116336118</v>
      </c>
      <c r="AV142" s="58" t="str">
        <f t="shared" si="120"/>
        <v>2483268.5605114+2935118.94162377i</v>
      </c>
      <c r="AW142" s="64">
        <f t="shared" si="121"/>
        <v>131.69719857625586</v>
      </c>
      <c r="AX142" s="61">
        <f t="shared" si="122"/>
        <v>49.766982056055362</v>
      </c>
      <c r="AY142" s="310"/>
      <c r="BA142" s="31">
        <f t="shared" si="123"/>
        <v>0</v>
      </c>
      <c r="BB142" s="31">
        <f t="shared" si="124"/>
        <v>0</v>
      </c>
    </row>
    <row r="143" spans="14:54" x14ac:dyDescent="0.45">
      <c r="N143" s="10">
        <v>25</v>
      </c>
      <c r="O143" s="50">
        <f t="shared" si="125"/>
        <v>177.82794100389242</v>
      </c>
      <c r="P143" s="48" t="str">
        <f t="shared" si="90"/>
        <v>17.4002386318441</v>
      </c>
      <c r="Q143" s="17" t="str">
        <f t="shared" si="91"/>
        <v>1+0.0956903798693613i</v>
      </c>
      <c r="R143" s="17">
        <f t="shared" si="100"/>
        <v>1.0045678915830143</v>
      </c>
      <c r="S143" s="17">
        <f t="shared" si="101"/>
        <v>9.5399906331623374E-2</v>
      </c>
      <c r="T143" s="17" t="str">
        <f t="shared" si="92"/>
        <v>1+0.000335197771836498i</v>
      </c>
      <c r="U143" s="17">
        <f t="shared" si="102"/>
        <v>1.0000000561787714</v>
      </c>
      <c r="V143" s="17">
        <f t="shared" si="103"/>
        <v>3.3519775928249915E-4</v>
      </c>
      <c r="W143" s="31" t="str">
        <f t="shared" si="93"/>
        <v>1-0.000826973187660113i</v>
      </c>
      <c r="X143" s="17">
        <f t="shared" si="104"/>
        <v>1.0000003419422681</v>
      </c>
      <c r="Y143" s="17">
        <f t="shared" si="105"/>
        <v>-8.2697299914209982E-4</v>
      </c>
      <c r="Z143" s="31" t="str">
        <f t="shared" si="94"/>
        <v>0.999999971317209+0.00115657150499141i</v>
      </c>
      <c r="AA143" s="17">
        <f t="shared" si="106"/>
        <v>1.0000006401458277</v>
      </c>
      <c r="AB143" s="17">
        <f t="shared" si="107"/>
        <v>1.1565710224665734E-3</v>
      </c>
      <c r="AC143" s="66" t="str">
        <f t="shared" si="108"/>
        <v>17.2396091821829-1.67834634982493i</v>
      </c>
      <c r="AD143" s="64">
        <f t="shared" si="109"/>
        <v>24.771516126153546</v>
      </c>
      <c r="AE143" s="61">
        <f t="shared" si="110"/>
        <v>-5.5604552827528471</v>
      </c>
      <c r="AF143" s="31" t="str">
        <f t="shared" si="95"/>
        <v>-9090.90909090909</v>
      </c>
      <c r="AG143" s="31" t="str">
        <f t="shared" si="96"/>
        <v>2.27623467397318E-08i</v>
      </c>
      <c r="AH143" s="31">
        <f t="shared" si="111"/>
        <v>2.27623467397318E-8</v>
      </c>
      <c r="AI143" s="31">
        <f t="shared" si="112"/>
        <v>1.5707963267948966</v>
      </c>
      <c r="AJ143" s="31" t="str">
        <f t="shared" si="97"/>
        <v>1+3226961.98413751i</v>
      </c>
      <c r="AK143" s="31">
        <f t="shared" si="113"/>
        <v>3226961.9841376645</v>
      </c>
      <c r="AL143" s="31">
        <f t="shared" si="114"/>
        <v>1.5707960169059034</v>
      </c>
      <c r="AM143" s="31" t="str">
        <f t="shared" si="98"/>
        <v>1+1.47241207908712i</v>
      </c>
      <c r="AN143" s="31">
        <f t="shared" si="115"/>
        <v>1.7798868870357059</v>
      </c>
      <c r="AO143" s="31">
        <f t="shared" si="116"/>
        <v>0.97419586582266826</v>
      </c>
      <c r="AS143" s="58" t="str">
        <f t="shared" si="117"/>
        <v>123764.540239331+182232.525514163i</v>
      </c>
      <c r="AT143" s="49">
        <f t="shared" si="118"/>
        <v>106.85977669016492</v>
      </c>
      <c r="AU143" s="61">
        <f t="shared" si="119"/>
        <v>55.817329286063298</v>
      </c>
      <c r="AV143" s="58" t="str">
        <f t="shared" si="120"/>
        <v>2439501.59835469+2933897.7557979i</v>
      </c>
      <c r="AW143" s="64">
        <f t="shared" si="121"/>
        <v>131.63129281631848</v>
      </c>
      <c r="AX143" s="61">
        <f t="shared" si="122"/>
        <v>50.256874003310429</v>
      </c>
      <c r="AY143" s="310"/>
      <c r="BA143" s="31">
        <f t="shared" si="123"/>
        <v>0</v>
      </c>
      <c r="BB143" s="31">
        <f t="shared" si="124"/>
        <v>0</v>
      </c>
    </row>
    <row r="144" spans="14:54" x14ac:dyDescent="0.45">
      <c r="N144" s="10">
        <v>26</v>
      </c>
      <c r="O144" s="50">
        <f t="shared" si="125"/>
        <v>181.9700858609983</v>
      </c>
      <c r="P144" s="48" t="str">
        <f t="shared" si="90"/>
        <v>17.4002386318441</v>
      </c>
      <c r="Q144" s="17" t="str">
        <f t="shared" si="91"/>
        <v>1+0.097919295149i</v>
      </c>
      <c r="R144" s="17">
        <f t="shared" si="100"/>
        <v>1.0047826572759289</v>
      </c>
      <c r="S144" s="17">
        <f t="shared" si="101"/>
        <v>9.7608127104243089E-2</v>
      </c>
      <c r="T144" s="17" t="str">
        <f t="shared" si="92"/>
        <v>1+0.000343005530948409i</v>
      </c>
      <c r="U144" s="17">
        <f t="shared" si="102"/>
        <v>1.0000000588263953</v>
      </c>
      <c r="V144" s="17">
        <f t="shared" si="103"/>
        <v>3.430055174965569E-4</v>
      </c>
      <c r="W144" s="31" t="str">
        <f t="shared" si="93"/>
        <v>1-0.000846235867736665i</v>
      </c>
      <c r="X144" s="17">
        <f t="shared" si="104"/>
        <v>1.0000003580575079</v>
      </c>
      <c r="Y144" s="17">
        <f t="shared" si="105"/>
        <v>-8.4623566573597847E-4</v>
      </c>
      <c r="Z144" s="31" t="str">
        <f t="shared" si="94"/>
        <v>0.999999969965431+0.0011835115161293i</v>
      </c>
      <c r="AA144" s="17">
        <f t="shared" si="106"/>
        <v>1.0000006703149611</v>
      </c>
      <c r="AB144" s="17">
        <f t="shared" si="107"/>
        <v>1.183510999094641E-3</v>
      </c>
      <c r="AC144" s="66" t="str">
        <f t="shared" si="108"/>
        <v>17.2321108450648-1.71670582499671i</v>
      </c>
      <c r="AD144" s="64">
        <f t="shared" si="109"/>
        <v>24.769659276783436</v>
      </c>
      <c r="AE144" s="61">
        <f t="shared" si="110"/>
        <v>-5.6891768781229013</v>
      </c>
      <c r="AF144" s="31" t="str">
        <f t="shared" si="95"/>
        <v>-9090.90909090909</v>
      </c>
      <c r="AG144" s="31" t="str">
        <f t="shared" si="96"/>
        <v>2.27623467397318E-08i</v>
      </c>
      <c r="AH144" s="31">
        <f t="shared" si="111"/>
        <v>2.27623467397318E-8</v>
      </c>
      <c r="AI144" s="31">
        <f t="shared" si="112"/>
        <v>1.5707963267948966</v>
      </c>
      <c r="AJ144" s="31" t="str">
        <f t="shared" si="97"/>
        <v>1+3302127.58472429i</v>
      </c>
      <c r="AK144" s="31">
        <f t="shared" si="113"/>
        <v>3302127.5847244407</v>
      </c>
      <c r="AL144" s="31">
        <f t="shared" si="114"/>
        <v>1.5707960239598382</v>
      </c>
      <c r="AM144" s="31" t="str">
        <f t="shared" si="98"/>
        <v>1+1.50670896227938i</v>
      </c>
      <c r="AN144" s="31">
        <f t="shared" si="115"/>
        <v>1.8083616610105973</v>
      </c>
      <c r="AO144" s="31">
        <f t="shared" si="116"/>
        <v>0.98485164418197091</v>
      </c>
      <c r="AS144" s="58" t="str">
        <f t="shared" si="117"/>
        <v>120947.315356358+182232.523787982i</v>
      </c>
      <c r="AT144" s="49">
        <f t="shared" si="118"/>
        <v>106.79763444042423</v>
      </c>
      <c r="AU144" s="61">
        <f t="shared" si="119"/>
        <v>56.427860009317648</v>
      </c>
      <c r="AV144" s="58" t="str">
        <f t="shared" si="120"/>
        <v>2397017.17972445+2932620.08870044i</v>
      </c>
      <c r="AW144" s="64">
        <f t="shared" si="121"/>
        <v>131.56729371720769</v>
      </c>
      <c r="AX144" s="61">
        <f t="shared" si="122"/>
        <v>50.738683131194726</v>
      </c>
      <c r="AY144" s="310"/>
      <c r="BA144" s="31">
        <f t="shared" si="123"/>
        <v>0</v>
      </c>
      <c r="BB144" s="31">
        <f t="shared" si="124"/>
        <v>0</v>
      </c>
    </row>
    <row r="145" spans="14:54" x14ac:dyDescent="0.45">
      <c r="N145" s="10">
        <v>27</v>
      </c>
      <c r="O145" s="50">
        <f t="shared" si="125"/>
        <v>186.20871366628685</v>
      </c>
      <c r="P145" s="48" t="str">
        <f t="shared" si="90"/>
        <v>17.4002386318441</v>
      </c>
      <c r="Q145" s="17" t="str">
        <f t="shared" si="91"/>
        <v>1+0.100200128535042i</v>
      </c>
      <c r="R145" s="17">
        <f t="shared" si="100"/>
        <v>1.0050074953742578</v>
      </c>
      <c r="S145" s="17">
        <f t="shared" si="101"/>
        <v>9.9866795626818841E-2</v>
      </c>
      <c r="T145" s="17" t="str">
        <f t="shared" si="92"/>
        <v>1+0.000350995156133046i</v>
      </c>
      <c r="U145" s="17">
        <f t="shared" si="102"/>
        <v>1.0000000615987978</v>
      </c>
      <c r="V145" s="17">
        <f t="shared" si="103"/>
        <v>3.5099514171912683E-4</v>
      </c>
      <c r="W145" s="31" t="str">
        <f t="shared" si="93"/>
        <v>1-0.000865947233271552i</v>
      </c>
      <c r="X145" s="17">
        <f t="shared" si="104"/>
        <v>1.000000374932235</v>
      </c>
      <c r="Y145" s="17">
        <f t="shared" si="105"/>
        <v>-8.6594701682392099E-4</v>
      </c>
      <c r="Z145" s="31" t="str">
        <f t="shared" si="94"/>
        <v>0.999999968549946+0.00121107904073868i</v>
      </c>
      <c r="AA145" s="17">
        <f t="shared" si="106"/>
        <v>1.0000007019059216</v>
      </c>
      <c r="AB145" s="17">
        <f t="shared" si="107"/>
        <v>1.2110784867260813E-3</v>
      </c>
      <c r="AC145" s="66" t="str">
        <f t="shared" si="108"/>
        <v>17.2242659896159-1.75590698338039i</v>
      </c>
      <c r="AD145" s="64">
        <f t="shared" si="109"/>
        <v>24.767715767243828</v>
      </c>
      <c r="AE145" s="61">
        <f t="shared" si="110"/>
        <v>-5.8208401579566109</v>
      </c>
      <c r="AF145" s="31" t="str">
        <f t="shared" si="95"/>
        <v>-9090.90909090909</v>
      </c>
      <c r="AG145" s="31" t="str">
        <f t="shared" si="96"/>
        <v>2.27623467397318E-08i</v>
      </c>
      <c r="AH145" s="31">
        <f t="shared" si="111"/>
        <v>2.27623467397318E-8</v>
      </c>
      <c r="AI145" s="31">
        <f t="shared" si="112"/>
        <v>1.5707963267948966</v>
      </c>
      <c r="AJ145" s="31" t="str">
        <f t="shared" si="97"/>
        <v>1+3379044.01706533i</v>
      </c>
      <c r="AK145" s="31">
        <f t="shared" si="113"/>
        <v>3379044.0170654776</v>
      </c>
      <c r="AL145" s="31">
        <f t="shared" si="114"/>
        <v>1.5707960308532056</v>
      </c>
      <c r="AM145" s="31" t="str">
        <f t="shared" si="98"/>
        <v>1+1.54180472250709i</v>
      </c>
      <c r="AN145" s="31">
        <f t="shared" si="115"/>
        <v>1.8377055809745928</v>
      </c>
      <c r="AO145" s="31">
        <f t="shared" si="116"/>
        <v>0.99541255808593043</v>
      </c>
      <c r="AS145" s="58" t="str">
        <f t="shared" si="117"/>
        <v>118194.218340915+182232.522139491i</v>
      </c>
      <c r="AT145" s="49">
        <f t="shared" si="118"/>
        <v>106.73744730542927</v>
      </c>
      <c r="AU145" s="61">
        <f t="shared" si="119"/>
        <v>57.032955408854463</v>
      </c>
      <c r="AV145" s="58" t="str">
        <f t="shared" si="120"/>
        <v>2355792.01336241+2931283.37990916i</v>
      </c>
      <c r="AW145" s="64">
        <f t="shared" si="121"/>
        <v>131.50516307267307</v>
      </c>
      <c r="AX145" s="61">
        <f t="shared" si="122"/>
        <v>51.21211525089786</v>
      </c>
      <c r="AY145" s="310"/>
      <c r="BA145" s="31">
        <f t="shared" si="123"/>
        <v>0</v>
      </c>
      <c r="BB145" s="31">
        <f t="shared" si="124"/>
        <v>0</v>
      </c>
    </row>
    <row r="146" spans="14:54" x14ac:dyDescent="0.45">
      <c r="N146" s="10">
        <v>28</v>
      </c>
      <c r="O146" s="50">
        <f t="shared" si="125"/>
        <v>190.54607179632498</v>
      </c>
      <c r="P146" s="48" t="str">
        <f t="shared" si="90"/>
        <v>17.4002386318441</v>
      </c>
      <c r="Q146" s="17" t="str">
        <f t="shared" si="91"/>
        <v>1+0.102534089355541i</v>
      </c>
      <c r="R146" s="17">
        <f t="shared" si="100"/>
        <v>1.0052428758663103</v>
      </c>
      <c r="S146" s="17">
        <f t="shared" si="101"/>
        <v>0.10217701724240645</v>
      </c>
      <c r="T146" s="17" t="str">
        <f t="shared" si="92"/>
        <v>1+0.000359170883595438i</v>
      </c>
      <c r="U146" s="17">
        <f t="shared" si="102"/>
        <v>1.0000000645018599</v>
      </c>
      <c r="V146" s="17">
        <f t="shared" si="103"/>
        <v>3.5917086815064541E-4</v>
      </c>
      <c r="W146" s="31" t="str">
        <f t="shared" si="93"/>
        <v>1-0.000886117735491693i</v>
      </c>
      <c r="X146" s="17">
        <f t="shared" si="104"/>
        <v>1.0000003926022434</v>
      </c>
      <c r="Y146" s="17">
        <f t="shared" si="105"/>
        <v>-8.8611750356388272E-4</v>
      </c>
      <c r="Z146" s="31" t="str">
        <f t="shared" si="94"/>
        <v>0.99999996706775+0.001239288695486i</v>
      </c>
      <c r="AA146" s="17">
        <f t="shared" si="106"/>
        <v>1.0000007349857158</v>
      </c>
      <c r="AB146" s="17">
        <f t="shared" si="107"/>
        <v>1.2392881018508297E-3</v>
      </c>
      <c r="AC146" s="66" t="str">
        <f t="shared" si="108"/>
        <v>17.2160589373769-1.79596580682444i</v>
      </c>
      <c r="AD146" s="64">
        <f t="shared" si="109"/>
        <v>24.765681594581391</v>
      </c>
      <c r="AE146" s="61">
        <f t="shared" si="110"/>
        <v>-5.9555096472999969</v>
      </c>
      <c r="AF146" s="31" t="str">
        <f t="shared" si="95"/>
        <v>-9090.90909090909</v>
      </c>
      <c r="AG146" s="31" t="str">
        <f t="shared" si="96"/>
        <v>2.27623467397318E-08i</v>
      </c>
      <c r="AH146" s="31">
        <f t="shared" si="111"/>
        <v>2.27623467397318E-8</v>
      </c>
      <c r="AI146" s="31">
        <f t="shared" si="112"/>
        <v>1.5707963267948966</v>
      </c>
      <c r="AJ146" s="31" t="str">
        <f t="shared" si="97"/>
        <v>1+3457752.06327119i</v>
      </c>
      <c r="AK146" s="31">
        <f t="shared" si="113"/>
        <v>3457752.0632713344</v>
      </c>
      <c r="AL146" s="31">
        <f t="shared" si="114"/>
        <v>1.570796037589661</v>
      </c>
      <c r="AM146" s="31" t="str">
        <f t="shared" si="98"/>
        <v>1+1.57771796800689i</v>
      </c>
      <c r="AN146" s="31">
        <f t="shared" si="115"/>
        <v>1.8679384322219481</v>
      </c>
      <c r="AO146" s="31">
        <f t="shared" si="116"/>
        <v>1.0058747837987165</v>
      </c>
      <c r="AS146" s="58" t="str">
        <f t="shared" si="117"/>
        <v>115503.789464519+182232.520565195i</v>
      </c>
      <c r="AT146" s="49">
        <f t="shared" si="118"/>
        <v>106.67917977358431</v>
      </c>
      <c r="AU146" s="61">
        <f t="shared" si="119"/>
        <v>57.632396400540074</v>
      </c>
      <c r="AV146" s="58" t="str">
        <f t="shared" si="120"/>
        <v>2315803.42273805+2929884.95792022i</v>
      </c>
      <c r="AW146" s="64">
        <f t="shared" si="121"/>
        <v>131.4448613681657</v>
      </c>
      <c r="AX146" s="61">
        <f t="shared" si="122"/>
        <v>51.676886753240126</v>
      </c>
      <c r="AY146" s="310"/>
      <c r="BA146" s="31">
        <f t="shared" si="123"/>
        <v>0</v>
      </c>
      <c r="BB146" s="31">
        <f t="shared" si="124"/>
        <v>0</v>
      </c>
    </row>
    <row r="147" spans="14:54" x14ac:dyDescent="0.45">
      <c r="N147" s="10">
        <v>29</v>
      </c>
      <c r="O147" s="50">
        <f t="shared" si="125"/>
        <v>194.98445997580458</v>
      </c>
      <c r="P147" s="48" t="str">
        <f t="shared" ref="P147:P210" si="126">COMPLEX(Adc,0)</f>
        <v>17.4002386318441</v>
      </c>
      <c r="Q147" s="17" t="str">
        <f t="shared" ref="Q147:Q210" si="127">IMSUM(COMPLEX(1,0),IMDIV(COMPLEX(0,2*PI()*O147),COMPLEX(wp_lf,0)))</f>
        <v>1+0.104922415107413i</v>
      </c>
      <c r="R147" s="17">
        <f t="shared" si="100"/>
        <v>1.005489290441212</v>
      </c>
      <c r="S147" s="17">
        <f t="shared" si="101"/>
        <v>0.10453991816753502</v>
      </c>
      <c r="T147" s="17" t="str">
        <f t="shared" ref="T147:T210" si="128">IMSUM(COMPLEX(1,0),IMDIV(COMPLEX(0,2*PI()*O147),COMPLEX(wz_esr,0)))</f>
        <v>1+0.000367537048214496i</v>
      </c>
      <c r="U147" s="17">
        <f t="shared" si="102"/>
        <v>1.0000000675417386</v>
      </c>
      <c r="V147" s="17">
        <f t="shared" si="103"/>
        <v>3.6753703166510264E-4</v>
      </c>
      <c r="W147" s="31" t="str">
        <f t="shared" ref="W147:W210" si="129">IMSUB(COMPLEX(1,0),IMDIV(COMPLEX(0,2*PI()*O147),COMPLEX(wz_rhp,0)))</f>
        <v>1-0.000906758069064335i</v>
      </c>
      <c r="X147" s="17">
        <f t="shared" si="104"/>
        <v>1.0000004111050134</v>
      </c>
      <c r="Y147" s="17">
        <f t="shared" si="105"/>
        <v>-9.0675782054921441E-4</v>
      </c>
      <c r="Z147" s="31" t="str">
        <f t="shared" ref="Z147:Z210" si="130">IMSUM(COMPLEX(1,0),IMDIV(COMPLEX(0,2*PI()*O147),COMPLEX(Q*(wsl/2),0)),IMDIV(IMPOWER(COMPLEX(0,2*PI()*O147),2),IMPOWER(COMPLEX(wsl/2,0),2)))</f>
        <v>0.999999965515701+0.00126815543750358i</v>
      </c>
      <c r="AA147" s="17">
        <f t="shared" si="106"/>
        <v>1.0000007696245123</v>
      </c>
      <c r="AB147" s="17">
        <f t="shared" si="107"/>
        <v>1.2681548014120609E-3</v>
      </c>
      <c r="AC147" s="66" t="str">
        <f t="shared" si="108"/>
        <v>17.207473332456-1.83689840023355i</v>
      </c>
      <c r="AD147" s="64">
        <f t="shared" si="109"/>
        <v>24.76355257490254</v>
      </c>
      <c r="AE147" s="61">
        <f t="shared" si="110"/>
        <v>-6.0932510949617109</v>
      </c>
      <c r="AF147" s="31" t="str">
        <f t="shared" ref="AF147:AF210" si="131">COMPLEX(Adc_ea,0)</f>
        <v>-9090.90909090909</v>
      </c>
      <c r="AG147" s="31" t="str">
        <f t="shared" ref="AG147:AG210" si="132">COMPLEX(0,2*PI()*wp0_ea)</f>
        <v>2.27623467397318E-08i</v>
      </c>
      <c r="AH147" s="31">
        <f t="shared" si="111"/>
        <v>2.27623467397318E-8</v>
      </c>
      <c r="AI147" s="31">
        <f t="shared" si="112"/>
        <v>1.5707963267948966</v>
      </c>
      <c r="AJ147" s="31" t="str">
        <f t="shared" ref="AJ147:AJ210" si="133">IMSUM(COMPLEX(1,0),IMDIV(COMPLEX(0,2*PI()*O147),COMPLEX(wp1_ea,0)))</f>
        <v>1+3538293.45538971i</v>
      </c>
      <c r="AK147" s="31">
        <f t="shared" si="113"/>
        <v>3538293.4553898517</v>
      </c>
      <c r="AL147" s="31">
        <f t="shared" si="114"/>
        <v>1.570796044172776</v>
      </c>
      <c r="AM147" s="31" t="str">
        <f t="shared" ref="AM147:AM210" si="134">IMSUM(COMPLEX(1,0),IMDIV(COMPLEX(0,2*PI()*O147),COMPLEX(wz_ea,0)))</f>
        <v>1+1.61446774045688i</v>
      </c>
      <c r="AN147" s="31">
        <f t="shared" si="115"/>
        <v>1.8990803260989102</v>
      </c>
      <c r="AO147" s="31">
        <f t="shared" si="116"/>
        <v>1.0162347068747215</v>
      </c>
      <c r="AS147" s="58" t="str">
        <f t="shared" si="117"/>
        <v>112874.602226173+182232.519061755i</v>
      </c>
      <c r="AT147" s="49">
        <f t="shared" si="118"/>
        <v>106.62279531313798</v>
      </c>
      <c r="AU147" s="61">
        <f t="shared" si="119"/>
        <v>58.225975891690624</v>
      </c>
      <c r="AV147" s="58" t="str">
        <f t="shared" si="120"/>
        <v>2277029.33045352+2928422.03580517i</v>
      </c>
      <c r="AW147" s="64">
        <f t="shared" si="121"/>
        <v>131.38634788804052</v>
      </c>
      <c r="AX147" s="61">
        <f t="shared" si="122"/>
        <v>52.132724796728851</v>
      </c>
      <c r="AY147" s="310"/>
      <c r="BA147" s="31">
        <f t="shared" si="123"/>
        <v>0</v>
      </c>
      <c r="BB147" s="31">
        <f t="shared" si="124"/>
        <v>0</v>
      </c>
    </row>
    <row r="148" spans="14:54" x14ac:dyDescent="0.45">
      <c r="N148" s="10">
        <v>30</v>
      </c>
      <c r="O148" s="50">
        <f t="shared" si="125"/>
        <v>199.52623149688802</v>
      </c>
      <c r="P148" s="48" t="str">
        <f t="shared" si="126"/>
        <v>17.4002386318441</v>
      </c>
      <c r="Q148" s="17" t="str">
        <f t="shared" si="127"/>
        <v>1+0.107366372112588i</v>
      </c>
      <c r="R148" s="17">
        <f t="shared" ref="R148:R211" si="135">IMABS(Q148)</f>
        <v>1.0057472534690903</v>
      </c>
      <c r="S148" s="17">
        <f t="shared" ref="S148:S211" si="136">IMARGUMENT(Q148)</f>
        <v>0.10695664564357692</v>
      </c>
      <c r="T148" s="17" t="str">
        <f t="shared" si="128"/>
        <v>1+0.000376098085841448i</v>
      </c>
      <c r="U148" s="17">
        <f t="shared" ref="U148:U211" si="137">IMABS(T148)</f>
        <v>1.0000000707248826</v>
      </c>
      <c r="V148" s="17">
        <f t="shared" ref="V148:V211" si="138">IMARGUMENT(T148)</f>
        <v>3.7609806810845356E-4</v>
      </c>
      <c r="W148" s="31" t="str">
        <f t="shared" si="129"/>
        <v>1-0.000927879177767564i</v>
      </c>
      <c r="X148" s="17">
        <f t="shared" ref="X148:X211" si="139">IMABS(W148)</f>
        <v>1.0000004304797916</v>
      </c>
      <c r="Y148" s="17">
        <f t="shared" ref="Y148:Y211" si="140">IMARGUMENT(W148)</f>
        <v>-9.2787891147882084E-4</v>
      </c>
      <c r="Z148" s="31" t="str">
        <f t="shared" si="130"/>
        <v>0.999999963890506+0.00129769457232015i</v>
      </c>
      <c r="AA148" s="17">
        <f t="shared" ref="AA148:AA211" si="141">IMABS(Z148)</f>
        <v>1.0000008058957837</v>
      </c>
      <c r="AB148" s="17">
        <f t="shared" ref="AB148:AB211" si="142">IMARGUMENT(Z148)</f>
        <v>1.2976938907358372E-3</v>
      </c>
      <c r="AC148" s="66" t="str">
        <f t="shared" ref="AC148:AC211" si="143">(IMDIV(IMPRODUCT(P148,T148,W148),IMPRODUCT(Q148,Z148)))</f>
        <v>17.1984921153186-1.87872097779406i</v>
      </c>
      <c r="AD148" s="64">
        <f t="shared" ref="AD148:AD211" si="144">20*LOG(IMABS(AC148))</f>
        <v>24.761324335572262</v>
      </c>
      <c r="AE148" s="61">
        <f t="shared" ref="AE148:AE211" si="145">(180/PI())*IMARGUMENT(AC148)</f>
        <v>-6.2341314828336438</v>
      </c>
      <c r="AF148" s="31" t="str">
        <f t="shared" si="131"/>
        <v>-9090.90909090909</v>
      </c>
      <c r="AG148" s="31" t="str">
        <f t="shared" si="132"/>
        <v>2.27623467397318E-08i</v>
      </c>
      <c r="AH148" s="31">
        <f t="shared" ref="AH148:AH211" si="146">IMABS(AG148)</f>
        <v>2.27623467397318E-8</v>
      </c>
      <c r="AI148" s="31">
        <f t="shared" ref="AI148:AI211" si="147">IMARGUMENT(AG148)</f>
        <v>1.5707963267948966</v>
      </c>
      <c r="AJ148" s="31" t="str">
        <f t="shared" si="133"/>
        <v>1+3620710.89753315i</v>
      </c>
      <c r="AK148" s="31">
        <f t="shared" ref="AK148:AK211" si="148">IMABS(AJ148)</f>
        <v>3620710.8975332882</v>
      </c>
      <c r="AL148" s="31">
        <f t="shared" ref="AL148:AL211" si="149">IMARGUMENT(AJ148)</f>
        <v>1.5707960506060408</v>
      </c>
      <c r="AM148" s="31" t="str">
        <f t="shared" si="134"/>
        <v>1+1.65207352507287i</v>
      </c>
      <c r="AN148" s="31">
        <f t="shared" ref="AN148:AN211" si="150">IMABS(AM148)</f>
        <v>1.9311517113491368</v>
      </c>
      <c r="AO148" s="31">
        <f t="shared" ref="AO148:AO211" si="151">IMARGUMENT(AM148)</f>
        <v>1.0264889246679092</v>
      </c>
      <c r="AS148" s="58" t="str">
        <f t="shared" ref="AS148:AS211" si="152">IMPRODUCT(AF148,IMDIV(AM148,IMPRODUCT(AG148,AJ148)))</f>
        <v>110305.262595997+182232.517625979i</v>
      </c>
      <c r="AT148" s="49">
        <f t="shared" ref="AT148:AT211" si="153">20*LOG(IMABS(AS148))</f>
        <v>106.5682564865599</v>
      </c>
      <c r="AU148" s="61">
        <f t="shared" ref="AU148:AU211" si="154">(180/PI())*IMARGUMENT(AS148)</f>
        <v>58.813498924849462</v>
      </c>
      <c r="AV148" s="58" t="str">
        <f t="shared" ref="AV148:AV211" si="155">IMPRODUCT(AC148,AS148)</f>
        <v>2239448.24273555+2926891.70674488i</v>
      </c>
      <c r="AW148" s="64">
        <f t="shared" ref="AW148:AW211" si="156">20*LOG(IMABS(AV148))</f>
        <v>131.32958082213216</v>
      </c>
      <c r="AX148" s="61">
        <f t="shared" ref="AX148:AX211" si="157">(180/PI())*IMARGUMENT(AV148)</f>
        <v>52.579367442015908</v>
      </c>
      <c r="AY148" s="310"/>
      <c r="BA148" s="31">
        <f t="shared" ref="BA148:BA211" si="158">SUM((AW149&lt;0)*(AW148&gt;0))*O148</f>
        <v>0</v>
      </c>
      <c r="BB148" s="31">
        <f t="shared" ref="BB148:BB211" si="159">IF(BA148&gt;0,AX148,0)</f>
        <v>0</v>
      </c>
    </row>
    <row r="149" spans="14:54" x14ac:dyDescent="0.45">
      <c r="N149" s="10">
        <v>31</v>
      </c>
      <c r="O149" s="50">
        <f t="shared" si="125"/>
        <v>204.17379446695315</v>
      </c>
      <c r="P149" s="48" t="str">
        <f t="shared" si="126"/>
        <v>17.4002386318441</v>
      </c>
      <c r="Q149" s="17" t="str">
        <f t="shared" si="127"/>
        <v>1+0.109867256189419i</v>
      </c>
      <c r="R149" s="17">
        <f t="shared" si="135"/>
        <v>1.0060173030234576</v>
      </c>
      <c r="S149" s="17">
        <f t="shared" si="136"/>
        <v>0.1094283680692951</v>
      </c>
      <c r="T149" s="17" t="str">
        <f t="shared" si="128"/>
        <v>1+0.000384858535651758i</v>
      </c>
      <c r="U149" s="17">
        <f t="shared" si="137"/>
        <v>1.0000000740580435</v>
      </c>
      <c r="V149" s="17">
        <f t="shared" si="138"/>
        <v>3.8485851665051222E-4</v>
      </c>
      <c r="W149" s="31" t="str">
        <f t="shared" si="129"/>
        <v>1-0.000949492260292773i</v>
      </c>
      <c r="X149" s="17">
        <f t="shared" si="139"/>
        <v>1.0000004507676745</v>
      </c>
      <c r="Y149" s="17">
        <f t="shared" si="140"/>
        <v>-9.4949197495925093E-4</v>
      </c>
      <c r="Z149" s="31" t="str">
        <f t="shared" si="130"/>
        <v>0.999999962188718+0.00132792176197597i</v>
      </c>
      <c r="AA149" s="17">
        <f t="shared" si="141"/>
        <v>1.0000008438764656</v>
      </c>
      <c r="AB149" s="17">
        <f t="shared" si="142"/>
        <v>1.327921031645254E-3</v>
      </c>
      <c r="AC149" s="66" t="str">
        <f t="shared" si="143"/>
        <v>17.1890974958621-1.92144984782669i</v>
      </c>
      <c r="AD149" s="64">
        <f t="shared" si="144"/>
        <v>24.758992307112738</v>
      </c>
      <c r="AE149" s="61">
        <f t="shared" si="145"/>
        <v>-6.378219034147623</v>
      </c>
      <c r="AF149" s="31" t="str">
        <f t="shared" si="131"/>
        <v>-9090.90909090909</v>
      </c>
      <c r="AG149" s="31" t="str">
        <f t="shared" si="132"/>
        <v>2.27623467397318E-08i</v>
      </c>
      <c r="AH149" s="31">
        <f t="shared" si="146"/>
        <v>2.27623467397318E-8</v>
      </c>
      <c r="AI149" s="31">
        <f t="shared" si="147"/>
        <v>1.5707963267948966</v>
      </c>
      <c r="AJ149" s="31" t="str">
        <f t="shared" si="133"/>
        <v>1+3705048.08852022i</v>
      </c>
      <c r="AK149" s="31">
        <f t="shared" si="148"/>
        <v>3705048.0885203551</v>
      </c>
      <c r="AL149" s="31">
        <f t="shared" si="149"/>
        <v>1.5707960568928667</v>
      </c>
      <c r="AM149" s="31" t="str">
        <f t="shared" si="134"/>
        <v>1+1.69055526093962i</v>
      </c>
      <c r="AN149" s="31">
        <f t="shared" si="150"/>
        <v>1.9641733860050712</v>
      </c>
      <c r="AO149" s="31">
        <f t="shared" si="151"/>
        <v>1.0366342479166615</v>
      </c>
      <c r="AS149" s="58" t="str">
        <f t="shared" si="152"/>
        <v>107794.408276115+182232.516254824i</v>
      </c>
      <c r="AT149" s="49">
        <f t="shared" si="153"/>
        <v>106.51552506393607</v>
      </c>
      <c r="AU149" s="61">
        <f t="shared" si="154"/>
        <v>59.394782768590055</v>
      </c>
      <c r="AV149" s="58" t="str">
        <f t="shared" si="155"/>
        <v>2203039.23399381+2925290.93944174i</v>
      </c>
      <c r="AW149" s="64">
        <f t="shared" si="156"/>
        <v>131.2745173710488</v>
      </c>
      <c r="AX149" s="61">
        <f t="shared" si="157"/>
        <v>53.016563734442499</v>
      </c>
      <c r="AY149" s="310"/>
      <c r="BA149" s="31">
        <f t="shared" si="158"/>
        <v>0</v>
      </c>
      <c r="BB149" s="31">
        <f t="shared" si="159"/>
        <v>0</v>
      </c>
    </row>
    <row r="150" spans="14:54" x14ac:dyDescent="0.45">
      <c r="N150" s="10">
        <v>32</v>
      </c>
      <c r="O150" s="50">
        <f t="shared" si="125"/>
        <v>208.92961308540396</v>
      </c>
      <c r="P150" s="48" t="str">
        <f t="shared" si="126"/>
        <v>17.4002386318441</v>
      </c>
      <c r="Q150" s="17" t="str">
        <f t="shared" si="127"/>
        <v>1+0.112426393339747i</v>
      </c>
      <c r="R150" s="17">
        <f t="shared" si="135"/>
        <v>1.0063000019474231</v>
      </c>
      <c r="S150" s="17">
        <f t="shared" si="136"/>
        <v>0.11195627511276704</v>
      </c>
      <c r="T150" s="17" t="str">
        <f t="shared" si="128"/>
        <v>1+0.000393823042551879i</v>
      </c>
      <c r="U150" s="17">
        <f t="shared" si="137"/>
        <v>1.0000000775482913</v>
      </c>
      <c r="V150" s="17">
        <f t="shared" si="138"/>
        <v>3.9382302219167744E-4</v>
      </c>
      <c r="W150" s="31" t="str">
        <f t="shared" si="129"/>
        <v>1-0.000971608776182414i</v>
      </c>
      <c r="X150" s="17">
        <f t="shared" si="139"/>
        <v>1.0000004720116955</v>
      </c>
      <c r="Y150" s="17">
        <f t="shared" si="140"/>
        <v>-9.7160847044204448E-4</v>
      </c>
      <c r="Z150" s="31" t="str">
        <f t="shared" si="130"/>
        <v>0.999999960406727+0.00135885303332713i</v>
      </c>
      <c r="AA150" s="17">
        <f t="shared" si="141"/>
        <v>1.0000008836471206</v>
      </c>
      <c r="AB150" s="17">
        <f t="shared" si="142"/>
        <v>1.358852250763706E-3</v>
      </c>
      <c r="AC150" s="66" t="str">
        <f t="shared" si="143"/>
        <v>17.1792709257881-1.96510139617656i</v>
      </c>
      <c r="AD150" s="64">
        <f t="shared" si="144"/>
        <v>24.756551714793655</v>
      </c>
      <c r="AE150" s="61">
        <f t="shared" si="145"/>
        <v>-6.5255832205664843</v>
      </c>
      <c r="AF150" s="31" t="str">
        <f t="shared" si="131"/>
        <v>-9090.90909090909</v>
      </c>
      <c r="AG150" s="31" t="str">
        <f t="shared" si="132"/>
        <v>2.27623467397318E-08i</v>
      </c>
      <c r="AH150" s="31">
        <f t="shared" si="146"/>
        <v>2.27623467397318E-8</v>
      </c>
      <c r="AI150" s="31">
        <f t="shared" si="147"/>
        <v>1.5707963267948966</v>
      </c>
      <c r="AJ150" s="31" t="str">
        <f t="shared" si="133"/>
        <v>1+3791349.74504596i</v>
      </c>
      <c r="AK150" s="31">
        <f t="shared" si="148"/>
        <v>3791349.7450460913</v>
      </c>
      <c r="AL150" s="31">
        <f t="shared" si="149"/>
        <v>1.5707960630365869</v>
      </c>
      <c r="AM150" s="31" t="str">
        <f t="shared" si="134"/>
        <v>1+1.72993335158289i</v>
      </c>
      <c r="AN150" s="31">
        <f t="shared" si="150"/>
        <v>1.998166509808132</v>
      </c>
      <c r="AO150" s="31">
        <f t="shared" si="151"/>
        <v>1.0466677014381642</v>
      </c>
      <c r="AS150" s="58" t="str">
        <f t="shared" si="152"/>
        <v>105340.707978326+182232.514945382i</v>
      </c>
      <c r="AT150" s="49">
        <f t="shared" si="153"/>
        <v>106.46456213477282</v>
      </c>
      <c r="AU150" s="61">
        <f t="shared" si="154"/>
        <v>59.969656957303705</v>
      </c>
      <c r="AV150" s="58" t="str">
        <f t="shared" si="155"/>
        <v>2167781.93142193+2923616.57341201i</v>
      </c>
      <c r="AW150" s="64">
        <f t="shared" si="156"/>
        <v>131.22111384956648</v>
      </c>
      <c r="AX150" s="61">
        <f t="shared" si="157"/>
        <v>53.44407373673716</v>
      </c>
      <c r="AY150" s="310"/>
      <c r="BA150" s="31">
        <f t="shared" si="158"/>
        <v>0</v>
      </c>
      <c r="BB150" s="31">
        <f t="shared" si="159"/>
        <v>0</v>
      </c>
    </row>
    <row r="151" spans="14:54" x14ac:dyDescent="0.45">
      <c r="N151" s="10">
        <v>33</v>
      </c>
      <c r="O151" s="50">
        <f t="shared" si="125"/>
        <v>213.79620895022339</v>
      </c>
      <c r="P151" s="48" t="str">
        <f t="shared" si="126"/>
        <v>17.4002386318441</v>
      </c>
      <c r="Q151" s="17" t="str">
        <f t="shared" si="127"/>
        <v>1+0.115045140451963i</v>
      </c>
      <c r="R151" s="17">
        <f t="shared" si="135"/>
        <v>1.0065959389653885</v>
      </c>
      <c r="S151" s="17">
        <f t="shared" si="136"/>
        <v>0.1145415778006974</v>
      </c>
      <c r="T151" s="17" t="str">
        <f t="shared" si="128"/>
        <v>1+0.000402996359642022i</v>
      </c>
      <c r="U151" s="17">
        <f t="shared" si="137"/>
        <v>1.0000000812030296</v>
      </c>
      <c r="V151" s="17">
        <f t="shared" si="138"/>
        <v>4.0299633782567301E-4</v>
      </c>
      <c r="W151" s="31" t="str">
        <f t="shared" si="129"/>
        <v>1-0.000994240451905941i</v>
      </c>
      <c r="X151" s="17">
        <f t="shared" si="139"/>
        <v>1.0000004942569158</v>
      </c>
      <c r="Y151" s="17">
        <f t="shared" si="140"/>
        <v>-9.9424012429924144E-4</v>
      </c>
      <c r="Z151" s="31" t="str">
        <f t="shared" si="130"/>
        <v>0.999999958540754+0.0013905047865431i</v>
      </c>
      <c r="AA151" s="17">
        <f t="shared" si="141"/>
        <v>1.0000009252921074</v>
      </c>
      <c r="AB151" s="17">
        <f t="shared" si="142"/>
        <v>1.390503948011325E-3</v>
      </c>
      <c r="AC151" s="66" t="str">
        <f t="shared" si="143"/>
        <v>17.168993070289-2.00969206804422i</v>
      </c>
      <c r="AD151" s="64">
        <f t="shared" si="144"/>
        <v>24.753997569906851</v>
      </c>
      <c r="AE151" s="61">
        <f t="shared" si="145"/>
        <v>-6.6762947679949045</v>
      </c>
      <c r="AF151" s="31" t="str">
        <f t="shared" si="131"/>
        <v>-9090.90909090909</v>
      </c>
      <c r="AG151" s="31" t="str">
        <f t="shared" si="132"/>
        <v>2.27623467397318E-08i</v>
      </c>
      <c r="AH151" s="31">
        <f t="shared" si="146"/>
        <v>2.27623467397318E-8</v>
      </c>
      <c r="AI151" s="31">
        <f t="shared" si="147"/>
        <v>1.5707963267948966</v>
      </c>
      <c r="AJ151" s="31" t="str">
        <f t="shared" si="133"/>
        <v>1+3879661.62539095i</v>
      </c>
      <c r="AK151" s="31">
        <f t="shared" si="148"/>
        <v>3879661.6253910791</v>
      </c>
      <c r="AL151" s="31">
        <f t="shared" si="149"/>
        <v>1.5707960690404592</v>
      </c>
      <c r="AM151" s="31" t="str">
        <f t="shared" si="134"/>
        <v>1+1.77022867578752i</v>
      </c>
      <c r="AN151" s="31">
        <f t="shared" si="150"/>
        <v>2.0331526171393128</v>
      </c>
      <c r="AO151" s="31">
        <f t="shared" si="151"/>
        <v>1.0565865239714309</v>
      </c>
      <c r="AS151" s="58" t="str">
        <f t="shared" si="152"/>
        <v>102942.860718257+182232.513694874i</v>
      </c>
      <c r="AT151" s="49">
        <f t="shared" si="153"/>
        <v>106.41532821765273</v>
      </c>
      <c r="AU151" s="61">
        <f t="shared" si="154"/>
        <v>60.537963282202782</v>
      </c>
      <c r="AV151" s="58" t="str">
        <f t="shared" si="155"/>
        <v>2133656.49961983+2921865.31416138i</v>
      </c>
      <c r="AW151" s="64">
        <f t="shared" si="156"/>
        <v>131.16932578755959</v>
      </c>
      <c r="AX151" s="61">
        <f t="shared" si="157"/>
        <v>53.861668514207899</v>
      </c>
      <c r="AY151" s="310"/>
      <c r="BA151" s="31">
        <f t="shared" si="158"/>
        <v>0</v>
      </c>
      <c r="BB151" s="31">
        <f t="shared" si="159"/>
        <v>0</v>
      </c>
    </row>
    <row r="152" spans="14:54" x14ac:dyDescent="0.45">
      <c r="N152" s="10">
        <v>34</v>
      </c>
      <c r="O152" s="50">
        <f t="shared" si="125"/>
        <v>218.77616239495524</v>
      </c>
      <c r="P152" s="48" t="str">
        <f t="shared" si="126"/>
        <v>17.4002386318441</v>
      </c>
      <c r="Q152" s="17" t="str">
        <f t="shared" si="127"/>
        <v>1+0.117724886020449i</v>
      </c>
      <c r="R152" s="17">
        <f t="shared" si="135"/>
        <v>1.006905729841939</v>
      </c>
      <c r="S152" s="17">
        <f t="shared" si="136"/>
        <v>0.11718550858303638</v>
      </c>
      <c r="T152" s="17" t="str">
        <f t="shared" si="128"/>
        <v>1+0.000412383350736336i</v>
      </c>
      <c r="U152" s="17">
        <f t="shared" si="137"/>
        <v>1.0000000850300104</v>
      </c>
      <c r="V152" s="17">
        <f t="shared" si="138"/>
        <v>4.1238332735969702E-4</v>
      </c>
      <c r="W152" s="31" t="str">
        <f t="shared" si="129"/>
        <v>1-0.0010173992870774i</v>
      </c>
      <c r="X152" s="17">
        <f t="shared" si="139"/>
        <v>1.0000005175505207</v>
      </c>
      <c r="Y152" s="17">
        <f t="shared" si="140"/>
        <v>-1.0173989360405067E-3</v>
      </c>
      <c r="Z152" s="31" t="str">
        <f t="shared" si="130"/>
        <v>0.99999995658684+0.0014228938038024i</v>
      </c>
      <c r="AA152" s="17">
        <f t="shared" si="141"/>
        <v>1.00000096889976</v>
      </c>
      <c r="AB152" s="17">
        <f t="shared" si="142"/>
        <v>1.422892905299462E-3</v>
      </c>
      <c r="AC152" s="66" t="str">
        <f t="shared" si="143"/>
        <v>17.1582437790694-2.05523834815772i</v>
      </c>
      <c r="AD152" s="64">
        <f t="shared" si="144"/>
        <v>24.751324660716989</v>
      </c>
      <c r="AE152" s="61">
        <f t="shared" si="145"/>
        <v>-6.8304256609917893</v>
      </c>
      <c r="AF152" s="31" t="str">
        <f t="shared" si="131"/>
        <v>-9090.90909090909</v>
      </c>
      <c r="AG152" s="31" t="str">
        <f t="shared" si="132"/>
        <v>2.27623467397318E-08i</v>
      </c>
      <c r="AH152" s="31">
        <f t="shared" si="146"/>
        <v>2.27623467397318E-8</v>
      </c>
      <c r="AI152" s="31">
        <f t="shared" si="147"/>
        <v>1.5707963267948966</v>
      </c>
      <c r="AJ152" s="31" t="str">
        <f t="shared" si="133"/>
        <v>1+3970030.55368312i</v>
      </c>
      <c r="AK152" s="31">
        <f t="shared" si="148"/>
        <v>3970030.553683246</v>
      </c>
      <c r="AL152" s="31">
        <f t="shared" si="149"/>
        <v>1.5707960749076664</v>
      </c>
      <c r="AM152" s="31" t="str">
        <f t="shared" si="134"/>
        <v>1+1.81146259866781i</v>
      </c>
      <c r="AN152" s="31">
        <f t="shared" si="150"/>
        <v>2.0691536304422482</v>
      </c>
      <c r="AO152" s="31">
        <f t="shared" si="151"/>
        <v>1.0663881672128026</v>
      </c>
      <c r="AS152" s="58" t="str">
        <f t="shared" si="152"/>
        <v>100599.595125551+182232.512500647i</v>
      </c>
      <c r="AT152" s="49">
        <f t="shared" si="153"/>
        <v>106.36778336722963</v>
      </c>
      <c r="AU152" s="61">
        <f t="shared" si="154"/>
        <v>61.099555736059855</v>
      </c>
      <c r="AV152" s="58" t="str">
        <f t="shared" si="155"/>
        <v>2100643.62521235+2920033.72824724i</v>
      </c>
      <c r="AW152" s="64">
        <f t="shared" si="156"/>
        <v>131.11910802794662</v>
      </c>
      <c r="AX152" s="61">
        <f t="shared" si="157"/>
        <v>54.269130075068027</v>
      </c>
      <c r="AY152" s="310"/>
      <c r="BA152" s="31">
        <f t="shared" si="158"/>
        <v>0</v>
      </c>
      <c r="BB152" s="31">
        <f t="shared" si="159"/>
        <v>0</v>
      </c>
    </row>
    <row r="153" spans="14:54" x14ac:dyDescent="0.45">
      <c r="N153" s="10">
        <v>35</v>
      </c>
      <c r="O153" s="50">
        <f t="shared" si="125"/>
        <v>223.87211385683412</v>
      </c>
      <c r="P153" s="48" t="str">
        <f t="shared" si="126"/>
        <v>17.4002386318441</v>
      </c>
      <c r="Q153" s="17" t="str">
        <f t="shared" si="127"/>
        <v>1+0.120467050881776i</v>
      </c>
      <c r="R153" s="17">
        <f t="shared" si="135"/>
        <v>1.0072300185896728</v>
      </c>
      <c r="S153" s="17">
        <f t="shared" si="136"/>
        <v>0.11988932137067487</v>
      </c>
      <c r="T153" s="17" t="str">
        <f t="shared" si="128"/>
        <v>1+0.00042198899294175i</v>
      </c>
      <c r="U153" s="17">
        <f t="shared" si="137"/>
        <v>1.000000089037351</v>
      </c>
      <c r="V153" s="17">
        <f t="shared" si="138"/>
        <v>4.2198896789323018E-4</v>
      </c>
      <c r="W153" s="31" t="str">
        <f t="shared" si="129"/>
        <v>1-0.00104109756081774i</v>
      </c>
      <c r="X153" s="17">
        <f t="shared" si="139"/>
        <v>1.0000005419419187</v>
      </c>
      <c r="Y153" s="17">
        <f t="shared" si="140"/>
        <v>-1.041097184674943E-3</v>
      </c>
      <c r="Z153" s="31" t="str">
        <f t="shared" si="130"/>
        <v>0.99999995454084+0.0014560372581907i</v>
      </c>
      <c r="AA153" s="17">
        <f t="shared" si="141"/>
        <v>1.0000010145625751</v>
      </c>
      <c r="AB153" s="17">
        <f t="shared" si="142"/>
        <v>1.4560362954275099E-3</v>
      </c>
      <c r="AC153" s="66" t="str">
        <f t="shared" si="143"/>
        <v>17.1470020567294-2.10175673918067i</v>
      </c>
      <c r="AD153" s="64">
        <f t="shared" si="144"/>
        <v>24.748527543081167</v>
      </c>
      <c r="AE153" s="61">
        <f t="shared" si="145"/>
        <v>-6.9880491456565634</v>
      </c>
      <c r="AF153" s="31" t="str">
        <f t="shared" si="131"/>
        <v>-9090.90909090909</v>
      </c>
      <c r="AG153" s="31" t="str">
        <f t="shared" si="132"/>
        <v>2.27623467397318E-08i</v>
      </c>
      <c r="AH153" s="31">
        <f t="shared" si="146"/>
        <v>2.27623467397318E-8</v>
      </c>
      <c r="AI153" s="31">
        <f t="shared" si="147"/>
        <v>1.5707963267948966</v>
      </c>
      <c r="AJ153" s="31" t="str">
        <f t="shared" si="133"/>
        <v>1+4062504.44472443i</v>
      </c>
      <c r="AK153" s="31">
        <f t="shared" si="148"/>
        <v>4062504.4447245523</v>
      </c>
      <c r="AL153" s="31">
        <f t="shared" si="149"/>
        <v>1.5707960806413197</v>
      </c>
      <c r="AM153" s="31" t="str">
        <f t="shared" si="134"/>
        <v>1+1.85365698299546i</v>
      </c>
      <c r="AN153" s="31">
        <f t="shared" si="150"/>
        <v>2.1061918741196948</v>
      </c>
      <c r="AO153" s="31">
        <f t="shared" si="151"/>
        <v>1.076070294091213</v>
      </c>
      <c r="AS153" s="58" t="str">
        <f t="shared" si="152"/>
        <v>98309.6687697736+182232.511360171i</v>
      </c>
      <c r="AT153" s="49">
        <f t="shared" si="153"/>
        <v>106.32188727810487</v>
      </c>
      <c r="AU153" s="61">
        <f t="shared" si="154"/>
        <v>61.654300414388807</v>
      </c>
      <c r="AV153" s="58" t="str">
        <f t="shared" si="155"/>
        <v>2068724.50144075+2918118.23823232i</v>
      </c>
      <c r="AW153" s="64">
        <f t="shared" si="156"/>
        <v>131.07041482118603</v>
      </c>
      <c r="AX153" s="61">
        <f t="shared" si="157"/>
        <v>54.666251268732225</v>
      </c>
      <c r="AY153" s="310"/>
      <c r="BA153" s="31">
        <f t="shared" si="158"/>
        <v>0</v>
      </c>
      <c r="BB153" s="31">
        <f t="shared" si="159"/>
        <v>0</v>
      </c>
    </row>
    <row r="154" spans="14:54" x14ac:dyDescent="0.45">
      <c r="N154" s="10">
        <v>36</v>
      </c>
      <c r="O154" s="50">
        <f t="shared" si="125"/>
        <v>229.08676527677744</v>
      </c>
      <c r="P154" s="48" t="str">
        <f t="shared" si="126"/>
        <v>17.4002386318441</v>
      </c>
      <c r="Q154" s="17" t="str">
        <f t="shared" si="127"/>
        <v>1+0.12327308896805i</v>
      </c>
      <c r="R154" s="17">
        <f t="shared" si="135"/>
        <v>1.0075694787277574</v>
      </c>
      <c r="S154" s="17">
        <f t="shared" si="136"/>
        <v>0.12265429154385213</v>
      </c>
      <c r="T154" s="17" t="str">
        <f t="shared" si="128"/>
        <v>1+0.000431818379296905i</v>
      </c>
      <c r="U154" s="17">
        <f t="shared" si="137"/>
        <v>1.000000093233552</v>
      </c>
      <c r="V154" s="17">
        <f t="shared" si="138"/>
        <v>4.3181835245693255E-4</v>
      </c>
      <c r="W154" s="31" t="str">
        <f t="shared" si="129"/>
        <v>1-0.00106534783826538i</v>
      </c>
      <c r="X154" s="17">
        <f t="shared" si="139"/>
        <v>1.0000005674828472</v>
      </c>
      <c r="Y154" s="17">
        <f t="shared" si="140"/>
        <v>-1.0653474352211238E-3</v>
      </c>
      <c r="Z154" s="31" t="str">
        <f t="shared" si="130"/>
        <v>0.999999952398416+0.00148995272280623i</v>
      </c>
      <c r="AA154" s="17">
        <f t="shared" si="141"/>
        <v>1.0000010623774109</v>
      </c>
      <c r="AB154" s="17">
        <f t="shared" si="142"/>
        <v>1.4899516911869443E-3</v>
      </c>
      <c r="AC154" s="66" t="str">
        <f t="shared" si="143"/>
        <v>17.1352460325426-2.14926373824669i</v>
      </c>
      <c r="AD154" s="64">
        <f t="shared" si="144"/>
        <v>24.745600530730485</v>
      </c>
      <c r="AE154" s="61">
        <f t="shared" si="145"/>
        <v>-7.1492397308544504</v>
      </c>
      <c r="AF154" s="31" t="str">
        <f t="shared" si="131"/>
        <v>-9090.90909090909</v>
      </c>
      <c r="AG154" s="31" t="str">
        <f t="shared" si="132"/>
        <v>2.27623467397318E-08i</v>
      </c>
      <c r="AH154" s="31">
        <f t="shared" si="146"/>
        <v>2.27623467397318E-8</v>
      </c>
      <c r="AI154" s="31">
        <f t="shared" si="147"/>
        <v>1.5707963267948966</v>
      </c>
      <c r="AJ154" s="31" t="str">
        <f t="shared" si="133"/>
        <v>1+4157132.32939592i</v>
      </c>
      <c r="AK154" s="31">
        <f t="shared" si="148"/>
        <v>4157132.3293960402</v>
      </c>
      <c r="AL154" s="31">
        <f t="shared" si="149"/>
        <v>1.5707960862444592</v>
      </c>
      <c r="AM154" s="31" t="str">
        <f t="shared" si="134"/>
        <v>1+1.89683420079154i</v>
      </c>
      <c r="AN154" s="31">
        <f t="shared" si="150"/>
        <v>2.1442900888854757</v>
      </c>
      <c r="AO154" s="31">
        <f t="shared" si="151"/>
        <v>1.0856307763337758</v>
      </c>
      <c r="AS154" s="58" t="str">
        <f t="shared" si="152"/>
        <v>96071.86750166+182232.510271025i</v>
      </c>
      <c r="AT154" s="49">
        <f t="shared" si="153"/>
        <v>106.27759938517721</v>
      </c>
      <c r="AU154" s="61">
        <f t="shared" si="154"/>
        <v>62.202075375961307</v>
      </c>
      <c r="AV154" s="58" t="str">
        <f t="shared" si="155"/>
        <v>2037880.81270196+2916115.1175349i</v>
      </c>
      <c r="AW154" s="64">
        <f t="shared" si="156"/>
        <v>131.0231999159077</v>
      </c>
      <c r="AX154" s="61">
        <f t="shared" si="157"/>
        <v>55.052835645106832</v>
      </c>
      <c r="AY154" s="310"/>
      <c r="BA154" s="31">
        <f t="shared" si="158"/>
        <v>0</v>
      </c>
      <c r="BB154" s="31">
        <f t="shared" si="159"/>
        <v>0</v>
      </c>
    </row>
    <row r="155" spans="14:54" x14ac:dyDescent="0.45">
      <c r="N155" s="10">
        <v>37</v>
      </c>
      <c r="O155" s="50">
        <f t="shared" si="125"/>
        <v>234.42288153199232</v>
      </c>
      <c r="P155" s="48" t="str">
        <f t="shared" si="126"/>
        <v>17.4002386318441</v>
      </c>
      <c r="Q155" s="17" t="str">
        <f t="shared" si="127"/>
        <v>1+0.126144488077807i</v>
      </c>
      <c r="R155" s="17">
        <f t="shared" si="135"/>
        <v>1.0079248145930391</v>
      </c>
      <c r="S155" s="17">
        <f t="shared" si="136"/>
        <v>0.12548171592876636</v>
      </c>
      <c r="T155" s="17" t="str">
        <f t="shared" si="128"/>
        <v>1+0.000441876721472553i</v>
      </c>
      <c r="U155" s="17">
        <f t="shared" si="137"/>
        <v>1.0000000976275139</v>
      </c>
      <c r="V155" s="17">
        <f t="shared" si="138"/>
        <v>4.4187669271300448E-4</v>
      </c>
      <c r="W155" s="31" t="str">
        <f t="shared" si="129"/>
        <v>1-0.00109016297723841i</v>
      </c>
      <c r="X155" s="17">
        <f t="shared" si="139"/>
        <v>1.0000005942274819</v>
      </c>
      <c r="Y155" s="17">
        <f t="shared" si="140"/>
        <v>-1.0901625453687224E-3</v>
      </c>
      <c r="Z155" s="31" t="str">
        <f t="shared" si="130"/>
        <v>0.999999950155023+0.00152465818007723i</v>
      </c>
      <c r="AA155" s="17">
        <f t="shared" si="141"/>
        <v>1.0000011124456885</v>
      </c>
      <c r="AB155" s="17">
        <f t="shared" si="142"/>
        <v>1.5246570746773153E-3</v>
      </c>
      <c r="AC155" s="66" t="str">
        <f t="shared" si="143"/>
        <v>17.1229529296683-2.19777581150574i</v>
      </c>
      <c r="AD155" s="64">
        <f t="shared" si="144"/>
        <v>24.742537685207104</v>
      </c>
      <c r="AE155" s="61">
        <f t="shared" si="145"/>
        <v>-7.3140731876368008</v>
      </c>
      <c r="AF155" s="31" t="str">
        <f t="shared" si="131"/>
        <v>-9090.90909090909</v>
      </c>
      <c r="AG155" s="31" t="str">
        <f t="shared" si="132"/>
        <v>2.27623467397318E-08i</v>
      </c>
      <c r="AH155" s="31">
        <f t="shared" si="146"/>
        <v>2.27623467397318E-8</v>
      </c>
      <c r="AI155" s="31">
        <f t="shared" si="147"/>
        <v>1.5707963267948966</v>
      </c>
      <c r="AJ155" s="31" t="str">
        <f t="shared" si="133"/>
        <v>1+4253964.38065459i</v>
      </c>
      <c r="AK155" s="31">
        <f t="shared" si="148"/>
        <v>4253964.3806547076</v>
      </c>
      <c r="AL155" s="31">
        <f t="shared" si="149"/>
        <v>1.5707960917200556</v>
      </c>
      <c r="AM155" s="31" t="str">
        <f t="shared" si="134"/>
        <v>1+1.94101714518843i</v>
      </c>
      <c r="AN155" s="31">
        <f t="shared" si="150"/>
        <v>2.1834714465537308</v>
      </c>
      <c r="AO155" s="31">
        <f t="shared" si="151"/>
        <v>1.0950676913743378</v>
      </c>
      <c r="AS155" s="58" t="str">
        <f t="shared" si="152"/>
        <v>93885.0048093582+182232.509230896i</v>
      </c>
      <c r="AT155" s="49">
        <f t="shared" si="153"/>
        <v>106.23487896011413</v>
      </c>
      <c r="AU155" s="61">
        <f t="shared" si="154"/>
        <v>62.742770465680216</v>
      </c>
      <c r="AV155" s="58" t="str">
        <f t="shared" si="155"/>
        <v>2008094.71900998+2914020.48518287i</v>
      </c>
      <c r="AW155" s="64">
        <f t="shared" si="156"/>
        <v>130.97741664532123</v>
      </c>
      <c r="AX155" s="61">
        <f t="shared" si="157"/>
        <v>55.428697278043458</v>
      </c>
      <c r="AY155" s="310"/>
      <c r="BA155" s="31">
        <f t="shared" si="158"/>
        <v>0</v>
      </c>
      <c r="BB155" s="31">
        <f t="shared" si="159"/>
        <v>0</v>
      </c>
    </row>
    <row r="156" spans="14:54" x14ac:dyDescent="0.45">
      <c r="N156" s="10">
        <v>38</v>
      </c>
      <c r="O156" s="50">
        <f t="shared" si="125"/>
        <v>239.88329190194912</v>
      </c>
      <c r="P156" s="48" t="str">
        <f t="shared" si="126"/>
        <v>17.4002386318441</v>
      </c>
      <c r="Q156" s="17" t="str">
        <f t="shared" si="127"/>
        <v>1+0.129082770664863i</v>
      </c>
      <c r="R156" s="17">
        <f t="shared" si="135"/>
        <v>1.0082967627055626</v>
      </c>
      <c r="S156" s="17">
        <f t="shared" si="136"/>
        <v>0.12837291273972312</v>
      </c>
      <c r="T156" s="17" t="str">
        <f t="shared" si="128"/>
        <v>1+0.00045216935253486i</v>
      </c>
      <c r="U156" s="17">
        <f t="shared" si="137"/>
        <v>1.0000001022285565</v>
      </c>
      <c r="V156" s="17">
        <f t="shared" si="138"/>
        <v>4.5216932171844874E-4</v>
      </c>
      <c r="W156" s="31" t="str">
        <f t="shared" si="129"/>
        <v>1-0.00111555613505199i</v>
      </c>
      <c r="X156" s="17">
        <f t="shared" si="139"/>
        <v>1.0000006222325517</v>
      </c>
      <c r="Y156" s="17">
        <f t="shared" si="140"/>
        <v>-1.1155556722952978E-3</v>
      </c>
      <c r="Z156" s="31" t="str">
        <f t="shared" si="130"/>
        <v>0.999999947805901+0.00156017203129657i</v>
      </c>
      <c r="AA156" s="17">
        <f t="shared" si="141"/>
        <v>1.0000011648736076</v>
      </c>
      <c r="AB156" s="17">
        <f t="shared" si="142"/>
        <v>1.5601708468392969E-3</v>
      </c>
      <c r="AC156" s="66" t="str">
        <f t="shared" si="143"/>
        <v>17.1100990338437-2.24730936656339i</v>
      </c>
      <c r="AD156" s="64">
        <f t="shared" si="144"/>
        <v>24.739332805450264</v>
      </c>
      <c r="AE156" s="61">
        <f t="shared" si="145"/>
        <v>-7.482626546705216</v>
      </c>
      <c r="AF156" s="31" t="str">
        <f t="shared" si="131"/>
        <v>-9090.90909090909</v>
      </c>
      <c r="AG156" s="31" t="str">
        <f t="shared" si="132"/>
        <v>2.27623467397318E-08i</v>
      </c>
      <c r="AH156" s="31">
        <f t="shared" si="146"/>
        <v>2.27623467397318E-8</v>
      </c>
      <c r="AI156" s="31">
        <f t="shared" si="147"/>
        <v>1.5707963267948966</v>
      </c>
      <c r="AJ156" s="31" t="str">
        <f t="shared" si="133"/>
        <v>1+4353051.9401358i</v>
      </c>
      <c r="AK156" s="31">
        <f t="shared" si="148"/>
        <v>4353051.9401359158</v>
      </c>
      <c r="AL156" s="31">
        <f t="shared" si="149"/>
        <v>1.5707960970710124</v>
      </c>
      <c r="AM156" s="31" t="str">
        <f t="shared" si="134"/>
        <v>1+1.98622924256813i</v>
      </c>
      <c r="AN156" s="31">
        <f t="shared" si="150"/>
        <v>2.2237595652481783</v>
      </c>
      <c r="AO156" s="31">
        <f t="shared" si="151"/>
        <v>1.1043793186592872</v>
      </c>
      <c r="AS156" s="58" t="str">
        <f t="shared" si="152"/>
        <v>91747.9211893191+182232.508237584i</v>
      </c>
      <c r="AT156" s="49">
        <f t="shared" si="153"/>
        <v>106.1936852036433</v>
      </c>
      <c r="AU156" s="61">
        <f t="shared" si="154"/>
        <v>63.276287102919817</v>
      </c>
      <c r="AV156" s="58" t="str">
        <f t="shared" si="155"/>
        <v>1979348.8403532+2911830.30047932i</v>
      </c>
      <c r="AW156" s="64">
        <f t="shared" si="156"/>
        <v>130.93301800909356</v>
      </c>
      <c r="AX156" s="61">
        <f t="shared" si="157"/>
        <v>55.793660556214562</v>
      </c>
      <c r="AY156" s="310"/>
      <c r="BA156" s="31">
        <f t="shared" si="158"/>
        <v>0</v>
      </c>
      <c r="BB156" s="31">
        <f t="shared" si="159"/>
        <v>0</v>
      </c>
    </row>
    <row r="157" spans="14:54" x14ac:dyDescent="0.45">
      <c r="N157" s="10">
        <v>39</v>
      </c>
      <c r="O157" s="50">
        <f t="shared" si="125"/>
        <v>245.4708915685033</v>
      </c>
      <c r="P157" s="48" t="str">
        <f t="shared" si="126"/>
        <v>17.4002386318441</v>
      </c>
      <c r="Q157" s="17" t="str">
        <f t="shared" si="127"/>
        <v>1+0.132089494645538i</v>
      </c>
      <c r="R157" s="17">
        <f t="shared" si="135"/>
        <v>1.0086860931904007</v>
      </c>
      <c r="S157" s="17">
        <f t="shared" si="136"/>
        <v>0.13132922148400131</v>
      </c>
      <c r="T157" s="17" t="str">
        <f t="shared" si="128"/>
        <v>1+0.000462701729773047i</v>
      </c>
      <c r="U157" s="17">
        <f t="shared" si="137"/>
        <v>1.0000001070464397</v>
      </c>
      <c r="V157" s="17">
        <f t="shared" si="138"/>
        <v>4.6270169675266759E-4</v>
      </c>
      <c r="W157" s="31" t="str">
        <f t="shared" si="129"/>
        <v>1-0.0011415407754945i</v>
      </c>
      <c r="X157" s="17">
        <f t="shared" si="139"/>
        <v>1.0000006515574589</v>
      </c>
      <c r="Y157" s="17">
        <f t="shared" si="140"/>
        <v>-1.1415402796417882E-3</v>
      </c>
      <c r="Z157" s="31" t="str">
        <f t="shared" si="130"/>
        <v>0.999999945346069+0.0015965131063782i</v>
      </c>
      <c r="AA157" s="17">
        <f t="shared" si="141"/>
        <v>1.000001219772376</v>
      </c>
      <c r="AB157" s="17">
        <f t="shared" si="142"/>
        <v>1.596511837209449E-3</v>
      </c>
      <c r="AC157" s="66" t="str">
        <f t="shared" si="143"/>
        <v>17.0966596616104-2.29788072268886i</v>
      </c>
      <c r="AD157" s="64">
        <f t="shared" si="144"/>
        <v>24.73597941702582</v>
      </c>
      <c r="AE157" s="61">
        <f t="shared" si="145"/>
        <v>-7.6549780937570855</v>
      </c>
      <c r="AF157" s="31" t="str">
        <f t="shared" si="131"/>
        <v>-9090.90909090909</v>
      </c>
      <c r="AG157" s="31" t="str">
        <f t="shared" si="132"/>
        <v>2.27623467397318E-08i</v>
      </c>
      <c r="AH157" s="31">
        <f t="shared" si="146"/>
        <v>2.27623467397318E-8</v>
      </c>
      <c r="AI157" s="31">
        <f t="shared" si="147"/>
        <v>1.5707963267948966</v>
      </c>
      <c r="AJ157" s="31" t="str">
        <f t="shared" si="133"/>
        <v>1+4454447.54537509i</v>
      </c>
      <c r="AK157" s="31">
        <f t="shared" si="148"/>
        <v>4454447.5453752028</v>
      </c>
      <c r="AL157" s="31">
        <f t="shared" si="149"/>
        <v>1.5707961023001664</v>
      </c>
      <c r="AM157" s="31" t="str">
        <f t="shared" si="134"/>
        <v>1+2.03249446498307i</v>
      </c>
      <c r="AN157" s="31">
        <f t="shared" si="150"/>
        <v>2.2651785250144889</v>
      </c>
      <c r="AO157" s="31">
        <f t="shared" si="151"/>
        <v>1.1135641354057106</v>
      </c>
      <c r="AS157" s="58" t="str">
        <f t="shared" si="152"/>
        <v>89659.4835315238+182232.507288976i</v>
      </c>
      <c r="AT157" s="49">
        <f t="shared" si="153"/>
        <v>106.15397733341446</v>
      </c>
      <c r="AU157" s="61">
        <f t="shared" si="154"/>
        <v>63.802538038482332</v>
      </c>
      <c r="AV157" s="58" t="str">
        <f t="shared" si="155"/>
        <v>1951626.24092082+2909540.35758823i</v>
      </c>
      <c r="AW157" s="64">
        <f t="shared" si="156"/>
        <v>130.88995675044029</v>
      </c>
      <c r="AX157" s="61">
        <f t="shared" si="157"/>
        <v>56.147559944725231</v>
      </c>
      <c r="AY157" s="310"/>
      <c r="BA157" s="31">
        <f t="shared" si="158"/>
        <v>0</v>
      </c>
      <c r="BB157" s="31">
        <f t="shared" si="159"/>
        <v>0</v>
      </c>
    </row>
    <row r="158" spans="14:54" x14ac:dyDescent="0.45">
      <c r="N158" s="10">
        <v>40</v>
      </c>
      <c r="O158" s="50">
        <f t="shared" si="125"/>
        <v>251.18864315095806</v>
      </c>
      <c r="P158" s="48" t="str">
        <f t="shared" si="126"/>
        <v>17.4002386318441</v>
      </c>
      <c r="Q158" s="17" t="str">
        <f t="shared" si="127"/>
        <v>1+0.135166254224686i</v>
      </c>
      <c r="R158" s="17">
        <f t="shared" si="135"/>
        <v>1.0090936112577129</v>
      </c>
      <c r="S158" s="17">
        <f t="shared" si="136"/>
        <v>0.13435200282645629</v>
      </c>
      <c r="T158" s="17" t="str">
        <f t="shared" si="128"/>
        <v>1+0.000473479437592944i</v>
      </c>
      <c r="U158" s="17">
        <f t="shared" si="137"/>
        <v>1.0000001120913826</v>
      </c>
      <c r="V158" s="17">
        <f t="shared" si="138"/>
        <v>4.7347940221097022E-4</v>
      </c>
      <c r="W158" s="31" t="str">
        <f t="shared" si="129"/>
        <v>1-0.00116813067596627i</v>
      </c>
      <c r="X158" s="17">
        <f t="shared" si="139"/>
        <v>1.0000006822644054</v>
      </c>
      <c r="Y158" s="17">
        <f t="shared" si="140"/>
        <v>-1.1681301446505364E-3</v>
      </c>
      <c r="Z158" s="31" t="str">
        <f t="shared" si="130"/>
        <v>0.999999942770309+0.0016337006738412i</v>
      </c>
      <c r="AA158" s="17">
        <f t="shared" si="141"/>
        <v>1.0000012772584408</v>
      </c>
      <c r="AB158" s="17">
        <f t="shared" si="142"/>
        <v>1.6336993139024747E-3</v>
      </c>
      <c r="AC158" s="66" t="str">
        <f t="shared" si="143"/>
        <v>17.0826091281392-2.34950607866393i</v>
      </c>
      <c r="AD158" s="64">
        <f t="shared" si="144"/>
        <v>24.732470760994669</v>
      </c>
      <c r="AE158" s="61">
        <f t="shared" si="145"/>
        <v>-7.831207362543096</v>
      </c>
      <c r="AF158" s="31" t="str">
        <f t="shared" si="131"/>
        <v>-9090.90909090909</v>
      </c>
      <c r="AG158" s="31" t="str">
        <f t="shared" si="132"/>
        <v>2.27623467397318E-08i</v>
      </c>
      <c r="AH158" s="31">
        <f t="shared" si="146"/>
        <v>2.27623467397318E-8</v>
      </c>
      <c r="AI158" s="31">
        <f t="shared" si="147"/>
        <v>1.5707963267948966</v>
      </c>
      <c r="AJ158" s="31" t="str">
        <f t="shared" si="133"/>
        <v>1+4558204.95766456i</v>
      </c>
      <c r="AK158" s="31">
        <f t="shared" si="148"/>
        <v>4558204.9576646686</v>
      </c>
      <c r="AL158" s="31">
        <f t="shared" si="149"/>
        <v>1.5707961074102903</v>
      </c>
      <c r="AM158" s="31" t="str">
        <f t="shared" si="134"/>
        <v>1+2.0798373428666i</v>
      </c>
      <c r="AN158" s="31">
        <f t="shared" si="150"/>
        <v>2.3077528838206223</v>
      </c>
      <c r="AO158" s="31">
        <f t="shared" si="151"/>
        <v>1.1226208118674621</v>
      </c>
      <c r="AS158" s="58" t="str">
        <f t="shared" si="152"/>
        <v>87618.5845186795+182232.506383063i</v>
      </c>
      <c r="AT158" s="49">
        <f t="shared" si="153"/>
        <v>106.11571466723524</v>
      </c>
      <c r="AU158" s="61">
        <f t="shared" si="154"/>
        <v>64.321447083367659</v>
      </c>
      <c r="AV158" s="58" t="str">
        <f t="shared" si="155"/>
        <v>1924910.4131706+2907146.28005243i</v>
      </c>
      <c r="AW158" s="64">
        <f t="shared" si="156"/>
        <v>130.8481854282299</v>
      </c>
      <c r="AX158" s="61">
        <f t="shared" si="157"/>
        <v>56.490239720824562</v>
      </c>
      <c r="AY158" s="310"/>
      <c r="BA158" s="31">
        <f t="shared" si="158"/>
        <v>0</v>
      </c>
      <c r="BB158" s="31">
        <f t="shared" si="159"/>
        <v>0</v>
      </c>
    </row>
    <row r="159" spans="14:54" x14ac:dyDescent="0.45">
      <c r="N159" s="10">
        <v>41</v>
      </c>
      <c r="O159" s="50">
        <f t="shared" si="125"/>
        <v>257.03957827688663</v>
      </c>
      <c r="P159" s="48" t="str">
        <f t="shared" si="126"/>
        <v>17.4002386318441</v>
      </c>
      <c r="Q159" s="17" t="str">
        <f t="shared" si="127"/>
        <v>1+0.13831468074096i</v>
      </c>
      <c r="R159" s="17">
        <f t="shared" si="135"/>
        <v>1.0095201587429909</v>
      </c>
      <c r="S159" s="17">
        <f t="shared" si="136"/>
        <v>0.13744263841069632</v>
      </c>
      <c r="T159" s="17" t="str">
        <f t="shared" si="128"/>
        <v>1+0.000484508190477891i</v>
      </c>
      <c r="U159" s="17">
        <f t="shared" si="137"/>
        <v>1.0000001173740865</v>
      </c>
      <c r="V159" s="17">
        <f t="shared" si="138"/>
        <v>4.8450815256542327E-4</v>
      </c>
      <c r="W159" s="31" t="str">
        <f t="shared" si="129"/>
        <v>1-0.00119533993478446i</v>
      </c>
      <c r="X159" s="17">
        <f t="shared" si="139"/>
        <v>1.0000007144185246</v>
      </c>
      <c r="Y159" s="17">
        <f t="shared" si="140"/>
        <v>-1.1953393654694164E-3</v>
      </c>
      <c r="Z159" s="31" t="str">
        <f t="shared" si="130"/>
        <v>0.999999940073157+0.00167175445102604i</v>
      </c>
      <c r="AA159" s="17">
        <f t="shared" si="141"/>
        <v>1.0000013374537366</v>
      </c>
      <c r="AB159" s="17">
        <f t="shared" si="142"/>
        <v>1.6717529938255467E-3</v>
      </c>
      <c r="AC159" s="66" t="str">
        <f t="shared" si="143"/>
        <v>17.0679207147245-2.40220147813958i</v>
      </c>
      <c r="AD159" s="64">
        <f t="shared" si="144"/>
        <v>24.728799782415642</v>
      </c>
      <c r="AE159" s="61">
        <f t="shared" si="145"/>
        <v>-8.0113951254556905</v>
      </c>
      <c r="AF159" s="31" t="str">
        <f t="shared" si="131"/>
        <v>-9090.90909090909</v>
      </c>
      <c r="AG159" s="31" t="str">
        <f t="shared" si="132"/>
        <v>2.27623467397318E-08i</v>
      </c>
      <c r="AH159" s="31">
        <f t="shared" si="146"/>
        <v>2.27623467397318E-8</v>
      </c>
      <c r="AI159" s="31">
        <f t="shared" si="147"/>
        <v>1.5707963267948966</v>
      </c>
      <c r="AJ159" s="31" t="str">
        <f t="shared" si="133"/>
        <v>1+4664379.19055752i</v>
      </c>
      <c r="AK159" s="31">
        <f t="shared" si="148"/>
        <v>4664379.1905576279</v>
      </c>
      <c r="AL159" s="31">
        <f t="shared" si="149"/>
        <v>1.5707961124040937</v>
      </c>
      <c r="AM159" s="31" t="str">
        <f t="shared" si="134"/>
        <v>1+2.12828297803921i</v>
      </c>
      <c r="AN159" s="31">
        <f t="shared" si="150"/>
        <v>2.3515076939298853</v>
      </c>
      <c r="AO159" s="31">
        <f t="shared" si="151"/>
        <v>1.1315482061641544</v>
      </c>
      <c r="AS159" s="58" t="str">
        <f t="shared" si="152"/>
        <v>85624.1420391164+182232.505517922i</v>
      </c>
      <c r="AT159" s="49">
        <f t="shared" si="153"/>
        <v>106.078856701528</v>
      </c>
      <c r="AU159" s="61">
        <f t="shared" si="154"/>
        <v>64.83294881249337</v>
      </c>
      <c r="AV159" s="58" t="str">
        <f t="shared" si="155"/>
        <v>1899185.26171018+2904643.51525469i</v>
      </c>
      <c r="AW159" s="64">
        <f t="shared" si="156"/>
        <v>130.80765648394365</v>
      </c>
      <c r="AX159" s="61">
        <f t="shared" si="157"/>
        <v>56.821553687037678</v>
      </c>
      <c r="AY159" s="310"/>
      <c r="BA159" s="31">
        <f t="shared" si="158"/>
        <v>0</v>
      </c>
      <c r="BB159" s="31">
        <f t="shared" si="159"/>
        <v>0</v>
      </c>
    </row>
    <row r="160" spans="14:54" x14ac:dyDescent="0.45">
      <c r="N160" s="10">
        <v>42</v>
      </c>
      <c r="O160" s="50">
        <f t="shared" si="125"/>
        <v>263.02679918953817</v>
      </c>
      <c r="P160" s="48" t="str">
        <f t="shared" si="126"/>
        <v>17.4002386318441</v>
      </c>
      <c r="Q160" s="17" t="str">
        <f t="shared" si="127"/>
        <v>1+0.141536443531774i</v>
      </c>
      <c r="R160" s="17">
        <f t="shared" si="135"/>
        <v>1.0099666157094613</v>
      </c>
      <c r="S160" s="17">
        <f t="shared" si="136"/>
        <v>0.14060253063351613</v>
      </c>
      <c r="T160" s="17" t="str">
        <f t="shared" si="128"/>
        <v>1+0.000495793836018654i</v>
      </c>
      <c r="U160" s="17">
        <f t="shared" si="137"/>
        <v>1.0000001229057562</v>
      </c>
      <c r="V160" s="17">
        <f t="shared" si="138"/>
        <v>4.9579379539471322E-4</v>
      </c>
      <c r="W160" s="31" t="str">
        <f t="shared" si="129"/>
        <v>1-0.00122318297865827i</v>
      </c>
      <c r="X160" s="17">
        <f t="shared" si="139"/>
        <v>1.0000007480880198</v>
      </c>
      <c r="Y160" s="17">
        <f t="shared" si="140"/>
        <v>-1.2231823686262345E-3</v>
      </c>
      <c r="Z160" s="31" t="str">
        <f t="shared" si="130"/>
        <v>0.999999937248892+0.0017106946145491i</v>
      </c>
      <c r="AA160" s="17">
        <f t="shared" si="141"/>
        <v>1.0000014004859454</v>
      </c>
      <c r="AB160" s="17">
        <f t="shared" si="142"/>
        <v>1.7106930531307577E-3</v>
      </c>
      <c r="AC160" s="66" t="str">
        <f t="shared" si="143"/>
        <v>17.0525666360311-2.45598277236339i</v>
      </c>
      <c r="AD160" s="64">
        <f t="shared" si="144"/>
        <v>24.724959118479383</v>
      </c>
      <c r="AE160" s="61">
        <f t="shared" si="145"/>
        <v>-8.1956233814582582</v>
      </c>
      <c r="AF160" s="31" t="str">
        <f t="shared" si="131"/>
        <v>-9090.90909090909</v>
      </c>
      <c r="AG160" s="31" t="str">
        <f t="shared" si="132"/>
        <v>2.27623467397318E-08i</v>
      </c>
      <c r="AH160" s="31">
        <f t="shared" si="146"/>
        <v>2.27623467397318E-8</v>
      </c>
      <c r="AI160" s="31">
        <f t="shared" si="147"/>
        <v>1.5707963267948966</v>
      </c>
      <c r="AJ160" s="31" t="str">
        <f t="shared" si="133"/>
        <v>1+4773026.53903768i</v>
      </c>
      <c r="AK160" s="31">
        <f t="shared" si="148"/>
        <v>4773026.5390377855</v>
      </c>
      <c r="AL160" s="31">
        <f t="shared" si="149"/>
        <v>1.5707961172842242</v>
      </c>
      <c r="AM160" s="31" t="str">
        <f t="shared" si="134"/>
        <v>1+2.17785705701794i</v>
      </c>
      <c r="AN160" s="31">
        <f t="shared" si="150"/>
        <v>2.3964685186337924</v>
      </c>
      <c r="AO160" s="31">
        <f t="shared" si="151"/>
        <v>1.1403453587275403</v>
      </c>
      <c r="AS160" s="58" t="str">
        <f t="shared" si="152"/>
        <v>83675.0986130319+182232.50469172i</v>
      </c>
      <c r="AT160" s="49">
        <f t="shared" si="153"/>
        <v>106.04336318490502</v>
      </c>
      <c r="AU160" s="61">
        <f t="shared" si="154"/>
        <v>65.336988246497199</v>
      </c>
      <c r="AV160" s="58" t="str">
        <f t="shared" si="155"/>
        <v>1874435.0869627+2902027.32883699i</v>
      </c>
      <c r="AW160" s="64">
        <f t="shared" si="156"/>
        <v>130.76832230338442</v>
      </c>
      <c r="AX160" s="61">
        <f t="shared" si="157"/>
        <v>57.141364865038874</v>
      </c>
      <c r="AY160" s="310"/>
      <c r="BA160" s="31">
        <f t="shared" si="158"/>
        <v>0</v>
      </c>
      <c r="BB160" s="31">
        <f t="shared" si="159"/>
        <v>0</v>
      </c>
    </row>
    <row r="161" spans="14:54" x14ac:dyDescent="0.45">
      <c r="N161" s="10">
        <v>43</v>
      </c>
      <c r="O161" s="50">
        <f t="shared" si="125"/>
        <v>269.15348039269179</v>
      </c>
      <c r="P161" s="48" t="str">
        <f t="shared" si="126"/>
        <v>17.4002386318441</v>
      </c>
      <c r="Q161" s="17" t="str">
        <f t="shared" si="127"/>
        <v>1+0.144833250818405i</v>
      </c>
      <c r="R161" s="17">
        <f t="shared" si="135"/>
        <v>1.0104339021146445</v>
      </c>
      <c r="S161" s="17">
        <f t="shared" si="136"/>
        <v>0.14383310236906144</v>
      </c>
      <c r="T161" s="17" t="str">
        <f t="shared" si="128"/>
        <v>1+0.000507342358013883i</v>
      </c>
      <c r="U161" s="17">
        <f t="shared" si="137"/>
        <v>1.0000001286981259</v>
      </c>
      <c r="V161" s="17">
        <f t="shared" si="138"/>
        <v>5.0734231448454651E-4</v>
      </c>
      <c r="W161" s="31" t="str">
        <f t="shared" si="129"/>
        <v>1-0.00125167457033811i</v>
      </c>
      <c r="X161" s="17">
        <f t="shared" si="139"/>
        <v>1.0000007833443083</v>
      </c>
      <c r="Y161" s="17">
        <f t="shared" si="140"/>
        <v>-1.2516739166770349E-3</v>
      </c>
      <c r="Z161" s="31" t="str">
        <f t="shared" si="130"/>
        <v>0.999999934291523+0.00175054181100053i</v>
      </c>
      <c r="AA161" s="17">
        <f t="shared" si="141"/>
        <v>1.000001466488766</v>
      </c>
      <c r="AB161" s="17">
        <f t="shared" si="142"/>
        <v>1.7505401379107658E-3</v>
      </c>
      <c r="AC161" s="66" t="str">
        <f t="shared" si="143"/>
        <v>17.0365180071882-2.51086558013696i</v>
      </c>
      <c r="AD161" s="64">
        <f t="shared" si="144"/>
        <v>24.720941086271651</v>
      </c>
      <c r="AE161" s="61">
        <f t="shared" si="145"/>
        <v>-8.383975341154688</v>
      </c>
      <c r="AF161" s="31" t="str">
        <f t="shared" si="131"/>
        <v>-9090.90909090909</v>
      </c>
      <c r="AG161" s="31" t="str">
        <f t="shared" si="132"/>
        <v>2.27623467397318E-08i</v>
      </c>
      <c r="AH161" s="31">
        <f t="shared" si="146"/>
        <v>2.27623467397318E-8</v>
      </c>
      <c r="AI161" s="31">
        <f t="shared" si="147"/>
        <v>1.5707963267948966</v>
      </c>
      <c r="AJ161" s="31" t="str">
        <f t="shared" si="133"/>
        <v>1+4884204.60936733i</v>
      </c>
      <c r="AK161" s="31">
        <f t="shared" si="148"/>
        <v>4884204.6093674311</v>
      </c>
      <c r="AL161" s="31">
        <f t="shared" si="149"/>
        <v>1.5707961220532694</v>
      </c>
      <c r="AM161" s="31" t="str">
        <f t="shared" si="134"/>
        <v>1+2.22858586463565i</v>
      </c>
      <c r="AN161" s="31">
        <f t="shared" si="150"/>
        <v>2.4426614493322294</v>
      </c>
      <c r="AO161" s="31">
        <f t="shared" si="151"/>
        <v>1.1490114864183083</v>
      </c>
      <c r="AS161" s="58" t="str">
        <f t="shared" si="152"/>
        <v>81770.4208318033+182232.503902705i</v>
      </c>
      <c r="AT161" s="49">
        <f t="shared" si="153"/>
        <v>106.00919418679894</v>
      </c>
      <c r="AU161" s="61">
        <f t="shared" si="154"/>
        <v>65.833520514653614</v>
      </c>
      <c r="AV161" s="58" t="str">
        <f t="shared" si="155"/>
        <v>1850644.56858785+2899292.79909354i</v>
      </c>
      <c r="AW161" s="64">
        <f t="shared" si="156"/>
        <v>130.73013527307057</v>
      </c>
      <c r="AX161" s="61">
        <f t="shared" si="157"/>
        <v>57.449545173498933</v>
      </c>
      <c r="AY161" s="310"/>
      <c r="BA161" s="31">
        <f t="shared" si="158"/>
        <v>0</v>
      </c>
      <c r="BB161" s="31">
        <f t="shared" si="159"/>
        <v>0</v>
      </c>
    </row>
    <row r="162" spans="14:54" x14ac:dyDescent="0.45">
      <c r="N162" s="10">
        <v>44</v>
      </c>
      <c r="O162" s="50">
        <f t="shared" si="125"/>
        <v>275.42287033381683</v>
      </c>
      <c r="P162" s="48" t="str">
        <f t="shared" si="126"/>
        <v>17.4002386318441</v>
      </c>
      <c r="Q162" s="17" t="str">
        <f t="shared" si="127"/>
        <v>1+0.148206850611715i</v>
      </c>
      <c r="R162" s="17">
        <f t="shared" si="135"/>
        <v>1.0109229795430723</v>
      </c>
      <c r="S162" s="17">
        <f t="shared" si="136"/>
        <v>0.14713579663903786</v>
      </c>
      <c r="T162" s="17" t="str">
        <f t="shared" si="128"/>
        <v>1+0.000519159879642801i</v>
      </c>
      <c r="U162" s="17">
        <f t="shared" si="137"/>
        <v>1.0000001347634813</v>
      </c>
      <c r="V162" s="17">
        <f t="shared" si="138"/>
        <v>5.1915983300027699E-4</v>
      </c>
      <c r="W162" s="31" t="str">
        <f t="shared" si="129"/>
        <v>1-0.00128082981644301i</v>
      </c>
      <c r="X162" s="17">
        <f t="shared" si="139"/>
        <v>1.0000008202621729</v>
      </c>
      <c r="Y162" s="17">
        <f t="shared" si="140"/>
        <v>-1.2808291160325799E-3</v>
      </c>
      <c r="Z162" s="31" t="str">
        <f t="shared" si="130"/>
        <v>0.999999931194778+0.0017913171678913i</v>
      </c>
      <c r="AA162" s="17">
        <f t="shared" si="141"/>
        <v>1.0000015356021994</v>
      </c>
      <c r="AB162" s="17">
        <f t="shared" si="142"/>
        <v>1.7913153751434668E-3</v>
      </c>
      <c r="AC162" s="66" t="str">
        <f t="shared" si="143"/>
        <v>17.0197448108353-2.56686524485838i</v>
      </c>
      <c r="AD162" s="64">
        <f t="shared" si="144"/>
        <v>24.716737670164036</v>
      </c>
      <c r="AE162" s="61">
        <f t="shared" si="145"/>
        <v>-8.5765354087871462</v>
      </c>
      <c r="AF162" s="31" t="str">
        <f t="shared" si="131"/>
        <v>-9090.90909090909</v>
      </c>
      <c r="AG162" s="31" t="str">
        <f t="shared" si="132"/>
        <v>2.27623467397318E-08i</v>
      </c>
      <c r="AH162" s="31">
        <f t="shared" si="146"/>
        <v>2.27623467397318E-8</v>
      </c>
      <c r="AI162" s="31">
        <f t="shared" si="147"/>
        <v>1.5707963267948966</v>
      </c>
      <c r="AJ162" s="31" t="str">
        <f t="shared" si="133"/>
        <v>1+4997972.34963096i</v>
      </c>
      <c r="AK162" s="31">
        <f t="shared" si="148"/>
        <v>4997972.3496310599</v>
      </c>
      <c r="AL162" s="31">
        <f t="shared" si="149"/>
        <v>1.5707961267137578</v>
      </c>
      <c r="AM162" s="31" t="str">
        <f t="shared" si="134"/>
        <v>1+2.28049629797761i</v>
      </c>
      <c r="AN162" s="31">
        <f t="shared" si="150"/>
        <v>2.4901131229503579</v>
      </c>
      <c r="AO162" s="31">
        <f t="shared" si="151"/>
        <v>1.1575459763647857</v>
      </c>
      <c r="AS162" s="58" t="str">
        <f t="shared" si="152"/>
        <v>79909.0988100581+182232.503149197i</v>
      </c>
      <c r="AT162" s="49">
        <f t="shared" si="153"/>
        <v>105.97631016112703</v>
      </c>
      <c r="AU162" s="61">
        <f t="shared" si="154"/>
        <v>66.322510501857124</v>
      </c>
      <c r="AV162" s="58" t="str">
        <f t="shared" si="155"/>
        <v>1827798.74862823+2896434.81135558i</v>
      </c>
      <c r="AW162" s="64">
        <f t="shared" si="156"/>
        <v>130.69304783129107</v>
      </c>
      <c r="AX162" s="61">
        <f t="shared" si="157"/>
        <v>57.745975093069987</v>
      </c>
      <c r="AY162" s="310"/>
      <c r="BA162" s="31">
        <f t="shared" si="158"/>
        <v>0</v>
      </c>
      <c r="BB162" s="31">
        <f t="shared" si="159"/>
        <v>0</v>
      </c>
    </row>
    <row r="163" spans="14:54" x14ac:dyDescent="0.45">
      <c r="N163" s="10">
        <v>45</v>
      </c>
      <c r="O163" s="50">
        <f t="shared" si="125"/>
        <v>281.83829312644554</v>
      </c>
      <c r="P163" s="48" t="str">
        <f t="shared" si="126"/>
        <v>17.4002386318441</v>
      </c>
      <c r="Q163" s="17" t="str">
        <f t="shared" si="127"/>
        <v>1+0.151659031638968i</v>
      </c>
      <c r="R163" s="17">
        <f t="shared" si="135"/>
        <v>1.0114348530071868</v>
      </c>
      <c r="S163" s="17">
        <f t="shared" si="136"/>
        <v>0.15051207622507284</v>
      </c>
      <c r="T163" s="17" t="str">
        <f t="shared" si="128"/>
        <v>1+0.000531252666711798i</v>
      </c>
      <c r="U163" s="17">
        <f t="shared" si="137"/>
        <v>1.0000001411146879</v>
      </c>
      <c r="V163" s="17">
        <f t="shared" si="138"/>
        <v>5.3125261673343338E-4</v>
      </c>
      <c r="W163" s="31" t="str">
        <f t="shared" si="129"/>
        <v>1-0.00131066417547038i</v>
      </c>
      <c r="X163" s="17">
        <f t="shared" si="139"/>
        <v>1.0000008589199216</v>
      </c>
      <c r="Y163" s="17">
        <f t="shared" si="140"/>
        <v>-1.3106634249671174E-3</v>
      </c>
      <c r="Z163" s="31" t="str">
        <f t="shared" si="130"/>
        <v>0.999999927952088+0.00183304230485538i</v>
      </c>
      <c r="AA163" s="17">
        <f t="shared" si="141"/>
        <v>1.0000016079728433</v>
      </c>
      <c r="AB163" s="17">
        <f t="shared" si="142"/>
        <v>1.8330403838916337E-3</v>
      </c>
      <c r="AC163" s="66" t="str">
        <f t="shared" si="143"/>
        <v>17.0022158642397-2.6239967885023i</v>
      </c>
      <c r="AD163" s="64">
        <f t="shared" si="144"/>
        <v>24.712340508832803</v>
      </c>
      <c r="AE163" s="61">
        <f t="shared" si="145"/>
        <v>-8.7733891609407095</v>
      </c>
      <c r="AF163" s="31" t="str">
        <f t="shared" si="131"/>
        <v>-9090.90909090909</v>
      </c>
      <c r="AG163" s="31" t="str">
        <f t="shared" si="132"/>
        <v>2.27623467397318E-08i</v>
      </c>
      <c r="AH163" s="31">
        <f t="shared" si="146"/>
        <v>2.27623467397318E-8</v>
      </c>
      <c r="AI163" s="31">
        <f t="shared" si="147"/>
        <v>1.5707963267948966</v>
      </c>
      <c r="AJ163" s="31" t="str">
        <f t="shared" si="133"/>
        <v>1+5114390.08099033i</v>
      </c>
      <c r="AK163" s="31">
        <f t="shared" si="148"/>
        <v>5114390.0809904281</v>
      </c>
      <c r="AL163" s="31">
        <f t="shared" si="149"/>
        <v>1.5707961312681604</v>
      </c>
      <c r="AM163" s="31" t="str">
        <f t="shared" si="134"/>
        <v>1+2.33361588064269i</v>
      </c>
      <c r="AN163" s="31">
        <f t="shared" si="150"/>
        <v>2.5388507396827715</v>
      </c>
      <c r="AO163" s="31">
        <f t="shared" si="151"/>
        <v>1.1659483795729819</v>
      </c>
      <c r="AS163" s="58" t="str">
        <f t="shared" si="152"/>
        <v>78090.1456502247+182232.502429605i</v>
      </c>
      <c r="AT163" s="49">
        <f t="shared" si="153"/>
        <v>105.94467200500543</v>
      </c>
      <c r="AU163" s="61">
        <f t="shared" si="154"/>
        <v>66.803932482505886</v>
      </c>
      <c r="AV163" s="58" t="str">
        <f t="shared" si="155"/>
        <v>1805883.01435106+2893448.05238886i</v>
      </c>
      <c r="AW163" s="64">
        <f t="shared" si="156"/>
        <v>130.6570125138382</v>
      </c>
      <c r="AX163" s="61">
        <f t="shared" si="157"/>
        <v>58.030543321565162</v>
      </c>
      <c r="AY163" s="310"/>
      <c r="BA163" s="31">
        <f t="shared" si="158"/>
        <v>0</v>
      </c>
      <c r="BB163" s="31">
        <f t="shared" si="159"/>
        <v>0</v>
      </c>
    </row>
    <row r="164" spans="14:54" x14ac:dyDescent="0.45">
      <c r="N164" s="10">
        <v>46</v>
      </c>
      <c r="O164" s="50">
        <f t="shared" si="125"/>
        <v>288.40315031266073</v>
      </c>
      <c r="P164" s="48" t="str">
        <f t="shared" si="126"/>
        <v>17.4002386318441</v>
      </c>
      <c r="Q164" s="17" t="str">
        <f t="shared" si="127"/>
        <v>1+0.155191624292241i</v>
      </c>
      <c r="R164" s="17">
        <f t="shared" si="135"/>
        <v>1.0119705728184314</v>
      </c>
      <c r="S164" s="17">
        <f t="shared" si="136"/>
        <v>0.15396342321915704</v>
      </c>
      <c r="T164" s="17" t="str">
        <f t="shared" si="128"/>
        <v>1+0.000543627130976646i</v>
      </c>
      <c r="U164" s="17">
        <f t="shared" si="137"/>
        <v>1.0000001477652178</v>
      </c>
      <c r="V164" s="17">
        <f t="shared" si="138"/>
        <v>5.4362707742386385E-4</v>
      </c>
      <c r="W164" s="31" t="str">
        <f t="shared" si="129"/>
        <v>1-0.00134119346599227i</v>
      </c>
      <c r="X164" s="17">
        <f t="shared" si="139"/>
        <v>1.0000008993995522</v>
      </c>
      <c r="Y164" s="17">
        <f t="shared" si="140"/>
        <v>-1.3411926618135746E-3</v>
      </c>
      <c r="Z164" s="31" t="str">
        <f t="shared" si="130"/>
        <v>0.999999924556574+0.00187573934511267i</v>
      </c>
      <c r="AA164" s="17">
        <f t="shared" si="141"/>
        <v>1.0000016837542047</v>
      </c>
      <c r="AB164" s="17">
        <f t="shared" si="142"/>
        <v>1.8757372867631188E-3</v>
      </c>
      <c r="AC164" s="66" t="str">
        <f t="shared" si="143"/>
        <v>16.9838987866191-2.68227486238721i</v>
      </c>
      <c r="AD164" s="64">
        <f t="shared" si="144"/>
        <v>24.707740881907352</v>
      </c>
      <c r="AE164" s="61">
        <f t="shared" si="145"/>
        <v>-8.974623321721479</v>
      </c>
      <c r="AF164" s="31" t="str">
        <f t="shared" si="131"/>
        <v>-9090.90909090909</v>
      </c>
      <c r="AG164" s="31" t="str">
        <f t="shared" si="132"/>
        <v>2.27623467397318E-08i</v>
      </c>
      <c r="AH164" s="31">
        <f t="shared" si="146"/>
        <v>2.27623467397318E-8</v>
      </c>
      <c r="AI164" s="31">
        <f t="shared" si="147"/>
        <v>1.5707963267948966</v>
      </c>
      <c r="AJ164" s="31" t="str">
        <f t="shared" si="133"/>
        <v>1+5233519.52966761i</v>
      </c>
      <c r="AK164" s="31">
        <f t="shared" si="148"/>
        <v>5233519.5296677053</v>
      </c>
      <c r="AL164" s="31">
        <f t="shared" si="149"/>
        <v>1.5707961357188924</v>
      </c>
      <c r="AM164" s="31" t="str">
        <f t="shared" si="134"/>
        <v>1+2.38797277733675i</v>
      </c>
      <c r="AN164" s="31">
        <f t="shared" si="150"/>
        <v>2.5889020810570242</v>
      </c>
      <c r="AO164" s="31">
        <f t="shared" si="151"/>
        <v>1.1742184043551644</v>
      </c>
      <c r="AS164" s="58" t="str">
        <f t="shared" si="152"/>
        <v>76312.5969192603+182232.501742401i</v>
      </c>
      <c r="AT164" s="49">
        <f t="shared" si="153"/>
        <v>105.9142411125579</v>
      </c>
      <c r="AU164" s="61">
        <f t="shared" si="154"/>
        <v>67.277769743985459</v>
      </c>
      <c r="AV164" s="58" t="str">
        <f t="shared" si="155"/>
        <v>1784883.08075435+2890327.00482531i</v>
      </c>
      <c r="AW164" s="64">
        <f t="shared" si="156"/>
        <v>130.62198199446524</v>
      </c>
      <c r="AX164" s="61">
        <f t="shared" si="157"/>
        <v>58.303146422264049</v>
      </c>
      <c r="AY164" s="310"/>
      <c r="BA164" s="31">
        <f t="shared" si="158"/>
        <v>0</v>
      </c>
      <c r="BB164" s="31">
        <f t="shared" si="159"/>
        <v>0</v>
      </c>
    </row>
    <row r="165" spans="14:54" x14ac:dyDescent="0.45">
      <c r="N165" s="10">
        <v>47</v>
      </c>
      <c r="O165" s="50">
        <f t="shared" si="125"/>
        <v>295.12092266663871</v>
      </c>
      <c r="P165" s="48" t="str">
        <f t="shared" si="126"/>
        <v>17.4002386318441</v>
      </c>
      <c r="Q165" s="17" t="str">
        <f t="shared" si="127"/>
        <v>1+0.158806501598918i</v>
      </c>
      <c r="R165" s="17">
        <f t="shared" si="135"/>
        <v>1.0125312365305512</v>
      </c>
      <c r="S165" s="17">
        <f t="shared" si="136"/>
        <v>0.15749133850787325</v>
      </c>
      <c r="T165" s="17" t="str">
        <f t="shared" si="128"/>
        <v>1+0.000556289833542093i</v>
      </c>
      <c r="U165" s="17">
        <f t="shared" si="137"/>
        <v>1.0000001547291775</v>
      </c>
      <c r="V165" s="17">
        <f t="shared" si="138"/>
        <v>5.5628977615925358E-4</v>
      </c>
      <c r="W165" s="31" t="str">
        <f t="shared" si="129"/>
        <v>1-0.00137243387504262i</v>
      </c>
      <c r="X165" s="17">
        <f t="shared" si="139"/>
        <v>1.0000009417869271</v>
      </c>
      <c r="Y165" s="17">
        <f t="shared" si="140"/>
        <v>-1.3724330133496666E-3</v>
      </c>
      <c r="Z165" s="31" t="str">
        <f t="shared" si="130"/>
        <v>0.999999921001035+0.00191943092719909i</v>
      </c>
      <c r="AA165" s="17">
        <f t="shared" si="141"/>
        <v>1.0000017631070259</v>
      </c>
      <c r="AB165" s="17">
        <f t="shared" si="142"/>
        <v>1.919428721638019E-3</v>
      </c>
      <c r="AC165" s="66" t="str">
        <f t="shared" si="143"/>
        <v>16.9647599668162-2.74171369457687i</v>
      </c>
      <c r="AD165" s="64">
        <f t="shared" si="144"/>
        <v>24.702929696250937</v>
      </c>
      <c r="AE165" s="61">
        <f t="shared" si="145"/>
        <v>-9.1803257341625404</v>
      </c>
      <c r="AF165" s="31" t="str">
        <f t="shared" si="131"/>
        <v>-9090.90909090909</v>
      </c>
      <c r="AG165" s="31" t="str">
        <f t="shared" si="132"/>
        <v>2.27623467397318E-08i</v>
      </c>
      <c r="AH165" s="31">
        <f t="shared" si="146"/>
        <v>2.27623467397318E-8</v>
      </c>
      <c r="AI165" s="31">
        <f t="shared" si="147"/>
        <v>1.5707963267948966</v>
      </c>
      <c r="AJ165" s="31" t="str">
        <f t="shared" si="133"/>
        <v>1+5355423.85967333i</v>
      </c>
      <c r="AK165" s="31">
        <f t="shared" si="148"/>
        <v>5355423.8596734228</v>
      </c>
      <c r="AL165" s="31">
        <f t="shared" si="149"/>
        <v>1.5707961400683133</v>
      </c>
      <c r="AM165" s="31" t="str">
        <f t="shared" si="134"/>
        <v>1+2.4435958088059i</v>
      </c>
      <c r="AN165" s="31">
        <f t="shared" si="150"/>
        <v>2.6402955283099963</v>
      </c>
      <c r="AO165" s="31">
        <f t="shared" si="151"/>
        <v>1.1823559096216372</v>
      </c>
      <c r="AS165" s="58" t="str">
        <f t="shared" si="152"/>
        <v>74575.510137299+182232.501086125i</v>
      </c>
      <c r="AT165" s="49">
        <f t="shared" si="153"/>
        <v>105.88497942390099</v>
      </c>
      <c r="AU165" s="61">
        <f t="shared" si="154"/>
        <v>67.744014202316407</v>
      </c>
      <c r="AV165" s="58" t="str">
        <f t="shared" si="155"/>
        <v>1764784.97270697+2887065.94165519i</v>
      </c>
      <c r="AW165" s="64">
        <f t="shared" si="156"/>
        <v>130.58790912015192</v>
      </c>
      <c r="AX165" s="61">
        <f t="shared" si="157"/>
        <v>58.563688468153821</v>
      </c>
      <c r="AY165" s="310"/>
      <c r="BA165" s="31">
        <f t="shared" si="158"/>
        <v>0</v>
      </c>
      <c r="BB165" s="31">
        <f t="shared" si="159"/>
        <v>0</v>
      </c>
    </row>
    <row r="166" spans="14:54" x14ac:dyDescent="0.45">
      <c r="N166" s="10">
        <v>48</v>
      </c>
      <c r="O166" s="50">
        <f t="shared" si="125"/>
        <v>301.99517204020168</v>
      </c>
      <c r="P166" s="48" t="str">
        <f t="shared" si="126"/>
        <v>17.4002386318441</v>
      </c>
      <c r="Q166" s="17" t="str">
        <f t="shared" si="127"/>
        <v>1+0.162505580214795i</v>
      </c>
      <c r="R166" s="17">
        <f t="shared" si="135"/>
        <v>1.0131179909570984</v>
      </c>
      <c r="S166" s="17">
        <f t="shared" si="136"/>
        <v>0.16109734118594957</v>
      </c>
      <c r="T166" s="17" t="str">
        <f t="shared" si="128"/>
        <v>1+0.000569247488340651i</v>
      </c>
      <c r="U166" s="17">
        <f t="shared" si="137"/>
        <v>1.0000001620213383</v>
      </c>
      <c r="V166" s="17">
        <f t="shared" si="138"/>
        <v>5.692474268538313E-4</v>
      </c>
      <c r="W166" s="31" t="str">
        <f t="shared" si="129"/>
        <v>1-0.00140440196669984i</v>
      </c>
      <c r="X166" s="17">
        <f t="shared" si="139"/>
        <v>1.0000009861719559</v>
      </c>
      <c r="Y166" s="17">
        <f t="shared" si="140"/>
        <v>-1.4044010433792546E-3</v>
      </c>
      <c r="Z166" s="31" t="str">
        <f t="shared" si="130"/>
        <v>0.999999917277928+0.00196414021696977i</v>
      </c>
      <c r="AA166" s="17">
        <f t="shared" si="141"/>
        <v>1.0000018461996232</v>
      </c>
      <c r="AB166" s="17">
        <f t="shared" si="142"/>
        <v>1.9641378536687398E-3</v>
      </c>
      <c r="AC166" s="66" t="str">
        <f t="shared" si="143"/>
        <v>16.9447645314918-2.80232703376266i</v>
      </c>
      <c r="AD166" s="64">
        <f t="shared" si="144"/>
        <v>24.697897471879337</v>
      </c>
      <c r="AE166" s="61">
        <f t="shared" si="145"/>
        <v>-9.3905853276030218</v>
      </c>
      <c r="AF166" s="31" t="str">
        <f t="shared" si="131"/>
        <v>-9090.90909090909</v>
      </c>
      <c r="AG166" s="31" t="str">
        <f t="shared" si="132"/>
        <v>2.27623467397318E-08i</v>
      </c>
      <c r="AH166" s="31">
        <f t="shared" si="146"/>
        <v>2.27623467397318E-8</v>
      </c>
      <c r="AI166" s="31">
        <f t="shared" si="147"/>
        <v>1.5707963267948966</v>
      </c>
      <c r="AJ166" s="31" t="str">
        <f t="shared" si="133"/>
        <v>1+5480167.70629686i</v>
      </c>
      <c r="AK166" s="31">
        <f t="shared" si="148"/>
        <v>5480167.7062969515</v>
      </c>
      <c r="AL166" s="31">
        <f t="shared" si="149"/>
        <v>1.5707961443187293</v>
      </c>
      <c r="AM166" s="31" t="str">
        <f t="shared" si="134"/>
        <v>1+2.5005144671177i</v>
      </c>
      <c r="AN166" s="31">
        <f t="shared" si="150"/>
        <v>2.6930600810722578</v>
      </c>
      <c r="AO166" s="31">
        <f t="shared" si="151"/>
        <v>1.1903608980777449</v>
      </c>
      <c r="AS166" s="58" t="str">
        <f t="shared" si="152"/>
        <v>72877.964277936+182232.500459385i</v>
      </c>
      <c r="AT166" s="49">
        <f t="shared" si="153"/>
        <v>105.85684946940734</v>
      </c>
      <c r="AU166" s="61">
        <f t="shared" si="154"/>
        <v>68.20266601237131</v>
      </c>
      <c r="AV166" s="58" t="str">
        <f t="shared" si="155"/>
        <v>1745575.0066916+2883658.9208076i</v>
      </c>
      <c r="AW166" s="64">
        <f t="shared" si="156"/>
        <v>130.55474694128668</v>
      </c>
      <c r="AX166" s="61">
        <f t="shared" si="157"/>
        <v>58.812080684768233</v>
      </c>
      <c r="AY166" s="310"/>
      <c r="BA166" s="31">
        <f t="shared" si="158"/>
        <v>0</v>
      </c>
      <c r="BB166" s="31">
        <f t="shared" si="159"/>
        <v>0</v>
      </c>
    </row>
    <row r="167" spans="14:54" x14ac:dyDescent="0.45">
      <c r="N167" s="10">
        <v>49</v>
      </c>
      <c r="O167" s="50">
        <f t="shared" si="125"/>
        <v>309.02954325135937</v>
      </c>
      <c r="P167" s="48" t="str">
        <f t="shared" si="126"/>
        <v>17.4002386318441</v>
      </c>
      <c r="Q167" s="17" t="str">
        <f t="shared" si="127"/>
        <v>1+0.166290821440318i</v>
      </c>
      <c r="R167" s="17">
        <f t="shared" si="135"/>
        <v>1.0137320342651186</v>
      </c>
      <c r="S167" s="17">
        <f t="shared" si="136"/>
        <v>0.16478296789445349</v>
      </c>
      <c r="T167" s="17" t="str">
        <f t="shared" si="128"/>
        <v>1+0.000582506965692409i</v>
      </c>
      <c r="U167" s="17">
        <f t="shared" si="137"/>
        <v>1.0000001696571681</v>
      </c>
      <c r="V167" s="17">
        <f t="shared" si="138"/>
        <v>5.8250689980809533E-4</v>
      </c>
      <c r="W167" s="31" t="str">
        <f t="shared" si="129"/>
        <v>1-0.00143711469086925i</v>
      </c>
      <c r="X167" s="17">
        <f t="shared" si="139"/>
        <v>1.0000010326487843</v>
      </c>
      <c r="Y167" s="17">
        <f t="shared" si="140"/>
        <v>-1.437113701513473E-3</v>
      </c>
      <c r="Z167" s="31" t="str">
        <f t="shared" si="130"/>
        <v>0.999999913379357+0.00200989091988197i</v>
      </c>
      <c r="AA167" s="17">
        <f t="shared" si="141"/>
        <v>1.000001933208247</v>
      </c>
      <c r="AB167" s="17">
        <f t="shared" si="142"/>
        <v>2.0098883875595561E-3</v>
      </c>
      <c r="AC167" s="66" t="str">
        <f t="shared" si="143"/>
        <v>16.9238763140164-2.86412808947204i</v>
      </c>
      <c r="AD167" s="64">
        <f t="shared" si="144"/>
        <v>24.692634327523415</v>
      </c>
      <c r="AE167" s="61">
        <f t="shared" si="145"/>
        <v>-9.6054920807723203</v>
      </c>
      <c r="AF167" s="31" t="str">
        <f t="shared" si="131"/>
        <v>-9090.90909090909</v>
      </c>
      <c r="AG167" s="31" t="str">
        <f t="shared" si="132"/>
        <v>2.27623467397318E-08i</v>
      </c>
      <c r="AH167" s="31">
        <f t="shared" si="146"/>
        <v>2.27623467397318E-8</v>
      </c>
      <c r="AI167" s="31">
        <f t="shared" si="147"/>
        <v>1.5707963267948966</v>
      </c>
      <c r="AJ167" s="31" t="str">
        <f t="shared" si="133"/>
        <v>1+5607817.21037687i</v>
      </c>
      <c r="AK167" s="31">
        <f t="shared" si="148"/>
        <v>5607817.2103769593</v>
      </c>
      <c r="AL167" s="31">
        <f t="shared" si="149"/>
        <v>1.5707961484723938</v>
      </c>
      <c r="AM167" s="31" t="str">
        <f t="shared" si="134"/>
        <v>1+2.55875893129818i</v>
      </c>
      <c r="AN167" s="31">
        <f t="shared" si="150"/>
        <v>2.7472253763566985</v>
      </c>
      <c r="AO167" s="31">
        <f t="shared" si="151"/>
        <v>1.198233509365275</v>
      </c>
      <c r="AS167" s="58" t="str">
        <f t="shared" si="152"/>
        <v>71219.0592798872+182232.499860855i</v>
      </c>
      <c r="AT167" s="49">
        <f t="shared" si="153"/>
        <v>105.82981440937543</v>
      </c>
      <c r="AU167" s="61">
        <f t="shared" si="154"/>
        <v>68.653733174906478</v>
      </c>
      <c r="AV167" s="58" t="str">
        <f t="shared" si="155"/>
        <v>1727239.7721196+2880099.77984982i</v>
      </c>
      <c r="AW167" s="64">
        <f t="shared" si="156"/>
        <v>130.52244873689884</v>
      </c>
      <c r="AX167" s="61">
        <f t="shared" si="157"/>
        <v>59.048241094134106</v>
      </c>
      <c r="AY167" s="310"/>
      <c r="BA167" s="31">
        <f t="shared" si="158"/>
        <v>0</v>
      </c>
      <c r="BB167" s="31">
        <f t="shared" si="159"/>
        <v>0</v>
      </c>
    </row>
    <row r="168" spans="14:54" x14ac:dyDescent="0.45">
      <c r="N168" s="10">
        <v>50</v>
      </c>
      <c r="O168" s="50">
        <f t="shared" si="125"/>
        <v>316.22776601683825</v>
      </c>
      <c r="P168" s="48" t="str">
        <f t="shared" si="126"/>
        <v>17.4002386318441</v>
      </c>
      <c r="Q168" s="17" t="str">
        <f t="shared" si="127"/>
        <v>1+0.170164232260487i</v>
      </c>
      <c r="R168" s="17">
        <f t="shared" si="135"/>
        <v>1.0143746181469648</v>
      </c>
      <c r="S168" s="17">
        <f t="shared" si="136"/>
        <v>0.16854977207874355</v>
      </c>
      <c r="T168" s="17" t="str">
        <f t="shared" si="128"/>
        <v>1+0.000596075295947767i</v>
      </c>
      <c r="U168" s="17">
        <f t="shared" si="137"/>
        <v>1.0000001776528633</v>
      </c>
      <c r="V168" s="17">
        <f t="shared" si="138"/>
        <v>5.960752253514537E-4</v>
      </c>
      <c r="W168" s="31" t="str">
        <f t="shared" si="129"/>
        <v>1-0.00147058939227023i</v>
      </c>
      <c r="X168" s="17">
        <f t="shared" si="139"/>
        <v>1.0000010813159956</v>
      </c>
      <c r="Y168" s="17">
        <f t="shared" si="140"/>
        <v>-1.4705883321564771E-3</v>
      </c>
      <c r="Z168" s="31" t="str">
        <f t="shared" si="130"/>
        <v>0.999999909297052+0.00205670729356393i</v>
      </c>
      <c r="AA168" s="17">
        <f t="shared" si="141"/>
        <v>1.0000020243174528</v>
      </c>
      <c r="AB168" s="17">
        <f t="shared" si="142"/>
        <v>2.056704580131873E-3</v>
      </c>
      <c r="AC168" s="66" t="str">
        <f t="shared" si="143"/>
        <v>16.9020578242631-2.9271294684492i</v>
      </c>
      <c r="AD168" s="64">
        <f t="shared" si="144"/>
        <v>24.6871299658456</v>
      </c>
      <c r="AE168" s="61">
        <f t="shared" si="145"/>
        <v>-9.8251369802995132</v>
      </c>
      <c r="AF168" s="31" t="str">
        <f t="shared" si="131"/>
        <v>-9090.90909090909</v>
      </c>
      <c r="AG168" s="31" t="str">
        <f t="shared" si="132"/>
        <v>2.27623467397318E-08i</v>
      </c>
      <c r="AH168" s="31">
        <f t="shared" si="146"/>
        <v>2.27623467397318E-8</v>
      </c>
      <c r="AI168" s="31">
        <f t="shared" si="147"/>
        <v>1.5707963267948966</v>
      </c>
      <c r="AJ168" s="31" t="str">
        <f t="shared" si="133"/>
        <v>1+5738440.05337005i</v>
      </c>
      <c r="AK168" s="31">
        <f t="shared" si="148"/>
        <v>5738440.0533701368</v>
      </c>
      <c r="AL168" s="31">
        <f t="shared" si="149"/>
        <v>1.5707961525315095</v>
      </c>
      <c r="AM168" s="31" t="str">
        <f t="shared" si="134"/>
        <v>1+2.61836008333322i</v>
      </c>
      <c r="AN168" s="31">
        <f t="shared" si="150"/>
        <v>2.8028217078495636</v>
      </c>
      <c r="AO168" s="31">
        <f t="shared" si="151"/>
        <v>1.2059740131845991</v>
      </c>
      <c r="AS168" s="58" t="str">
        <f t="shared" si="152"/>
        <v>69597.9155697644+182232.499289263i</v>
      </c>
      <c r="AT168" s="49">
        <f t="shared" si="153"/>
        <v>105.80383806925201</v>
      </c>
      <c r="AU168" s="61">
        <f t="shared" si="154"/>
        <v>69.097231142488425</v>
      </c>
      <c r="AV168" s="58" t="str">
        <f t="shared" si="155"/>
        <v>1709766.11218709+2876382.13084021i</v>
      </c>
      <c r="AW168" s="64">
        <f t="shared" si="156"/>
        <v>130.49096803509761</v>
      </c>
      <c r="AX168" s="61">
        <f t="shared" si="157"/>
        <v>59.272094162188885</v>
      </c>
      <c r="AY168" s="310"/>
      <c r="BA168" s="31">
        <f t="shared" si="158"/>
        <v>0</v>
      </c>
      <c r="BB168" s="31">
        <f t="shared" si="159"/>
        <v>0</v>
      </c>
    </row>
    <row r="169" spans="14:54" x14ac:dyDescent="0.45">
      <c r="N169" s="10">
        <v>51</v>
      </c>
      <c r="O169" s="50">
        <f t="shared" si="125"/>
        <v>323.59365692962825</v>
      </c>
      <c r="P169" s="48" t="str">
        <f t="shared" si="126"/>
        <v>17.4002386318441</v>
      </c>
      <c r="Q169" s="17" t="str">
        <f t="shared" si="127"/>
        <v>1+0.174127866408991i</v>
      </c>
      <c r="R169" s="17">
        <f t="shared" si="135"/>
        <v>1.0150470500721369</v>
      </c>
      <c r="S169" s="17">
        <f t="shared" si="136"/>
        <v>0.17239932316111364</v>
      </c>
      <c r="T169" s="17" t="str">
        <f t="shared" si="128"/>
        <v>1+0.000609959673215026i</v>
      </c>
      <c r="U169" s="17">
        <f t="shared" si="137"/>
        <v>1.0000001860253842</v>
      </c>
      <c r="V169" s="17">
        <f t="shared" si="138"/>
        <v>6.0995959756971418E-4</v>
      </c>
      <c r="W169" s="31" t="str">
        <f t="shared" si="129"/>
        <v>1-0.00150484381963253i</v>
      </c>
      <c r="X169" s="17">
        <f t="shared" si="139"/>
        <v>1.0000011322768199</v>
      </c>
      <c r="Y169" s="17">
        <f t="shared" si="140"/>
        <v>-1.5048426837002476E-3</v>
      </c>
      <c r="Z169" s="31" t="str">
        <f t="shared" si="130"/>
        <v>0.999999905022354+0.00210461416067669i</v>
      </c>
      <c r="AA169" s="17">
        <f t="shared" si="141"/>
        <v>1.0000021197204947</v>
      </c>
      <c r="AB169" s="17">
        <f t="shared" si="142"/>
        <v>2.1046112531821893E-3</v>
      </c>
      <c r="AC169" s="66" t="str">
        <f t="shared" si="143"/>
        <v>16.8792702195201-2.99134310705592i</v>
      </c>
      <c r="AD169" s="64">
        <f t="shared" si="144"/>
        <v>24.681373658320709</v>
      </c>
      <c r="AE169" s="61">
        <f t="shared" si="145"/>
        <v>-10.049611974359806</v>
      </c>
      <c r="AF169" s="31" t="str">
        <f t="shared" si="131"/>
        <v>-9090.90909090909</v>
      </c>
      <c r="AG169" s="31" t="str">
        <f t="shared" si="132"/>
        <v>2.27623467397318E-08i</v>
      </c>
      <c r="AH169" s="31">
        <f t="shared" si="146"/>
        <v>2.27623467397318E-8</v>
      </c>
      <c r="AI169" s="31">
        <f t="shared" si="147"/>
        <v>1.5707963267948966</v>
      </c>
      <c r="AJ169" s="31" t="str">
        <f t="shared" si="133"/>
        <v>1+5872105.49323677i</v>
      </c>
      <c r="AK169" s="31">
        <f t="shared" si="148"/>
        <v>5872105.4932368556</v>
      </c>
      <c r="AL169" s="31">
        <f t="shared" si="149"/>
        <v>1.5707961564982285</v>
      </c>
      <c r="AM169" s="31" t="str">
        <f t="shared" si="134"/>
        <v>1+2.67934952454253i</v>
      </c>
      <c r="AN169" s="31">
        <f t="shared" si="150"/>
        <v>2.8598800455030071</v>
      </c>
      <c r="AO169" s="31">
        <f t="shared" si="151"/>
        <v>1.2135828024309112</v>
      </c>
      <c r="AS169" s="58" t="str">
        <f t="shared" si="152"/>
        <v>68013.6735957138+182232.498743396i</v>
      </c>
      <c r="AT169" s="49">
        <f t="shared" si="153"/>
        <v>105.77888497057229</v>
      </c>
      <c r="AU169" s="61">
        <f t="shared" si="154"/>
        <v>69.533182426230368</v>
      </c>
      <c r="AV169" s="58" t="str">
        <f t="shared" si="155"/>
        <v>1693141.10424193+2872499.35537205i</v>
      </c>
      <c r="AW169" s="64">
        <f t="shared" si="156"/>
        <v>130.46025862889303</v>
      </c>
      <c r="AX169" s="61">
        <f t="shared" si="157"/>
        <v>59.483570451870534</v>
      </c>
      <c r="AY169" s="310"/>
      <c r="BA169" s="31">
        <f t="shared" si="158"/>
        <v>0</v>
      </c>
      <c r="BB169" s="31">
        <f t="shared" si="159"/>
        <v>0</v>
      </c>
    </row>
    <row r="170" spans="14:54" x14ac:dyDescent="0.45">
      <c r="N170" s="10">
        <v>52</v>
      </c>
      <c r="O170" s="50">
        <f t="shared" si="125"/>
        <v>331.13112148259137</v>
      </c>
      <c r="P170" s="48" t="str">
        <f t="shared" si="126"/>
        <v>17.4002386318441</v>
      </c>
      <c r="Q170" s="17" t="str">
        <f t="shared" si="127"/>
        <v>1+0.178183825457121i</v>
      </c>
      <c r="R170" s="17">
        <f t="shared" si="135"/>
        <v>1.0157506956209943</v>
      </c>
      <c r="S170" s="17">
        <f t="shared" si="136"/>
        <v>0.17633320562283894</v>
      </c>
      <c r="T170" s="17" t="str">
        <f t="shared" si="128"/>
        <v>1+0.000624167459174797i</v>
      </c>
      <c r="U170" s="17">
        <f t="shared" si="137"/>
        <v>1.0000001947924897</v>
      </c>
      <c r="V170" s="17">
        <f t="shared" si="138"/>
        <v>6.2416737811938586E-4</v>
      </c>
      <c r="W170" s="31" t="str">
        <f t="shared" si="129"/>
        <v>1-0.00153989613510698i</v>
      </c>
      <c r="X170" s="17">
        <f t="shared" si="139"/>
        <v>1.0000011856393507</v>
      </c>
      <c r="Y170" s="17">
        <f t="shared" si="140"/>
        <v>-1.5398949179336878E-3</v>
      </c>
      <c r="Z170" s="31" t="str">
        <f t="shared" si="130"/>
        <v>0.999999900546195+0.0021536369220753i</v>
      </c>
      <c r="AA170" s="17">
        <f t="shared" si="141"/>
        <v>1.0000022196197327</v>
      </c>
      <c r="AB170" s="17">
        <f t="shared" si="142"/>
        <v>2.1536338066391867E-3</v>
      </c>
      <c r="AC170" s="66" t="str">
        <f t="shared" si="143"/>
        <v>16.855473276766-3.05678019954261i</v>
      </c>
      <c r="AD170" s="64">
        <f t="shared" si="144"/>
        <v>24.675354229795904</v>
      </c>
      <c r="AE170" s="61">
        <f t="shared" si="145"/>
        <v>-10.27900992115358</v>
      </c>
      <c r="AF170" s="31" t="str">
        <f t="shared" si="131"/>
        <v>-9090.90909090909</v>
      </c>
      <c r="AG170" s="31" t="str">
        <f t="shared" si="132"/>
        <v>2.27623467397318E-08i</v>
      </c>
      <c r="AH170" s="31">
        <f t="shared" si="146"/>
        <v>2.27623467397318E-8</v>
      </c>
      <c r="AI170" s="31">
        <f t="shared" si="147"/>
        <v>1.5707963267948966</v>
      </c>
      <c r="AJ170" s="31" t="str">
        <f t="shared" si="133"/>
        <v>1+6008884.40116252i</v>
      </c>
      <c r="AK170" s="31">
        <f t="shared" si="148"/>
        <v>6008884.4011626029</v>
      </c>
      <c r="AL170" s="31">
        <f t="shared" si="149"/>
        <v>1.5707961603746541</v>
      </c>
      <c r="AM170" s="31" t="str">
        <f t="shared" si="134"/>
        <v>1+2.74175959233515i</v>
      </c>
      <c r="AN170" s="31">
        <f t="shared" si="150"/>
        <v>2.918432055430074</v>
      </c>
      <c r="AO170" s="31">
        <f t="shared" si="151"/>
        <v>1.2210603863750462</v>
      </c>
      <c r="AS170" s="58" t="str">
        <f t="shared" si="152"/>
        <v>66465.4933716708+182232.498222097i</v>
      </c>
      <c r="AT170" s="49">
        <f t="shared" si="153"/>
        <v>105.75492035779384</v>
      </c>
      <c r="AU170" s="61">
        <f t="shared" si="154"/>
        <v>69.961616205081228</v>
      </c>
      <c r="AV170" s="58" t="str">
        <f t="shared" si="155"/>
        <v>1677352.03963175+2868444.59984951i</v>
      </c>
      <c r="AW170" s="64">
        <f t="shared" si="156"/>
        <v>130.43027458758974</v>
      </c>
      <c r="AX170" s="61">
        <f t="shared" si="157"/>
        <v>59.682606283927726</v>
      </c>
      <c r="AY170" s="310"/>
      <c r="BA170" s="31">
        <f t="shared" si="158"/>
        <v>0</v>
      </c>
      <c r="BB170" s="31">
        <f t="shared" si="159"/>
        <v>0</v>
      </c>
    </row>
    <row r="171" spans="14:54" x14ac:dyDescent="0.45">
      <c r="N171" s="10">
        <v>53</v>
      </c>
      <c r="O171" s="50">
        <f t="shared" si="125"/>
        <v>338.84415613920277</v>
      </c>
      <c r="P171" s="48" t="str">
        <f t="shared" si="126"/>
        <v>17.4002386318441</v>
      </c>
      <c r="Q171" s="17" t="str">
        <f t="shared" si="127"/>
        <v>1+0.182334259928048i</v>
      </c>
      <c r="R171" s="17">
        <f t="shared" si="135"/>
        <v>1.0164869809021211</v>
      </c>
      <c r="S171" s="17">
        <f t="shared" si="136"/>
        <v>0.18035301799016693</v>
      </c>
      <c r="T171" s="17" t="str">
        <f t="shared" si="128"/>
        <v>1+0.000638706186983251i</v>
      </c>
      <c r="U171" s="17">
        <f t="shared" si="137"/>
        <v>1.0000002039727758</v>
      </c>
      <c r="V171" s="17">
        <f t="shared" si="138"/>
        <v>6.3870610013081407E-4</v>
      </c>
      <c r="W171" s="31" t="str">
        <f t="shared" si="129"/>
        <v>1-0.00157576492389518i</v>
      </c>
      <c r="X171" s="17">
        <f t="shared" si="139"/>
        <v>1.0000012415167769</v>
      </c>
      <c r="Y171" s="17">
        <f t="shared" si="140"/>
        <v>-1.5757636196705872E-3</v>
      </c>
      <c r="Z171" s="31" t="str">
        <f t="shared" si="130"/>
        <v>0.999999895859082+0.00220380157027674i</v>
      </c>
      <c r="AA171" s="17">
        <f t="shared" si="141"/>
        <v>1.000002324227067</v>
      </c>
      <c r="AB171" s="17">
        <f t="shared" si="142"/>
        <v>2.2037982320272185E-3</v>
      </c>
      <c r="AC171" s="66" t="str">
        <f t="shared" si="143"/>
        <v>16.8306253665698-3.12345112204485i</v>
      </c>
      <c r="AD171" s="64">
        <f t="shared" si="144"/>
        <v>24.669060042745727</v>
      </c>
      <c r="AE171" s="61">
        <f t="shared" si="145"/>
        <v>-10.51342453190782</v>
      </c>
      <c r="AF171" s="31" t="str">
        <f t="shared" si="131"/>
        <v>-9090.90909090909</v>
      </c>
      <c r="AG171" s="31" t="str">
        <f t="shared" si="132"/>
        <v>2.27623467397318E-08i</v>
      </c>
      <c r="AH171" s="31">
        <f t="shared" si="146"/>
        <v>2.27623467397318E-8</v>
      </c>
      <c r="AI171" s="31">
        <f t="shared" si="147"/>
        <v>1.5707963267948966</v>
      </c>
      <c r="AJ171" s="31" t="str">
        <f t="shared" si="133"/>
        <v>1+6148849.29913472i</v>
      </c>
      <c r="AK171" s="31">
        <f t="shared" si="148"/>
        <v>6148849.2991348021</v>
      </c>
      <c r="AL171" s="31">
        <f t="shared" si="149"/>
        <v>1.5707961641628412</v>
      </c>
      <c r="AM171" s="31" t="str">
        <f t="shared" si="134"/>
        <v>1+2.80562337735509i</v>
      </c>
      <c r="AN171" s="31">
        <f t="shared" si="150"/>
        <v>2.9785101201039055</v>
      </c>
      <c r="AO171" s="31">
        <f t="shared" si="151"/>
        <v>1.2284073839163911</v>
      </c>
      <c r="AS171" s="58" t="str">
        <f t="shared" si="152"/>
        <v>64952.554031989+182232.497724262i</v>
      </c>
      <c r="AT171" s="49">
        <f t="shared" si="153"/>
        <v>105.73191022121284</v>
      </c>
      <c r="AU171" s="61">
        <f t="shared" si="154"/>
        <v>70.382567939246158</v>
      </c>
      <c r="AV171" s="58" t="str">
        <f t="shared" si="155"/>
        <v>1662386.40300417+2864210.77104044i</v>
      </c>
      <c r="AW171" s="64">
        <f t="shared" si="156"/>
        <v>130.40097026395856</v>
      </c>
      <c r="AX171" s="61">
        <f t="shared" si="157"/>
        <v>59.869143407338342</v>
      </c>
      <c r="AY171" s="310"/>
      <c r="BA171" s="31">
        <f t="shared" si="158"/>
        <v>0</v>
      </c>
      <c r="BB171" s="31">
        <f t="shared" si="159"/>
        <v>0</v>
      </c>
    </row>
    <row r="172" spans="14:54" x14ac:dyDescent="0.45">
      <c r="N172" s="10">
        <v>54</v>
      </c>
      <c r="O172" s="50">
        <f t="shared" si="125"/>
        <v>346.73685045253183</v>
      </c>
      <c r="P172" s="48" t="str">
        <f t="shared" si="126"/>
        <v>17.4002386318441</v>
      </c>
      <c r="Q172" s="17" t="str">
        <f t="shared" si="127"/>
        <v>1+0.186581370437069i</v>
      </c>
      <c r="R172" s="17">
        <f t="shared" si="135"/>
        <v>1.0172573950550445</v>
      </c>
      <c r="S172" s="17">
        <f t="shared" si="136"/>
        <v>0.18446037171861462</v>
      </c>
      <c r="T172" s="17" t="str">
        <f t="shared" si="128"/>
        <v>1+0.000653583565266322i</v>
      </c>
      <c r="U172" s="17">
        <f t="shared" si="137"/>
        <v>1.0000002135857156</v>
      </c>
      <c r="V172" s="17">
        <f t="shared" si="138"/>
        <v>6.5358347220226026E-4</v>
      </c>
      <c r="W172" s="31" t="str">
        <f t="shared" si="129"/>
        <v>1-0.00161246920410376i</v>
      </c>
      <c r="X172" s="17">
        <f t="shared" si="139"/>
        <v>1.000001300027622</v>
      </c>
      <c r="Y172" s="17">
        <f t="shared" si="140"/>
        <v>-1.6124678066020285E-3</v>
      </c>
      <c r="Z172" s="31" t="str">
        <f t="shared" si="130"/>
        <v>0.999999890951072+0.00225513470324151i</v>
      </c>
      <c r="AA172" s="17">
        <f t="shared" si="141"/>
        <v>1.0000024337643814</v>
      </c>
      <c r="AB172" s="17">
        <f t="shared" si="142"/>
        <v>2.2551311262431714E-3</v>
      </c>
      <c r="AC172" s="66" t="str">
        <f t="shared" si="143"/>
        <v>16.8046834289053-3.19136535216644i</v>
      </c>
      <c r="AD172" s="64">
        <f t="shared" si="144"/>
        <v>24.662478981243652</v>
      </c>
      <c r="AE172" s="61">
        <f t="shared" si="145"/>
        <v>-10.75295030807559</v>
      </c>
      <c r="AF172" s="31" t="str">
        <f t="shared" si="131"/>
        <v>-9090.90909090909</v>
      </c>
      <c r="AG172" s="31" t="str">
        <f t="shared" si="132"/>
        <v>2.27623467397318E-08i</v>
      </c>
      <c r="AH172" s="31">
        <f t="shared" si="146"/>
        <v>2.27623467397318E-8</v>
      </c>
      <c r="AI172" s="31">
        <f t="shared" si="147"/>
        <v>1.5707963267948966</v>
      </c>
      <c r="AJ172" s="31" t="str">
        <f t="shared" si="133"/>
        <v>1+6292074.39839499i</v>
      </c>
      <c r="AK172" s="31">
        <f t="shared" si="148"/>
        <v>6292074.3983950699</v>
      </c>
      <c r="AL172" s="31">
        <f t="shared" si="149"/>
        <v>1.5707961678647988</v>
      </c>
      <c r="AM172" s="31" t="str">
        <f t="shared" si="134"/>
        <v>1+2.87097474102652i</v>
      </c>
      <c r="AN172" s="31">
        <f t="shared" si="150"/>
        <v>3.0401473588647465</v>
      </c>
      <c r="AO172" s="31">
        <f t="shared" si="151"/>
        <v>1.2356245169326356</v>
      </c>
      <c r="AS172" s="58" t="str">
        <f t="shared" si="152"/>
        <v>63474.0533962029+182232.497248832i</v>
      </c>
      <c r="AT172" s="49">
        <f t="shared" si="153"/>
        <v>105.70982131615838</v>
      </c>
      <c r="AU172" s="61">
        <f t="shared" si="154"/>
        <v>70.796078989155035</v>
      </c>
      <c r="AV172" s="58" t="str">
        <f t="shared" si="155"/>
        <v>1648231.85103131+2859790.53195527i</v>
      </c>
      <c r="AW172" s="64">
        <f t="shared" si="156"/>
        <v>130.37230029740203</v>
      </c>
      <c r="AX172" s="61">
        <f t="shared" si="157"/>
        <v>60.043128681079423</v>
      </c>
      <c r="AY172" s="310"/>
      <c r="BA172" s="31">
        <f t="shared" si="158"/>
        <v>0</v>
      </c>
      <c r="BB172" s="31">
        <f t="shared" si="159"/>
        <v>0</v>
      </c>
    </row>
    <row r="173" spans="14:54" x14ac:dyDescent="0.45">
      <c r="N173" s="10">
        <v>55</v>
      </c>
      <c r="O173" s="50">
        <f t="shared" si="125"/>
        <v>354.81338923357566</v>
      </c>
      <c r="P173" s="48" t="str">
        <f t="shared" si="126"/>
        <v>17.4002386318441</v>
      </c>
      <c r="Q173" s="17" t="str">
        <f t="shared" si="127"/>
        <v>1+0.190927408858392i</v>
      </c>
      <c r="R173" s="17">
        <f t="shared" si="135"/>
        <v>1.0180634928399013</v>
      </c>
      <c r="S173" s="17">
        <f t="shared" si="136"/>
        <v>0.188656889969712</v>
      </c>
      <c r="T173" s="17" t="str">
        <f t="shared" si="128"/>
        <v>1+0.000668807482206898i</v>
      </c>
      <c r="U173" s="17">
        <f t="shared" si="137"/>
        <v>1.0000002236516992</v>
      </c>
      <c r="V173" s="17">
        <f t="shared" si="138"/>
        <v>6.6880738248696039E-4</v>
      </c>
      <c r="W173" s="31" t="str">
        <f t="shared" si="129"/>
        <v>1-0.0016500284368279i</v>
      </c>
      <c r="X173" s="17">
        <f t="shared" si="139"/>
        <v>1.0000013612959946</v>
      </c>
      <c r="Y173" s="17">
        <f t="shared" si="140"/>
        <v>-1.6500269393779257E-3</v>
      </c>
      <c r="Z173" s="31" t="str">
        <f t="shared" si="130"/>
        <v>0.999999885811754+0.00230766353847618i</v>
      </c>
      <c r="AA173" s="17">
        <f t="shared" si="141"/>
        <v>1.0000025484640167</v>
      </c>
      <c r="AB173" s="17">
        <f t="shared" si="142"/>
        <v>2.307659705653933E-3</v>
      </c>
      <c r="AC173" s="66" t="str">
        <f t="shared" si="143"/>
        <v>16.777602951188-3.26053138401709i</v>
      </c>
      <c r="AD173" s="64">
        <f t="shared" si="144"/>
        <v>24.655598434671514</v>
      </c>
      <c r="AE173" s="61">
        <f t="shared" si="145"/>
        <v>-10.997682472400401</v>
      </c>
      <c r="AF173" s="31" t="str">
        <f t="shared" si="131"/>
        <v>-9090.90909090909</v>
      </c>
      <c r="AG173" s="31" t="str">
        <f t="shared" si="132"/>
        <v>2.27623467397318E-08i</v>
      </c>
      <c r="AH173" s="31">
        <f t="shared" si="146"/>
        <v>2.27623467397318E-8</v>
      </c>
      <c r="AI173" s="31">
        <f t="shared" si="147"/>
        <v>1.5707963267948966</v>
      </c>
      <c r="AJ173" s="31" t="str">
        <f t="shared" si="133"/>
        <v>1+6438635.63878673i</v>
      </c>
      <c r="AK173" s="31">
        <f t="shared" si="148"/>
        <v>6438635.6387868077</v>
      </c>
      <c r="AL173" s="31">
        <f t="shared" si="149"/>
        <v>1.5707961714824894</v>
      </c>
      <c r="AM173" s="31" t="str">
        <f t="shared" si="134"/>
        <v>1+2.93784833350749i</v>
      </c>
      <c r="AN173" s="31">
        <f t="shared" si="150"/>
        <v>3.1033776487389892</v>
      </c>
      <c r="AO173" s="31">
        <f t="shared" si="151"/>
        <v>1.2427126037482514</v>
      </c>
      <c r="AS173" s="58" t="str">
        <f t="shared" si="152"/>
        <v>62029.2075437062+182232.4967948i</v>
      </c>
      <c r="AT173" s="49">
        <f t="shared" si="153"/>
        <v>105.68862117866779</v>
      </c>
      <c r="AU173" s="61">
        <f t="shared" si="154"/>
        <v>71.202196241233722</v>
      </c>
      <c r="AV173" s="58" t="str">
        <f t="shared" si="155"/>
        <v>1634876.19053238+2855176.29810483i</v>
      </c>
      <c r="AW173" s="64">
        <f t="shared" si="156"/>
        <v>130.34421961333931</v>
      </c>
      <c r="AX173" s="61">
        <f t="shared" si="157"/>
        <v>60.204513768833273</v>
      </c>
      <c r="AY173" s="310"/>
      <c r="BA173" s="31">
        <f t="shared" si="158"/>
        <v>0</v>
      </c>
      <c r="BB173" s="31">
        <f t="shared" si="159"/>
        <v>0</v>
      </c>
    </row>
    <row r="174" spans="14:54" x14ac:dyDescent="0.45">
      <c r="N174" s="10">
        <v>56</v>
      </c>
      <c r="O174" s="50">
        <f t="shared" si="125"/>
        <v>363.07805477010152</v>
      </c>
      <c r="P174" s="48" t="str">
        <f t="shared" si="126"/>
        <v>17.4002386318441</v>
      </c>
      <c r="Q174" s="17" t="str">
        <f t="shared" si="127"/>
        <v>1+0.195374679519116i</v>
      </c>
      <c r="R174" s="17">
        <f t="shared" si="135"/>
        <v>1.0189068973155484</v>
      </c>
      <c r="S174" s="17">
        <f t="shared" si="136"/>
        <v>0.19294420627423656</v>
      </c>
      <c r="T174" s="17" t="str">
        <f t="shared" si="128"/>
        <v>1+0.000684386009727256i</v>
      </c>
      <c r="U174" s="17">
        <f t="shared" si="137"/>
        <v>1.0000002341920777</v>
      </c>
      <c r="V174" s="17">
        <f t="shared" si="138"/>
        <v>6.843859028754192E-4</v>
      </c>
      <c r="W174" s="31" t="str">
        <f t="shared" si="129"/>
        <v>1-0.00168846253646996i</v>
      </c>
      <c r="X174" s="17">
        <f t="shared" si="139"/>
        <v>1.0000014254518526</v>
      </c>
      <c r="Y174" s="17">
        <f t="shared" si="140"/>
        <v>-1.6884609319235272E-3</v>
      </c>
      <c r="Z174" s="31" t="str">
        <f t="shared" si="130"/>
        <v>0.999999880430228+0.00236141592746449i</v>
      </c>
      <c r="AA174" s="17">
        <f t="shared" si="141"/>
        <v>1.0000026685692658</v>
      </c>
      <c r="AB174" s="17">
        <f t="shared" si="142"/>
        <v>2.3614118205220504E-3</v>
      </c>
      <c r="AC174" s="66" t="str">
        <f t="shared" si="143"/>
        <v>16.7493379488757-3.33095663858405i</v>
      </c>
      <c r="AD174" s="64">
        <f t="shared" si="144"/>
        <v>24.648405281195835</v>
      </c>
      <c r="AE174" s="61">
        <f t="shared" si="145"/>
        <v>-11.247716893502504</v>
      </c>
      <c r="AF174" s="31" t="str">
        <f t="shared" si="131"/>
        <v>-9090.90909090909</v>
      </c>
      <c r="AG174" s="31" t="str">
        <f t="shared" si="132"/>
        <v>2.27623467397318E-08i</v>
      </c>
      <c r="AH174" s="31">
        <f t="shared" si="146"/>
        <v>2.27623467397318E-8</v>
      </c>
      <c r="AI174" s="31">
        <f t="shared" si="147"/>
        <v>1.5707963267948966</v>
      </c>
      <c r="AJ174" s="31" t="str">
        <f t="shared" si="133"/>
        <v>1+6588610.7290196i</v>
      </c>
      <c r="AK174" s="31">
        <f t="shared" si="148"/>
        <v>6588610.7290196763</v>
      </c>
      <c r="AL174" s="31">
        <f t="shared" si="149"/>
        <v>1.5707961750178314</v>
      </c>
      <c r="AM174" s="31" t="str">
        <f t="shared" si="134"/>
        <v>1+3.00627961206192i</v>
      </c>
      <c r="AN174" s="31">
        <f t="shared" si="150"/>
        <v>3.1682356455761251</v>
      </c>
      <c r="AO174" s="31">
        <f t="shared" si="151"/>
        <v>1.249672552740994</v>
      </c>
      <c r="AS174" s="58" t="str">
        <f t="shared" si="152"/>
        <v>60617.2503981026+182232.496361203i</v>
      </c>
      <c r="AT174" s="49">
        <f t="shared" si="153"/>
        <v>105.66827813784654</v>
      </c>
      <c r="AU174" s="61">
        <f t="shared" si="154"/>
        <v>71.600971741584004</v>
      </c>
      <c r="AV174" s="58" t="str">
        <f t="shared" si="155"/>
        <v>1622307.35596953+2850360.23419478i</v>
      </c>
      <c r="AW174" s="64">
        <f t="shared" si="156"/>
        <v>130.31668341904236</v>
      </c>
      <c r="AX174" s="61">
        <f t="shared" si="157"/>
        <v>60.353254848081548</v>
      </c>
      <c r="AY174" s="310"/>
      <c r="BA174" s="31">
        <f t="shared" si="158"/>
        <v>0</v>
      </c>
      <c r="BB174" s="31">
        <f t="shared" si="159"/>
        <v>0</v>
      </c>
    </row>
    <row r="175" spans="14:54" x14ac:dyDescent="0.45">
      <c r="N175" s="10">
        <v>57</v>
      </c>
      <c r="O175" s="50">
        <f t="shared" si="125"/>
        <v>371.53522909717265</v>
      </c>
      <c r="P175" s="48" t="str">
        <f t="shared" si="126"/>
        <v>17.4002386318441</v>
      </c>
      <c r="Q175" s="17" t="str">
        <f t="shared" si="127"/>
        <v>1+0.199925540421009i</v>
      </c>
      <c r="R175" s="17">
        <f t="shared" si="135"/>
        <v>1.0197893026074711</v>
      </c>
      <c r="S175" s="17">
        <f t="shared" si="136"/>
        <v>0.19732396307576835</v>
      </c>
      <c r="T175" s="17" t="str">
        <f t="shared" si="128"/>
        <v>1+0.000700327407768889i</v>
      </c>
      <c r="U175" s="17">
        <f t="shared" si="137"/>
        <v>1.0000002452292089</v>
      </c>
      <c r="V175" s="17">
        <f t="shared" si="138"/>
        <v>7.0032729327508449E-4</v>
      </c>
      <c r="W175" s="31" t="str">
        <f t="shared" si="129"/>
        <v>1-0.0017277918812983i</v>
      </c>
      <c r="X175" s="17">
        <f t="shared" si="139"/>
        <v>1.0000014926312786</v>
      </c>
      <c r="Y175" s="17">
        <f t="shared" si="140"/>
        <v>-1.7277901619959597E-3</v>
      </c>
      <c r="Z175" s="31" t="str">
        <f t="shared" si="130"/>
        <v>0.999999874795078+0.00241642037043457i</v>
      </c>
      <c r="AA175" s="17">
        <f t="shared" si="141"/>
        <v>1.000002794334885</v>
      </c>
      <c r="AB175" s="17">
        <f t="shared" si="142"/>
        <v>2.416415969767125E-3</v>
      </c>
      <c r="AC175" s="66" t="str">
        <f t="shared" si="143"/>
        <v>16.7198409489934-3.40264736932815i</v>
      </c>
      <c r="AD175" s="64">
        <f t="shared" si="144"/>
        <v>24.640885871040211</v>
      </c>
      <c r="AE175" s="61">
        <f t="shared" si="145"/>
        <v>-11.503150003636573</v>
      </c>
      <c r="AF175" s="31" t="str">
        <f t="shared" si="131"/>
        <v>-9090.90909090909</v>
      </c>
      <c r="AG175" s="31" t="str">
        <f t="shared" si="132"/>
        <v>2.27623467397318E-08i</v>
      </c>
      <c r="AH175" s="31">
        <f t="shared" si="146"/>
        <v>2.27623467397318E-8</v>
      </c>
      <c r="AI175" s="31">
        <f t="shared" si="147"/>
        <v>1.5707963267948966</v>
      </c>
      <c r="AJ175" s="31" t="str">
        <f t="shared" si="133"/>
        <v>1+6742079.18787155i</v>
      </c>
      <c r="AK175" s="31">
        <f t="shared" si="148"/>
        <v>6742079.1878716247</v>
      </c>
      <c r="AL175" s="31">
        <f t="shared" si="149"/>
        <v>1.5707961784726991</v>
      </c>
      <c r="AM175" s="31" t="str">
        <f t="shared" si="134"/>
        <v>1+3.07630485985947i</v>
      </c>
      <c r="AN175" s="31">
        <f t="shared" si="150"/>
        <v>3.2347568055102682</v>
      </c>
      <c r="AO175" s="31">
        <f t="shared" si="151"/>
        <v>1.2565053561031263</v>
      </c>
      <c r="AS175" s="58" t="str">
        <f t="shared" si="152"/>
        <v>59237.4333210241+182232.49594712i</v>
      </c>
      <c r="AT175" s="49">
        <f t="shared" si="153"/>
        <v>105.64876132512113</v>
      </c>
      <c r="AU175" s="61">
        <f t="shared" si="154"/>
        <v>71.992462338527602</v>
      </c>
      <c r="AV175" s="58" t="str">
        <f t="shared" si="155"/>
        <v>1610513.3862947+2845334.2513184i</v>
      </c>
      <c r="AW175" s="64">
        <f t="shared" si="156"/>
        <v>130.28964719616135</v>
      </c>
      <c r="AX175" s="61">
        <f t="shared" si="157"/>
        <v>60.48931233489099</v>
      </c>
      <c r="AY175" s="310"/>
      <c r="BA175" s="31">
        <f t="shared" si="158"/>
        <v>0</v>
      </c>
      <c r="BB175" s="31">
        <f t="shared" si="159"/>
        <v>0</v>
      </c>
    </row>
    <row r="176" spans="14:54" x14ac:dyDescent="0.45">
      <c r="N176" s="10">
        <v>58</v>
      </c>
      <c r="O176" s="50">
        <f t="shared" si="125"/>
        <v>380.18939632056163</v>
      </c>
      <c r="P176" s="48" t="str">
        <f t="shared" si="126"/>
        <v>17.4002386318441</v>
      </c>
      <c r="Q176" s="17" t="str">
        <f t="shared" si="127"/>
        <v>1+0.204582404490761i</v>
      </c>
      <c r="R176" s="17">
        <f t="shared" si="135"/>
        <v>1.0207124767667051</v>
      </c>
      <c r="S176" s="17">
        <f t="shared" si="136"/>
        <v>0.20179781014831932</v>
      </c>
      <c r="T176" s="17" t="str">
        <f t="shared" si="128"/>
        <v>1+0.00071664012867205i</v>
      </c>
      <c r="U176" s="17">
        <f t="shared" si="137"/>
        <v>1.0000002567865041</v>
      </c>
      <c r="V176" s="17">
        <f t="shared" si="138"/>
        <v>7.1664000598972981E-4</v>
      </c>
      <c r="W176" s="31" t="str">
        <f t="shared" si="129"/>
        <v>1-0.00176803732425213i</v>
      </c>
      <c r="X176" s="17">
        <f t="shared" si="139"/>
        <v>1.0000015629767685</v>
      </c>
      <c r="Y176" s="17">
        <f t="shared" si="140"/>
        <v>-1.7680354819866364E-3</v>
      </c>
      <c r="Z176" s="31" t="str">
        <f t="shared" si="130"/>
        <v>0.999999868894352+0.00247270603147016i</v>
      </c>
      <c r="AA176" s="17">
        <f t="shared" si="141"/>
        <v>1.0000029260276388</v>
      </c>
      <c r="AB176" s="17">
        <f t="shared" si="142"/>
        <v>2.4727013160707806E-3</v>
      </c>
      <c r="AC176" s="66" t="str">
        <f t="shared" si="143"/>
        <v>16.6890629769777-3.47560856291063i</v>
      </c>
      <c r="AD176" s="64">
        <f t="shared" si="144"/>
        <v>24.633026009590722</v>
      </c>
      <c r="AE176" s="61">
        <f t="shared" si="145"/>
        <v>-11.764078709262037</v>
      </c>
      <c r="AF176" s="31" t="str">
        <f t="shared" si="131"/>
        <v>-9090.90909090909</v>
      </c>
      <c r="AG176" s="31" t="str">
        <f t="shared" si="132"/>
        <v>2.27623467397318E-08i</v>
      </c>
      <c r="AH176" s="31">
        <f t="shared" si="146"/>
        <v>2.27623467397318E-8</v>
      </c>
      <c r="AI176" s="31">
        <f t="shared" si="147"/>
        <v>1.5707963267948966</v>
      </c>
      <c r="AJ176" s="31" t="str">
        <f t="shared" si="133"/>
        <v>1+6899122.38635087i</v>
      </c>
      <c r="AK176" s="31">
        <f t="shared" si="148"/>
        <v>6899122.3863509437</v>
      </c>
      <c r="AL176" s="31">
        <f t="shared" si="149"/>
        <v>1.5707961818489247</v>
      </c>
      <c r="AM176" s="31" t="str">
        <f t="shared" si="134"/>
        <v>1+3.14796120521342i</v>
      </c>
      <c r="AN176" s="31">
        <f t="shared" si="150"/>
        <v>3.3029774067542044</v>
      </c>
      <c r="AO176" s="31">
        <f t="shared" si="151"/>
        <v>1.263212083771668</v>
      </c>
      <c r="AS176" s="58" t="str">
        <f t="shared" si="152"/>
        <v>57889.0247151931+182232.495551675i</v>
      </c>
      <c r="AT176" s="49">
        <f t="shared" si="153"/>
        <v>105.63004068059099</v>
      </c>
      <c r="AU176" s="61">
        <f t="shared" si="154"/>
        <v>72.376729334835147</v>
      </c>
      <c r="AV176" s="58" t="str">
        <f t="shared" si="155"/>
        <v>1599482.40112765+2840090.00471504i</v>
      </c>
      <c r="AW176" s="64">
        <f t="shared" si="156"/>
        <v>130.26306669018172</v>
      </c>
      <c r="AX176" s="61">
        <f t="shared" si="157"/>
        <v>60.61265062557311</v>
      </c>
      <c r="AY176" s="310"/>
      <c r="BA176" s="31">
        <f t="shared" si="158"/>
        <v>0</v>
      </c>
      <c r="BB176" s="31">
        <f t="shared" si="159"/>
        <v>0</v>
      </c>
    </row>
    <row r="177" spans="14:54" x14ac:dyDescent="0.45">
      <c r="N177" s="10">
        <v>59</v>
      </c>
      <c r="O177" s="50">
        <f t="shared" si="125"/>
        <v>389.04514499428063</v>
      </c>
      <c r="P177" s="48" t="str">
        <f t="shared" si="126"/>
        <v>17.4002386318441</v>
      </c>
      <c r="Q177" s="17" t="str">
        <f t="shared" si="127"/>
        <v>1+0.209347740859343i</v>
      </c>
      <c r="R177" s="17">
        <f t="shared" si="135"/>
        <v>1.0216782647208027</v>
      </c>
      <c r="S177" s="17">
        <f t="shared" si="136"/>
        <v>0.20636740288162064</v>
      </c>
      <c r="T177" s="17" t="str">
        <f t="shared" si="128"/>
        <v>1+0.000733332821657287i</v>
      </c>
      <c r="U177" s="17">
        <f t="shared" si="137"/>
        <v>1.0000002688884775</v>
      </c>
      <c r="V177" s="17">
        <f t="shared" si="138"/>
        <v>7.3333269020081442E-4</v>
      </c>
      <c r="W177" s="31" t="str">
        <f t="shared" si="129"/>
        <v>1-0.00180922020399802i</v>
      </c>
      <c r="X177" s="17">
        <f t="shared" si="139"/>
        <v>1.0000016366375339</v>
      </c>
      <c r="Y177" s="17">
        <f t="shared" si="140"/>
        <v>-1.8092182299751527E-3</v>
      </c>
      <c r="Z177" s="31" t="str">
        <f t="shared" si="130"/>
        <v>0.999999862715533+0.00253030275397377i</v>
      </c>
      <c r="AA177" s="17">
        <f t="shared" si="141"/>
        <v>1.000003063926862</v>
      </c>
      <c r="AB177" s="17">
        <f t="shared" si="142"/>
        <v>2.5302977013331395E-3</v>
      </c>
      <c r="AC177" s="66" t="str">
        <f t="shared" si="143"/>
        <v>16.6569535472584-3.549843834973i</v>
      </c>
      <c r="AD177" s="64">
        <f t="shared" si="144"/>
        <v>24.624810940372651</v>
      </c>
      <c r="AE177" s="61">
        <f t="shared" si="145"/>
        <v>-12.030600294059047</v>
      </c>
      <c r="AF177" s="31" t="str">
        <f t="shared" si="131"/>
        <v>-9090.90909090909</v>
      </c>
      <c r="AG177" s="31" t="str">
        <f t="shared" si="132"/>
        <v>2.27623467397318E-08i</v>
      </c>
      <c r="AH177" s="31">
        <f t="shared" si="146"/>
        <v>2.27623467397318E-8</v>
      </c>
      <c r="AI177" s="31">
        <f t="shared" si="147"/>
        <v>1.5707963267948966</v>
      </c>
      <c r="AJ177" s="31" t="str">
        <f t="shared" si="133"/>
        <v>1+7059823.59084012i</v>
      </c>
      <c r="AK177" s="31">
        <f t="shared" si="148"/>
        <v>7059823.5908401906</v>
      </c>
      <c r="AL177" s="31">
        <f t="shared" si="149"/>
        <v>1.5707961851482979</v>
      </c>
      <c r="AM177" s="31" t="str">
        <f t="shared" si="134"/>
        <v>1+3.22128664126657i</v>
      </c>
      <c r="AN177" s="31">
        <f t="shared" si="150"/>
        <v>3.3729345717345987</v>
      </c>
      <c r="AO177" s="31">
        <f t="shared" si="151"/>
        <v>1.2697938775396611</v>
      </c>
      <c r="AS177" s="58" t="str">
        <f t="shared" si="152"/>
        <v>56571.3096365175+182232.495174028i</v>
      </c>
      <c r="AT177" s="49">
        <f t="shared" si="153"/>
        <v>105.61208695668314</v>
      </c>
      <c r="AU177" s="61">
        <f t="shared" si="154"/>
        <v>72.753838150326558</v>
      </c>
      <c r="AV177" s="58" t="str">
        <f t="shared" si="155"/>
        <v>1589202.57624831+2834618.89216523i</v>
      </c>
      <c r="AW177" s="64">
        <f t="shared" si="156"/>
        <v>130.23689789705577</v>
      </c>
      <c r="AX177" s="61">
        <f t="shared" si="157"/>
        <v>60.723237856267545</v>
      </c>
      <c r="AY177" s="310"/>
      <c r="BA177" s="31">
        <f t="shared" si="158"/>
        <v>0</v>
      </c>
      <c r="BB177" s="31">
        <f t="shared" si="159"/>
        <v>0</v>
      </c>
    </row>
    <row r="178" spans="14:54" x14ac:dyDescent="0.45">
      <c r="N178" s="10">
        <v>60</v>
      </c>
      <c r="O178" s="50">
        <f t="shared" si="125"/>
        <v>398.10717055349761</v>
      </c>
      <c r="P178" s="48" t="str">
        <f t="shared" si="126"/>
        <v>17.4002386318441</v>
      </c>
      <c r="Q178" s="17" t="str">
        <f t="shared" si="127"/>
        <v>1+0.214224076171172i</v>
      </c>
      <c r="R178" s="17">
        <f t="shared" si="135"/>
        <v>1.0226885913177051</v>
      </c>
      <c r="S178" s="17">
        <f t="shared" si="136"/>
        <v>0.21103440042761695</v>
      </c>
      <c r="T178" s="17" t="str">
        <f t="shared" si="128"/>
        <v>1+0.000750414337411372i</v>
      </c>
      <c r="U178" s="17">
        <f t="shared" si="137"/>
        <v>1.0000002815607991</v>
      </c>
      <c r="V178" s="17">
        <f t="shared" si="138"/>
        <v>7.5041419655322598E-4</v>
      </c>
      <c r="W178" s="31" t="str">
        <f t="shared" si="129"/>
        <v>1-0.00185136235624393i</v>
      </c>
      <c r="X178" s="17">
        <f t="shared" si="139"/>
        <v>1.0000017137698185</v>
      </c>
      <c r="Y178" s="17">
        <f t="shared" si="140"/>
        <v>-1.8513602410405146E-3</v>
      </c>
      <c r="Z178" s="31" t="str">
        <f t="shared" si="130"/>
        <v>0.999999856245515+0.00258924107649004i</v>
      </c>
      <c r="AA178" s="17">
        <f t="shared" si="141"/>
        <v>1.0000032083250547</v>
      </c>
      <c r="AB178" s="17">
        <f t="shared" si="142"/>
        <v>2.5892356624890004E-3</v>
      </c>
      <c r="AC178" s="66" t="str">
        <f t="shared" si="143"/>
        <v>16.6234606580287-3.62535532091499i</v>
      </c>
      <c r="AD178" s="64">
        <f t="shared" si="144"/>
        <v>24.616225327944157</v>
      </c>
      <c r="AE178" s="61">
        <f t="shared" si="145"/>
        <v>-12.302812314022368</v>
      </c>
      <c r="AF178" s="31" t="str">
        <f t="shared" si="131"/>
        <v>-9090.90909090909</v>
      </c>
      <c r="AG178" s="31" t="str">
        <f t="shared" si="132"/>
        <v>2.27623467397318E-08i</v>
      </c>
      <c r="AH178" s="31">
        <f t="shared" si="146"/>
        <v>2.27623467397318E-8</v>
      </c>
      <c r="AI178" s="31">
        <f t="shared" si="147"/>
        <v>1.5707963267948966</v>
      </c>
      <c r="AJ178" s="31" t="str">
        <f t="shared" si="133"/>
        <v>1+7224268.00724503i</v>
      </c>
      <c r="AK178" s="31">
        <f t="shared" si="148"/>
        <v>7224268.0072450992</v>
      </c>
      <c r="AL178" s="31">
        <f t="shared" si="149"/>
        <v>1.5707961883725681</v>
      </c>
      <c r="AM178" s="31" t="str">
        <f t="shared" si="134"/>
        <v>1+3.29632004613568i</v>
      </c>
      <c r="AN178" s="31">
        <f t="shared" si="150"/>
        <v>3.4446662895781257</v>
      </c>
      <c r="AO178" s="31">
        <f t="shared" si="151"/>
        <v>1.2762519453583208</v>
      </c>
      <c r="AS178" s="58" t="str">
        <f t="shared" si="152"/>
        <v>55283.589415021+182232.494813377i</v>
      </c>
      <c r="AT178" s="49">
        <f t="shared" si="153"/>
        <v>105.59487171931266</v>
      </c>
      <c r="AU178" s="61">
        <f t="shared" si="154"/>
        <v>73.12385799540796</v>
      </c>
      <c r="AV178" s="58" t="str">
        <f t="shared" si="155"/>
        <v>1579662.1183905+2828912.05309957i</v>
      </c>
      <c r="AW178" s="64">
        <f t="shared" si="156"/>
        <v>130.21109704725683</v>
      </c>
      <c r="AX178" s="61">
        <f t="shared" si="157"/>
        <v>60.821045681385669</v>
      </c>
      <c r="AY178" s="310"/>
      <c r="BA178" s="31">
        <f t="shared" si="158"/>
        <v>0</v>
      </c>
      <c r="BB178" s="31">
        <f t="shared" si="159"/>
        <v>0</v>
      </c>
    </row>
    <row r="179" spans="14:54" x14ac:dyDescent="0.45">
      <c r="N179" s="10">
        <v>61</v>
      </c>
      <c r="O179" s="50">
        <f t="shared" si="125"/>
        <v>407.38027780411272</v>
      </c>
      <c r="P179" s="48" t="str">
        <f t="shared" si="126"/>
        <v>17.4002386318441</v>
      </c>
      <c r="Q179" s="17" t="str">
        <f t="shared" si="127"/>
        <v>1+0.219213995923779i</v>
      </c>
      <c r="R179" s="17">
        <f t="shared" si="135"/>
        <v>1.0237454644631498</v>
      </c>
      <c r="S179" s="17">
        <f t="shared" si="136"/>
        <v>0.21580046370163944</v>
      </c>
      <c r="T179" s="17" t="str">
        <f t="shared" si="128"/>
        <v>1+0.000767893732780063i</v>
      </c>
      <c r="U179" s="17">
        <f t="shared" si="137"/>
        <v>1.000000294830349</v>
      </c>
      <c r="V179" s="17">
        <f t="shared" si="138"/>
        <v>7.6789358184784276E-4</v>
      </c>
      <c r="W179" s="31" t="str">
        <f t="shared" si="129"/>
        <v>1-0.0018944861253168i</v>
      </c>
      <c r="X179" s="17">
        <f t="shared" si="139"/>
        <v>1.0000017945372293</v>
      </c>
      <c r="Y179" s="17">
        <f t="shared" si="140"/>
        <v>-1.8944838588357256E-3</v>
      </c>
      <c r="Z179" s="31" t="str">
        <f t="shared" si="130"/>
        <v>0.999999849470575+0.00264955224889774i</v>
      </c>
      <c r="AA179" s="17">
        <f t="shared" si="141"/>
        <v>1.0000033595285029</v>
      </c>
      <c r="AB179" s="17">
        <f t="shared" si="142"/>
        <v>2.6495464476921594E-3</v>
      </c>
      <c r="AC179" s="66" t="str">
        <f t="shared" si="143"/>
        <v>16.5885307906832-3.70214356163823i</v>
      </c>
      <c r="AD179" s="64">
        <f t="shared" si="144"/>
        <v>24.607253240756762</v>
      </c>
      <c r="AE179" s="61">
        <f t="shared" si="145"/>
        <v>-12.580812484258621</v>
      </c>
      <c r="AF179" s="31" t="str">
        <f t="shared" si="131"/>
        <v>-9090.90909090909</v>
      </c>
      <c r="AG179" s="31" t="str">
        <f t="shared" si="132"/>
        <v>2.27623467397318E-08i</v>
      </c>
      <c r="AH179" s="31">
        <f t="shared" si="146"/>
        <v>2.27623467397318E-8</v>
      </c>
      <c r="AI179" s="31">
        <f t="shared" si="147"/>
        <v>1.5707963267948966</v>
      </c>
      <c r="AJ179" s="31" t="str">
        <f t="shared" si="133"/>
        <v>1+7392542.82617189i</v>
      </c>
      <c r="AK179" s="31">
        <f t="shared" si="148"/>
        <v>7392542.826171957</v>
      </c>
      <c r="AL179" s="31">
        <f t="shared" si="149"/>
        <v>1.570796191523445</v>
      </c>
      <c r="AM179" s="31" t="str">
        <f t="shared" si="134"/>
        <v>1+3.37310120352522i</v>
      </c>
      <c r="AN179" s="31">
        <f t="shared" si="150"/>
        <v>3.518211438959189</v>
      </c>
      <c r="AO179" s="31">
        <f t="shared" si="151"/>
        <v>1.2825875558379574</v>
      </c>
      <c r="AS179" s="58" t="str">
        <f t="shared" si="152"/>
        <v>54025.1812843975+182232.49446896i</v>
      </c>
      <c r="AT179" s="49">
        <f t="shared" si="153"/>
        <v>105.57836734674456</v>
      </c>
      <c r="AU179" s="61">
        <f t="shared" si="154"/>
        <v>73.486861555998075</v>
      </c>
      <c r="AV179" s="58" t="str">
        <f t="shared" si="155"/>
        <v>1570849.239328+2822960.36850298i</v>
      </c>
      <c r="AW179" s="64">
        <f t="shared" si="156"/>
        <v>130.18562058750132</v>
      </c>
      <c r="AX179" s="61">
        <f t="shared" si="157"/>
        <v>60.906049071739524</v>
      </c>
      <c r="AY179" s="310"/>
      <c r="BA179" s="31">
        <f t="shared" si="158"/>
        <v>0</v>
      </c>
      <c r="BB179" s="31">
        <f t="shared" si="159"/>
        <v>0</v>
      </c>
    </row>
    <row r="180" spans="14:54" x14ac:dyDescent="0.45">
      <c r="N180" s="10">
        <v>62</v>
      </c>
      <c r="O180" s="50">
        <f t="shared" si="125"/>
        <v>416.86938347033572</v>
      </c>
      <c r="P180" s="48" t="str">
        <f t="shared" si="126"/>
        <v>17.4002386318441</v>
      </c>
      <c r="Q180" s="17" t="str">
        <f t="shared" si="127"/>
        <v>1+0.224320145838665i</v>
      </c>
      <c r="R180" s="17">
        <f t="shared" si="135"/>
        <v>1.0248509783520139</v>
      </c>
      <c r="S180" s="17">
        <f t="shared" si="136"/>
        <v>0.2206672532316811</v>
      </c>
      <c r="T180" s="17" t="str">
        <f t="shared" si="128"/>
        <v>1+0.00078578027557015i</v>
      </c>
      <c r="U180" s="17">
        <f t="shared" si="137"/>
        <v>1.0000003087252731</v>
      </c>
      <c r="V180" s="17">
        <f t="shared" si="138"/>
        <v>7.8578011384336478E-4</v>
      </c>
      <c r="W180" s="31" t="str">
        <f t="shared" si="129"/>
        <v>1-0.0019386143760098i</v>
      </c>
      <c r="X180" s="17">
        <f t="shared" si="139"/>
        <v>1.0000018791110838</v>
      </c>
      <c r="Y180" s="17">
        <f t="shared" si="140"/>
        <v>-1.9386119474318203E-3</v>
      </c>
      <c r="Z180" s="31" t="str">
        <f t="shared" si="130"/>
        <v>0.999999842376342+0.00271126824897877i</v>
      </c>
      <c r="AA180" s="17">
        <f t="shared" si="141"/>
        <v>1.0000035178579256</v>
      </c>
      <c r="AB180" s="17">
        <f t="shared" si="142"/>
        <v>2.7112620328761765E-3</v>
      </c>
      <c r="AC180" s="66" t="str">
        <f t="shared" si="143"/>
        <v>16.5521089144339-3.78020738425112i</v>
      </c>
      <c r="AD180" s="64">
        <f t="shared" si="144"/>
        <v>24.597878134038197</v>
      </c>
      <c r="AE180" s="61">
        <f t="shared" si="145"/>
        <v>-12.864698557110716</v>
      </c>
      <c r="AF180" s="31" t="str">
        <f t="shared" si="131"/>
        <v>-9090.90909090909</v>
      </c>
      <c r="AG180" s="31" t="str">
        <f t="shared" si="132"/>
        <v>2.27623467397318E-08i</v>
      </c>
      <c r="AH180" s="31">
        <f t="shared" si="146"/>
        <v>2.27623467397318E-8</v>
      </c>
      <c r="AI180" s="31">
        <f t="shared" si="147"/>
        <v>1.5707963267948966</v>
      </c>
      <c r="AJ180" s="31" t="str">
        <f t="shared" si="133"/>
        <v>1+7564737.26915708i</v>
      </c>
      <c r="AK180" s="31">
        <f t="shared" si="148"/>
        <v>7564737.269157147</v>
      </c>
      <c r="AL180" s="31">
        <f t="shared" si="149"/>
        <v>1.570796194602599</v>
      </c>
      <c r="AM180" s="31" t="str">
        <f t="shared" si="134"/>
        <v>1+3.45167082382114i</v>
      </c>
      <c r="AN180" s="31">
        <f t="shared" si="150"/>
        <v>3.5936098113203818</v>
      </c>
      <c r="AO180" s="31">
        <f t="shared" si="151"/>
        <v>1.2888020329536847</v>
      </c>
      <c r="AS180" s="58" t="str">
        <f t="shared" si="152"/>
        <v>52795.4180199984+182232.494140042i</v>
      </c>
      <c r="AT180" s="49">
        <f t="shared" si="153"/>
        <v>105.56254702634851</v>
      </c>
      <c r="AU180" s="61">
        <f t="shared" si="154"/>
        <v>73.842924690187274</v>
      </c>
      <c r="AV180" s="58" t="str">
        <f t="shared" si="155"/>
        <v>1562752.12924877+2816754.46170109i</v>
      </c>
      <c r="AW180" s="64">
        <f t="shared" si="156"/>
        <v>130.16042516038672</v>
      </c>
      <c r="AX180" s="61">
        <f t="shared" si="157"/>
        <v>60.97822613307649</v>
      </c>
      <c r="AY180" s="310"/>
      <c r="BA180" s="31">
        <f t="shared" si="158"/>
        <v>0</v>
      </c>
      <c r="BB180" s="31">
        <f t="shared" si="159"/>
        <v>0</v>
      </c>
    </row>
    <row r="181" spans="14:54" x14ac:dyDescent="0.45">
      <c r="N181" s="10">
        <v>63</v>
      </c>
      <c r="O181" s="50">
        <f t="shared" si="125"/>
        <v>426.57951880159294</v>
      </c>
      <c r="P181" s="48" t="str">
        <f t="shared" si="126"/>
        <v>17.4002386318441</v>
      </c>
      <c r="Q181" s="17" t="str">
        <f t="shared" si="127"/>
        <v>1+0.229545233264103i</v>
      </c>
      <c r="R181" s="17">
        <f t="shared" si="135"/>
        <v>1.0260073167937309</v>
      </c>
      <c r="S181" s="17">
        <f t="shared" si="136"/>
        <v>0.2256364268492636</v>
      </c>
      <c r="T181" s="17" t="str">
        <f t="shared" si="128"/>
        <v>1+0.000804083449463374i</v>
      </c>
      <c r="U181" s="17">
        <f t="shared" si="137"/>
        <v>1.0000003232750445</v>
      </c>
      <c r="V181" s="17">
        <f t="shared" si="138"/>
        <v>8.0408327617000454E-4</v>
      </c>
      <c r="W181" s="31" t="str">
        <f t="shared" si="129"/>
        <v>1-0.00198377050570556i</v>
      </c>
      <c r="X181" s="17">
        <f t="shared" si="139"/>
        <v>1.0000019676707739</v>
      </c>
      <c r="Y181" s="17">
        <f t="shared" si="140"/>
        <v>-1.9837679034376472E-3</v>
      </c>
      <c r="Z181" s="31" t="str">
        <f t="shared" si="130"/>
        <v>0.999999834947768+0.00277442179937329i</v>
      </c>
      <c r="AA181" s="17">
        <f t="shared" si="141"/>
        <v>1.0000036836491575</v>
      </c>
      <c r="AB181" s="17">
        <f t="shared" si="142"/>
        <v>2.7744151387006817E-3</v>
      </c>
      <c r="AC181" s="66" t="str">
        <f t="shared" si="143"/>
        <v>16.5141384966424-3.85954377776289i</v>
      </c>
      <c r="AD181" s="64">
        <f t="shared" si="144"/>
        <v>24.588082832758623</v>
      </c>
      <c r="AE181" s="61">
        <f t="shared" si="145"/>
        <v>-13.154568191238791</v>
      </c>
      <c r="AF181" s="31" t="str">
        <f t="shared" si="131"/>
        <v>-9090.90909090909</v>
      </c>
      <c r="AG181" s="31" t="str">
        <f t="shared" si="132"/>
        <v>2.27623467397318E-08i</v>
      </c>
      <c r="AH181" s="31">
        <f t="shared" si="146"/>
        <v>2.27623467397318E-8</v>
      </c>
      <c r="AI181" s="31">
        <f t="shared" si="147"/>
        <v>1.5707963267948966</v>
      </c>
      <c r="AJ181" s="31" t="str">
        <f t="shared" si="133"/>
        <v>1+7740942.63597348i</v>
      </c>
      <c r="AK181" s="31">
        <f t="shared" si="148"/>
        <v>7740942.6359735448</v>
      </c>
      <c r="AL181" s="31">
        <f t="shared" si="149"/>
        <v>1.5707961976116631</v>
      </c>
      <c r="AM181" s="31" t="str">
        <f t="shared" si="134"/>
        <v>1+3.53207056567611i</v>
      </c>
      <c r="AN181" s="31">
        <f t="shared" si="150"/>
        <v>3.670902134478057</v>
      </c>
      <c r="AO181" s="31">
        <f t="shared" si="151"/>
        <v>1.2948967509602771</v>
      </c>
      <c r="AS181" s="58" t="str">
        <f t="shared" si="152"/>
        <v>51593.6475850635+182232.493825928i</v>
      </c>
      <c r="AT181" s="49">
        <f t="shared" si="153"/>
        <v>105.54738474943314</v>
      </c>
      <c r="AU181" s="61">
        <f t="shared" si="154"/>
        <v>74.192126136880717</v>
      </c>
      <c r="AV181" s="58" t="str">
        <f t="shared" si="155"/>
        <v>1555358.92941877+2810284.70012088i</v>
      </c>
      <c r="AW181" s="64">
        <f t="shared" si="156"/>
        <v>130.13546758219175</v>
      </c>
      <c r="AX181" s="61">
        <f t="shared" si="157"/>
        <v>61.03755794564195</v>
      </c>
      <c r="AY181" s="310"/>
      <c r="BA181" s="31">
        <f t="shared" si="158"/>
        <v>0</v>
      </c>
      <c r="BB181" s="31">
        <f t="shared" si="159"/>
        <v>0</v>
      </c>
    </row>
    <row r="182" spans="14:54" x14ac:dyDescent="0.45">
      <c r="N182" s="10">
        <v>64</v>
      </c>
      <c r="O182" s="50">
        <f t="shared" si="125"/>
        <v>436.51583224016622</v>
      </c>
      <c r="P182" s="48" t="str">
        <f t="shared" si="126"/>
        <v>17.4002386318441</v>
      </c>
      <c r="Q182" s="17" t="str">
        <f t="shared" si="127"/>
        <v>1+0.234892028610607i</v>
      </c>
      <c r="R182" s="17">
        <f t="shared" si="135"/>
        <v>1.0272167566316304</v>
      </c>
      <c r="S182" s="17">
        <f t="shared" si="136"/>
        <v>0.23070963721539406</v>
      </c>
      <c r="T182" s="17" t="str">
        <f t="shared" si="128"/>
        <v>1+0.000822812959044805i</v>
      </c>
      <c r="U182" s="17">
        <f t="shared" si="137"/>
        <v>1.0000003385105254</v>
      </c>
      <c r="V182" s="17">
        <f t="shared" si="138"/>
        <v>8.2281277335761755E-4</v>
      </c>
      <c r="W182" s="31" t="str">
        <f t="shared" si="129"/>
        <v>1-0.00202997845678174i</v>
      </c>
      <c r="X182" s="17">
        <f t="shared" si="139"/>
        <v>1.0000020604041449</v>
      </c>
      <c r="Y182" s="17">
        <f t="shared" si="140"/>
        <v>-2.0299756684017439E-3</v>
      </c>
      <c r="Z182" s="31" t="str">
        <f t="shared" si="130"/>
        <v>0.999999827169096+0.00283904638492964i</v>
      </c>
      <c r="AA182" s="17">
        <f t="shared" si="141"/>
        <v>1.0000038572538597</v>
      </c>
      <c r="AB182" s="17">
        <f t="shared" si="142"/>
        <v>2.8390392478918401E-3</v>
      </c>
      <c r="AC182" s="66" t="str">
        <f t="shared" si="143"/>
        <v>16.4745615194409-3.94014776382962i</v>
      </c>
      <c r="AD182" s="64">
        <f t="shared" si="144"/>
        <v>24.577849514749055</v>
      </c>
      <c r="AE182" s="61">
        <f t="shared" si="145"/>
        <v>-13.450518811283446</v>
      </c>
      <c r="AF182" s="31" t="str">
        <f t="shared" si="131"/>
        <v>-9090.90909090909</v>
      </c>
      <c r="AG182" s="31" t="str">
        <f t="shared" si="132"/>
        <v>2.27623467397318E-08i</v>
      </c>
      <c r="AH182" s="31">
        <f t="shared" si="146"/>
        <v>2.27623467397318E-8</v>
      </c>
      <c r="AI182" s="31">
        <f t="shared" si="147"/>
        <v>1.5707963267948966</v>
      </c>
      <c r="AJ182" s="31" t="str">
        <f t="shared" si="133"/>
        <v>1+7921252.35303896i</v>
      </c>
      <c r="AK182" s="31">
        <f t="shared" si="148"/>
        <v>7921252.3530390235</v>
      </c>
      <c r="AL182" s="31">
        <f t="shared" si="149"/>
        <v>1.5707962005522325</v>
      </c>
      <c r="AM182" s="31" t="str">
        <f t="shared" si="134"/>
        <v>1+3.61434305809747i</v>
      </c>
      <c r="AN182" s="31">
        <f t="shared" si="150"/>
        <v>3.7501300966256319</v>
      </c>
      <c r="AO182" s="31">
        <f t="shared" si="151"/>
        <v>1.3008731295189657</v>
      </c>
      <c r="AS182" s="58" t="str">
        <f t="shared" si="152"/>
        <v>50419.2327850011+182232.493525953i</v>
      </c>
      <c r="AT182" s="49">
        <f t="shared" si="153"/>
        <v>105.53285530433587</v>
      </c>
      <c r="AU182" s="61">
        <f t="shared" si="154"/>
        <v>74.534547236583933</v>
      </c>
      <c r="AV182" s="58" t="str">
        <f t="shared" si="155"/>
        <v>1548657.70414289+2803541.1981226i</v>
      </c>
      <c r="AW182" s="64">
        <f t="shared" si="156"/>
        <v>130.11070481908493</v>
      </c>
      <c r="AX182" s="61">
        <f t="shared" si="157"/>
        <v>61.084028425300495</v>
      </c>
      <c r="AY182" s="310"/>
      <c r="BA182" s="31">
        <f t="shared" si="158"/>
        <v>0</v>
      </c>
      <c r="BB182" s="31">
        <f t="shared" si="159"/>
        <v>0</v>
      </c>
    </row>
    <row r="183" spans="14:54" x14ac:dyDescent="0.45">
      <c r="N183" s="10">
        <v>65</v>
      </c>
      <c r="O183" s="50">
        <f t="shared" si="125"/>
        <v>446.68359215096331</v>
      </c>
      <c r="P183" s="48" t="str">
        <f t="shared" si="126"/>
        <v>17.4002386318441</v>
      </c>
      <c r="Q183" s="17" t="str">
        <f t="shared" si="127"/>
        <v>1+0.240363366819845i</v>
      </c>
      <c r="R183" s="17">
        <f t="shared" si="135"/>
        <v>1.0284816712557261</v>
      </c>
      <c r="S183" s="17">
        <f t="shared" si="136"/>
        <v>0.23588852917525369</v>
      </c>
      <c r="T183" s="17" t="str">
        <f t="shared" si="128"/>
        <v>1+0.00084197873494834i</v>
      </c>
      <c r="U183" s="17">
        <f t="shared" si="137"/>
        <v>1.0000003544640323</v>
      </c>
      <c r="V183" s="17">
        <f t="shared" si="138"/>
        <v>8.4197853598093775E-4</v>
      </c>
      <c r="W183" s="31" t="str">
        <f t="shared" si="129"/>
        <v>1-0.00207726272930565i</v>
      </c>
      <c r="X183" s="17">
        <f t="shared" si="139"/>
        <v>1.0000021575078959</v>
      </c>
      <c r="Y183" s="17">
        <f t="shared" si="140"/>
        <v>-2.0772597415030024E-3</v>
      </c>
      <c r="Z183" s="31" t="str">
        <f t="shared" si="130"/>
        <v>0.999999819023826+0.00290517627045851i</v>
      </c>
      <c r="AA183" s="17">
        <f t="shared" si="141"/>
        <v>1.0000040390402665</v>
      </c>
      <c r="AB183" s="17">
        <f t="shared" si="142"/>
        <v>2.9051686229863939E-3</v>
      </c>
      <c r="AC183" s="66" t="str">
        <f t="shared" si="143"/>
        <v>16.4333185032383-4.02201226265613i</v>
      </c>
      <c r="AD183" s="64">
        <f t="shared" si="144"/>
        <v>24.567159694045237</v>
      </c>
      <c r="AE183" s="61">
        <f t="shared" si="145"/>
        <v>-13.752647457749825</v>
      </c>
      <c r="AF183" s="31" t="str">
        <f t="shared" si="131"/>
        <v>-9090.90909090909</v>
      </c>
      <c r="AG183" s="31" t="str">
        <f t="shared" si="132"/>
        <v>2.27623467397318E-08i</v>
      </c>
      <c r="AH183" s="31">
        <f t="shared" si="146"/>
        <v>2.27623467397318E-8</v>
      </c>
      <c r="AI183" s="31">
        <f t="shared" si="147"/>
        <v>1.5707963267948966</v>
      </c>
      <c r="AJ183" s="31" t="str">
        <f t="shared" si="133"/>
        <v>1+8105762.0229522i</v>
      </c>
      <c r="AK183" s="31">
        <f t="shared" si="148"/>
        <v>8105762.0229522614</v>
      </c>
      <c r="AL183" s="31">
        <f t="shared" si="149"/>
        <v>1.5707962034258665</v>
      </c>
      <c r="AM183" s="31" t="str">
        <f t="shared" si="134"/>
        <v>1+3.69853192304974i</v>
      </c>
      <c r="AN183" s="31">
        <f t="shared" si="150"/>
        <v>3.8313363707482031</v>
      </c>
      <c r="AO183" s="31">
        <f t="shared" si="151"/>
        <v>1.3067326290375838</v>
      </c>
      <c r="AS183" s="58" t="str">
        <f t="shared" si="152"/>
        <v>49271.5509295385+182232.493239478i</v>
      </c>
      <c r="AT183" s="49">
        <f t="shared" si="153"/>
        <v>105.51893426794052</v>
      </c>
      <c r="AU183" s="61">
        <f t="shared" si="154"/>
        <v>74.87027166441257</v>
      </c>
      <c r="AV183" s="58" t="str">
        <f t="shared" si="155"/>
        <v>1542636.41203721+2796513.82100487i</v>
      </c>
      <c r="AW183" s="64">
        <f t="shared" si="156"/>
        <v>130.08609396198577</v>
      </c>
      <c r="AX183" s="61">
        <f t="shared" si="157"/>
        <v>61.117624206662782</v>
      </c>
      <c r="AY183" s="310"/>
      <c r="BA183" s="31">
        <f t="shared" si="158"/>
        <v>0</v>
      </c>
      <c r="BB183" s="31">
        <f t="shared" si="159"/>
        <v>0</v>
      </c>
    </row>
    <row r="184" spans="14:54" x14ac:dyDescent="0.45">
      <c r="N184" s="10">
        <v>66</v>
      </c>
      <c r="O184" s="50">
        <f t="shared" ref="O184:O218" si="160">10^(2+(N184/100))</f>
        <v>457.0881896148756</v>
      </c>
      <c r="P184" s="48" t="str">
        <f t="shared" si="126"/>
        <v>17.4002386318441</v>
      </c>
      <c r="Q184" s="17" t="str">
        <f t="shared" si="127"/>
        <v>1+0.245962148867756i</v>
      </c>
      <c r="R184" s="17">
        <f t="shared" si="135"/>
        <v>1.0298045342081401</v>
      </c>
      <c r="S184" s="17">
        <f t="shared" si="136"/>
        <v>0.24117473693539221</v>
      </c>
      <c r="T184" s="17" t="str">
        <f t="shared" si="128"/>
        <v>1+0.000861590939122051i</v>
      </c>
      <c r="U184" s="17">
        <f t="shared" si="137"/>
        <v>1.0000003711694043</v>
      </c>
      <c r="V184" s="17">
        <f t="shared" si="138"/>
        <v>8.6159072592464263E-4</v>
      </c>
      <c r="W184" s="31" t="str">
        <f t="shared" si="129"/>
        <v>1-0.00212564839402447i</v>
      </c>
      <c r="X184" s="17">
        <f t="shared" si="139"/>
        <v>1.0000022591879956</v>
      </c>
      <c r="Y184" s="17">
        <f t="shared" si="140"/>
        <v>-2.1256451925366435E-3</v>
      </c>
      <c r="Z184" s="31" t="str">
        <f t="shared" si="130"/>
        <v>0.999999810494682+0.00297284651890053i</v>
      </c>
      <c r="AA184" s="17">
        <f t="shared" si="141"/>
        <v>1.0000042293939686</v>
      </c>
      <c r="AB184" s="17">
        <f t="shared" si="142"/>
        <v>2.9728383244883912E-3</v>
      </c>
      <c r="AC184" s="66" t="str">
        <f t="shared" si="143"/>
        <v>16.3903485377407-4.10512795420233i</v>
      </c>
      <c r="AD184" s="64">
        <f t="shared" si="144"/>
        <v>24.555994204539182</v>
      </c>
      <c r="AE184" s="61">
        <f t="shared" si="145"/>
        <v>-14.061050626755321</v>
      </c>
      <c r="AF184" s="31" t="str">
        <f t="shared" si="131"/>
        <v>-9090.90909090909</v>
      </c>
      <c r="AG184" s="31" t="str">
        <f t="shared" si="132"/>
        <v>2.27623467397318E-08i</v>
      </c>
      <c r="AH184" s="31">
        <f t="shared" si="146"/>
        <v>2.27623467397318E-8</v>
      </c>
      <c r="AI184" s="31">
        <f t="shared" si="147"/>
        <v>1.5707963267948966</v>
      </c>
      <c r="AJ184" s="31" t="str">
        <f t="shared" si="133"/>
        <v>1+8294569.47518246i</v>
      </c>
      <c r="AK184" s="31">
        <f t="shared" si="148"/>
        <v>8294569.4751825184</v>
      </c>
      <c r="AL184" s="31">
        <f t="shared" si="149"/>
        <v>1.5707962062340883</v>
      </c>
      <c r="AM184" s="31" t="str">
        <f t="shared" si="134"/>
        <v>1+3.78468179858346i</v>
      </c>
      <c r="AN184" s="31">
        <f t="shared" si="150"/>
        <v>3.9145646394623417</v>
      </c>
      <c r="AO184" s="31">
        <f t="shared" si="151"/>
        <v>1.3124767462241971</v>
      </c>
      <c r="AS184" s="58" t="str">
        <f t="shared" si="152"/>
        <v>48149.9935025651+182232.492965897i</v>
      </c>
      <c r="AT184" s="49">
        <f t="shared" si="153"/>
        <v>105.50559799578544</v>
      </c>
      <c r="AU184" s="61">
        <f t="shared" si="154"/>
        <v>75.199385175334783</v>
      </c>
      <c r="AV184" s="58" t="str">
        <f t="shared" si="155"/>
        <v>1537282.87663528+2789192.19029039i</v>
      </c>
      <c r="AW184" s="64">
        <f t="shared" si="156"/>
        <v>130.06159220032461</v>
      </c>
      <c r="AX184" s="61">
        <f t="shared" si="157"/>
        <v>61.138334548579365</v>
      </c>
      <c r="AY184" s="310"/>
      <c r="BA184" s="31">
        <f t="shared" si="158"/>
        <v>0</v>
      </c>
      <c r="BB184" s="31">
        <f t="shared" si="159"/>
        <v>0</v>
      </c>
    </row>
    <row r="185" spans="14:54" x14ac:dyDescent="0.45">
      <c r="N185" s="10">
        <v>67</v>
      </c>
      <c r="O185" s="50">
        <f t="shared" si="160"/>
        <v>467.7351412871983</v>
      </c>
      <c r="P185" s="48" t="str">
        <f t="shared" si="126"/>
        <v>17.4002386318441</v>
      </c>
      <c r="Q185" s="17" t="str">
        <f t="shared" si="127"/>
        <v>1+0.25169134330269i</v>
      </c>
      <c r="R185" s="17">
        <f t="shared" si="135"/>
        <v>1.0311879228799727</v>
      </c>
      <c r="S185" s="17">
        <f t="shared" si="136"/>
        <v>0.2465698810574645</v>
      </c>
      <c r="T185" s="17" t="str">
        <f t="shared" si="128"/>
        <v>1+0.000881659970216188i</v>
      </c>
      <c r="U185" s="17">
        <f t="shared" si="137"/>
        <v>1.0000003886620761</v>
      </c>
      <c r="V185" s="17">
        <f t="shared" si="138"/>
        <v>8.8165974177105389E-4</v>
      </c>
      <c r="W185" s="31" t="str">
        <f t="shared" si="129"/>
        <v>1-0.00217516110565808i</v>
      </c>
      <c r="X185" s="17">
        <f t="shared" si="139"/>
        <v>1.0000023656601196</v>
      </c>
      <c r="Y185" s="17">
        <f t="shared" si="140"/>
        <v>-2.1751576752025064E-3</v>
      </c>
      <c r="Z185" s="31" t="str">
        <f t="shared" si="130"/>
        <v>0.999999801563571+0.00304209300991715i</v>
      </c>
      <c r="AA185" s="17">
        <f t="shared" si="141"/>
        <v>1.0000044287187244</v>
      </c>
      <c r="AB185" s="17">
        <f t="shared" si="142"/>
        <v>3.042084229448449E-3</v>
      </c>
      <c r="AC185" s="66" t="str">
        <f t="shared" si="143"/>
        <v>16.3455893211394-4.18948313489338i</v>
      </c>
      <c r="AD185" s="64">
        <f t="shared" si="144"/>
        <v>24.544333184026428</v>
      </c>
      <c r="AE185" s="61">
        <f t="shared" si="145"/>
        <v>-14.37582409930069</v>
      </c>
      <c r="AF185" s="31" t="str">
        <f t="shared" si="131"/>
        <v>-9090.90909090909</v>
      </c>
      <c r="AG185" s="31" t="str">
        <f t="shared" si="132"/>
        <v>2.27623467397318E-08i</v>
      </c>
      <c r="AH185" s="31">
        <f t="shared" si="146"/>
        <v>2.27623467397318E-8</v>
      </c>
      <c r="AI185" s="31">
        <f t="shared" si="147"/>
        <v>1.5707963267948966</v>
      </c>
      <c r="AJ185" s="31" t="str">
        <f t="shared" si="133"/>
        <v>1+8487774.81794005i</v>
      </c>
      <c r="AK185" s="31">
        <f t="shared" si="148"/>
        <v>8487774.8179401103</v>
      </c>
      <c r="AL185" s="31">
        <f t="shared" si="149"/>
        <v>1.5707962089783873</v>
      </c>
      <c r="AM185" s="31" t="str">
        <f t="shared" si="134"/>
        <v>1+3.87283836250297i</v>
      </c>
      <c r="AN185" s="31">
        <f t="shared" si="150"/>
        <v>3.9998596202960277</v>
      </c>
      <c r="AO185" s="31">
        <f t="shared" si="151"/>
        <v>1.3181070098532668</v>
      </c>
      <c r="AS185" s="58" t="str">
        <f t="shared" si="152"/>
        <v>47053.9658394871+182232.492704629i</v>
      </c>
      <c r="AT185" s="49">
        <f t="shared" si="153"/>
        <v>105.49282361091583</v>
      </c>
      <c r="AU185" s="61">
        <f t="shared" si="154"/>
        <v>75.521975361589767</v>
      </c>
      <c r="AV185" s="58" t="str">
        <f t="shared" si="155"/>
        <v>1532584.7563588+2781565.69040302i</v>
      </c>
      <c r="AW185" s="64">
        <f t="shared" si="156"/>
        <v>130.03715679494226</v>
      </c>
      <c r="AX185" s="61">
        <f t="shared" si="157"/>
        <v>61.146151262289131</v>
      </c>
      <c r="AY185" s="310"/>
      <c r="BA185" s="31">
        <f t="shared" si="158"/>
        <v>0</v>
      </c>
      <c r="BB185" s="31">
        <f t="shared" si="159"/>
        <v>0</v>
      </c>
    </row>
    <row r="186" spans="14:54" x14ac:dyDescent="0.45">
      <c r="N186" s="10">
        <v>68</v>
      </c>
      <c r="O186" s="50">
        <f t="shared" si="160"/>
        <v>478.63009232263886</v>
      </c>
      <c r="P186" s="48" t="str">
        <f t="shared" si="126"/>
        <v>17.4002386318441</v>
      </c>
      <c r="Q186" s="17" t="str">
        <f t="shared" si="127"/>
        <v>1+0.257553987819372i</v>
      </c>
      <c r="R186" s="17">
        <f t="shared" si="135"/>
        <v>1.0326345222980207</v>
      </c>
      <c r="S186" s="17">
        <f t="shared" si="136"/>
        <v>0.25207556526280761</v>
      </c>
      <c r="T186" s="17" t="str">
        <f t="shared" si="128"/>
        <v>1+0.000902196469096684i</v>
      </c>
      <c r="U186" s="17">
        <f t="shared" si="137"/>
        <v>1.0000004069791517</v>
      </c>
      <c r="V186" s="17">
        <f t="shared" si="138"/>
        <v>9.0219622431331799E-4</v>
      </c>
      <c r="W186" s="31" t="str">
        <f t="shared" si="129"/>
        <v>1-0.00222582711650157i</v>
      </c>
      <c r="X186" s="17">
        <f t="shared" si="139"/>
        <v>1.0000024771501081</v>
      </c>
      <c r="Y186" s="17">
        <f t="shared" si="140"/>
        <v>-2.2258234407026892E-3</v>
      </c>
      <c r="Z186" s="31" t="str">
        <f t="shared" si="130"/>
        <v>0.999999792211551+0.00311295245891448i</v>
      </c>
      <c r="AA186" s="17">
        <f t="shared" si="141"/>
        <v>1.0000046374373253</v>
      </c>
      <c r="AB186" s="17">
        <f t="shared" si="142"/>
        <v>3.112943050475111E-3</v>
      </c>
      <c r="AC186" s="66" t="str">
        <f t="shared" si="143"/>
        <v>16.2989772081448-4.27506357008772i</v>
      </c>
      <c r="AD186" s="64">
        <f t="shared" si="144"/>
        <v>24.532156058745048</v>
      </c>
      <c r="AE186" s="61">
        <f t="shared" si="145"/>
        <v>-14.697062759737955</v>
      </c>
      <c r="AF186" s="31" t="str">
        <f t="shared" si="131"/>
        <v>-9090.90909090909</v>
      </c>
      <c r="AG186" s="31" t="str">
        <f t="shared" si="132"/>
        <v>2.27623467397318E-08i</v>
      </c>
      <c r="AH186" s="31">
        <f t="shared" si="146"/>
        <v>2.27623467397318E-8</v>
      </c>
      <c r="AI186" s="31">
        <f t="shared" si="147"/>
        <v>1.5707963267948966</v>
      </c>
      <c r="AJ186" s="31" t="str">
        <f t="shared" si="133"/>
        <v>1+8685480.49125512i</v>
      </c>
      <c r="AK186" s="31">
        <f t="shared" si="148"/>
        <v>8685480.4912551772</v>
      </c>
      <c r="AL186" s="31">
        <f t="shared" si="149"/>
        <v>1.5707962116602185</v>
      </c>
      <c r="AM186" s="31" t="str">
        <f t="shared" si="134"/>
        <v>1+3.96304835658536i</v>
      </c>
      <c r="AN186" s="31">
        <f t="shared" si="150"/>
        <v>4.0872670914235494</v>
      </c>
      <c r="AO186" s="31">
        <f t="shared" si="151"/>
        <v>1.3236249767423518</v>
      </c>
      <c r="AS186" s="58" t="str">
        <f t="shared" si="152"/>
        <v>45982.8868119299+182232.492455119i</v>
      </c>
      <c r="AT186" s="49">
        <f t="shared" si="153"/>
        <v>105.4805889916276</v>
      </c>
      <c r="AU186" s="61">
        <f t="shared" si="154"/>
        <v>75.838131422169639</v>
      </c>
      <c r="AV186" s="58" t="str">
        <f t="shared" si="155"/>
        <v>1528529.51389351+2773623.47685226i</v>
      </c>
      <c r="AW186" s="64">
        <f t="shared" si="156"/>
        <v>130.01274505037264</v>
      </c>
      <c r="AX186" s="61">
        <f t="shared" si="157"/>
        <v>61.141068662431756</v>
      </c>
      <c r="AY186" s="310"/>
      <c r="BA186" s="31">
        <f t="shared" si="158"/>
        <v>0</v>
      </c>
      <c r="BB186" s="31">
        <f t="shared" si="159"/>
        <v>0</v>
      </c>
    </row>
    <row r="187" spans="14:54" x14ac:dyDescent="0.45">
      <c r="N187" s="10">
        <v>69</v>
      </c>
      <c r="O187" s="50">
        <f t="shared" si="160"/>
        <v>489.77881936844625</v>
      </c>
      <c r="P187" s="48" t="str">
        <f t="shared" si="126"/>
        <v>17.4002386318441</v>
      </c>
      <c r="Q187" s="17" t="str">
        <f t="shared" si="127"/>
        <v>1+0.263553190869526i</v>
      </c>
      <c r="R187" s="17">
        <f t="shared" si="135"/>
        <v>1.0341471289993067</v>
      </c>
      <c r="S187" s="17">
        <f t="shared" si="136"/>
        <v>0.25769337304254042</v>
      </c>
      <c r="T187" s="17" t="str">
        <f t="shared" si="128"/>
        <v>1+0.000923211324487078i</v>
      </c>
      <c r="U187" s="17">
        <f t="shared" si="137"/>
        <v>1.0000004261594841</v>
      </c>
      <c r="V187" s="17">
        <f t="shared" si="138"/>
        <v>9.2321106219698178E-4</v>
      </c>
      <c r="W187" s="31" t="str">
        <f t="shared" si="129"/>
        <v>1-0.00227767329034454i</v>
      </c>
      <c r="X187" s="17">
        <f t="shared" si="139"/>
        <v>1.0000025938944446</v>
      </c>
      <c r="Y187" s="17">
        <f t="shared" si="140"/>
        <v>-2.2776693516556286E-3</v>
      </c>
      <c r="Z187" s="31" t="str">
        <f t="shared" si="130"/>
        <v>0.999999782418783+0.00318546243651034i</v>
      </c>
      <c r="AA187" s="17">
        <f t="shared" si="141"/>
        <v>1.0000048559924835</v>
      </c>
      <c r="AB187" s="17">
        <f t="shared" si="142"/>
        <v>3.1854523551885666E-3</v>
      </c>
      <c r="AC187" s="66" t="str">
        <f t="shared" si="143"/>
        <v>16.2504472675672-4.36185234261902i</v>
      </c>
      <c r="AD187" s="64">
        <f t="shared" si="144"/>
        <v>24.519441528510391</v>
      </c>
      <c r="AE187" s="61">
        <f t="shared" si="145"/>
        <v>-15.024860403132653</v>
      </c>
      <c r="AF187" s="31" t="str">
        <f t="shared" si="131"/>
        <v>-9090.90909090909</v>
      </c>
      <c r="AG187" s="31" t="str">
        <f t="shared" si="132"/>
        <v>2.27623467397318E-08i</v>
      </c>
      <c r="AH187" s="31">
        <f t="shared" si="146"/>
        <v>2.27623467397318E-8</v>
      </c>
      <c r="AI187" s="31">
        <f t="shared" si="147"/>
        <v>1.5707963267948966</v>
      </c>
      <c r="AJ187" s="31" t="str">
        <f t="shared" si="133"/>
        <v>1+8887791.32129257i</v>
      </c>
      <c r="AK187" s="31">
        <f t="shared" si="148"/>
        <v>8887791.3212926257</v>
      </c>
      <c r="AL187" s="31">
        <f t="shared" si="149"/>
        <v>1.5707962142810039</v>
      </c>
      <c r="AM187" s="31" t="str">
        <f t="shared" si="134"/>
        <v>1+4.05535961136356i</v>
      </c>
      <c r="AN187" s="31">
        <f t="shared" si="150"/>
        <v>4.1768339178711429</v>
      </c>
      <c r="AO187" s="31">
        <f t="shared" si="151"/>
        <v>1.3290322279365168</v>
      </c>
      <c r="AS187" s="58" t="str">
        <f t="shared" si="152"/>
        <v>44936.1885196159+182232.492216839i</v>
      </c>
      <c r="AT187" s="49">
        <f t="shared" si="153"/>
        <v>105.46887275824002</v>
      </c>
      <c r="AU187" s="61">
        <f t="shared" si="154"/>
        <v>76.147943944202424</v>
      </c>
      <c r="AV187" s="58" t="str">
        <f t="shared" si="155"/>
        <v>1525104.3850208+2765354.48604444i</v>
      </c>
      <c r="AW187" s="64">
        <f t="shared" si="156"/>
        <v>129.98831428675044</v>
      </c>
      <c r="AX187" s="61">
        <f t="shared" si="157"/>
        <v>61.123083541069768</v>
      </c>
      <c r="AY187" s="310"/>
      <c r="BA187" s="31">
        <f t="shared" si="158"/>
        <v>0</v>
      </c>
      <c r="BB187" s="31">
        <f t="shared" si="159"/>
        <v>0</v>
      </c>
    </row>
    <row r="188" spans="14:54" x14ac:dyDescent="0.45">
      <c r="N188" s="10">
        <v>70</v>
      </c>
      <c r="O188" s="50">
        <f t="shared" si="160"/>
        <v>501.18723362727269</v>
      </c>
      <c r="P188" s="48" t="str">
        <f t="shared" si="126"/>
        <v>17.4002386318441</v>
      </c>
      <c r="Q188" s="17" t="str">
        <f t="shared" si="127"/>
        <v>1+0.269692133310018i</v>
      </c>
      <c r="R188" s="17">
        <f t="shared" si="135"/>
        <v>1.0357286549909241</v>
      </c>
      <c r="S188" s="17">
        <f t="shared" si="136"/>
        <v>0.26342486406832477</v>
      </c>
      <c r="T188" s="17" t="str">
        <f t="shared" si="128"/>
        <v>1+0.000944715678741859i</v>
      </c>
      <c r="U188" s="17">
        <f t="shared" si="137"/>
        <v>1.0000004462437573</v>
      </c>
      <c r="V188" s="17">
        <f t="shared" si="138"/>
        <v>9.4471539769296412E-4</v>
      </c>
      <c r="W188" s="31" t="str">
        <f t="shared" si="129"/>
        <v>1-0.00233072711671461i</v>
      </c>
      <c r="X188" s="17">
        <f t="shared" si="139"/>
        <v>1.0000027161407576</v>
      </c>
      <c r="Y188" s="17">
        <f t="shared" si="140"/>
        <v>-2.3307228963340234E-3</v>
      </c>
      <c r="Z188" s="31" t="str">
        <f t="shared" si="130"/>
        <v>0.999999772164496+0.0032596613884546i</v>
      </c>
      <c r="AA188" s="17">
        <f t="shared" si="141"/>
        <v>1.0000050848477777</v>
      </c>
      <c r="AB188" s="17">
        <f t="shared" si="142"/>
        <v>3.2596505861266631E-3</v>
      </c>
      <c r="AC188" s="66" t="str">
        <f t="shared" si="143"/>
        <v>16.1999333501653-4.44982969779411i</v>
      </c>
      <c r="AD188" s="64">
        <f t="shared" si="144"/>
        <v>24.506167552558207</v>
      </c>
      <c r="AE188" s="61">
        <f t="shared" si="145"/>
        <v>-15.359309531240509</v>
      </c>
      <c r="AF188" s="31" t="str">
        <f t="shared" si="131"/>
        <v>-9090.90909090909</v>
      </c>
      <c r="AG188" s="31" t="str">
        <f t="shared" si="132"/>
        <v>2.27623467397318E-08i</v>
      </c>
      <c r="AH188" s="31">
        <f t="shared" si="146"/>
        <v>2.27623467397318E-8</v>
      </c>
      <c r="AI188" s="31">
        <f t="shared" si="147"/>
        <v>1.5707963267948966</v>
      </c>
      <c r="AJ188" s="31" t="str">
        <f t="shared" si="133"/>
        <v>1+9094814.57593238i</v>
      </c>
      <c r="AK188" s="31">
        <f t="shared" si="148"/>
        <v>9094814.5759324338</v>
      </c>
      <c r="AL188" s="31">
        <f t="shared" si="149"/>
        <v>1.5707962168421328</v>
      </c>
      <c r="AM188" s="31" t="str">
        <f t="shared" si="134"/>
        <v>1+4.14982107148673i</v>
      </c>
      <c r="AN188" s="31">
        <f t="shared" si="150"/>
        <v>4.2686080782094846</v>
      </c>
      <c r="AO188" s="31">
        <f t="shared" si="151"/>
        <v>1.3343303650968443</v>
      </c>
      <c r="AS188" s="58" t="str">
        <f t="shared" si="152"/>
        <v>43913.3159892559+182232.491989285i</v>
      </c>
      <c r="AT188" s="49">
        <f t="shared" si="153"/>
        <v>105.45765425902661</v>
      </c>
      <c r="AU188" s="61">
        <f t="shared" si="154"/>
        <v>76.45150469602882</v>
      </c>
      <c r="AV188" s="58" t="str">
        <f t="shared" si="155"/>
        <v>1522296.34696764+2756747.44684334i</v>
      </c>
      <c r="AW188" s="64">
        <f t="shared" si="156"/>
        <v>129.96382181158484</v>
      </c>
      <c r="AX188" s="61">
        <f t="shared" si="157"/>
        <v>61.092195164788322</v>
      </c>
      <c r="AY188" s="310"/>
      <c r="BA188" s="31">
        <f t="shared" si="158"/>
        <v>0</v>
      </c>
      <c r="BB188" s="31">
        <f t="shared" si="159"/>
        <v>0</v>
      </c>
    </row>
    <row r="189" spans="14:54" x14ac:dyDescent="0.45">
      <c r="N189" s="10">
        <v>71</v>
      </c>
      <c r="O189" s="50">
        <f t="shared" si="160"/>
        <v>512.86138399136519</v>
      </c>
      <c r="P189" s="48" t="str">
        <f t="shared" si="126"/>
        <v>17.4002386318441</v>
      </c>
      <c r="Q189" s="17" t="str">
        <f t="shared" si="127"/>
        <v>1+0.275974070089388i</v>
      </c>
      <c r="R189" s="17">
        <f t="shared" si="135"/>
        <v>1.037382131792187</v>
      </c>
      <c r="S189" s="17">
        <f t="shared" si="136"/>
        <v>0.26927157039946331</v>
      </c>
      <c r="T189" s="17" t="str">
        <f t="shared" si="128"/>
        <v>1+0.0009667209337543i</v>
      </c>
      <c r="U189" s="17">
        <f t="shared" si="137"/>
        <v>1.0000004672745726</v>
      </c>
      <c r="V189" s="17">
        <f t="shared" si="138"/>
        <v>9.6672063260499108E-4</v>
      </c>
      <c r="W189" s="31" t="str">
        <f t="shared" si="129"/>
        <v>1-0.00238501672545278i</v>
      </c>
      <c r="X189" s="17">
        <f t="shared" si="139"/>
        <v>1.0000028441483457</v>
      </c>
      <c r="Y189" s="17">
        <f t="shared" si="140"/>
        <v>-2.3850122032342005E-3</v>
      </c>
      <c r="Z189" s="31" t="str">
        <f t="shared" si="130"/>
        <v>0.999999761426939+0.00333558865601374i</v>
      </c>
      <c r="AA189" s="17">
        <f t="shared" si="141"/>
        <v>1.0000053244886333</v>
      </c>
      <c r="AB189" s="17">
        <f t="shared" si="142"/>
        <v>3.335577081114142E-3</v>
      </c>
      <c r="AC189" s="66" t="str">
        <f t="shared" si="143"/>
        <v>16.1473681674933-4.53897288530131i</v>
      </c>
      <c r="AD189" s="64">
        <f t="shared" si="144"/>
        <v>24.49231133621462</v>
      </c>
      <c r="AE189" s="61">
        <f t="shared" si="145"/>
        <v>-15.70050113685352</v>
      </c>
      <c r="AF189" s="31" t="str">
        <f t="shared" si="131"/>
        <v>-9090.90909090909</v>
      </c>
      <c r="AG189" s="31" t="str">
        <f t="shared" si="132"/>
        <v>2.27623467397318E-08i</v>
      </c>
      <c r="AH189" s="31">
        <f t="shared" si="146"/>
        <v>2.27623467397318E-8</v>
      </c>
      <c r="AI189" s="31">
        <f t="shared" si="147"/>
        <v>1.5707963267948966</v>
      </c>
      <c r="AJ189" s="31" t="str">
        <f t="shared" si="133"/>
        <v>1+9306660.02164446i</v>
      </c>
      <c r="AK189" s="31">
        <f t="shared" si="148"/>
        <v>9306660.0216445141</v>
      </c>
      <c r="AL189" s="31">
        <f t="shared" si="149"/>
        <v>1.5707962193449632</v>
      </c>
      <c r="AM189" s="31" t="str">
        <f t="shared" si="134"/>
        <v>1+4.24648282167138i</v>
      </c>
      <c r="AN189" s="31">
        <f t="shared" si="150"/>
        <v>4.362638691749539</v>
      </c>
      <c r="AO189" s="31">
        <f t="shared" si="151"/>
        <v>1.3395210070887922</v>
      </c>
      <c r="AS189" s="58" t="str">
        <f t="shared" si="152"/>
        <v>42913.726880295+182232.491771971i</v>
      </c>
      <c r="AT189" s="49">
        <f t="shared" si="153"/>
        <v>105.4469135554251</v>
      </c>
      <c r="AU189" s="61">
        <f t="shared" si="154"/>
        <v>76.748906431729083</v>
      </c>
      <c r="AV189" s="58" t="str">
        <f t="shared" si="155"/>
        <v>1520092.08634925+2747790.89400482i</v>
      </c>
      <c r="AW189" s="64">
        <f t="shared" si="156"/>
        <v>129.9392248916397</v>
      </c>
      <c r="AX189" s="61">
        <f t="shared" si="157"/>
        <v>61.048405294875479</v>
      </c>
      <c r="AY189" s="310"/>
      <c r="BA189" s="31">
        <f t="shared" si="158"/>
        <v>0</v>
      </c>
      <c r="BB189" s="31">
        <f t="shared" si="159"/>
        <v>0</v>
      </c>
    </row>
    <row r="190" spans="14:54" x14ac:dyDescent="0.45">
      <c r="N190" s="10">
        <v>72</v>
      </c>
      <c r="O190" s="50">
        <f t="shared" si="160"/>
        <v>524.80746024977248</v>
      </c>
      <c r="P190" s="48" t="str">
        <f t="shared" si="126"/>
        <v>17.4002386318441</v>
      </c>
      <c r="Q190" s="17" t="str">
        <f t="shared" si="127"/>
        <v>1+0.282402331973669i</v>
      </c>
      <c r="R190" s="17">
        <f t="shared" si="135"/>
        <v>1.0391107145555598</v>
      </c>
      <c r="S190" s="17">
        <f t="shared" si="136"/>
        <v>0.27523499248265626</v>
      </c>
      <c r="T190" s="17" t="str">
        <f t="shared" si="128"/>
        <v>1+0.000989238757001884i</v>
      </c>
      <c r="U190" s="17">
        <f t="shared" si="137"/>
        <v>1.0000004892965395</v>
      </c>
      <c r="V190" s="17">
        <f t="shared" si="138"/>
        <v>9.8923843431459419E-4</v>
      </c>
      <c r="W190" s="31" t="str">
        <f t="shared" si="129"/>
        <v>1-0.00244057090162823i</v>
      </c>
      <c r="X190" s="17">
        <f t="shared" si="139"/>
        <v>1.0000029781887281</v>
      </c>
      <c r="Y190" s="17">
        <f t="shared" si="140"/>
        <v>-2.4405660559844991E-3</v>
      </c>
      <c r="Z190" s="31" t="str">
        <f t="shared" si="130"/>
        <v>0.999999750183338+0.00341328449683005i</v>
      </c>
      <c r="AA190" s="17">
        <f t="shared" si="141"/>
        <v>1.0000055754233546</v>
      </c>
      <c r="AB190" s="17">
        <f t="shared" si="142"/>
        <v>3.4132720941054051E-3</v>
      </c>
      <c r="AC190" s="66" t="str">
        <f t="shared" si="143"/>
        <v>16.092683382493-4.62925599856289i</v>
      </c>
      <c r="AD190" s="64">
        <f t="shared" si="144"/>
        <v>24.477849318522864</v>
      </c>
      <c r="AE190" s="61">
        <f t="shared" si="145"/>
        <v>-16.048524476305587</v>
      </c>
      <c r="AF190" s="31" t="str">
        <f t="shared" si="131"/>
        <v>-9090.90909090909</v>
      </c>
      <c r="AG190" s="31" t="str">
        <f t="shared" si="132"/>
        <v>2.27623467397318E-08i</v>
      </c>
      <c r="AH190" s="31">
        <f t="shared" si="146"/>
        <v>2.27623467397318E-8</v>
      </c>
      <c r="AI190" s="31">
        <f t="shared" si="147"/>
        <v>1.5707963267948966</v>
      </c>
      <c r="AJ190" s="31" t="str">
        <f t="shared" si="133"/>
        <v>1+9523439.98168825i</v>
      </c>
      <c r="AK190" s="31">
        <f t="shared" si="148"/>
        <v>9523439.981688302</v>
      </c>
      <c r="AL190" s="31">
        <f t="shared" si="149"/>
        <v>1.5707962217908222</v>
      </c>
      <c r="AM190" s="31" t="str">
        <f t="shared" si="134"/>
        <v>1+4.34539611325694i</v>
      </c>
      <c r="AN190" s="31">
        <f t="shared" si="150"/>
        <v>4.4589760462586616</v>
      </c>
      <c r="AO190" s="31">
        <f t="shared" si="151"/>
        <v>1.3446057867655847</v>
      </c>
      <c r="AS190" s="58" t="str">
        <f t="shared" si="152"/>
        <v>41936.891197356+182232.491564439i</v>
      </c>
      <c r="AT190" s="49">
        <f t="shared" si="153"/>
        <v>105.43663140664036</v>
      </c>
      <c r="AU190" s="61">
        <f t="shared" si="154"/>
        <v>77.04024270682585</v>
      </c>
      <c r="AV190" s="58" t="str">
        <f t="shared" si="155"/>
        <v>1518477.96679285+2738473.1836129i</v>
      </c>
      <c r="AW190" s="64">
        <f t="shared" si="156"/>
        <v>129.91448072516323</v>
      </c>
      <c r="AX190" s="61">
        <f t="shared" si="157"/>
        <v>60.991718230520185</v>
      </c>
      <c r="AY190" s="310"/>
      <c r="BA190" s="31">
        <f t="shared" si="158"/>
        <v>0</v>
      </c>
      <c r="BB190" s="31">
        <f t="shared" si="159"/>
        <v>0</v>
      </c>
    </row>
    <row r="191" spans="14:54" x14ac:dyDescent="0.45">
      <c r="N191" s="10">
        <v>73</v>
      </c>
      <c r="O191" s="50">
        <f t="shared" si="160"/>
        <v>537.03179637025301</v>
      </c>
      <c r="P191" s="48" t="str">
        <f t="shared" si="126"/>
        <v>17.4002386318441</v>
      </c>
      <c r="Q191" s="17" t="str">
        <f t="shared" si="127"/>
        <v>1+0.288980327312398i</v>
      </c>
      <c r="R191" s="17">
        <f t="shared" si="135"/>
        <v>1.0409176862622618</v>
      </c>
      <c r="S191" s="17">
        <f t="shared" si="136"/>
        <v>0.28131659494147609</v>
      </c>
      <c r="T191" s="17" t="str">
        <f t="shared" si="128"/>
        <v>1+0.00101228108773255i</v>
      </c>
      <c r="U191" s="17">
        <f t="shared" si="137"/>
        <v>1.0000005123563691</v>
      </c>
      <c r="V191" s="17">
        <f t="shared" si="138"/>
        <v>1.0122807419668991E-3</v>
      </c>
      <c r="W191" s="31" t="str">
        <f t="shared" si="129"/>
        <v>1-0.00249741910080049i</v>
      </c>
      <c r="X191" s="17">
        <f t="shared" si="139"/>
        <v>1.0000031185462199</v>
      </c>
      <c r="Y191" s="17">
        <f t="shared" si="140"/>
        <v>-2.4974139086005607E-3</v>
      </c>
      <c r="Z191" s="31" t="str">
        <f t="shared" si="130"/>
        <v>0.999999738409841+0.00349279010626672i</v>
      </c>
      <c r="AA191" s="17">
        <f t="shared" si="141"/>
        <v>1.0000058381841961</v>
      </c>
      <c r="AB191" s="17">
        <f t="shared" si="142"/>
        <v>3.4927768165120146E-3</v>
      </c>
      <c r="AC191" s="66" t="str">
        <f t="shared" si="143"/>
        <v>16.0358097125782-4.720649812148i</v>
      </c>
      <c r="AD191" s="64">
        <f t="shared" si="144"/>
        <v>24.462757160963207</v>
      </c>
      <c r="AE191" s="61">
        <f t="shared" si="145"/>
        <v>-16.403466829968192</v>
      </c>
      <c r="AF191" s="31" t="str">
        <f t="shared" si="131"/>
        <v>-9090.90909090909</v>
      </c>
      <c r="AG191" s="31" t="str">
        <f t="shared" si="132"/>
        <v>2.27623467397318E-08i</v>
      </c>
      <c r="AH191" s="31">
        <f t="shared" si="146"/>
        <v>2.27623467397318E-8</v>
      </c>
      <c r="AI191" s="31">
        <f t="shared" si="147"/>
        <v>1.5707963267948966</v>
      </c>
      <c r="AJ191" s="31" t="str">
        <f t="shared" si="133"/>
        <v>1+9745269.39566792i</v>
      </c>
      <c r="AK191" s="31">
        <f t="shared" si="148"/>
        <v>9745269.395667972</v>
      </c>
      <c r="AL191" s="31">
        <f t="shared" si="149"/>
        <v>1.5707962241810067</v>
      </c>
      <c r="AM191" s="31" t="str">
        <f t="shared" si="134"/>
        <v>1+4.44661339137984i</v>
      </c>
      <c r="AN191" s="31">
        <f t="shared" si="150"/>
        <v>4.5576716262142583</v>
      </c>
      <c r="AO191" s="31">
        <f t="shared" si="151"/>
        <v>1.3495863479413639</v>
      </c>
      <c r="AS191" s="58" t="str">
        <f t="shared" si="152"/>
        <v>40982.2910092304+182232.491366246i</v>
      </c>
      <c r="AT191" s="49">
        <f t="shared" si="153"/>
        <v>105.42678925374318</v>
      </c>
      <c r="AU191" s="61">
        <f t="shared" si="154"/>
        <v>77.325607704857191</v>
      </c>
      <c r="AV191" s="58" t="str">
        <f t="shared" si="155"/>
        <v>1517439.99634485+2728782.51064405i</v>
      </c>
      <c r="AW191" s="64">
        <f t="shared" si="156"/>
        <v>129.88954641470636</v>
      </c>
      <c r="AX191" s="61">
        <f t="shared" si="157"/>
        <v>60.92214087488906</v>
      </c>
      <c r="AY191" s="310"/>
      <c r="BA191" s="31">
        <f t="shared" si="158"/>
        <v>0</v>
      </c>
      <c r="BB191" s="31">
        <f t="shared" si="159"/>
        <v>0</v>
      </c>
    </row>
    <row r="192" spans="14:54" x14ac:dyDescent="0.45">
      <c r="N192" s="10">
        <v>74</v>
      </c>
      <c r="O192" s="50">
        <f t="shared" si="160"/>
        <v>549.54087385762534</v>
      </c>
      <c r="P192" s="48" t="str">
        <f t="shared" si="126"/>
        <v>17.4002386318441</v>
      </c>
      <c r="Q192" s="17" t="str">
        <f t="shared" si="127"/>
        <v>1+0.295711543845776i</v>
      </c>
      <c r="R192" s="17">
        <f t="shared" si="135"/>
        <v>1.0428064619878668</v>
      </c>
      <c r="S192" s="17">
        <f t="shared" si="136"/>
        <v>0.28751780215350609</v>
      </c>
      <c r="T192" s="17" t="str">
        <f t="shared" si="128"/>
        <v>1+0.00103586014329506i</v>
      </c>
      <c r="U192" s="17">
        <f t="shared" si="137"/>
        <v>1.0000005365029743</v>
      </c>
      <c r="V192" s="17">
        <f t="shared" si="138"/>
        <v>1.0358597728005005E-3</v>
      </c>
      <c r="W192" s="31" t="str">
        <f t="shared" si="129"/>
        <v>1-0.00255559146463724i</v>
      </c>
      <c r="X192" s="17">
        <f t="shared" si="139"/>
        <v>1.0000032655185354</v>
      </c>
      <c r="Y192" s="17">
        <f t="shared" si="140"/>
        <v>-2.55558590109576E-3</v>
      </c>
      <c r="Z192" s="31" t="str">
        <f t="shared" si="130"/>
        <v>0.999999726081477+0.00357414763925029i</v>
      </c>
      <c r="AA192" s="17">
        <f t="shared" si="141"/>
        <v>1.0000061133285019</v>
      </c>
      <c r="AB192" s="17">
        <f t="shared" si="142"/>
        <v>3.5741333990262593E-3</v>
      </c>
      <c r="AC192" s="66" t="str">
        <f t="shared" si="143"/>
        <v>15.9766770459561-4.81312161795375i</v>
      </c>
      <c r="AD192" s="64">
        <f t="shared" si="144"/>
        <v>24.447009737411307</v>
      </c>
      <c r="AE192" s="61">
        <f t="shared" si="145"/>
        <v>-16.765413250621286</v>
      </c>
      <c r="AF192" s="31" t="str">
        <f t="shared" si="131"/>
        <v>-9090.90909090909</v>
      </c>
      <c r="AG192" s="31" t="str">
        <f t="shared" si="132"/>
        <v>2.27623467397318E-08i</v>
      </c>
      <c r="AH192" s="31">
        <f t="shared" si="146"/>
        <v>2.27623467397318E-8</v>
      </c>
      <c r="AI192" s="31">
        <f t="shared" si="147"/>
        <v>1.5707963267948966</v>
      </c>
      <c r="AJ192" s="31" t="str">
        <f t="shared" si="133"/>
        <v>1+9972265.88047509i</v>
      </c>
      <c r="AK192" s="31">
        <f t="shared" si="148"/>
        <v>9972265.8804751392</v>
      </c>
      <c r="AL192" s="31">
        <f t="shared" si="149"/>
        <v>1.5707962265167841</v>
      </c>
      <c r="AM192" s="31" t="str">
        <f t="shared" si="134"/>
        <v>1+4.55018832278076i</v>
      </c>
      <c r="AN192" s="31">
        <f t="shared" si="150"/>
        <v>4.6587781416129257</v>
      </c>
      <c r="AO192" s="31">
        <f t="shared" si="151"/>
        <v>1.3544643425484624</v>
      </c>
      <c r="AS192" s="58" t="str">
        <f t="shared" si="152"/>
        <v>40049.4201742627+182232.491176975i</v>
      </c>
      <c r="AT192" s="49">
        <f t="shared" si="153"/>
        <v>105.41736920336385</v>
      </c>
      <c r="AU192" s="61">
        <f t="shared" si="154"/>
        <v>77.605096074501361</v>
      </c>
      <c r="AV192" s="58" t="str">
        <f t="shared" si="155"/>
        <v>1516963.79477946+2718706.92878732i</v>
      </c>
      <c r="AW192" s="64">
        <f t="shared" si="156"/>
        <v>129.86437894077517</v>
      </c>
      <c r="AX192" s="61">
        <f t="shared" si="157"/>
        <v>60.839682823880068</v>
      </c>
      <c r="AY192" s="310"/>
      <c r="BA192" s="31">
        <f t="shared" si="158"/>
        <v>0</v>
      </c>
      <c r="BB192" s="31">
        <f t="shared" si="159"/>
        <v>0</v>
      </c>
    </row>
    <row r="193" spans="14:54" x14ac:dyDescent="0.45">
      <c r="N193" s="10">
        <v>75</v>
      </c>
      <c r="O193" s="50">
        <f t="shared" si="160"/>
        <v>562.34132519034927</v>
      </c>
      <c r="P193" s="48" t="str">
        <f t="shared" si="126"/>
        <v>17.4002386318441</v>
      </c>
      <c r="Q193" s="17" t="str">
        <f t="shared" si="127"/>
        <v>1+0.302599550553906i</v>
      </c>
      <c r="R193" s="17">
        <f t="shared" si="135"/>
        <v>1.044780593232582</v>
      </c>
      <c r="S193" s="17">
        <f t="shared" si="136"/>
        <v>0.29383999361402457</v>
      </c>
      <c r="T193" s="17" t="str">
        <f t="shared" si="128"/>
        <v>1+0.00105998842561677i</v>
      </c>
      <c r="U193" s="17">
        <f t="shared" si="137"/>
        <v>1.0000005617875733</v>
      </c>
      <c r="V193" s="17">
        <f t="shared" si="138"/>
        <v>1.0599880286247089E-3</v>
      </c>
      <c r="W193" s="31" t="str">
        <f t="shared" si="129"/>
        <v>1-0.0026151188368958i</v>
      </c>
      <c r="X193" s="17">
        <f t="shared" si="139"/>
        <v>1.0000034194174194</v>
      </c>
      <c r="Y193" s="17">
        <f t="shared" si="140"/>
        <v>-2.6151128754547995E-3</v>
      </c>
      <c r="Z193" s="31" t="str">
        <f t="shared" si="130"/>
        <v>0.999999713172094+0.00365740023262162i</v>
      </c>
      <c r="AA193" s="17">
        <f t="shared" si="141"/>
        <v>1.0000064014398766</v>
      </c>
      <c r="AB193" s="17">
        <f t="shared" si="142"/>
        <v>3.6573849739519357E-3</v>
      </c>
      <c r="AC193" s="66" t="str">
        <f t="shared" si="143"/>
        <v>15.9152145719205-4.90663506095619i</v>
      </c>
      <c r="AD193" s="64">
        <f t="shared" si="144"/>
        <v>24.430581125488441</v>
      </c>
      <c r="AE193" s="61">
        <f t="shared" si="145"/>
        <v>-17.134446299636004</v>
      </c>
      <c r="AF193" s="31" t="str">
        <f t="shared" si="131"/>
        <v>-9090.90909090909</v>
      </c>
      <c r="AG193" s="31" t="str">
        <f t="shared" si="132"/>
        <v>2.27623467397318E-08i</v>
      </c>
      <c r="AH193" s="31">
        <f t="shared" si="146"/>
        <v>2.27623467397318E-8</v>
      </c>
      <c r="AI193" s="31">
        <f t="shared" si="147"/>
        <v>1.5707963267948966</v>
      </c>
      <c r="AJ193" s="31" t="str">
        <f t="shared" si="133"/>
        <v>1+10204549.7926506i</v>
      </c>
      <c r="AK193" s="31">
        <f t="shared" si="148"/>
        <v>10204549.792650651</v>
      </c>
      <c r="AL193" s="31">
        <f t="shared" si="149"/>
        <v>1.5707962287993926</v>
      </c>
      <c r="AM193" s="31" t="str">
        <f t="shared" si="134"/>
        <v>1+4.65617582425926i</v>
      </c>
      <c r="AN193" s="31">
        <f t="shared" si="150"/>
        <v>4.7623495573525885</v>
      </c>
      <c r="AO193" s="31">
        <f t="shared" si="151"/>
        <v>1.3592414279728129</v>
      </c>
      <c r="AS193" s="58" t="str">
        <f t="shared" si="152"/>
        <v>39137.7840719883+182232.490996222i</v>
      </c>
      <c r="AT193" s="49">
        <f t="shared" si="153"/>
        <v>105.40835401106806</v>
      </c>
      <c r="AU193" s="61">
        <f t="shared" si="154"/>
        <v>77.878802776906255</v>
      </c>
      <c r="AV193" s="58" t="str">
        <f t="shared" si="155"/>
        <v>1517034.56094263+2708234.37264469i</v>
      </c>
      <c r="AW193" s="64">
        <f t="shared" si="156"/>
        <v>129.8389351365565</v>
      </c>
      <c r="AX193" s="61">
        <f t="shared" si="157"/>
        <v>60.744356477270259</v>
      </c>
      <c r="AY193" s="310"/>
      <c r="BA193" s="31">
        <f t="shared" si="158"/>
        <v>0</v>
      </c>
      <c r="BB193" s="31">
        <f t="shared" si="159"/>
        <v>0</v>
      </c>
    </row>
    <row r="194" spans="14:54" x14ac:dyDescent="0.45">
      <c r="N194" s="10">
        <v>76</v>
      </c>
      <c r="O194" s="50">
        <f t="shared" si="160"/>
        <v>575.43993733715706</v>
      </c>
      <c r="P194" s="48" t="str">
        <f t="shared" si="126"/>
        <v>17.4002386318441</v>
      </c>
      <c r="Q194" s="17" t="str">
        <f t="shared" si="127"/>
        <v>1+0.309647999549118i</v>
      </c>
      <c r="R194" s="17">
        <f t="shared" si="135"/>
        <v>1.0468437723102577</v>
      </c>
      <c r="S194" s="17">
        <f t="shared" si="136"/>
        <v>0.30028449908627952</v>
      </c>
      <c r="T194" s="17" t="str">
        <f t="shared" si="128"/>
        <v>1+0.00108467872783235i</v>
      </c>
      <c r="U194" s="17">
        <f t="shared" si="137"/>
        <v>1.0000005882637983</v>
      </c>
      <c r="V194" s="17">
        <f t="shared" si="138"/>
        <v>1.0846783024477064E-3</v>
      </c>
      <c r="W194" s="31" t="str">
        <f t="shared" si="129"/>
        <v>1-0.00267603277977687i</v>
      </c>
      <c r="X194" s="17">
        <f t="shared" si="139"/>
        <v>1.000003580569309</v>
      </c>
      <c r="Y194" s="17">
        <f t="shared" si="140"/>
        <v>-2.6760263919789863E-3</v>
      </c>
      <c r="Z194" s="31" t="str">
        <f t="shared" si="130"/>
        <v>0.999999699654312+0.00374259202800771i</v>
      </c>
      <c r="AA194" s="17">
        <f t="shared" si="141"/>
        <v>1.0000067031294351</v>
      </c>
      <c r="AB194" s="17">
        <f t="shared" si="142"/>
        <v>3.7425756780544842E-3</v>
      </c>
      <c r="AC194" s="66" t="str">
        <f t="shared" si="143"/>
        <v>15.8513509258346-5.00114997543444i</v>
      </c>
      <c r="AD194" s="64">
        <f t="shared" si="144"/>
        <v>24.413444599466558</v>
      </c>
      <c r="AE194" s="61">
        <f t="shared" si="145"/>
        <v>-17.510645770971003</v>
      </c>
      <c r="AF194" s="31" t="str">
        <f t="shared" si="131"/>
        <v>-9090.90909090909</v>
      </c>
      <c r="AG194" s="31" t="str">
        <f t="shared" si="132"/>
        <v>2.27623467397318E-08i</v>
      </c>
      <c r="AH194" s="31">
        <f t="shared" si="146"/>
        <v>2.27623467397318E-8</v>
      </c>
      <c r="AI194" s="31">
        <f t="shared" si="147"/>
        <v>1.5707963267948966</v>
      </c>
      <c r="AJ194" s="31" t="str">
        <f t="shared" si="133"/>
        <v>1+10442244.2921994i</v>
      </c>
      <c r="AK194" s="31">
        <f t="shared" si="148"/>
        <v>10442244.292199446</v>
      </c>
      <c r="AL194" s="31">
        <f t="shared" si="149"/>
        <v>1.5707962310300427</v>
      </c>
      <c r="AM194" s="31" t="str">
        <f t="shared" si="134"/>
        <v>1+4.76463209179157i</v>
      </c>
      <c r="AN194" s="31">
        <f t="shared" si="150"/>
        <v>4.8684411232066997</v>
      </c>
      <c r="AO194" s="31">
        <f t="shared" si="151"/>
        <v>1.3639192645613474</v>
      </c>
      <c r="AS194" s="58" t="str">
        <f t="shared" si="152"/>
        <v>38246.8993408783+182232.490823603i</v>
      </c>
      <c r="AT194" s="49">
        <f t="shared" si="153"/>
        <v>105.39972706449873</v>
      </c>
      <c r="AU194" s="61">
        <f t="shared" si="154"/>
        <v>78.146822942874309</v>
      </c>
      <c r="AV194" s="58" t="str">
        <f t="shared" si="155"/>
        <v>1517637.04028315+2697352.68243479i</v>
      </c>
      <c r="AW194" s="64">
        <f t="shared" si="156"/>
        <v>129.81317166396531</v>
      </c>
      <c r="AX194" s="61">
        <f t="shared" si="157"/>
        <v>60.636177171903363</v>
      </c>
      <c r="AY194" s="310"/>
      <c r="BA194" s="31">
        <f t="shared" si="158"/>
        <v>0</v>
      </c>
      <c r="BB194" s="31">
        <f t="shared" si="159"/>
        <v>0</v>
      </c>
    </row>
    <row r="195" spans="14:54" x14ac:dyDescent="0.45">
      <c r="N195" s="10">
        <v>77</v>
      </c>
      <c r="O195" s="50">
        <f t="shared" si="160"/>
        <v>588.84365535558959</v>
      </c>
      <c r="P195" s="48" t="str">
        <f t="shared" si="126"/>
        <v>17.4002386318441</v>
      </c>
      <c r="Q195" s="17" t="str">
        <f t="shared" si="127"/>
        <v>1+0.316860628012366i</v>
      </c>
      <c r="R195" s="17">
        <f t="shared" si="135"/>
        <v>1.0489998367894968</v>
      </c>
      <c r="S195" s="17">
        <f t="shared" si="136"/>
        <v>0.30685259353959349</v>
      </c>
      <c r="T195" s="17" t="str">
        <f t="shared" si="128"/>
        <v>1+0.00110994414106685i</v>
      </c>
      <c r="U195" s="17">
        <f t="shared" si="137"/>
        <v>1.0000006159878085</v>
      </c>
      <c r="V195" s="17">
        <f t="shared" si="138"/>
        <v>1.1099436852590073E-3</v>
      </c>
      <c r="W195" s="31" t="str">
        <f t="shared" si="129"/>
        <v>1-0.00273836559065925i</v>
      </c>
      <c r="X195" s="17">
        <f t="shared" si="139"/>
        <v>1.0000037493160254</v>
      </c>
      <c r="Y195" s="17">
        <f t="shared" si="140"/>
        <v>-2.7383587460118853E-3</v>
      </c>
      <c r="Z195" s="31" t="str">
        <f t="shared" si="130"/>
        <v>0.999999685499455+0.00382976819522611i</v>
      </c>
      <c r="AA195" s="17">
        <f t="shared" si="141"/>
        <v>1.0000070190370853</v>
      </c>
      <c r="AB195" s="17">
        <f t="shared" si="142"/>
        <v>3.82975067594223E-3</v>
      </c>
      <c r="AC195" s="66" t="str">
        <f t="shared" si="143"/>
        <v>15.7850143494875-5.09662222267562i</v>
      </c>
      <c r="AD195" s="64">
        <f t="shared" si="144"/>
        <v>24.395572624896417</v>
      </c>
      <c r="AE195" s="61">
        <f t="shared" si="145"/>
        <v>-17.894088403057594</v>
      </c>
      <c r="AF195" s="31" t="str">
        <f t="shared" si="131"/>
        <v>-9090.90909090909</v>
      </c>
      <c r="AG195" s="31" t="str">
        <f t="shared" si="132"/>
        <v>2.27623467397318E-08i</v>
      </c>
      <c r="AH195" s="31">
        <f t="shared" si="146"/>
        <v>2.27623467397318E-8</v>
      </c>
      <c r="AI195" s="31">
        <f t="shared" si="147"/>
        <v>1.5707963267948966</v>
      </c>
      <c r="AJ195" s="31" t="str">
        <f t="shared" si="133"/>
        <v>1+10685475.4078914i</v>
      </c>
      <c r="AK195" s="31">
        <f t="shared" si="148"/>
        <v>10685475.407891447</v>
      </c>
      <c r="AL195" s="31">
        <f t="shared" si="149"/>
        <v>1.5707962332099168</v>
      </c>
      <c r="AM195" s="31" t="str">
        <f t="shared" si="134"/>
        <v>1+4.87561463032631i</v>
      </c>
      <c r="AN195" s="31">
        <f t="shared" si="150"/>
        <v>4.9771094044085427</v>
      </c>
      <c r="AO195" s="31">
        <f t="shared" si="151"/>
        <v>1.3684995132949898</v>
      </c>
      <c r="AS195" s="58" t="str">
        <f t="shared" si="152"/>
        <v>37376.2936220564+182232.490658754i</v>
      </c>
      <c r="AT195" s="49">
        <f t="shared" si="153"/>
        <v>105.39147236635816</v>
      </c>
      <c r="AU195" s="61">
        <f t="shared" si="154"/>
        <v>78.409251739534596</v>
      </c>
      <c r="AV195" s="58" t="str">
        <f t="shared" si="155"/>
        <v>1518755.49273975+2686049.63131586i</v>
      </c>
      <c r="AW195" s="64">
        <f t="shared" si="156"/>
        <v>129.78704499125459</v>
      </c>
      <c r="AX195" s="61">
        <f t="shared" si="157"/>
        <v>60.515163336477045</v>
      </c>
      <c r="AY195" s="310"/>
      <c r="BA195" s="31">
        <f t="shared" si="158"/>
        <v>0</v>
      </c>
      <c r="BB195" s="31">
        <f t="shared" si="159"/>
        <v>0</v>
      </c>
    </row>
    <row r="196" spans="14:54" x14ac:dyDescent="0.45">
      <c r="N196" s="10">
        <v>78</v>
      </c>
      <c r="O196" s="50">
        <f t="shared" si="160"/>
        <v>602.55958607435832</v>
      </c>
      <c r="P196" s="48" t="str">
        <f t="shared" si="126"/>
        <v>17.4002386318441</v>
      </c>
      <c r="Q196" s="17" t="str">
        <f t="shared" si="127"/>
        <v>1+0.324241260174733i</v>
      </c>
      <c r="R196" s="17">
        <f t="shared" si="135"/>
        <v>1.0512527739795501</v>
      </c>
      <c r="S196" s="17">
        <f t="shared" si="136"/>
        <v>0.31354549187795011</v>
      </c>
      <c r="T196" s="17" t="str">
        <f t="shared" si="128"/>
        <v>1+0.00113579806137679i</v>
      </c>
      <c r="U196" s="17">
        <f t="shared" si="137"/>
        <v>1.00000064501841</v>
      </c>
      <c r="V196" s="17">
        <f t="shared" si="138"/>
        <v>1.1357975729699042E-3</v>
      </c>
      <c r="W196" s="31" t="str">
        <f t="shared" si="129"/>
        <v>1-0.00280215031922436i</v>
      </c>
      <c r="X196" s="17">
        <f t="shared" si="139"/>
        <v>1.0000039260154989</v>
      </c>
      <c r="Y196" s="17">
        <f t="shared" si="140"/>
        <v>-2.8021429850541265E-3</v>
      </c>
      <c r="Z196" s="31" t="str">
        <f t="shared" si="130"/>
        <v>0.999999670677501+0.00391897495623458i</v>
      </c>
      <c r="AA196" s="17">
        <f t="shared" si="141"/>
        <v>1.000007349832899</v>
      </c>
      <c r="AB196" s="17">
        <f t="shared" si="142"/>
        <v>3.918956183991136E-3</v>
      </c>
      <c r="AC196" s="66" t="str">
        <f t="shared" si="143"/>
        <v>15.7161328674752-5.1930035312778i</v>
      </c>
      <c r="AD196" s="64">
        <f t="shared" si="144"/>
        <v>24.376936855137906</v>
      </c>
      <c r="AE196" s="61">
        <f t="shared" si="145"/>
        <v>-18.284847578722744</v>
      </c>
      <c r="AF196" s="31" t="str">
        <f t="shared" si="131"/>
        <v>-9090.90909090909</v>
      </c>
      <c r="AG196" s="31" t="str">
        <f t="shared" si="132"/>
        <v>2.27623467397318E-08i</v>
      </c>
      <c r="AH196" s="31">
        <f t="shared" si="146"/>
        <v>2.27623467397318E-8</v>
      </c>
      <c r="AI196" s="31">
        <f t="shared" si="147"/>
        <v>1.5707963267948966</v>
      </c>
      <c r="AJ196" s="31" t="str">
        <f t="shared" si="133"/>
        <v>1+10934372.1040836i</v>
      </c>
      <c r="AK196" s="31">
        <f t="shared" si="148"/>
        <v>10934372.104083646</v>
      </c>
      <c r="AL196" s="31">
        <f t="shared" si="149"/>
        <v>1.570796235340171</v>
      </c>
      <c r="AM196" s="31" t="str">
        <f t="shared" si="134"/>
        <v>1+4.98918228427443i</v>
      </c>
      <c r="AN196" s="31">
        <f t="shared" si="150"/>
        <v>5.0884123128651657</v>
      </c>
      <c r="AO196" s="31">
        <f t="shared" si="151"/>
        <v>1.3729838336207991</v>
      </c>
      <c r="AS196" s="58" t="str">
        <f t="shared" si="152"/>
        <v>36525.5053088467+182232.490501324i</v>
      </c>
      <c r="AT196" s="49">
        <f t="shared" si="153"/>
        <v>105.38357451729877</v>
      </c>
      <c r="AU196" s="61">
        <f t="shared" si="154"/>
        <v>78.666184246133639</v>
      </c>
      <c r="AV196" s="58" t="str">
        <f t="shared" si="155"/>
        <v>1520373.66117243+2674312.95543917i</v>
      </c>
      <c r="AW196" s="64">
        <f t="shared" si="156"/>
        <v>129.76051137243667</v>
      </c>
      <c r="AX196" s="61">
        <f t="shared" si="157"/>
        <v>60.381336667410849</v>
      </c>
      <c r="AY196" s="310"/>
      <c r="BA196" s="31">
        <f t="shared" si="158"/>
        <v>0</v>
      </c>
      <c r="BB196" s="31">
        <f t="shared" si="159"/>
        <v>0</v>
      </c>
    </row>
    <row r="197" spans="14:54" x14ac:dyDescent="0.45">
      <c r="N197" s="10">
        <v>79</v>
      </c>
      <c r="O197" s="50">
        <f t="shared" si="160"/>
        <v>616.59500186148273</v>
      </c>
      <c r="P197" s="48" t="str">
        <f t="shared" si="126"/>
        <v>17.4002386318441</v>
      </c>
      <c r="Q197" s="17" t="str">
        <f t="shared" si="127"/>
        <v>1+0.331793809345085i</v>
      </c>
      <c r="R197" s="17">
        <f t="shared" si="135"/>
        <v>1.0536067254529664</v>
      </c>
      <c r="S197" s="17">
        <f t="shared" si="136"/>
        <v>0.32036434346321929</v>
      </c>
      <c r="T197" s="17" t="str">
        <f t="shared" si="128"/>
        <v>1+0.00116225419685293i</v>
      </c>
      <c r="U197" s="17">
        <f t="shared" si="137"/>
        <v>1.0000006754171809</v>
      </c>
      <c r="V197" s="17">
        <f t="shared" si="138"/>
        <v>1.162253673515542E-3</v>
      </c>
      <c r="W197" s="31" t="str">
        <f t="shared" si="129"/>
        <v>1-0.00286742078497957i</v>
      </c>
      <c r="X197" s="17">
        <f t="shared" si="139"/>
        <v>1.0000041110425288</v>
      </c>
      <c r="Y197" s="17">
        <f t="shared" si="140"/>
        <v>-2.8674129262763219E-3</v>
      </c>
      <c r="Z197" s="31" t="str">
        <f t="shared" si="130"/>
        <v>0.99999965515701+0.00401025960963863i</v>
      </c>
      <c r="AA197" s="17">
        <f t="shared" si="141"/>
        <v>1.0000076962185218</v>
      </c>
      <c r="AB197" s="17">
        <f t="shared" si="142"/>
        <v>4.010239494825733E-3</v>
      </c>
      <c r="AC197" s="66" t="str">
        <f t="shared" si="143"/>
        <v>15.6446344801983-5.29024134128053i</v>
      </c>
      <c r="AD197" s="64">
        <f t="shared" si="144"/>
        <v>24.357508129975361</v>
      </c>
      <c r="AE197" s="61">
        <f t="shared" si="145"/>
        <v>-18.682993013393038</v>
      </c>
      <c r="AF197" s="31" t="str">
        <f t="shared" si="131"/>
        <v>-9090.90909090909</v>
      </c>
      <c r="AG197" s="31" t="str">
        <f t="shared" si="132"/>
        <v>2.27623467397318E-08i</v>
      </c>
      <c r="AH197" s="31">
        <f t="shared" si="146"/>
        <v>2.27623467397318E-8</v>
      </c>
      <c r="AI197" s="31">
        <f t="shared" si="147"/>
        <v>1.5707963267948966</v>
      </c>
      <c r="AJ197" s="31" t="str">
        <f t="shared" si="133"/>
        <v>1+11189066.3490989i</v>
      </c>
      <c r="AK197" s="31">
        <f t="shared" si="148"/>
        <v>11189066.349098945</v>
      </c>
      <c r="AL197" s="31">
        <f t="shared" si="149"/>
        <v>1.5707962374219349</v>
      </c>
      <c r="AM197" s="31" t="str">
        <f t="shared" si="134"/>
        <v>1+5.10539526870931i</v>
      </c>
      <c r="AN197" s="31">
        <f t="shared" si="150"/>
        <v>5.2024091390200562</v>
      </c>
      <c r="AO197" s="31">
        <f t="shared" si="151"/>
        <v>1.3773738814367154</v>
      </c>
      <c r="AS197" s="58" t="str">
        <f t="shared" si="152"/>
        <v>35694.0833020242+182232.49035098i</v>
      </c>
      <c r="AT197" s="49">
        <f t="shared" si="153"/>
        <v>105.37601869878532</v>
      </c>
      <c r="AU197" s="61">
        <f t="shared" si="154"/>
        <v>78.917715338569963</v>
      </c>
      <c r="AV197" s="58" t="str">
        <f t="shared" si="155"/>
        <v>1522474.74054518+2662130.38683387i</v>
      </c>
      <c r="AW197" s="64">
        <f t="shared" si="156"/>
        <v>129.73352682876072</v>
      </c>
      <c r="AX197" s="61">
        <f t="shared" si="157"/>
        <v>60.234722325176925</v>
      </c>
      <c r="AY197" s="310"/>
      <c r="BA197" s="31">
        <f t="shared" si="158"/>
        <v>0</v>
      </c>
      <c r="BB197" s="31">
        <f t="shared" si="159"/>
        <v>0</v>
      </c>
    </row>
    <row r="198" spans="14:54" x14ac:dyDescent="0.45">
      <c r="N198" s="10">
        <v>80</v>
      </c>
      <c r="O198" s="50">
        <f t="shared" si="160"/>
        <v>630.95734448019323</v>
      </c>
      <c r="P198" s="48" t="str">
        <f t="shared" si="126"/>
        <v>17.4002386318441</v>
      </c>
      <c r="Q198" s="17" t="str">
        <f t="shared" si="127"/>
        <v>1+0.339522279984962i</v>
      </c>
      <c r="R198" s="17">
        <f t="shared" si="135"/>
        <v>1.0560659915962576</v>
      </c>
      <c r="S198" s="17">
        <f t="shared" si="136"/>
        <v>0.32731022643887331</v>
      </c>
      <c r="T198" s="17" t="str">
        <f t="shared" si="128"/>
        <v>1+0.0011893265748885i</v>
      </c>
      <c r="U198" s="17">
        <f t="shared" si="137"/>
        <v>1.0000007072486008</v>
      </c>
      <c r="V198" s="17">
        <f t="shared" si="138"/>
        <v>1.1893260141224069E-3</v>
      </c>
      <c r="W198" s="31" t="str">
        <f t="shared" si="129"/>
        <v>1-0.00293421159518977i</v>
      </c>
      <c r="X198" s="17">
        <f t="shared" si="139"/>
        <v>1.000004304789577</v>
      </c>
      <c r="Y198" s="17">
        <f t="shared" si="140"/>
        <v>-2.9342031744394831E-3</v>
      </c>
      <c r="Z198" s="31" t="str">
        <f t="shared" si="130"/>
        <v>0.999999638905061+0.00410367055576976i</v>
      </c>
      <c r="AA198" s="17">
        <f t="shared" si="141"/>
        <v>1.0000080589286682</v>
      </c>
      <c r="AB198" s="17">
        <f t="shared" si="142"/>
        <v>4.1036490023687944E-3</v>
      </c>
      <c r="AC198" s="66" t="str">
        <f t="shared" si="143"/>
        <v>15.5704473740098-5.3882786534675i</v>
      </c>
      <c r="AD198" s="64">
        <f t="shared" si="144"/>
        <v>24.337256476510284</v>
      </c>
      <c r="AE198" s="61">
        <f t="shared" si="145"/>
        <v>-19.0885904319125</v>
      </c>
      <c r="AF198" s="31" t="str">
        <f t="shared" si="131"/>
        <v>-9090.90909090909</v>
      </c>
      <c r="AG198" s="31" t="str">
        <f t="shared" si="132"/>
        <v>2.27623467397318E-08i</v>
      </c>
      <c r="AH198" s="31">
        <f t="shared" si="146"/>
        <v>2.27623467397318E-8</v>
      </c>
      <c r="AI198" s="31">
        <f t="shared" si="147"/>
        <v>1.5707963267948966</v>
      </c>
      <c r="AJ198" s="31" t="str">
        <f t="shared" si="133"/>
        <v>1+11449693.1851973i</v>
      </c>
      <c r="AK198" s="31">
        <f t="shared" si="148"/>
        <v>11449693.185197342</v>
      </c>
      <c r="AL198" s="31">
        <f t="shared" si="149"/>
        <v>1.5707962394563117</v>
      </c>
      <c r="AM198" s="31" t="str">
        <f t="shared" si="134"/>
        <v>1+5.22431520129355i</v>
      </c>
      <c r="AN198" s="31">
        <f t="shared" si="150"/>
        <v>5.3191605843842371</v>
      </c>
      <c r="AO198" s="31">
        <f t="shared" si="151"/>
        <v>1.3816713072223519</v>
      </c>
      <c r="AS198" s="58" t="str">
        <f t="shared" si="152"/>
        <v>34881.5867706354+182232.490207403i</v>
      </c>
      <c r="AT198" s="49">
        <f t="shared" si="153"/>
        <v>105.3687906559844</v>
      </c>
      <c r="AU198" s="61">
        <f t="shared" si="154"/>
        <v>79.163939582296422</v>
      </c>
      <c r="AV198" s="58" t="str">
        <f t="shared" si="155"/>
        <v>1525041.34808691+2649489.68921384i</v>
      </c>
      <c r="AW198" s="64">
        <f t="shared" si="156"/>
        <v>129.70604713249469</v>
      </c>
      <c r="AX198" s="61">
        <f t="shared" si="157"/>
        <v>60.075349150383964</v>
      </c>
      <c r="AY198" s="310"/>
      <c r="BA198" s="31">
        <f t="shared" si="158"/>
        <v>0</v>
      </c>
      <c r="BB198" s="31">
        <f t="shared" si="159"/>
        <v>0</v>
      </c>
    </row>
    <row r="199" spans="14:54" x14ac:dyDescent="0.45">
      <c r="N199" s="10">
        <v>81</v>
      </c>
      <c r="O199" s="50">
        <f t="shared" si="160"/>
        <v>645.65422903465594</v>
      </c>
      <c r="P199" s="48" t="str">
        <f t="shared" si="126"/>
        <v>17.4002386318441</v>
      </c>
      <c r="Q199" s="17" t="str">
        <f t="shared" si="127"/>
        <v>1+0.347430769831796i</v>
      </c>
      <c r="R199" s="17">
        <f t="shared" si="135"/>
        <v>1.0586350361790953</v>
      </c>
      <c r="S199" s="17">
        <f t="shared" si="136"/>
        <v>0.33438414186184928</v>
      </c>
      <c r="T199" s="17" t="str">
        <f t="shared" si="128"/>
        <v>1+0.00121702954961667i</v>
      </c>
      <c r="U199" s="17">
        <f t="shared" si="137"/>
        <v>1.0000007405801881</v>
      </c>
      <c r="V199" s="17">
        <f t="shared" si="138"/>
        <v>1.2170289487449997E-3</v>
      </c>
      <c r="W199" s="31" t="str">
        <f t="shared" si="129"/>
        <v>1-0.00300255816322662i</v>
      </c>
      <c r="X199" s="17">
        <f t="shared" si="139"/>
        <v>1.0000045076676023</v>
      </c>
      <c r="Y199" s="17">
        <f t="shared" si="140"/>
        <v>-3.0025491402323199E-3</v>
      </c>
      <c r="Z199" s="31" t="str">
        <f t="shared" si="130"/>
        <v>0.999999621887181+0.00419925732234806i</v>
      </c>
      <c r="AA199" s="17">
        <f t="shared" si="141"/>
        <v>1.000008438732676</v>
      </c>
      <c r="AB199" s="17">
        <f t="shared" si="142"/>
        <v>4.1992342274733523E-3</v>
      </c>
      <c r="AC199" s="66" t="str">
        <f t="shared" si="143"/>
        <v>15.4935001489609-5.4870538853011i</v>
      </c>
      <c r="AD199" s="64">
        <f t="shared" si="144"/>
        <v>24.316151112526271</v>
      </c>
      <c r="AE199" s="61">
        <f t="shared" si="145"/>
        <v>-19.501701234416412</v>
      </c>
      <c r="AF199" s="31" t="str">
        <f t="shared" si="131"/>
        <v>-9090.90909090909</v>
      </c>
      <c r="AG199" s="31" t="str">
        <f t="shared" si="132"/>
        <v>2.27623467397318E-08i</v>
      </c>
      <c r="AH199" s="31">
        <f t="shared" si="146"/>
        <v>2.27623467397318E-8</v>
      </c>
      <c r="AI199" s="31">
        <f t="shared" si="147"/>
        <v>1.5707963267948966</v>
      </c>
      <c r="AJ199" s="31" t="str">
        <f t="shared" si="133"/>
        <v>1+11716390.8001771i</v>
      </c>
      <c r="AK199" s="31">
        <f t="shared" si="148"/>
        <v>11716390.80017714</v>
      </c>
      <c r="AL199" s="31">
        <f t="shared" si="149"/>
        <v>1.5707962414443806</v>
      </c>
      <c r="AM199" s="31" t="str">
        <f t="shared" si="134"/>
        <v>1+5.3460051349495i</v>
      </c>
      <c r="AN199" s="31">
        <f t="shared" si="150"/>
        <v>5.4387287947558507</v>
      </c>
      <c r="AO199" s="31">
        <f t="shared" si="151"/>
        <v>1.3858777543093102</v>
      </c>
      <c r="AS199" s="58" t="str">
        <f t="shared" si="152"/>
        <v>34087.5849182646+182232.490070286i</v>
      </c>
      <c r="AT199" s="49">
        <f t="shared" si="153"/>
        <v>105.36187668073148</v>
      </c>
      <c r="AU199" s="61">
        <f t="shared" si="154"/>
        <v>79.404951133216244</v>
      </c>
      <c r="AV199" s="58" t="str">
        <f t="shared" si="155"/>
        <v>1528055.49467711+2636378.6967832i</v>
      </c>
      <c r="AW199" s="64">
        <f t="shared" si="156"/>
        <v>129.67802779325777</v>
      </c>
      <c r="AX199" s="61">
        <f t="shared" si="157"/>
        <v>59.903249898799807</v>
      </c>
      <c r="AY199" s="310"/>
      <c r="BA199" s="31">
        <f t="shared" si="158"/>
        <v>0</v>
      </c>
      <c r="BB199" s="31">
        <f t="shared" si="159"/>
        <v>0</v>
      </c>
    </row>
    <row r="200" spans="14:54" x14ac:dyDescent="0.45">
      <c r="N200" s="10">
        <v>82</v>
      </c>
      <c r="O200" s="50">
        <f t="shared" si="160"/>
        <v>660.69344800759643</v>
      </c>
      <c r="P200" s="48" t="str">
        <f t="shared" si="126"/>
        <v>17.4002386318441</v>
      </c>
      <c r="Q200" s="17" t="str">
        <f t="shared" si="127"/>
        <v>1+0.355523472071584i</v>
      </c>
      <c r="R200" s="17">
        <f t="shared" si="135"/>
        <v>1.0613184909318383</v>
      </c>
      <c r="S200" s="17">
        <f t="shared" si="136"/>
        <v>0.34158700765219774</v>
      </c>
      <c r="T200" s="17" t="str">
        <f t="shared" si="128"/>
        <v>1+0.00124537780952135i</v>
      </c>
      <c r="U200" s="17">
        <f t="shared" si="137"/>
        <v>1.0000007754826434</v>
      </c>
      <c r="V200" s="17">
        <f t="shared" si="138"/>
        <v>1.2453771656757821E-3</v>
      </c>
      <c r="W200" s="31" t="str">
        <f t="shared" si="129"/>
        <v>1-0.00307249672734518i</v>
      </c>
      <c r="X200" s="17">
        <f t="shared" si="139"/>
        <v>1.00000472010693</v>
      </c>
      <c r="Y200" s="17">
        <f t="shared" si="140"/>
        <v>-3.0724870590350612E-3</v>
      </c>
      <c r="Z200" s="31" t="str">
        <f t="shared" si="130"/>
        <v>0.999999604067272+0.00429707059074241i</v>
      </c>
      <c r="AA200" s="17">
        <f t="shared" si="141"/>
        <v>1.0000088364361399</v>
      </c>
      <c r="AB200" s="17">
        <f t="shared" si="142"/>
        <v>4.2970458441501155E-3</v>
      </c>
      <c r="AC200" s="66" t="str">
        <f t="shared" si="143"/>
        <v>15.4137220645018-5.58650073506488i</v>
      </c>
      <c r="AD200" s="64">
        <f t="shared" si="144"/>
        <v>24.29416045252789</v>
      </c>
      <c r="AE200" s="61">
        <f t="shared" si="145"/>
        <v>-19.922382151813999</v>
      </c>
      <c r="AF200" s="31" t="str">
        <f t="shared" si="131"/>
        <v>-9090.90909090909</v>
      </c>
      <c r="AG200" s="31" t="str">
        <f t="shared" si="132"/>
        <v>2.27623467397318E-08i</v>
      </c>
      <c r="AH200" s="31">
        <f t="shared" si="146"/>
        <v>2.27623467397318E-8</v>
      </c>
      <c r="AI200" s="31">
        <f t="shared" si="147"/>
        <v>1.5707963267948966</v>
      </c>
      <c r="AJ200" s="31" t="str">
        <f t="shared" si="133"/>
        <v>1+11989300.6006439i</v>
      </c>
      <c r="AK200" s="31">
        <f t="shared" si="148"/>
        <v>11989300.600643942</v>
      </c>
      <c r="AL200" s="31">
        <f t="shared" si="149"/>
        <v>1.5707962433871956</v>
      </c>
      <c r="AM200" s="31" t="str">
        <f t="shared" si="134"/>
        <v>1+5.47052959129076i</v>
      </c>
      <c r="AN200" s="31">
        <f t="shared" si="150"/>
        <v>5.5611773941484604</v>
      </c>
      <c r="AO200" s="31">
        <f t="shared" si="151"/>
        <v>1.3899948572845278</v>
      </c>
      <c r="AS200" s="58" t="str">
        <f t="shared" si="152"/>
        <v>33311.6567546203+182232.489939344i</v>
      </c>
      <c r="AT200" s="49">
        <f t="shared" si="153"/>
        <v>105.35526359462222</v>
      </c>
      <c r="AU200" s="61">
        <f t="shared" si="154"/>
        <v>79.64084364620193</v>
      </c>
      <c r="AV200" s="58" t="str">
        <f t="shared" si="155"/>
        <v>1531498.55772265+2622785.35610125i</v>
      </c>
      <c r="AW200" s="64">
        <f t="shared" si="156"/>
        <v>129.64942404715009</v>
      </c>
      <c r="AX200" s="61">
        <f t="shared" si="157"/>
        <v>59.718461494387881</v>
      </c>
      <c r="AY200" s="310"/>
      <c r="BA200" s="31">
        <f t="shared" si="158"/>
        <v>0</v>
      </c>
      <c r="BB200" s="31">
        <f t="shared" si="159"/>
        <v>0</v>
      </c>
    </row>
    <row r="201" spans="14:54" x14ac:dyDescent="0.45">
      <c r="N201" s="10">
        <v>83</v>
      </c>
      <c r="O201" s="50">
        <f t="shared" si="160"/>
        <v>676.08297539198213</v>
      </c>
      <c r="P201" s="48" t="str">
        <f t="shared" si="126"/>
        <v>17.4002386318441</v>
      </c>
      <c r="Q201" s="17" t="str">
        <f t="shared" si="127"/>
        <v>1+0.363804677562175i</v>
      </c>
      <c r="R201" s="17">
        <f t="shared" si="135"/>
        <v>1.0641211601204621</v>
      </c>
      <c r="S201" s="17">
        <f t="shared" si="136"/>
        <v>0.34891965237228711</v>
      </c>
      <c r="T201" s="17" t="str">
        <f t="shared" si="128"/>
        <v>1+0.00127438638522515i</v>
      </c>
      <c r="U201" s="17">
        <f t="shared" si="137"/>
        <v>1.0000008120299997</v>
      </c>
      <c r="V201" s="17">
        <f t="shared" si="138"/>
        <v>1.2743856953322248E-3</v>
      </c>
      <c r="W201" s="31" t="str">
        <f t="shared" si="129"/>
        <v>1-0.00314406436989787i</v>
      </c>
      <c r="X201" s="17">
        <f t="shared" si="139"/>
        <v>1.0000049425581667</v>
      </c>
      <c r="Y201" s="17">
        <f t="shared" si="140"/>
        <v>-3.144054010119694E-3</v>
      </c>
      <c r="Z201" s="31" t="str">
        <f t="shared" si="130"/>
        <v>0.999999585407538+0.00439716222284243i</v>
      </c>
      <c r="AA201" s="17">
        <f t="shared" si="141"/>
        <v>1.000009252882623</v>
      </c>
      <c r="AB201" s="17">
        <f t="shared" si="142"/>
        <v>4.3971357064042892E-3</v>
      </c>
      <c r="AC201" s="66" t="str">
        <f t="shared" si="143"/>
        <v>15.3310433033828-5.68654805590318i</v>
      </c>
      <c r="AD201" s="64">
        <f t="shared" si="144"/>
        <v>24.271252116658349</v>
      </c>
      <c r="AE201" s="61">
        <f t="shared" si="145"/>
        <v>-20.350684891553747</v>
      </c>
      <c r="AF201" s="31" t="str">
        <f t="shared" si="131"/>
        <v>-9090.90909090909</v>
      </c>
      <c r="AG201" s="31" t="str">
        <f t="shared" si="132"/>
        <v>2.27623467397318E-08i</v>
      </c>
      <c r="AH201" s="31">
        <f t="shared" si="146"/>
        <v>2.27623467397318E-8</v>
      </c>
      <c r="AI201" s="31">
        <f t="shared" si="147"/>
        <v>1.5707963267948966</v>
      </c>
      <c r="AJ201" s="31" t="str">
        <f t="shared" si="133"/>
        <v>1+12268567.2869863i</v>
      </c>
      <c r="AK201" s="31">
        <f t="shared" si="148"/>
        <v>12268567.286986342</v>
      </c>
      <c r="AL201" s="31">
        <f t="shared" si="149"/>
        <v>1.5707962452857867</v>
      </c>
      <c r="AM201" s="31" t="str">
        <f t="shared" si="134"/>
        <v>1+5.59795459483233i</v>
      </c>
      <c r="AN201" s="31">
        <f t="shared" si="150"/>
        <v>5.6865715194486377</v>
      </c>
      <c r="AO201" s="31">
        <f t="shared" si="151"/>
        <v>1.3940242405202645</v>
      </c>
      <c r="AS201" s="58" t="str">
        <f t="shared" si="152"/>
        <v>32553.3908723191+182232.489814293i</v>
      </c>
      <c r="AT201" s="49">
        <f t="shared" si="153"/>
        <v>105.34893873226558</v>
      </c>
      <c r="AU201" s="61">
        <f t="shared" si="154"/>
        <v>79.871710190869109</v>
      </c>
      <c r="AV201" s="58" t="str">
        <f t="shared" si="155"/>
        <v>1535351.25581133+2608697.77104815i</v>
      </c>
      <c r="AW201" s="64">
        <f t="shared" si="156"/>
        <v>129.62019084892393</v>
      </c>
      <c r="AX201" s="61">
        <f t="shared" si="157"/>
        <v>59.521025299315447</v>
      </c>
      <c r="AY201" s="310"/>
      <c r="BA201" s="31">
        <f t="shared" si="158"/>
        <v>0</v>
      </c>
      <c r="BB201" s="31">
        <f t="shared" si="159"/>
        <v>0</v>
      </c>
    </row>
    <row r="202" spans="14:54" x14ac:dyDescent="0.45">
      <c r="N202" s="10">
        <v>84</v>
      </c>
      <c r="O202" s="50">
        <f t="shared" si="160"/>
        <v>691.83097091893671</v>
      </c>
      <c r="P202" s="48" t="str">
        <f t="shared" si="126"/>
        <v>17.4002386318441</v>
      </c>
      <c r="Q202" s="17" t="str">
        <f t="shared" si="127"/>
        <v>1+0.372278777108333i</v>
      </c>
      <c r="R202" s="17">
        <f t="shared" si="135"/>
        <v>1.0670480251072469</v>
      </c>
      <c r="S202" s="17">
        <f t="shared" si="136"/>
        <v>0.35638280884957968</v>
      </c>
      <c r="T202" s="17" t="str">
        <f t="shared" si="128"/>
        <v>1+0.0013040706574589i</v>
      </c>
      <c r="U202" s="17">
        <f t="shared" si="137"/>
        <v>1.0000008502997784</v>
      </c>
      <c r="V202" s="17">
        <f t="shared" si="138"/>
        <v>1.3040699182253462E-3</v>
      </c>
      <c r="W202" s="31" t="str">
        <f t="shared" si="129"/>
        <v>1-0.0032172990369961i</v>
      </c>
      <c r="X202" s="17">
        <f t="shared" si="139"/>
        <v>1.0000051754931538</v>
      </c>
      <c r="Y202" s="17">
        <f t="shared" si="140"/>
        <v>-3.2172879362968895E-3</v>
      </c>
      <c r="Z202" s="31" t="str">
        <f t="shared" si="130"/>
        <v>0.999999565868397+0.00449958528855632i</v>
      </c>
      <c r="AA202" s="17">
        <f t="shared" si="141"/>
        <v>1.0000096889554377</v>
      </c>
      <c r="AB202" s="17">
        <f t="shared" si="142"/>
        <v>4.4995568756958076E-3</v>
      </c>
      <c r="AC202" s="66" t="str">
        <f t="shared" si="143"/>
        <v>15.2453952538682-5.78711974155674i</v>
      </c>
      <c r="AD202" s="64">
        <f t="shared" si="144"/>
        <v>24.247392942700934</v>
      </c>
      <c r="AE202" s="61">
        <f t="shared" si="145"/>
        <v>-20.786655774478835</v>
      </c>
      <c r="AF202" s="31" t="str">
        <f t="shared" si="131"/>
        <v>-9090.90909090909</v>
      </c>
      <c r="AG202" s="31" t="str">
        <f t="shared" si="132"/>
        <v>2.27623467397318E-08i</v>
      </c>
      <c r="AH202" s="31">
        <f t="shared" si="146"/>
        <v>2.27623467397318E-8</v>
      </c>
      <c r="AI202" s="31">
        <f t="shared" si="147"/>
        <v>1.5707963267948966</v>
      </c>
      <c r="AJ202" s="31" t="str">
        <f t="shared" si="133"/>
        <v>1+12554338.930098i</v>
      </c>
      <c r="AK202" s="31">
        <f t="shared" si="148"/>
        <v>12554338.93009804</v>
      </c>
      <c r="AL202" s="31">
        <f t="shared" si="149"/>
        <v>1.5707962471411605</v>
      </c>
      <c r="AM202" s="31" t="str">
        <f t="shared" si="134"/>
        <v>1+5.72834770799777i</v>
      </c>
      <c r="AN202" s="31">
        <f t="shared" si="150"/>
        <v>5.8149778558239849</v>
      </c>
      <c r="AO202" s="31">
        <f t="shared" si="151"/>
        <v>1.3979675168244454</v>
      </c>
      <c r="AS202" s="58" t="str">
        <f t="shared" si="152"/>
        <v>31812.3852287534+182232.48969487i</v>
      </c>
      <c r="AT202" s="49">
        <f t="shared" si="153"/>
        <v>105.34288992473849</v>
      </c>
      <c r="AU202" s="61">
        <f t="shared" si="154"/>
        <v>80.097643174247509</v>
      </c>
      <c r="AV202" s="58" t="str">
        <f t="shared" si="155"/>
        <v>1539593.62544688+2594104.25091143i</v>
      </c>
      <c r="AW202" s="64">
        <f t="shared" si="156"/>
        <v>129.59028286743941</v>
      </c>
      <c r="AX202" s="61">
        <f t="shared" si="157"/>
        <v>59.310987399768699</v>
      </c>
      <c r="AY202" s="310"/>
      <c r="BA202" s="31">
        <f t="shared" si="158"/>
        <v>0</v>
      </c>
      <c r="BB202" s="31">
        <f t="shared" si="159"/>
        <v>0</v>
      </c>
    </row>
    <row r="203" spans="14:54" x14ac:dyDescent="0.45">
      <c r="N203" s="10">
        <v>85</v>
      </c>
      <c r="O203" s="50">
        <f t="shared" si="160"/>
        <v>707.94578438413873</v>
      </c>
      <c r="P203" s="48" t="str">
        <f t="shared" si="126"/>
        <v>17.4002386318441</v>
      </c>
      <c r="Q203" s="17" t="str">
        <f t="shared" si="127"/>
        <v>1+0.380950263789806i</v>
      </c>
      <c r="R203" s="17">
        <f t="shared" si="135"/>
        <v>1.0701042488849031</v>
      </c>
      <c r="S203" s="17">
        <f t="shared" si="136"/>
        <v>0.3639771076594398</v>
      </c>
      <c r="T203" s="17" t="str">
        <f t="shared" si="128"/>
        <v>1+0.00133444636521665i</v>
      </c>
      <c r="U203" s="17">
        <f t="shared" si="137"/>
        <v>1.0000008903731543</v>
      </c>
      <c r="V203" s="17">
        <f t="shared" si="138"/>
        <v>1.334445573113664E-3</v>
      </c>
      <c r="W203" s="31" t="str">
        <f t="shared" si="129"/>
        <v>1-0.00329223955862973i</v>
      </c>
      <c r="X203" s="17">
        <f t="shared" si="139"/>
        <v>1.0000054194059707</v>
      </c>
      <c r="Y203" s="17">
        <f t="shared" si="140"/>
        <v>-3.2922276640197055E-3</v>
      </c>
      <c r="Z203" s="31" t="str">
        <f t="shared" si="130"/>
        <v>0.999999545408405+0.00460439409394927i</v>
      </c>
      <c r="AA203" s="17">
        <f t="shared" si="141"/>
        <v>1.0000101455795281</v>
      </c>
      <c r="AB203" s="17">
        <f t="shared" si="142"/>
        <v>4.6043636490373865E-3</v>
      </c>
      <c r="AC203" s="66" t="str">
        <f t="shared" si="143"/>
        <v>15.1567108102336-5.88813462569728i</v>
      </c>
      <c r="AD203" s="64">
        <f t="shared" si="144"/>
        <v>24.222549001372368</v>
      </c>
      <c r="AE203" s="61">
        <f t="shared" si="145"/>
        <v>-21.230335363713223</v>
      </c>
      <c r="AF203" s="31" t="str">
        <f t="shared" si="131"/>
        <v>-9090.90909090909</v>
      </c>
      <c r="AG203" s="31" t="str">
        <f t="shared" si="132"/>
        <v>2.27623467397318E-08i</v>
      </c>
      <c r="AH203" s="31">
        <f t="shared" si="146"/>
        <v>2.27623467397318E-8</v>
      </c>
      <c r="AI203" s="31">
        <f t="shared" si="147"/>
        <v>1.5707963267948966</v>
      </c>
      <c r="AJ203" s="31" t="str">
        <f t="shared" si="133"/>
        <v>1+12846767.0498868i</v>
      </c>
      <c r="AK203" s="31">
        <f t="shared" si="148"/>
        <v>12846767.049886839</v>
      </c>
      <c r="AL203" s="31">
        <f t="shared" si="149"/>
        <v>1.5707962489543008</v>
      </c>
      <c r="AM203" s="31" t="str">
        <f t="shared" si="134"/>
        <v>1+5.86177806694165i</v>
      </c>
      <c r="AN203" s="31">
        <f t="shared" si="150"/>
        <v>5.9464646729025636</v>
      </c>
      <c r="AO203" s="31">
        <f t="shared" si="151"/>
        <v>1.4018262862051964</v>
      </c>
      <c r="AS203" s="58" t="str">
        <f t="shared" si="152"/>
        <v>31088.2469329225+182232.489580822i</v>
      </c>
      <c r="AT203" s="49">
        <f t="shared" si="153"/>
        <v>105.33710548326948</v>
      </c>
      <c r="AU203" s="61">
        <f t="shared" si="154"/>
        <v>80.31873426999357</v>
      </c>
      <c r="AV203" s="58" t="str">
        <f t="shared" si="155"/>
        <v>1544205.00018729+2578993.36158746i</v>
      </c>
      <c r="AW203" s="64">
        <f t="shared" si="156"/>
        <v>129.55965448464184</v>
      </c>
      <c r="AX203" s="61">
        <f t="shared" si="157"/>
        <v>59.088398906280446</v>
      </c>
      <c r="AY203" s="310"/>
      <c r="BA203" s="31">
        <f t="shared" si="158"/>
        <v>0</v>
      </c>
      <c r="BB203" s="31">
        <f t="shared" si="159"/>
        <v>0</v>
      </c>
    </row>
    <row r="204" spans="14:54" x14ac:dyDescent="0.45">
      <c r="N204" s="10">
        <v>86</v>
      </c>
      <c r="O204" s="50">
        <f t="shared" si="160"/>
        <v>724.43596007499025</v>
      </c>
      <c r="P204" s="48" t="str">
        <f t="shared" si="126"/>
        <v>17.4002386318441</v>
      </c>
      <c r="Q204" s="17" t="str">
        <f t="shared" si="127"/>
        <v>1+0.389823735343613i</v>
      </c>
      <c r="R204" s="17">
        <f t="shared" si="135"/>
        <v>1.0732951805711453</v>
      </c>
      <c r="S204" s="17">
        <f t="shared" si="136"/>
        <v>0.37170307048693324</v>
      </c>
      <c r="T204" s="17" t="str">
        <f t="shared" si="128"/>
        <v>1+0.00136552961410072i</v>
      </c>
      <c r="U204" s="17">
        <f t="shared" si="137"/>
        <v>1.0000009323351289</v>
      </c>
      <c r="V204" s="17">
        <f t="shared" si="138"/>
        <v>1.3655287653471214E-3</v>
      </c>
      <c r="W204" s="31" t="str">
        <f t="shared" si="129"/>
        <v>1-0.00336892566925528i</v>
      </c>
      <c r="X204" s="17">
        <f t="shared" si="139"/>
        <v>1.0000056748139807</v>
      </c>
      <c r="Y204" s="17">
        <f t="shared" si="140"/>
        <v>-3.3689129239549173E-3</v>
      </c>
      <c r="Z204" s="31" t="str">
        <f t="shared" si="130"/>
        <v>0.999999523984163+0.00471164421003717i</v>
      </c>
      <c r="AA204" s="17">
        <f t="shared" si="141"/>
        <v>1.0000106237234256</v>
      </c>
      <c r="AB204" s="17">
        <f t="shared" si="142"/>
        <v>4.7116115877450489E-3</v>
      </c>
      <c r="AC204" s="66" t="str">
        <f t="shared" si="143"/>
        <v>15.0649246913479-5.98950639685988i</v>
      </c>
      <c r="AD204" s="64">
        <f t="shared" si="144"/>
        <v>24.196685615112873</v>
      </c>
      <c r="AE204" s="61">
        <f t="shared" si="145"/>
        <v>-21.681758086669305</v>
      </c>
      <c r="AF204" s="31" t="str">
        <f t="shared" si="131"/>
        <v>-9090.90909090909</v>
      </c>
      <c r="AG204" s="31" t="str">
        <f t="shared" si="132"/>
        <v>2.27623467397318E-08i</v>
      </c>
      <c r="AH204" s="31">
        <f t="shared" si="146"/>
        <v>2.27623467397318E-8</v>
      </c>
      <c r="AI204" s="31">
        <f t="shared" si="147"/>
        <v>1.5707963267948966</v>
      </c>
      <c r="AJ204" s="31" t="str">
        <f t="shared" si="133"/>
        <v>1+13146006.6956124i</v>
      </c>
      <c r="AK204" s="31">
        <f t="shared" si="148"/>
        <v>13146006.695612438</v>
      </c>
      <c r="AL204" s="31">
        <f t="shared" si="149"/>
        <v>1.5707962507261692</v>
      </c>
      <c r="AM204" s="31" t="str">
        <f t="shared" si="134"/>
        <v>1+5.99831641820641i</v>
      </c>
      <c r="AN204" s="31">
        <f t="shared" si="150"/>
        <v>6.0811018617454993</v>
      </c>
      <c r="AO204" s="31">
        <f t="shared" si="151"/>
        <v>1.4056021347435641</v>
      </c>
      <c r="AS204" s="58" t="str">
        <f t="shared" si="152"/>
        <v>30380.5920371174+182232.489471908i</v>
      </c>
      <c r="AT204" s="49">
        <f t="shared" si="153"/>
        <v>105.33157418318146</v>
      </c>
      <c r="AU204" s="61">
        <f t="shared" si="154"/>
        <v>80.535074353802088</v>
      </c>
      <c r="AV204" s="58" t="str">
        <f t="shared" si="155"/>
        <v>1549163.99252543+2563353.97986444i</v>
      </c>
      <c r="AW204" s="64">
        <f t="shared" si="156"/>
        <v>129.52825979829433</v>
      </c>
      <c r="AX204" s="61">
        <f t="shared" si="157"/>
        <v>58.853316267132811</v>
      </c>
      <c r="AY204" s="310"/>
      <c r="BA204" s="31">
        <f t="shared" si="158"/>
        <v>0</v>
      </c>
      <c r="BB204" s="31">
        <f t="shared" si="159"/>
        <v>0</v>
      </c>
    </row>
    <row r="205" spans="14:54" x14ac:dyDescent="0.45">
      <c r="N205" s="10">
        <v>87</v>
      </c>
      <c r="O205" s="50">
        <f t="shared" si="160"/>
        <v>741.31024130091828</v>
      </c>
      <c r="P205" s="48" t="str">
        <f t="shared" si="126"/>
        <v>17.4002386318441</v>
      </c>
      <c r="Q205" s="17" t="str">
        <f t="shared" si="127"/>
        <v>1+0.398903896601826i</v>
      </c>
      <c r="R205" s="17">
        <f t="shared" si="135"/>
        <v>1.07662635985012</v>
      </c>
      <c r="S205" s="17">
        <f t="shared" si="136"/>
        <v>0.37956110338926285</v>
      </c>
      <c r="T205" s="17" t="str">
        <f t="shared" si="128"/>
        <v>1+0.00139733688486111i</v>
      </c>
      <c r="U205" s="17">
        <f t="shared" si="137"/>
        <v>1.0000009762747084</v>
      </c>
      <c r="V205" s="17">
        <f t="shared" si="138"/>
        <v>1.3973359754052917E-3</v>
      </c>
      <c r="W205" s="31" t="str">
        <f t="shared" si="129"/>
        <v>1-0.00344739802886368i</v>
      </c>
      <c r="X205" s="17">
        <f t="shared" si="139"/>
        <v>1.0000059422589294</v>
      </c>
      <c r="Y205" s="17">
        <f t="shared" si="140"/>
        <v>-3.4473843720326733E-3</v>
      </c>
      <c r="Z205" s="31" t="str">
        <f t="shared" si="130"/>
        <v>0.999999501550228+0.00482139250225123i</v>
      </c>
      <c r="AA205" s="17">
        <f t="shared" si="141"/>
        <v>1.0000111244013064</v>
      </c>
      <c r="AB205" s="17">
        <f t="shared" si="142"/>
        <v>4.8213575468564317E-3</v>
      </c>
      <c r="AC205" s="66" t="str">
        <f t="shared" si="143"/>
        <v>14.9699737769582-6.0911435310562i</v>
      </c>
      <c r="AD205" s="64">
        <f t="shared" si="144"/>
        <v>24.16976738057549</v>
      </c>
      <c r="AE205" s="61">
        <f t="shared" si="145"/>
        <v>-22.140951851416236</v>
      </c>
      <c r="AF205" s="31" t="str">
        <f t="shared" si="131"/>
        <v>-9090.90909090909</v>
      </c>
      <c r="AG205" s="31" t="str">
        <f t="shared" si="132"/>
        <v>2.27623467397318E-08i</v>
      </c>
      <c r="AH205" s="31">
        <f t="shared" si="146"/>
        <v>2.27623467397318E-8</v>
      </c>
      <c r="AI205" s="31">
        <f t="shared" si="147"/>
        <v>1.5707963267948966</v>
      </c>
      <c r="AJ205" s="31" t="str">
        <f t="shared" si="133"/>
        <v>1+13452216.5280961i</v>
      </c>
      <c r="AK205" s="31">
        <f t="shared" si="148"/>
        <v>13452216.528096136</v>
      </c>
      <c r="AL205" s="31">
        <f t="shared" si="149"/>
        <v>1.5707962524577048</v>
      </c>
      <c r="AM205" s="31" t="str">
        <f t="shared" si="134"/>
        <v>1+6.13803515623321i</v>
      </c>
      <c r="AN205" s="31">
        <f t="shared" si="150"/>
        <v>6.2189609726348056</v>
      </c>
      <c r="AO205" s="31">
        <f t="shared" si="151"/>
        <v>1.4092966335685815</v>
      </c>
      <c r="AS205" s="58" t="str">
        <f t="shared" si="152"/>
        <v>29689.0453333445+182232.489367894i</v>
      </c>
      <c r="AT205" s="49">
        <f t="shared" si="153"/>
        <v>105.32628524811585</v>
      </c>
      <c r="AU205" s="61">
        <f t="shared" si="154"/>
        <v>80.746753444681985</v>
      </c>
      <c r="AV205" s="58" t="str">
        <f t="shared" si="155"/>
        <v>1554448.47886461+2547175.35072175i</v>
      </c>
      <c r="AW205" s="64">
        <f t="shared" si="156"/>
        <v>129.49605262869133</v>
      </c>
      <c r="AX205" s="61">
        <f t="shared" si="157"/>
        <v>58.605801593265667</v>
      </c>
      <c r="AY205" s="310"/>
      <c r="BA205" s="31">
        <f t="shared" si="158"/>
        <v>0</v>
      </c>
      <c r="BB205" s="31">
        <f t="shared" si="159"/>
        <v>0</v>
      </c>
    </row>
    <row r="206" spans="14:54" x14ac:dyDescent="0.45">
      <c r="N206" s="10">
        <v>88</v>
      </c>
      <c r="O206" s="50">
        <f t="shared" si="160"/>
        <v>758.57757502918378</v>
      </c>
      <c r="P206" s="48" t="str">
        <f t="shared" si="126"/>
        <v>17.4002386318441</v>
      </c>
      <c r="Q206" s="17" t="str">
        <f t="shared" si="127"/>
        <v>1+0.408195561986135i</v>
      </c>
      <c r="R206" s="17">
        <f t="shared" si="135"/>
        <v>1.0801035213465313</v>
      </c>
      <c r="S206" s="17">
        <f t="shared" si="136"/>
        <v>0.38755148998322947</v>
      </c>
      <c r="T206" s="17" t="str">
        <f t="shared" si="128"/>
        <v>1+0.00142988504213379i</v>
      </c>
      <c r="U206" s="17">
        <f t="shared" si="137"/>
        <v>1.0000010222850944</v>
      </c>
      <c r="V206" s="17">
        <f t="shared" si="138"/>
        <v>1.4298840676343772E-3</v>
      </c>
      <c r="W206" s="31" t="str">
        <f t="shared" si="129"/>
        <v>1-0.00352769824453869i</v>
      </c>
      <c r="X206" s="17">
        <f t="shared" si="139"/>
        <v>1.0000062223080937</v>
      </c>
      <c r="Y206" s="17">
        <f t="shared" si="140"/>
        <v>-3.5276836109855354E-3</v>
      </c>
      <c r="Z206" s="31" t="str">
        <f t="shared" si="130"/>
        <v>0.999999478059014+0.00493369716058865i</v>
      </c>
      <c r="AA206" s="17">
        <f t="shared" si="141"/>
        <v>1.0000116486751407</v>
      </c>
      <c r="AB206" s="17">
        <f t="shared" si="142"/>
        <v>4.9336597052318529E-3</v>
      </c>
      <c r="AC206" s="66" t="str">
        <f t="shared" si="143"/>
        <v>14.8717974610937-6.19294924422393i</v>
      </c>
      <c r="AD206" s="64">
        <f t="shared" si="144"/>
        <v>24.14175819501224</v>
      </c>
      <c r="AE206" s="61">
        <f t="shared" si="145"/>
        <v>-22.607937658807632</v>
      </c>
      <c r="AF206" s="31" t="str">
        <f t="shared" si="131"/>
        <v>-9090.90909090909</v>
      </c>
      <c r="AG206" s="31" t="str">
        <f t="shared" si="132"/>
        <v>2.27623467397318E-08i</v>
      </c>
      <c r="AH206" s="31">
        <f t="shared" si="146"/>
        <v>2.27623467397318E-8</v>
      </c>
      <c r="AI206" s="31">
        <f t="shared" si="147"/>
        <v>1.5707963267948966</v>
      </c>
      <c r="AJ206" s="31" t="str">
        <f t="shared" si="133"/>
        <v>1+13765558.903844i</v>
      </c>
      <c r="AK206" s="31">
        <f t="shared" si="148"/>
        <v>13765558.903844038</v>
      </c>
      <c r="AL206" s="31">
        <f t="shared" si="149"/>
        <v>1.5707962541498259</v>
      </c>
      <c r="AM206" s="31" t="str">
        <f t="shared" si="134"/>
        <v>1+6.28100836174635i</v>
      </c>
      <c r="AN206" s="31">
        <f t="shared" si="150"/>
        <v>6.3601152536984404</v>
      </c>
      <c r="AO206" s="31">
        <f t="shared" si="151"/>
        <v>1.4129113379289988</v>
      </c>
      <c r="AS206" s="58" t="str">
        <f t="shared" si="152"/>
        <v>29013.2401543889+182232.489268564i</v>
      </c>
      <c r="AT206" s="49">
        <f t="shared" si="153"/>
        <v>105.32122833455989</v>
      </c>
      <c r="AU206" s="61">
        <f t="shared" si="154"/>
        <v>80.953860651770043</v>
      </c>
      <c r="AV206" s="58" t="str">
        <f t="shared" si="155"/>
        <v>1560035.58795494+2530447.1475464i</v>
      </c>
      <c r="AW206" s="64">
        <f t="shared" si="156"/>
        <v>129.46298652957211</v>
      </c>
      <c r="AX206" s="61">
        <f t="shared" si="157"/>
        <v>58.345922992962379</v>
      </c>
      <c r="AY206" s="310"/>
      <c r="BA206" s="31">
        <f t="shared" si="158"/>
        <v>0</v>
      </c>
      <c r="BB206" s="31">
        <f t="shared" si="159"/>
        <v>0</v>
      </c>
    </row>
    <row r="207" spans="14:54" x14ac:dyDescent="0.45">
      <c r="N207" s="10">
        <v>89</v>
      </c>
      <c r="O207" s="50">
        <f t="shared" si="160"/>
        <v>776.24711662869231</v>
      </c>
      <c r="P207" s="48" t="str">
        <f t="shared" si="126"/>
        <v>17.4002386318441</v>
      </c>
      <c r="Q207" s="17" t="str">
        <f t="shared" si="127"/>
        <v>1+0.417703658060517i</v>
      </c>
      <c r="R207" s="17">
        <f t="shared" si="135"/>
        <v>1.0837325989178037</v>
      </c>
      <c r="S207" s="17">
        <f t="shared" si="136"/>
        <v>0.39567438458494858</v>
      </c>
      <c r="T207" s="17" t="str">
        <f t="shared" si="128"/>
        <v>1+0.00146319134338258i</v>
      </c>
      <c r="U207" s="17">
        <f t="shared" si="137"/>
        <v>1.0000010704638806</v>
      </c>
      <c r="V207" s="17">
        <f t="shared" si="138"/>
        <v>1.4631902991877066E-3</v>
      </c>
      <c r="W207" s="31" t="str">
        <f t="shared" si="129"/>
        <v>1-0.00360986889251756i</v>
      </c>
      <c r="X207" s="17">
        <f t="shared" si="139"/>
        <v>1.0000065155554845</v>
      </c>
      <c r="Y207" s="17">
        <f t="shared" si="140"/>
        <v>-3.6098532123883683E-3</v>
      </c>
      <c r="Z207" s="31" t="str">
        <f t="shared" si="130"/>
        <v>0.999999453460693+0.00504861773046582i</v>
      </c>
      <c r="AA207" s="17">
        <f t="shared" si="141"/>
        <v>1.0000121976569452</v>
      </c>
      <c r="AB207" s="17">
        <f t="shared" si="142"/>
        <v>5.0485775963543542E-3</v>
      </c>
      <c r="AC207" s="66" t="str">
        <f t="shared" si="143"/>
        <v>14.7703380217775-6.29482146672143i</v>
      </c>
      <c r="AD207" s="64">
        <f t="shared" si="144"/>
        <v>24.112621286744403</v>
      </c>
      <c r="AE207" s="61">
        <f t="shared" si="145"/>
        <v>-23.082729211932794</v>
      </c>
      <c r="AF207" s="31" t="str">
        <f t="shared" si="131"/>
        <v>-9090.90909090909</v>
      </c>
      <c r="AG207" s="31" t="str">
        <f t="shared" si="132"/>
        <v>2.27623467397318E-08i</v>
      </c>
      <c r="AH207" s="31">
        <f t="shared" si="146"/>
        <v>2.27623467397318E-8</v>
      </c>
      <c r="AI207" s="31">
        <f t="shared" si="147"/>
        <v>1.5707963267948966</v>
      </c>
      <c r="AJ207" s="31" t="str">
        <f t="shared" si="133"/>
        <v>1+14086199.9611316i</v>
      </c>
      <c r="AK207" s="31">
        <f t="shared" si="148"/>
        <v>14086199.961131638</v>
      </c>
      <c r="AL207" s="31">
        <f t="shared" si="149"/>
        <v>1.5707962558034296</v>
      </c>
      <c r="AM207" s="31" t="str">
        <f t="shared" si="134"/>
        <v>1+6.42731184103186i</v>
      </c>
      <c r="AN207" s="31">
        <f t="shared" si="150"/>
        <v>6.5046396903954919</v>
      </c>
      <c r="AO207" s="31">
        <f t="shared" si="151"/>
        <v>1.4164477863561988</v>
      </c>
      <c r="AS207" s="58" t="str">
        <f t="shared" si="152"/>
        <v>28352.8181793984+182232.489173702i</v>
      </c>
      <c r="AT207" s="49">
        <f t="shared" si="153"/>
        <v>105.31639351669192</v>
      </c>
      <c r="AU207" s="61">
        <f t="shared" si="154"/>
        <v>81.156484126369747</v>
      </c>
      <c r="AV207" s="58" t="str">
        <f t="shared" si="155"/>
        <v>1565901.69316441+2513159.53512776i</v>
      </c>
      <c r="AW207" s="64">
        <f t="shared" si="156"/>
        <v>129.4290148034363</v>
      </c>
      <c r="AX207" s="61">
        <f t="shared" si="157"/>
        <v>58.073754914436989</v>
      </c>
      <c r="AY207" s="310"/>
      <c r="BA207" s="31">
        <f t="shared" si="158"/>
        <v>0</v>
      </c>
      <c r="BB207" s="31">
        <f t="shared" si="159"/>
        <v>0</v>
      </c>
    </row>
    <row r="208" spans="14:54" x14ac:dyDescent="0.45">
      <c r="N208" s="10">
        <v>90</v>
      </c>
      <c r="O208" s="50">
        <f t="shared" si="160"/>
        <v>794.32823472428208</v>
      </c>
      <c r="P208" s="48" t="str">
        <f t="shared" si="126"/>
        <v>17.4002386318441</v>
      </c>
      <c r="Q208" s="17" t="str">
        <f t="shared" si="127"/>
        <v>1+0.427433226143363i</v>
      </c>
      <c r="R208" s="17">
        <f t="shared" si="135"/>
        <v>1.0875197298492212</v>
      </c>
      <c r="S208" s="17">
        <f t="shared" si="136"/>
        <v>0.40392980533195433</v>
      </c>
      <c r="T208" s="17" t="str">
        <f t="shared" si="128"/>
        <v>1+0.00149727344804925i</v>
      </c>
      <c r="U208" s="17">
        <f t="shared" si="137"/>
        <v>1.0000011209132609</v>
      </c>
      <c r="V208" s="17">
        <f t="shared" si="138"/>
        <v>1.4972723291743525E-3</v>
      </c>
      <c r="W208" s="31" t="str">
        <f t="shared" si="129"/>
        <v>1-0.00369395354076551i</v>
      </c>
      <c r="X208" s="17">
        <f t="shared" si="139"/>
        <v>1.0000068226231065</v>
      </c>
      <c r="Y208" s="17">
        <f t="shared" si="140"/>
        <v>-3.6939367392105635E-3</v>
      </c>
      <c r="Z208" s="31" t="str">
        <f t="shared" si="130"/>
        <v>0.999999427703089+0.00516621514429004i</v>
      </c>
      <c r="AA208" s="17">
        <f t="shared" si="141"/>
        <v>1.0000127725111427</v>
      </c>
      <c r="AB208" s="17">
        <f t="shared" si="142"/>
        <v>5.1661721398444556E-3</v>
      </c>
      <c r="AC208" s="66" t="str">
        <f t="shared" si="143"/>
        <v>14.6655410060035-6.39665284211289i</v>
      </c>
      <c r="AD208" s="64">
        <f t="shared" si="144"/>
        <v>24.082319249897779</v>
      </c>
      <c r="AE208" s="61">
        <f t="shared" si="145"/>
        <v>-23.565332524614799</v>
      </c>
      <c r="AF208" s="31" t="str">
        <f t="shared" si="131"/>
        <v>-9090.90909090909</v>
      </c>
      <c r="AG208" s="31" t="str">
        <f t="shared" si="132"/>
        <v>2.27623467397318E-08i</v>
      </c>
      <c r="AH208" s="31">
        <f t="shared" si="146"/>
        <v>2.27623467397318E-8</v>
      </c>
      <c r="AI208" s="31">
        <f t="shared" si="147"/>
        <v>1.5707963267948966</v>
      </c>
      <c r="AJ208" s="31" t="str">
        <f t="shared" si="133"/>
        <v>1+14414309.7080914i</v>
      </c>
      <c r="AK208" s="31">
        <f t="shared" si="148"/>
        <v>14414309.708091436</v>
      </c>
      <c r="AL208" s="31">
        <f t="shared" si="149"/>
        <v>1.5707962574193928</v>
      </c>
      <c r="AM208" s="31" t="str">
        <f t="shared" si="134"/>
        <v>1+6.57702316613102i</v>
      </c>
      <c r="AN208" s="31">
        <f t="shared" si="150"/>
        <v>6.6526110458844725</v>
      </c>
      <c r="AO208" s="31">
        <f t="shared" si="151"/>
        <v>1.4199074999129999</v>
      </c>
      <c r="AS208" s="58" t="str">
        <f t="shared" si="152"/>
        <v>27707.4292439006+182232.489083111i</v>
      </c>
      <c r="AT208" s="49">
        <f t="shared" si="153"/>
        <v>105.31177127156214</v>
      </c>
      <c r="AU208" s="61">
        <f t="shared" si="154"/>
        <v>81.35471101891082</v>
      </c>
      <c r="AV208" s="58" t="str">
        <f t="shared" si="155"/>
        <v>1572022.40896615+2495303.23525381i</v>
      </c>
      <c r="AW208" s="64">
        <f t="shared" si="156"/>
        <v>129.39409052145993</v>
      </c>
      <c r="AX208" s="61">
        <f t="shared" si="157"/>
        <v>57.789378494296059</v>
      </c>
      <c r="AY208" s="310"/>
      <c r="BA208" s="31">
        <f t="shared" si="158"/>
        <v>0</v>
      </c>
      <c r="BB208" s="31">
        <f t="shared" si="159"/>
        <v>0</v>
      </c>
    </row>
    <row r="209" spans="14:54" x14ac:dyDescent="0.45">
      <c r="N209" s="10">
        <v>91</v>
      </c>
      <c r="O209" s="50">
        <f t="shared" si="160"/>
        <v>812.83051616409978</v>
      </c>
      <c r="P209" s="48" t="str">
        <f t="shared" si="126"/>
        <v>17.4002386318441</v>
      </c>
      <c r="Q209" s="17" t="str">
        <f t="shared" si="127"/>
        <v>1+0.437389424980458i</v>
      </c>
      <c r="R209" s="17">
        <f t="shared" si="135"/>
        <v>1.0914712589366409</v>
      </c>
      <c r="S209" s="17">
        <f t="shared" si="136"/>
        <v>0.41231762732076177</v>
      </c>
      <c r="T209" s="17" t="str">
        <f t="shared" si="128"/>
        <v>1+0.00153214942691684i</v>
      </c>
      <c r="U209" s="17">
        <f t="shared" si="137"/>
        <v>1.0000011737402443</v>
      </c>
      <c r="V209" s="17">
        <f t="shared" si="138"/>
        <v>1.5321482280208631E-3</v>
      </c>
      <c r="W209" s="31" t="str">
        <f t="shared" si="129"/>
        <v>1-0.00377999677207602i</v>
      </c>
      <c r="X209" s="17">
        <f t="shared" si="139"/>
        <v>1.0000071441622789</v>
      </c>
      <c r="Y209" s="17">
        <f t="shared" si="140"/>
        <v>-3.7799787688924833E-3</v>
      </c>
      <c r="Z209" s="31" t="str">
        <f t="shared" si="130"/>
        <v>0.999999400731566+0.0052865517537667i</v>
      </c>
      <c r="AA209" s="17">
        <f t="shared" si="141"/>
        <v>1.0000133744570301</v>
      </c>
      <c r="AB209" s="17">
        <f t="shared" si="142"/>
        <v>5.2865056737063151E-3</v>
      </c>
      <c r="AC209" s="66" t="str">
        <f t="shared" si="143"/>
        <v>14.5573556286699-6.49833075250059i</v>
      </c>
      <c r="AD209" s="64">
        <f t="shared" si="144"/>
        <v>24.050814083566031</v>
      </c>
      <c r="AE209" s="61">
        <f t="shared" si="145"/>
        <v>-24.055745530855518</v>
      </c>
      <c r="AF209" s="31" t="str">
        <f t="shared" si="131"/>
        <v>-9090.90909090909</v>
      </c>
      <c r="AG209" s="31" t="str">
        <f t="shared" si="132"/>
        <v>2.27623467397318E-08i</v>
      </c>
      <c r="AH209" s="31">
        <f t="shared" si="146"/>
        <v>2.27623467397318E-8</v>
      </c>
      <c r="AI209" s="31">
        <f t="shared" si="147"/>
        <v>1.5707963267948966</v>
      </c>
      <c r="AJ209" s="31" t="str">
        <f t="shared" si="133"/>
        <v>1+14750062.1128543i</v>
      </c>
      <c r="AK209" s="31">
        <f t="shared" si="148"/>
        <v>14750062.112854334</v>
      </c>
      <c r="AL209" s="31">
        <f t="shared" si="149"/>
        <v>1.570796258998572</v>
      </c>
      <c r="AM209" s="31" t="str">
        <f t="shared" si="134"/>
        <v>1+6.73022171597004i</v>
      </c>
      <c r="AN209" s="31">
        <f t="shared" si="150"/>
        <v>6.8041079022980453</v>
      </c>
      <c r="AO209" s="31">
        <f t="shared" si="151"/>
        <v>1.423291981523247</v>
      </c>
      <c r="AS209" s="58" t="str">
        <f t="shared" si="152"/>
        <v>27076.7311541394+182232.488996597i</v>
      </c>
      <c r="AT209" s="49">
        <f t="shared" si="153"/>
        <v>105.30735246461731</v>
      </c>
      <c r="AU209" s="61">
        <f t="shared" si="154"/>
        <v>81.548627440537246</v>
      </c>
      <c r="AV209" s="58" t="str">
        <f t="shared" si="155"/>
        <v>1578372.592024+2476869.594685i</v>
      </c>
      <c r="AW209" s="64">
        <f t="shared" si="156"/>
        <v>129.35816654818331</v>
      </c>
      <c r="AX209" s="61">
        <f t="shared" si="157"/>
        <v>57.492881909681785</v>
      </c>
      <c r="AY209" s="310"/>
      <c r="BA209" s="31">
        <f t="shared" si="158"/>
        <v>0</v>
      </c>
      <c r="BB209" s="31">
        <f t="shared" si="159"/>
        <v>0</v>
      </c>
    </row>
    <row r="210" spans="14:54" x14ac:dyDescent="0.45">
      <c r="N210" s="10">
        <v>92</v>
      </c>
      <c r="O210" s="50">
        <f t="shared" si="160"/>
        <v>831.7637711026714</v>
      </c>
      <c r="P210" s="48" t="str">
        <f t="shared" si="126"/>
        <v>17.4002386318441</v>
      </c>
      <c r="Q210" s="17" t="str">
        <f t="shared" si="127"/>
        <v>1+0.447577533480212i</v>
      </c>
      <c r="R210" s="17">
        <f t="shared" si="135"/>
        <v>1.0955937424411617</v>
      </c>
      <c r="S210" s="17">
        <f t="shared" si="136"/>
        <v>0.42083757579586156</v>
      </c>
      <c r="T210" s="17" t="str">
        <f t="shared" si="128"/>
        <v>1+0.00156783777169098i</v>
      </c>
      <c r="U210" s="17">
        <f t="shared" si="137"/>
        <v>1.0000012290568838</v>
      </c>
      <c r="V210" s="17">
        <f t="shared" si="138"/>
        <v>1.5678364870508811E-3</v>
      </c>
      <c r="W210" s="31" t="str">
        <f t="shared" si="129"/>
        <v>1-0.00386804420770926i</v>
      </c>
      <c r="X210" s="17">
        <f t="shared" si="139"/>
        <v>1.0000074808550148</v>
      </c>
      <c r="Y210" s="17">
        <f t="shared" si="140"/>
        <v>-3.868024916958339E-3</v>
      </c>
      <c r="Z210" s="31" t="str">
        <f t="shared" si="130"/>
        <v>0.999999372488915+0.005409691362959i</v>
      </c>
      <c r="AA210" s="17">
        <f t="shared" si="141"/>
        <v>1.0000140047713664</v>
      </c>
      <c r="AB210" s="17">
        <f t="shared" si="142"/>
        <v>5.4096419873220381E-3</v>
      </c>
      <c r="AC210" s="66" t="str">
        <f t="shared" si="143"/>
        <v>14.4457351838966-6.59973737264792i</v>
      </c>
      <c r="AD210" s="64">
        <f t="shared" si="144"/>
        <v>24.018067235552728</v>
      </c>
      <c r="AE210" s="61">
        <f t="shared" si="145"/>
        <v>-24.553957697288606</v>
      </c>
      <c r="AF210" s="31" t="str">
        <f t="shared" si="131"/>
        <v>-9090.90909090909</v>
      </c>
      <c r="AG210" s="31" t="str">
        <f t="shared" si="132"/>
        <v>2.27623467397318E-08i</v>
      </c>
      <c r="AH210" s="31">
        <f t="shared" si="146"/>
        <v>2.27623467397318E-8</v>
      </c>
      <c r="AI210" s="31">
        <f t="shared" si="147"/>
        <v>1.5707963267948966</v>
      </c>
      <c r="AJ210" s="31" t="str">
        <f t="shared" si="133"/>
        <v>1+15093635.1957897i</v>
      </c>
      <c r="AK210" s="31">
        <f t="shared" si="148"/>
        <v>15093635.195789734</v>
      </c>
      <c r="AL210" s="31">
        <f t="shared" si="149"/>
        <v>1.5707962605418047</v>
      </c>
      <c r="AM210" s="31" t="str">
        <f t="shared" si="134"/>
        <v>1+6.88698871844789i</v>
      </c>
      <c r="AN210" s="31">
        <f t="shared" si="150"/>
        <v>6.9592107029481802</v>
      </c>
      <c r="AO210" s="31">
        <f t="shared" si="151"/>
        <v>1.4266027153772889</v>
      </c>
      <c r="AS210" s="58" t="str">
        <f t="shared" si="152"/>
        <v>26460.3895056387+182232.488913976i</v>
      </c>
      <c r="AT210" s="49">
        <f t="shared" si="153"/>
        <v>105.30312833558096</v>
      </c>
      <c r="AU210" s="61">
        <f t="shared" si="154"/>
        <v>81.738318429044213</v>
      </c>
      <c r="AV210" s="58" t="str">
        <f t="shared" si="155"/>
        <v>1584926.34725743+2457850.65523849i</v>
      </c>
      <c r="AW210" s="64">
        <f t="shared" si="156"/>
        <v>129.3211955711337</v>
      </c>
      <c r="AX210" s="61">
        <f t="shared" si="157"/>
        <v>57.184360731755625</v>
      </c>
      <c r="AY210" s="310"/>
      <c r="BA210" s="31">
        <f t="shared" si="158"/>
        <v>0</v>
      </c>
      <c r="BB210" s="31">
        <f t="shared" si="159"/>
        <v>0</v>
      </c>
    </row>
    <row r="211" spans="14:54" x14ac:dyDescent="0.45">
      <c r="N211" s="10">
        <v>93</v>
      </c>
      <c r="O211" s="50">
        <f t="shared" si="160"/>
        <v>851.13803820237763</v>
      </c>
      <c r="P211" s="48" t="str">
        <f t="shared" ref="P211:P274" si="161">COMPLEX(Adc,0)</f>
        <v>17.4002386318441</v>
      </c>
      <c r="Q211" s="17" t="str">
        <f t="shared" ref="Q211:Q274" si="162">IMSUM(COMPLEX(1,0),IMDIV(COMPLEX(0,2*PI()*O211),COMPLEX(wp_lf,0)))</f>
        <v>1+0.458002953512606i</v>
      </c>
      <c r="R211" s="17">
        <f t="shared" si="135"/>
        <v>1.0998939519000321</v>
      </c>
      <c r="S211" s="17">
        <f t="shared" si="136"/>
        <v>0.42948921942904439</v>
      </c>
      <c r="T211" s="17" t="str">
        <f t="shared" ref="T211:T274" si="163">IMSUM(COMPLEX(1,0),IMDIV(COMPLEX(0,2*PI()*O211),COMPLEX(wz_esr,0)))</f>
        <v>1+0.00160435740480445i</v>
      </c>
      <c r="U211" s="17">
        <f t="shared" si="137"/>
        <v>1.000001286980513</v>
      </c>
      <c r="V211" s="17">
        <f t="shared" si="138"/>
        <v>1.6043560282878796E-3</v>
      </c>
      <c r="W211" s="31" t="str">
        <f t="shared" ref="W211:W274" si="164">IMSUB(COMPLEX(1,0),IMDIV(COMPLEX(0,2*PI()*O211),COMPLEX(wz_rhp,0)))</f>
        <v>1-0.00395814253158105i</v>
      </c>
      <c r="X211" s="17">
        <f t="shared" si="139"/>
        <v>1.0000078334154689</v>
      </c>
      <c r="Y211" s="17">
        <f t="shared" si="140"/>
        <v>-3.9581218611777699E-3</v>
      </c>
      <c r="Z211" s="31" t="str">
        <f t="shared" ref="Z211:Z274" si="165">IMSUM(COMPLEX(1,0),IMDIV(COMPLEX(0,2*PI()*O211),COMPLEX(Q*(wsl/2),0)),IMDIV(IMPOWER(COMPLEX(0,2*PI()*O211),2),IMPOWER(COMPLEX(wsl/2,0),2)))</f>
        <v>0.999999342915229+0.00553569926211767i</v>
      </c>
      <c r="AA211" s="17">
        <f t="shared" si="141"/>
        <v>1.0000146647910773</v>
      </c>
      <c r="AB211" s="17">
        <f t="shared" si="142"/>
        <v>5.5356463552113377E-3</v>
      </c>
      <c r="AC211" s="66" t="str">
        <f t="shared" si="143"/>
        <v>14.3306374668652-6.70074975509243i</v>
      </c>
      <c r="AD211" s="64">
        <f t="shared" si="144"/>
        <v>23.984039650821025</v>
      </c>
      <c r="AE211" s="61">
        <f t="shared" si="145"/>
        <v>-25.059949640869633</v>
      </c>
      <c r="AF211" s="31" t="str">
        <f t="shared" ref="AF211:AF274" si="166">COMPLEX(Adc_ea,0)</f>
        <v>-9090.90909090909</v>
      </c>
      <c r="AG211" s="31" t="str">
        <f t="shared" ref="AG211:AG274" si="167">COMPLEX(0,2*PI()*wp0_ea)</f>
        <v>2.27623467397318E-08i</v>
      </c>
      <c r="AH211" s="31">
        <f t="shared" si="146"/>
        <v>2.27623467397318E-8</v>
      </c>
      <c r="AI211" s="31">
        <f t="shared" si="147"/>
        <v>1.5707963267948966</v>
      </c>
      <c r="AJ211" s="31" t="str">
        <f t="shared" ref="AJ211:AJ274" si="168">IMSUM(COMPLEX(1,0),IMDIV(COMPLEX(0,2*PI()*O211),COMPLEX(wp1_ea,0)))</f>
        <v>1+15445211.1238938i</v>
      </c>
      <c r="AK211" s="31">
        <f t="shared" si="148"/>
        <v>15445211.123893833</v>
      </c>
      <c r="AL211" s="31">
        <f t="shared" si="149"/>
        <v>1.5707962620499092</v>
      </c>
      <c r="AM211" s="31" t="str">
        <f t="shared" ref="AM211:AM274" si="169">IMSUM(COMPLEX(1,0),IMDIV(COMPLEX(0,2*PI()*O211),COMPLEX(wz_ea,0)))</f>
        <v>1+7.04740729350435i</v>
      </c>
      <c r="AN211" s="31">
        <f t="shared" si="150"/>
        <v>7.1180017954857471</v>
      </c>
      <c r="AO211" s="31">
        <f t="shared" si="151"/>
        <v>1.429841166408643</v>
      </c>
      <c r="AS211" s="58" t="str">
        <f t="shared" si="152"/>
        <v>25858.0775058986+182232.488835075i</v>
      </c>
      <c r="AT211" s="49">
        <f t="shared" si="153"/>
        <v>105.29909048469534</v>
      </c>
      <c r="AU211" s="61">
        <f t="shared" si="154"/>
        <v>81.923867918892626</v>
      </c>
      <c r="AV211" s="58" t="str">
        <f t="shared" si="155"/>
        <v>1591657.03925865+2438239.22566521i</v>
      </c>
      <c r="AW211" s="64">
        <f t="shared" si="156"/>
        <v>129.28313013551639</v>
      </c>
      <c r="AX211" s="61">
        <f t="shared" si="157"/>
        <v>56.86391827802295</v>
      </c>
      <c r="AY211" s="310"/>
      <c r="BA211" s="31">
        <f t="shared" si="158"/>
        <v>0</v>
      </c>
      <c r="BB211" s="31">
        <f t="shared" si="159"/>
        <v>0</v>
      </c>
    </row>
    <row r="212" spans="14:54" x14ac:dyDescent="0.45">
      <c r="N212" s="10">
        <v>94</v>
      </c>
      <c r="O212" s="50">
        <f t="shared" si="160"/>
        <v>870.96358995608091</v>
      </c>
      <c r="P212" s="48" t="str">
        <f t="shared" si="161"/>
        <v>17.4002386318441</v>
      </c>
      <c r="Q212" s="17" t="str">
        <f t="shared" si="162"/>
        <v>1+0.468671212773336i</v>
      </c>
      <c r="R212" s="17">
        <f t="shared" ref="R212:R275" si="170">IMABS(Q212)</f>
        <v>1.1043788777781063</v>
      </c>
      <c r="S212" s="17">
        <f t="shared" ref="S212:S275" si="171">IMARGUMENT(Q212)</f>
        <v>0.43827196373075239</v>
      </c>
      <c r="T212" s="17" t="str">
        <f t="shared" si="163"/>
        <v>1+0.00164172768945013i</v>
      </c>
      <c r="U212" s="17">
        <f t="shared" ref="U212:U275" si="172">IMABS(T212)</f>
        <v>1.0000013476339951</v>
      </c>
      <c r="V212" s="17">
        <f t="shared" ref="V212:V275" si="173">IMARGUMENT(T212)</f>
        <v>1.641726214486158E-3</v>
      </c>
      <c r="W212" s="31" t="str">
        <f t="shared" si="164"/>
        <v>1-0.00405033951501529i</v>
      </c>
      <c r="X212" s="17">
        <f t="shared" ref="X212:X275" si="174">IMABS(W212)</f>
        <v>1.0000082025914523</v>
      </c>
      <c r="Y212" s="17">
        <f t="shared" ref="Y212:Y275" si="175">IMARGUMENT(W212)</f>
        <v>-4.0503173662889413E-3</v>
      </c>
      <c r="Z212" s="31" t="str">
        <f t="shared" si="165"/>
        <v>0.999999311947778+0.00566464226229874i</v>
      </c>
      <c r="AA212" s="17">
        <f t="shared" ref="AA212:AA275" si="176">IMABS(Z212)</f>
        <v>1.0000153559160925</v>
      </c>
      <c r="AB212" s="17">
        <f t="shared" ref="AB212:AB275" si="177">IMARGUMENT(Z212)</f>
        <v>5.6645855715742139E-3</v>
      </c>
      <c r="AC212" s="66" t="str">
        <f t="shared" ref="AC212:AC275" si="178">(IMDIV(IMPRODUCT(P212,T212,W212),IMPRODUCT(Q212,Z212)))</f>
        <v>14.2120252040269-6.80123994837308i</v>
      </c>
      <c r="AD212" s="64">
        <f t="shared" ref="AD212:AD275" si="179">20*LOG(IMABS(AC212))</f>
        <v>23.948691824758068</v>
      </c>
      <c r="AE212" s="61">
        <f t="shared" ref="AE212:AE275" si="180">(180/PI())*IMARGUMENT(AC212)</f>
        <v>-25.573692754195491</v>
      </c>
      <c r="AF212" s="31" t="str">
        <f t="shared" si="166"/>
        <v>-9090.90909090909</v>
      </c>
      <c r="AG212" s="31" t="str">
        <f t="shared" si="167"/>
        <v>2.27623467397318E-08i</v>
      </c>
      <c r="AH212" s="31">
        <f t="shared" ref="AH212:AH275" si="181">IMABS(AG212)</f>
        <v>2.27623467397318E-8</v>
      </c>
      <c r="AI212" s="31">
        <f t="shared" ref="AI212:AI275" si="182">IMARGUMENT(AG212)</f>
        <v>1.5707963267948966</v>
      </c>
      <c r="AJ212" s="31" t="str">
        <f t="shared" si="168"/>
        <v>1+15804976.3073772i</v>
      </c>
      <c r="AK212" s="31">
        <f t="shared" ref="AK212:AK275" si="183">IMABS(AJ212)</f>
        <v>15804976.307377232</v>
      </c>
      <c r="AL212" s="31">
        <f t="shared" ref="AL212:AL275" si="184">IMARGUMENT(AJ212)</f>
        <v>1.570796263523685</v>
      </c>
      <c r="AM212" s="31" t="str">
        <f t="shared" si="169"/>
        <v>1+7.21156249719126i</v>
      </c>
      <c r="AN212" s="31">
        <f t="shared" ref="AN212:AN275" si="185">IMABS(AM212)</f>
        <v>7.280565476039305</v>
      </c>
      <c r="AO212" s="31">
        <f t="shared" ref="AO212:AO275" si="186">IMARGUMENT(AM212)</f>
        <v>1.4330087798373476</v>
      </c>
      <c r="AS212" s="58" t="str">
        <f t="shared" ref="AS212:AS275" si="187">IMPRODUCT(AF212,IMDIV(AM212,IMPRODUCT(AG212,AJ212)))</f>
        <v>25269.4758011245+182232.488759725i</v>
      </c>
      <c r="AT212" s="49">
        <f t="shared" ref="AT212:AT275" si="188">20*LOG(IMABS(AS212))</f>
        <v>105.29523085932971</v>
      </c>
      <c r="AU212" s="61">
        <f t="shared" ref="AU212:AU275" si="189">(180/PI())*IMARGUMENT(AS212)</f>
        <v>82.105358715045185</v>
      </c>
      <c r="AV212" s="58" t="str">
        <f t="shared" ref="AV212:AV275" si="190">IMPRODUCT(AC212,AS212)</f>
        <v>1598537.30942222+2418028.95495271i</v>
      </c>
      <c r="AW212" s="64">
        <f t="shared" ref="AW212:AW275" si="191">20*LOG(IMABS(AV212))</f>
        <v>129.24392268408778</v>
      </c>
      <c r="AX212" s="61">
        <f t="shared" ref="AX212:AX275" si="192">(180/PI())*IMARGUMENT(AV212)</f>
        <v>56.531665960849729</v>
      </c>
      <c r="AY212" s="310"/>
      <c r="BA212" s="31">
        <f t="shared" ref="BA212:BA275" si="193">SUM((AW213&lt;0)*(AW212&gt;0))*O212</f>
        <v>0</v>
      </c>
      <c r="BB212" s="31">
        <f t="shared" ref="BB212:BB275" si="194">IF(BA212&gt;0,AX212,0)</f>
        <v>0</v>
      </c>
    </row>
    <row r="213" spans="14:54" x14ac:dyDescent="0.45">
      <c r="N213" s="10">
        <v>95</v>
      </c>
      <c r="O213" s="50">
        <f t="shared" si="160"/>
        <v>891.25093813374656</v>
      </c>
      <c r="P213" s="48" t="str">
        <f t="shared" si="161"/>
        <v>17.4002386318441</v>
      </c>
      <c r="Q213" s="17" t="str">
        <f t="shared" si="162"/>
        <v>1+0.479587967714678i</v>
      </c>
      <c r="R213" s="17">
        <f t="shared" si="170"/>
        <v>1.1090557329443345</v>
      </c>
      <c r="S213" s="17">
        <f t="shared" si="171"/>
        <v>0.44718504463785513</v>
      </c>
      <c r="T213" s="17" t="str">
        <f t="shared" si="163"/>
        <v>1+0.0016799684398476i</v>
      </c>
      <c r="U213" s="17">
        <f t="shared" si="172"/>
        <v>1.0000014111459838</v>
      </c>
      <c r="V213" s="17">
        <f t="shared" si="173"/>
        <v>1.67996685939535E-3</v>
      </c>
      <c r="W213" s="31" t="str">
        <f t="shared" si="164"/>
        <v>1-0.00414468404207298i</v>
      </c>
      <c r="X213" s="17">
        <f t="shared" si="174"/>
        <v>1.0000085891660173</v>
      </c>
      <c r="Y213" s="17">
        <f t="shared" si="175"/>
        <v>-4.1446603092961196E-3</v>
      </c>
      <c r="Z213" s="31" t="str">
        <f t="shared" si="165"/>
        <v>0.999999279520876+0.00579658873078771i</v>
      </c>
      <c r="AA213" s="17">
        <f t="shared" si="176"/>
        <v>1.0000160796123154</v>
      </c>
      <c r="AB213" s="17">
        <f t="shared" si="177"/>
        <v>5.7965279856346773E-3</v>
      </c>
      <c r="AC213" s="66" t="str">
        <f t="shared" si="178"/>
        <v>14.089866489222-6.90107515038325i</v>
      </c>
      <c r="AD213" s="64">
        <f t="shared" si="179"/>
        <v>23.91198386133474</v>
      </c>
      <c r="AE213" s="61">
        <f t="shared" si="180"/>
        <v>-26.095148840997673</v>
      </c>
      <c r="AF213" s="31" t="str">
        <f t="shared" si="166"/>
        <v>-9090.90909090909</v>
      </c>
      <c r="AG213" s="31" t="str">
        <f t="shared" si="167"/>
        <v>2.27623467397318E-08i</v>
      </c>
      <c r="AH213" s="31">
        <f t="shared" si="181"/>
        <v>2.27623467397318E-8</v>
      </c>
      <c r="AI213" s="31">
        <f t="shared" si="182"/>
        <v>1.5707963267948966</v>
      </c>
      <c r="AJ213" s="31" t="str">
        <f t="shared" si="168"/>
        <v>1+16173121.4985025i</v>
      </c>
      <c r="AK213" s="31">
        <f t="shared" si="183"/>
        <v>16173121.498502528</v>
      </c>
      <c r="AL213" s="31">
        <f t="shared" si="184"/>
        <v>1.5707962649639136</v>
      </c>
      <c r="AM213" s="31" t="str">
        <f t="shared" si="169"/>
        <v>1+7.37954136677053i</v>
      </c>
      <c r="AN213" s="31">
        <f t="shared" si="185"/>
        <v>7.4469880343584185</v>
      </c>
      <c r="AO213" s="31">
        <f t="shared" si="186"/>
        <v>1.4361069807757043</v>
      </c>
      <c r="AS213" s="58" t="str">
        <f t="shared" si="187"/>
        <v>24694.2723069008+182232.488687765i</v>
      </c>
      <c r="AT213" s="49">
        <f t="shared" si="188"/>
        <v>105.29154174095937</v>
      </c>
      <c r="AU213" s="61">
        <f t="shared" si="189"/>
        <v>82.282872470377484</v>
      </c>
      <c r="AV213" s="58" t="str">
        <f t="shared" si="190"/>
        <v>1605539.09912836+2397214.40663532i</v>
      </c>
      <c r="AW213" s="64">
        <f t="shared" si="191"/>
        <v>129.20352560229412</v>
      </c>
      <c r="AX213" s="61">
        <f t="shared" si="192"/>
        <v>56.187723629379789</v>
      </c>
      <c r="AY213" s="310"/>
      <c r="BA213" s="31">
        <f t="shared" si="193"/>
        <v>0</v>
      </c>
      <c r="BB213" s="31">
        <f t="shared" si="194"/>
        <v>0</v>
      </c>
    </row>
    <row r="214" spans="14:54" x14ac:dyDescent="0.45">
      <c r="N214" s="10">
        <v>96</v>
      </c>
      <c r="O214" s="50">
        <f t="shared" si="160"/>
        <v>912.01083935590987</v>
      </c>
      <c r="P214" s="48" t="str">
        <f t="shared" si="161"/>
        <v>17.4002386318441</v>
      </c>
      <c r="Q214" s="17" t="str">
        <f t="shared" si="162"/>
        <v>1+0.490759006544598i</v>
      </c>
      <c r="R214" s="17">
        <f t="shared" si="170"/>
        <v>1.1139319559581011</v>
      </c>
      <c r="S214" s="17">
        <f t="shared" si="171"/>
        <v>0.45622752232474267</v>
      </c>
      <c r="T214" s="17" t="str">
        <f t="shared" si="163"/>
        <v>1+0.00171909993174887i</v>
      </c>
      <c r="U214" s="17">
        <f t="shared" si="172"/>
        <v>1.0000014776511958</v>
      </c>
      <c r="V214" s="17">
        <f t="shared" si="173"/>
        <v>1.7190982382639085E-3</v>
      </c>
      <c r="W214" s="31" t="str">
        <f t="shared" si="164"/>
        <v>1-0.00424122613547114i</v>
      </c>
      <c r="X214" s="17">
        <f t="shared" si="174"/>
        <v>1.0000089939591204</v>
      </c>
      <c r="Y214" s="17">
        <f t="shared" si="175"/>
        <v>-4.24120070535492E-3</v>
      </c>
      <c r="Z214" s="31" t="str">
        <f t="shared" si="165"/>
        <v>0.99999924556574+0.00593160862734864i</v>
      </c>
      <c r="AA214" s="17">
        <f t="shared" si="176"/>
        <v>1.0000168374147294</v>
      </c>
      <c r="AB214" s="17">
        <f t="shared" si="177"/>
        <v>5.9315435378036307E-3</v>
      </c>
      <c r="AC214" s="66" t="str">
        <f t="shared" si="178"/>
        <v>13.9641352229537-7.00011789871152i</v>
      </c>
      <c r="AD214" s="64">
        <f t="shared" si="179"/>
        <v>23.873875536213415</v>
      </c>
      <c r="AE214" s="61">
        <f t="shared" si="180"/>
        <v>-26.624269764496336</v>
      </c>
      <c r="AF214" s="31" t="str">
        <f t="shared" si="166"/>
        <v>-9090.90909090909</v>
      </c>
      <c r="AG214" s="31" t="str">
        <f t="shared" si="167"/>
        <v>2.27623467397318E-08i</v>
      </c>
      <c r="AH214" s="31">
        <f t="shared" si="181"/>
        <v>2.27623467397318E-8</v>
      </c>
      <c r="AI214" s="31">
        <f t="shared" si="182"/>
        <v>1.5707963267948966</v>
      </c>
      <c r="AJ214" s="31" t="str">
        <f t="shared" si="168"/>
        <v>1+16549841.8927227i</v>
      </c>
      <c r="AK214" s="31">
        <f t="shared" si="183"/>
        <v>16549841.89272273</v>
      </c>
      <c r="AL214" s="31">
        <f t="shared" si="184"/>
        <v>1.5707962663713586</v>
      </c>
      <c r="AM214" s="31" t="str">
        <f t="shared" si="169"/>
        <v>1+7.5514329668622i</v>
      </c>
      <c r="AN214" s="31">
        <f t="shared" si="185"/>
        <v>7.6173577999863733</v>
      </c>
      <c r="AO214" s="31">
        <f t="shared" si="186"/>
        <v>1.4391371738923002</v>
      </c>
      <c r="AS214" s="58" t="str">
        <f t="shared" si="187"/>
        <v>24132.162042722+182232.488619045i</v>
      </c>
      <c r="AT214" s="49">
        <f t="shared" si="188"/>
        <v>105.28801573251673</v>
      </c>
      <c r="AU214" s="61">
        <f t="shared" si="189"/>
        <v>82.456489666427359</v>
      </c>
      <c r="AV214" s="58" t="str">
        <f t="shared" si="190"/>
        <v>1612633.67929572+2375791.13364185i</v>
      </c>
      <c r="AW214" s="64">
        <f t="shared" si="191"/>
        <v>129.16189126873013</v>
      </c>
      <c r="AX214" s="61">
        <f t="shared" si="192"/>
        <v>55.832219901931019</v>
      </c>
      <c r="AY214" s="310"/>
      <c r="BA214" s="31">
        <f t="shared" si="193"/>
        <v>0</v>
      </c>
      <c r="BB214" s="31">
        <f t="shared" si="194"/>
        <v>0</v>
      </c>
    </row>
    <row r="215" spans="14:54" x14ac:dyDescent="0.45">
      <c r="N215" s="10">
        <v>97</v>
      </c>
      <c r="O215" s="50">
        <f t="shared" si="160"/>
        <v>933.25430079699106</v>
      </c>
      <c r="P215" s="48" t="str">
        <f t="shared" si="161"/>
        <v>17.4002386318441</v>
      </c>
      <c r="Q215" s="17" t="str">
        <f t="shared" si="162"/>
        <v>1+0.502190252295752i</v>
      </c>
      <c r="R215" s="17">
        <f t="shared" si="170"/>
        <v>1.1190152141507599</v>
      </c>
      <c r="S215" s="17">
        <f t="shared" si="171"/>
        <v>0.46539827528699801</v>
      </c>
      <c r="T215" s="17" t="str">
        <f t="shared" si="163"/>
        <v>1+0.00175914291318894i</v>
      </c>
      <c r="U215" s="17">
        <f t="shared" si="172"/>
        <v>1.0000015472906973</v>
      </c>
      <c r="V215" s="17">
        <f t="shared" si="173"/>
        <v>1.7591410985872621E-3</v>
      </c>
      <c r="W215" s="31" t="str">
        <f t="shared" si="164"/>
        <v>1-0.0043400169831056i</v>
      </c>
      <c r="X215" s="17">
        <f t="shared" si="174"/>
        <v>1.000009417829359</v>
      </c>
      <c r="Y215" s="17">
        <f t="shared" si="175"/>
        <v>-4.3399897342589954E-3</v>
      </c>
      <c r="Z215" s="31" t="str">
        <f t="shared" si="165"/>
        <v>0.999999210010349+0.00606977354131793i</v>
      </c>
      <c r="AA215" s="17">
        <f t="shared" si="176"/>
        <v>1.0000176309306577</v>
      </c>
      <c r="AB215" s="17">
        <f t="shared" si="177"/>
        <v>6.0697037966802592E-3</v>
      </c>
      <c r="AC215" s="66" t="str">
        <f t="shared" si="178"/>
        <v>13.8348115517503-7.09822629964054i</v>
      </c>
      <c r="AD215" s="64">
        <f t="shared" si="179"/>
        <v>23.834326364820324</v>
      </c>
      <c r="AE215" s="61">
        <f t="shared" si="180"/>
        <v>-27.160997111443113</v>
      </c>
      <c r="AF215" s="31" t="str">
        <f t="shared" si="166"/>
        <v>-9090.90909090909</v>
      </c>
      <c r="AG215" s="31" t="str">
        <f t="shared" si="167"/>
        <v>2.27623467397318E-08i</v>
      </c>
      <c r="AH215" s="31">
        <f t="shared" si="181"/>
        <v>2.27623467397318E-8</v>
      </c>
      <c r="AI215" s="31">
        <f t="shared" si="182"/>
        <v>1.5707963267948966</v>
      </c>
      <c r="AJ215" s="31" t="str">
        <f t="shared" si="168"/>
        <v>1+16935337.2321776i</v>
      </c>
      <c r="AK215" s="31">
        <f t="shared" si="183"/>
        <v>16935337.23217763</v>
      </c>
      <c r="AL215" s="31">
        <f t="shared" si="184"/>
        <v>1.5707962677467664</v>
      </c>
      <c r="AM215" s="31" t="str">
        <f t="shared" si="169"/>
        <v>1+7.72732843666796i</v>
      </c>
      <c r="AN215" s="31">
        <f t="shared" si="185"/>
        <v>7.791765189489305</v>
      </c>
      <c r="AO215" s="31">
        <f t="shared" si="186"/>
        <v>1.4421007431304171</v>
      </c>
      <c r="AS215" s="58" t="str">
        <f t="shared" si="187"/>
        <v>23582.846970285+182232.488553418i</v>
      </c>
      <c r="AT215" s="49">
        <f t="shared" si="188"/>
        <v>105.28464574611377</v>
      </c>
      <c r="AU215" s="61">
        <f t="shared" si="189"/>
        <v>82.626289597261206</v>
      </c>
      <c r="AV215" s="58" t="str">
        <f t="shared" si="190"/>
        <v>1619791.68658647+2353755.75315816i</v>
      </c>
      <c r="AW215" s="64">
        <f t="shared" si="191"/>
        <v>129.1189721109341</v>
      </c>
      <c r="AX215" s="61">
        <f t="shared" si="192"/>
        <v>55.465292485818196</v>
      </c>
      <c r="AY215" s="310"/>
      <c r="BA215" s="31">
        <f t="shared" si="193"/>
        <v>0</v>
      </c>
      <c r="BB215" s="31">
        <f t="shared" si="194"/>
        <v>0</v>
      </c>
    </row>
    <row r="216" spans="14:54" x14ac:dyDescent="0.45">
      <c r="N216" s="10">
        <v>98</v>
      </c>
      <c r="O216" s="50">
        <f t="shared" si="160"/>
        <v>954.99258602143675</v>
      </c>
      <c r="P216" s="48" t="str">
        <f t="shared" si="161"/>
        <v>17.4002386318441</v>
      </c>
      <c r="Q216" s="17" t="str">
        <f t="shared" si="162"/>
        <v>1+0.513887765965947i</v>
      </c>
      <c r="R216" s="17">
        <f t="shared" si="170"/>
        <v>1.1243134064883651</v>
      </c>
      <c r="S216" s="17">
        <f t="shared" si="171"/>
        <v>0.47469599474884755</v>
      </c>
      <c r="T216" s="17" t="str">
        <f t="shared" si="163"/>
        <v>1+0.0018001186154866i</v>
      </c>
      <c r="U216" s="17">
        <f t="shared" si="172"/>
        <v>1.0000016202122024</v>
      </c>
      <c r="V216" s="17">
        <f t="shared" si="173"/>
        <v>1.8001166711060408E-3</v>
      </c>
      <c r="W216" s="31" t="str">
        <f t="shared" si="164"/>
        <v>1-0.00444110896519143i</v>
      </c>
      <c r="X216" s="17">
        <f t="shared" si="174"/>
        <v>1.000009861675794</v>
      </c>
      <c r="Y216" s="17">
        <f t="shared" si="175"/>
        <v>-4.4410797675417998E-3</v>
      </c>
      <c r="Z216" s="31" t="str">
        <f t="shared" si="165"/>
        <v>0.999999172779284+0.00621115672956178i</v>
      </c>
      <c r="AA216" s="17">
        <f t="shared" si="176"/>
        <v>1.000018461843166</v>
      </c>
      <c r="AB216" s="17">
        <f t="shared" si="177"/>
        <v>6.2110819969105535E-3</v>
      </c>
      <c r="AC216" s="66" t="str">
        <f t="shared" si="178"/>
        <v>13.7018823042635-7.19525429723978i</v>
      </c>
      <c r="AD216" s="64">
        <f t="shared" si="179"/>
        <v>23.793295675366743</v>
      </c>
      <c r="AE216" s="61">
        <f t="shared" si="180"/>
        <v>-27.705261874781478</v>
      </c>
      <c r="AF216" s="31" t="str">
        <f t="shared" si="166"/>
        <v>-9090.90909090909</v>
      </c>
      <c r="AG216" s="31" t="str">
        <f t="shared" si="167"/>
        <v>2.27623467397318E-08i</v>
      </c>
      <c r="AH216" s="31">
        <f t="shared" si="181"/>
        <v>2.27623467397318E-8</v>
      </c>
      <c r="AI216" s="31">
        <f t="shared" si="182"/>
        <v>1.5707963267948966</v>
      </c>
      <c r="AJ216" s="31" t="str">
        <f t="shared" si="168"/>
        <v>1+17329811.9115987i</v>
      </c>
      <c r="AK216" s="31">
        <f t="shared" si="183"/>
        <v>17329811.911598731</v>
      </c>
      <c r="AL216" s="31">
        <f t="shared" si="184"/>
        <v>1.5707962690908659</v>
      </c>
      <c r="AM216" s="31" t="str">
        <f t="shared" si="169"/>
        <v>1+7.90732103829413i</v>
      </c>
      <c r="AN216" s="31">
        <f t="shared" si="185"/>
        <v>7.9703027547671592</v>
      </c>
      <c r="AO216" s="31">
        <f t="shared" si="186"/>
        <v>1.4449990514770912</v>
      </c>
      <c r="AS216" s="58" t="str">
        <f t="shared" si="187"/>
        <v>23046.0358354674+182232.488490744i</v>
      </c>
      <c r="AT216" s="49">
        <f t="shared" si="188"/>
        <v>105.28142499113639</v>
      </c>
      <c r="AU216" s="61">
        <f t="shared" si="189"/>
        <v>82.79235035624194</v>
      </c>
      <c r="AV216" s="58" t="str">
        <f t="shared" si="190"/>
        <v>1626983.16650714+2331106.02093374i</v>
      </c>
      <c r="AW216" s="64">
        <f t="shared" si="191"/>
        <v>129.07472066650314</v>
      </c>
      <c r="AX216" s="61">
        <f t="shared" si="192"/>
        <v>55.087088481460441</v>
      </c>
      <c r="AY216" s="310"/>
      <c r="BA216" s="31">
        <f t="shared" si="193"/>
        <v>0</v>
      </c>
      <c r="BB216" s="31">
        <f t="shared" si="194"/>
        <v>0</v>
      </c>
    </row>
    <row r="217" spans="14:54" x14ac:dyDescent="0.45">
      <c r="N217" s="10">
        <v>99</v>
      </c>
      <c r="O217" s="50">
        <f t="shared" si="160"/>
        <v>977.23722095581138</v>
      </c>
      <c r="P217" s="48" t="str">
        <f t="shared" si="161"/>
        <v>17.4002386318441</v>
      </c>
      <c r="Q217" s="17" t="str">
        <f t="shared" si="162"/>
        <v>1+0.525857749731766i</v>
      </c>
      <c r="R217" s="17">
        <f t="shared" si="170"/>
        <v>1.1298346662025185</v>
      </c>
      <c r="S217" s="17">
        <f t="shared" si="171"/>
        <v>0.48411917944735511</v>
      </c>
      <c r="T217" s="17" t="str">
        <f t="shared" si="163"/>
        <v>1+0.00184204876450157i</v>
      </c>
      <c r="U217" s="17">
        <f t="shared" si="172"/>
        <v>1.0000016965703862</v>
      </c>
      <c r="V217" s="17">
        <f t="shared" si="173"/>
        <v>1.842046681060455E-3</v>
      </c>
      <c r="W217" s="31" t="str">
        <f t="shared" si="164"/>
        <v>1-0.00454455568203562i</v>
      </c>
      <c r="X217" s="17">
        <f t="shared" si="174"/>
        <v>1.0000103264398559</v>
      </c>
      <c r="Y217" s="17">
        <f t="shared" si="175"/>
        <v>-4.5445243962078221E-3</v>
      </c>
      <c r="Z217" s="31" t="str">
        <f t="shared" si="165"/>
        <v>0.999999133793573+0.00635583315531802i</v>
      </c>
      <c r="AA217" s="17">
        <f t="shared" si="176"/>
        <v>1.0000193319146358</v>
      </c>
      <c r="AB217" s="17">
        <f t="shared" si="177"/>
        <v>6.3557530779230617E-3</v>
      </c>
      <c r="AC217" s="66" t="str">
        <f t="shared" si="178"/>
        <v>13.565341420461-7.29105198371154i</v>
      </c>
      <c r="AD217" s="64">
        <f t="shared" si="179"/>
        <v>23.750742686760638</v>
      </c>
      <c r="AE217" s="61">
        <f t="shared" si="180"/>
        <v>-28.256984157968464</v>
      </c>
      <c r="AF217" s="31" t="str">
        <f t="shared" si="166"/>
        <v>-9090.90909090909</v>
      </c>
      <c r="AG217" s="31" t="str">
        <f t="shared" si="167"/>
        <v>2.27623467397318E-08i</v>
      </c>
      <c r="AH217" s="31">
        <f t="shared" si="181"/>
        <v>2.27623467397318E-8</v>
      </c>
      <c r="AI217" s="31">
        <f t="shared" si="182"/>
        <v>1.5707963267948966</v>
      </c>
      <c r="AJ217" s="31" t="str">
        <f t="shared" si="168"/>
        <v>1+17733475.0866825i</v>
      </c>
      <c r="AK217" s="31">
        <f t="shared" si="183"/>
        <v>17733475.086682525</v>
      </c>
      <c r="AL217" s="31">
        <f t="shared" si="184"/>
        <v>1.5707962704043699</v>
      </c>
      <c r="AM217" s="31" t="str">
        <f t="shared" si="169"/>
        <v>1+8.09150620620056i</v>
      </c>
      <c r="AN217" s="31">
        <f t="shared" si="185"/>
        <v>8.1530652324743595</v>
      </c>
      <c r="AO217" s="31">
        <f t="shared" si="186"/>
        <v>1.4478334407793063</v>
      </c>
      <c r="AS217" s="58" t="str">
        <f t="shared" si="187"/>
        <v>22521.4440139002+182232.488430891i</v>
      </c>
      <c r="AT217" s="49">
        <f t="shared" si="188"/>
        <v>105.27834696270773</v>
      </c>
      <c r="AU217" s="61">
        <f t="shared" si="189"/>
        <v>82.954748825497646</v>
      </c>
      <c r="AV217" s="58" t="str">
        <f t="shared" si="190"/>
        <v>1634177.62360109+2307840.90441165i</v>
      </c>
      <c r="AW217" s="64">
        <f t="shared" si="191"/>
        <v>129.02908964946835</v>
      </c>
      <c r="AX217" s="61">
        <f t="shared" si="192"/>
        <v>54.697764667529221</v>
      </c>
      <c r="AY217" s="310"/>
      <c r="BA217" s="31">
        <f t="shared" si="193"/>
        <v>0</v>
      </c>
      <c r="BB217" s="31">
        <f t="shared" si="194"/>
        <v>0</v>
      </c>
    </row>
    <row r="218" spans="14:54" x14ac:dyDescent="0.45">
      <c r="N218" s="10">
        <v>100</v>
      </c>
      <c r="O218" s="50">
        <f t="shared" si="160"/>
        <v>1000</v>
      </c>
      <c r="P218" s="48" t="str">
        <f t="shared" si="161"/>
        <v>17.4002386318441</v>
      </c>
      <c r="Q218" s="17" t="str">
        <f t="shared" si="162"/>
        <v>1+0.538106550237043i</v>
      </c>
      <c r="R218" s="17">
        <f t="shared" si="170"/>
        <v>1.1355873631773168</v>
      </c>
      <c r="S218" s="17">
        <f t="shared" si="171"/>
        <v>0.49366613084758226</v>
      </c>
      <c r="T218" s="17" t="str">
        <f t="shared" si="163"/>
        <v>1+0.00188495559215388i</v>
      </c>
      <c r="U218" s="17">
        <f t="shared" si="172"/>
        <v>1.0000017765272142</v>
      </c>
      <c r="V218" s="17">
        <f t="shared" si="173"/>
        <v>1.8849533597067182E-3</v>
      </c>
      <c r="W218" s="31" t="str">
        <f t="shared" si="164"/>
        <v>1-0.00465041198245673i</v>
      </c>
      <c r="X218" s="17">
        <f t="shared" si="174"/>
        <v>1.0000108131073417</v>
      </c>
      <c r="Y218" s="17">
        <f t="shared" si="175"/>
        <v>-4.6503784591078413E-3</v>
      </c>
      <c r="Z218" s="31" t="str">
        <f t="shared" si="165"/>
        <v>0.999999092970522+0.0065038795279426i</v>
      </c>
      <c r="AA218" s="17">
        <f t="shared" si="176"/>
        <v>1.000020242990501</v>
      </c>
      <c r="AB218" s="17">
        <f t="shared" si="177"/>
        <v>6.5037937235617469E-3</v>
      </c>
      <c r="AC218" s="66" t="str">
        <f t="shared" si="178"/>
        <v>13.4251903700135-7.38546595182381i</v>
      </c>
      <c r="AD218" s="64">
        <f t="shared" si="179"/>
        <v>23.706626591309515</v>
      </c>
      <c r="AE218" s="61">
        <f t="shared" si="180"/>
        <v>-28.816072904058576</v>
      </c>
      <c r="AF218" s="31" t="str">
        <f t="shared" si="166"/>
        <v>-9090.90909090909</v>
      </c>
      <c r="AG218" s="31" t="str">
        <f t="shared" si="167"/>
        <v>2.27623467397318E-08i</v>
      </c>
      <c r="AH218" s="31">
        <f t="shared" si="181"/>
        <v>2.27623467397318E-8</v>
      </c>
      <c r="AI218" s="31">
        <f t="shared" si="182"/>
        <v>1.5707963267948966</v>
      </c>
      <c r="AJ218" s="31" t="str">
        <f t="shared" si="168"/>
        <v>1+18146540.7849876i</v>
      </c>
      <c r="AK218" s="31">
        <f t="shared" si="183"/>
        <v>18146540.784987628</v>
      </c>
      <c r="AL218" s="31">
        <f t="shared" si="184"/>
        <v>1.5707962716879751</v>
      </c>
      <c r="AM218" s="31" t="str">
        <f t="shared" si="169"/>
        <v>1+8.27998159780126i</v>
      </c>
      <c r="AN218" s="31">
        <f t="shared" si="185"/>
        <v>8.3401495945772766</v>
      </c>
      <c r="AO218" s="31">
        <f t="shared" si="186"/>
        <v>1.4506052316039686</v>
      </c>
      <c r="AS218" s="58" t="str">
        <f t="shared" si="187"/>
        <v>22008.7933600556+182232.488373731i</v>
      </c>
      <c r="AT218" s="49">
        <f t="shared" si="188"/>
        <v>105.27540543051686</v>
      </c>
      <c r="AU218" s="61">
        <f t="shared" si="189"/>
        <v>83.113560667898753</v>
      </c>
      <c r="AV218" s="58" t="str">
        <f t="shared" si="190"/>
        <v>1641344.07887335+2283960.65401719i</v>
      </c>
      <c r="AW218" s="64">
        <f t="shared" si="191"/>
        <v>128.98203202182634</v>
      </c>
      <c r="AX218" s="61">
        <f t="shared" si="192"/>
        <v>54.297487763840195</v>
      </c>
      <c r="AY218" s="310"/>
      <c r="BA218" s="31">
        <f t="shared" si="193"/>
        <v>0</v>
      </c>
      <c r="BB218" s="31">
        <f t="shared" si="194"/>
        <v>0</v>
      </c>
    </row>
    <row r="219" spans="14:54" x14ac:dyDescent="0.45">
      <c r="N219" s="10">
        <v>1</v>
      </c>
      <c r="O219" s="50">
        <f>10^(3+(N219/100))</f>
        <v>1023.2929922807547</v>
      </c>
      <c r="P219" s="48" t="str">
        <f t="shared" si="161"/>
        <v>17.4002386318441</v>
      </c>
      <c r="Q219" s="17" t="str">
        <f t="shared" si="162"/>
        <v>1+0.550640661957937i</v>
      </c>
      <c r="R219" s="17">
        <f t="shared" si="170"/>
        <v>1.1415801060816868</v>
      </c>
      <c r="S219" s="17">
        <f t="shared" si="171"/>
        <v>0.50333494884380825</v>
      </c>
      <c r="T219" s="17" t="str">
        <f t="shared" si="163"/>
        <v>1+0.00192886184821148i</v>
      </c>
      <c r="U219" s="17">
        <f t="shared" si="172"/>
        <v>1.0000018602522844</v>
      </c>
      <c r="V219" s="17">
        <f t="shared" si="173"/>
        <v>1.9288594561014886E-3</v>
      </c>
      <c r="W219" s="31" t="str">
        <f t="shared" si="164"/>
        <v>1-0.00475873399286642i</v>
      </c>
      <c r="X219" s="17">
        <f t="shared" si="174"/>
        <v>1.0000113227105056</v>
      </c>
      <c r="Y219" s="17">
        <f t="shared" si="175"/>
        <v>-4.758698071972876E-3</v>
      </c>
      <c r="Z219" s="31" t="str">
        <f t="shared" si="165"/>
        <v>0.999999050223539+0.00665537434358192i</v>
      </c>
      <c r="AA219" s="17">
        <f t="shared" si="176"/>
        <v>1.0000211970031601</v>
      </c>
      <c r="AB219" s="17">
        <f t="shared" si="177"/>
        <v>6.6552824026365675E-3</v>
      </c>
      <c r="AC219" s="66" t="str">
        <f t="shared" si="178"/>
        <v>13.2814385557353-7.47833968989884i</v>
      </c>
      <c r="AD219" s="64">
        <f t="shared" si="179"/>
        <v>23.6609066420686</v>
      </c>
      <c r="AE219" s="61">
        <f t="shared" si="180"/>
        <v>-29.382425652714744</v>
      </c>
      <c r="AF219" s="31" t="str">
        <f t="shared" si="166"/>
        <v>-9090.90909090909</v>
      </c>
      <c r="AG219" s="31" t="str">
        <f t="shared" si="167"/>
        <v>2.27623467397318E-08i</v>
      </c>
      <c r="AH219" s="31">
        <f t="shared" si="181"/>
        <v>2.27623467397318E-8</v>
      </c>
      <c r="AI219" s="31">
        <f t="shared" si="182"/>
        <v>1.5707963267948966</v>
      </c>
      <c r="AJ219" s="31" t="str">
        <f t="shared" si="168"/>
        <v>1+18569228.0194147i</v>
      </c>
      <c r="AK219" s="31">
        <f t="shared" si="183"/>
        <v>18569228.019414727</v>
      </c>
      <c r="AL219" s="31">
        <f t="shared" si="184"/>
        <v>1.5707962729423617</v>
      </c>
      <c r="AM219" s="31" t="str">
        <f t="shared" si="169"/>
        <v>1+8.47284714524363i</v>
      </c>
      <c r="AN219" s="31">
        <f t="shared" si="185"/>
        <v>8.5316551000766037</v>
      </c>
      <c r="AO219" s="31">
        <f t="shared" si="186"/>
        <v>1.4533157231384826</v>
      </c>
      <c r="AS219" s="58" t="str">
        <f t="shared" si="187"/>
        <v>21507.8120597715+182232.488319144i</v>
      </c>
      <c r="AT219" s="49">
        <f t="shared" si="188"/>
        <v>105.27259442800984</v>
      </c>
      <c r="AU219" s="61">
        <f t="shared" si="189"/>
        <v>83.268860321361245</v>
      </c>
      <c r="AV219" s="58" t="str">
        <f t="shared" si="190"/>
        <v>1648451.13452624+2259466.87189999i</v>
      </c>
      <c r="AW219" s="64">
        <f t="shared" si="191"/>
        <v>128.93350107007845</v>
      </c>
      <c r="AX219" s="61">
        <f t="shared" si="192"/>
        <v>53.886434668646515</v>
      </c>
      <c r="AY219" s="310"/>
      <c r="BA219" s="31">
        <f t="shared" si="193"/>
        <v>0</v>
      </c>
      <c r="BB219" s="31">
        <f t="shared" si="194"/>
        <v>0</v>
      </c>
    </row>
    <row r="220" spans="14:54" x14ac:dyDescent="0.45">
      <c r="N220" s="10">
        <v>2</v>
      </c>
      <c r="O220" s="50">
        <f t="shared" ref="O220:O283" si="195">10^(3+(N220/100))</f>
        <v>1047.1285480509</v>
      </c>
      <c r="P220" s="48" t="str">
        <f t="shared" si="161"/>
        <v>17.4002386318441</v>
      </c>
      <c r="Q220" s="17" t="str">
        <f t="shared" si="162"/>
        <v>1+0.563466730646393i</v>
      </c>
      <c r="R220" s="17">
        <f t="shared" si="170"/>
        <v>1.1478217442379</v>
      </c>
      <c r="S220" s="17">
        <f t="shared" si="171"/>
        <v>0.51312352800224625</v>
      </c>
      <c r="T220" s="17" t="str">
        <f t="shared" si="163"/>
        <v>1+0.00197379081235251i</v>
      </c>
      <c r="U220" s="17">
        <f t="shared" si="172"/>
        <v>1.0000019479231883</v>
      </c>
      <c r="V220" s="17">
        <f t="shared" si="173"/>
        <v>1.9737882491607434E-3</v>
      </c>
      <c r="W220" s="31" t="str">
        <f t="shared" si="164"/>
        <v>1-0.00486957914702842i</v>
      </c>
      <c r="X220" s="17">
        <f t="shared" si="174"/>
        <v>1.0000118563302482</v>
      </c>
      <c r="Y220" s="17">
        <f t="shared" si="175"/>
        <v>-4.8695406571221721E-3</v>
      </c>
      <c r="Z220" s="31" t="str">
        <f t="shared" si="165"/>
        <v>0.999999005461954+0.00681039792679251i</v>
      </c>
      <c r="AA220" s="17">
        <f t="shared" si="176"/>
        <v>1.0000221959760784</v>
      </c>
      <c r="AB220" s="17">
        <f t="shared" si="177"/>
        <v>6.8102994104126549E-3</v>
      </c>
      <c r="AC220" s="66" t="str">
        <f t="shared" si="178"/>
        <v>13.1341036977364-7.56951401941397i</v>
      </c>
      <c r="AD220" s="64">
        <f t="shared" si="179"/>
        <v>23.613542244641899</v>
      </c>
      <c r="AE220" s="61">
        <f t="shared" si="180"/>
        <v>-29.955928328319768</v>
      </c>
      <c r="AF220" s="31" t="str">
        <f t="shared" si="166"/>
        <v>-9090.90909090909</v>
      </c>
      <c r="AG220" s="31" t="str">
        <f t="shared" si="167"/>
        <v>2.27623467397318E-08i</v>
      </c>
      <c r="AH220" s="31">
        <f t="shared" si="181"/>
        <v>2.27623467397318E-8</v>
      </c>
      <c r="AI220" s="31">
        <f t="shared" si="182"/>
        <v>1.5707963267948966</v>
      </c>
      <c r="AJ220" s="31" t="str">
        <f t="shared" si="168"/>
        <v>1+19001760.9043305i</v>
      </c>
      <c r="AK220" s="31">
        <f t="shared" si="183"/>
        <v>19001760.904330526</v>
      </c>
      <c r="AL220" s="31">
        <f t="shared" si="184"/>
        <v>1.5707962741681951</v>
      </c>
      <c r="AM220" s="31" t="str">
        <f t="shared" si="169"/>
        <v>1+8.6702051083938i</v>
      </c>
      <c r="AN220" s="31">
        <f t="shared" si="185"/>
        <v>8.7276833479233158</v>
      </c>
      <c r="AO220" s="31">
        <f t="shared" si="186"/>
        <v>1.4559661931289316</v>
      </c>
      <c r="AS220" s="58" t="str">
        <f t="shared" si="187"/>
        <v>21018.2344861309+182232.488267014i</v>
      </c>
      <c r="AT220" s="49">
        <f t="shared" si="188"/>
        <v>105.26990824193732</v>
      </c>
      <c r="AU220" s="61">
        <f t="shared" si="189"/>
        <v>83.420720995304976</v>
      </c>
      <c r="AV220" s="58" t="str">
        <f t="shared" si="190"/>
        <v>1655467.04601404+2234362.5773894i</v>
      </c>
      <c r="AW220" s="64">
        <f t="shared" si="191"/>
        <v>128.88345048657922</v>
      </c>
      <c r="AX220" s="61">
        <f t="shared" si="192"/>
        <v>53.464792666985225</v>
      </c>
      <c r="AY220" s="310"/>
      <c r="BA220" s="31">
        <f t="shared" si="193"/>
        <v>0</v>
      </c>
      <c r="BB220" s="31">
        <f t="shared" si="194"/>
        <v>0</v>
      </c>
    </row>
    <row r="221" spans="14:54" x14ac:dyDescent="0.45">
      <c r="N221" s="10">
        <v>3</v>
      </c>
      <c r="O221" s="50">
        <f t="shared" si="195"/>
        <v>1071.5193052376069</v>
      </c>
      <c r="P221" s="48" t="str">
        <f t="shared" si="161"/>
        <v>17.4002386318441</v>
      </c>
      <c r="Q221" s="17" t="str">
        <f t="shared" si="162"/>
        <v>1+0.576591556853801i</v>
      </c>
      <c r="R221" s="17">
        <f t="shared" si="170"/>
        <v>1.1543213692187675</v>
      </c>
      <c r="S221" s="17">
        <f t="shared" si="171"/>
        <v>0.52302955440046517</v>
      </c>
      <c r="T221" s="17" t="str">
        <f t="shared" si="163"/>
        <v>1+0.00201976630650846i</v>
      </c>
      <c r="U221" s="17">
        <f t="shared" si="172"/>
        <v>1.0000020397258862</v>
      </c>
      <c r="V221" s="17">
        <f t="shared" si="173"/>
        <v>2.0197635599993021E-3</v>
      </c>
      <c r="W221" s="31" t="str">
        <f t="shared" si="164"/>
        <v>1-0.00498300621651068i</v>
      </c>
      <c r="X221" s="17">
        <f t="shared" si="174"/>
        <v>1.0000124150984095</v>
      </c>
      <c r="Y221" s="17">
        <f t="shared" si="175"/>
        <v>-4.9829649738607328E-3</v>
      </c>
      <c r="Z221" s="31" t="str">
        <f t="shared" si="165"/>
        <v>0.99999895859082+0.00696903247313015i</v>
      </c>
      <c r="AA221" s="17">
        <f t="shared" si="176"/>
        <v>1.0000232420280719</v>
      </c>
      <c r="AB221" s="17">
        <f t="shared" si="177"/>
        <v>6.9689269110596898E-3</v>
      </c>
      <c r="AC221" s="66" t="str">
        <f t="shared" si="178"/>
        <v>12.9832121937763-7.65882757481976i</v>
      </c>
      <c r="AD221" s="64">
        <f t="shared" si="179"/>
        <v>23.564493053192198</v>
      </c>
      <c r="AE221" s="61">
        <f t="shared" si="180"/>
        <v>-30.536455062355103</v>
      </c>
      <c r="AF221" s="31" t="str">
        <f t="shared" si="166"/>
        <v>-9090.90909090909</v>
      </c>
      <c r="AG221" s="31" t="str">
        <f t="shared" si="167"/>
        <v>2.27623467397318E-08i</v>
      </c>
      <c r="AH221" s="31">
        <f t="shared" si="181"/>
        <v>2.27623467397318E-8</v>
      </c>
      <c r="AI221" s="31">
        <f t="shared" si="182"/>
        <v>1.5707963267948966</v>
      </c>
      <c r="AJ221" s="31" t="str">
        <f t="shared" si="168"/>
        <v>1+19444368.7743958i</v>
      </c>
      <c r="AK221" s="31">
        <f t="shared" si="183"/>
        <v>19444368.774395827</v>
      </c>
      <c r="AL221" s="31">
        <f t="shared" si="184"/>
        <v>1.5707962753661251</v>
      </c>
      <c r="AM221" s="31" t="str">
        <f t="shared" si="169"/>
        <v>1+8.87216012905617i</v>
      </c>
      <c r="AN221" s="31">
        <f t="shared" si="185"/>
        <v>8.9283383311573719</v>
      </c>
      <c r="AO221" s="31">
        <f t="shared" si="186"/>
        <v>1.4585578978530225</v>
      </c>
      <c r="AS221" s="58" t="str">
        <f t="shared" si="187"/>
        <v>20539.8010586242+182232.488217231i</v>
      </c>
      <c r="AT221" s="49">
        <f t="shared" si="188"/>
        <v>105.26734140225373</v>
      </c>
      <c r="AU221" s="61">
        <f t="shared" si="189"/>
        <v>83.569214669103189</v>
      </c>
      <c r="AV221" s="58" t="str">
        <f t="shared" si="190"/>
        <v>1662359.80134821+2208652.26839505i</v>
      </c>
      <c r="AW221" s="64">
        <f t="shared" si="191"/>
        <v>128.83183445544594</v>
      </c>
      <c r="AX221" s="61">
        <f t="shared" si="192"/>
        <v>53.032759606748208</v>
      </c>
      <c r="AY221" s="310"/>
      <c r="BA221" s="31">
        <f t="shared" si="193"/>
        <v>0</v>
      </c>
      <c r="BB221" s="31">
        <f t="shared" si="194"/>
        <v>0</v>
      </c>
    </row>
    <row r="222" spans="14:54" x14ac:dyDescent="0.45">
      <c r="N222" s="10">
        <v>4</v>
      </c>
      <c r="O222" s="50">
        <f t="shared" si="195"/>
        <v>1096.4781961431863</v>
      </c>
      <c r="P222" s="48" t="str">
        <f t="shared" si="161"/>
        <v>17.4002386318441</v>
      </c>
      <c r="Q222" s="17" t="str">
        <f t="shared" si="162"/>
        <v>1+0.590022099536745i</v>
      </c>
      <c r="R222" s="17">
        <f t="shared" si="170"/>
        <v>1.1610883161679599</v>
      </c>
      <c r="S222" s="17">
        <f t="shared" si="171"/>
        <v>0.53305050311792468</v>
      </c>
      <c r="T222" s="17" t="str">
        <f t="shared" si="163"/>
        <v>1+0.00206681270749489i</v>
      </c>
      <c r="U222" s="17">
        <f t="shared" si="172"/>
        <v>1.000002135855103</v>
      </c>
      <c r="V222" s="17">
        <f t="shared" si="173"/>
        <v>2.0668097645576444E-3</v>
      </c>
      <c r="W222" s="31" t="str">
        <f t="shared" si="164"/>
        <v>1-0.00509907534184681i</v>
      </c>
      <c r="X222" s="17">
        <f t="shared" si="174"/>
        <v>1.0000130002001684</v>
      </c>
      <c r="Y222" s="17">
        <f t="shared" si="175"/>
        <v>-5.0990311495822211E-3</v>
      </c>
      <c r="Z222" s="31" t="str">
        <f t="shared" si="165"/>
        <v>0.999998909510717+0.00713136209273109i</v>
      </c>
      <c r="AA222" s="17">
        <f t="shared" si="176"/>
        <v>1.0000243373778064</v>
      </c>
      <c r="AB222" s="17">
        <f t="shared" si="177"/>
        <v>7.1312489810832916E-3</v>
      </c>
      <c r="AC222" s="66" t="str">
        <f t="shared" si="178"/>
        <v>12.828799451193-7.74611732469191i</v>
      </c>
      <c r="AD222" s="64">
        <f t="shared" si="179"/>
        <v>23.513719070365187</v>
      </c>
      <c r="AE222" s="61">
        <f t="shared" si="180"/>
        <v>-31.123868053166515</v>
      </c>
      <c r="AF222" s="31" t="str">
        <f t="shared" si="166"/>
        <v>-9090.90909090909</v>
      </c>
      <c r="AG222" s="31" t="str">
        <f t="shared" si="167"/>
        <v>2.27623467397318E-08i</v>
      </c>
      <c r="AH222" s="31">
        <f t="shared" si="181"/>
        <v>2.27623467397318E-8</v>
      </c>
      <c r="AI222" s="31">
        <f t="shared" si="182"/>
        <v>1.5707963267948966</v>
      </c>
      <c r="AJ222" s="31" t="str">
        <f t="shared" si="168"/>
        <v>1+19897286.3061619i</v>
      </c>
      <c r="AK222" s="31">
        <f t="shared" si="183"/>
        <v>19897286.306161925</v>
      </c>
      <c r="AL222" s="31">
        <f t="shared" si="184"/>
        <v>1.5707962765367869</v>
      </c>
      <c r="AM222" s="31" t="str">
        <f t="shared" si="169"/>
        <v>1+9.07881928645589i</v>
      </c>
      <c r="AN222" s="31">
        <f t="shared" si="185"/>
        <v>9.1337264922989352</v>
      </c>
      <c r="AO222" s="31">
        <f t="shared" si="186"/>
        <v>1.4610920721251139</v>
      </c>
      <c r="AS222" s="58" t="str">
        <f t="shared" si="187"/>
        <v>20072.2581055152+182232.488169688i</v>
      </c>
      <c r="AT222" s="49">
        <f t="shared" si="188"/>
        <v>105.26488867236188</v>
      </c>
      <c r="AU222" s="61">
        <f t="shared" si="189"/>
        <v>83.714412092370679</v>
      </c>
      <c r="AV222" s="58" t="str">
        <f t="shared" si="190"/>
        <v>1669097.20750117+2182341.97796401i</v>
      </c>
      <c r="AW222" s="64">
        <f t="shared" si="191"/>
        <v>128.77860774272708</v>
      </c>
      <c r="AX222" s="61">
        <f t="shared" si="192"/>
        <v>52.59054403920419</v>
      </c>
      <c r="AY222" s="310"/>
      <c r="BA222" s="31">
        <f t="shared" si="193"/>
        <v>0</v>
      </c>
      <c r="BB222" s="31">
        <f t="shared" si="194"/>
        <v>0</v>
      </c>
    </row>
    <row r="223" spans="14:54" x14ac:dyDescent="0.45">
      <c r="N223" s="10">
        <v>5</v>
      </c>
      <c r="O223" s="50">
        <f t="shared" si="195"/>
        <v>1122.0184543019636</v>
      </c>
      <c r="P223" s="48" t="str">
        <f t="shared" si="161"/>
        <v>17.4002386318441</v>
      </c>
      <c r="Q223" s="17" t="str">
        <f t="shared" si="162"/>
        <v>1+0.603765479746728i</v>
      </c>
      <c r="R223" s="17">
        <f t="shared" si="170"/>
        <v>1.1681321648400049</v>
      </c>
      <c r="S223" s="17">
        <f t="shared" si="171"/>
        <v>0.54318363643051193</v>
      </c>
      <c r="T223" s="17" t="str">
        <f t="shared" si="163"/>
        <v>1+0.00211495495993634i</v>
      </c>
      <c r="U223" s="17">
        <f t="shared" si="172"/>
        <v>1.0000022365147403</v>
      </c>
      <c r="V223" s="17">
        <f t="shared" si="173"/>
        <v>2.1149518065226485E-3</v>
      </c>
      <c r="W223" s="31" t="str">
        <f t="shared" si="164"/>
        <v>1-0.00521784806442343i</v>
      </c>
      <c r="X223" s="17">
        <f t="shared" si="174"/>
        <v>1.0000136128765564</v>
      </c>
      <c r="Y223" s="17">
        <f t="shared" si="175"/>
        <v>-5.2178007115935947E-3</v>
      </c>
      <c r="Z223" s="31" t="str">
        <f t="shared" si="165"/>
        <v>0.99999885811754+0.00729747285490834i</v>
      </c>
      <c r="AA223" s="17">
        <f t="shared" si="176"/>
        <v>1.0000254843484999</v>
      </c>
      <c r="AB223" s="17">
        <f t="shared" si="177"/>
        <v>7.297351653760809E-3</v>
      </c>
      <c r="AC223" s="66" t="str">
        <f t="shared" si="178"/>
        <v>12.6709101857179-7.83121913281092i</v>
      </c>
      <c r="AD223" s="64">
        <f t="shared" si="179"/>
        <v>23.461180750780656</v>
      </c>
      <c r="AE223" s="61">
        <f t="shared" si="180"/>
        <v>-31.718017466147476</v>
      </c>
      <c r="AF223" s="31" t="str">
        <f t="shared" si="166"/>
        <v>-9090.90909090909</v>
      </c>
      <c r="AG223" s="31" t="str">
        <f t="shared" si="167"/>
        <v>2.27623467397318E-08i</v>
      </c>
      <c r="AH223" s="31">
        <f t="shared" si="181"/>
        <v>2.27623467397318E-8</v>
      </c>
      <c r="AI223" s="31">
        <f t="shared" si="182"/>
        <v>1.5707963267948966</v>
      </c>
      <c r="AJ223" s="31" t="str">
        <f t="shared" si="168"/>
        <v>1+20360753.6424993i</v>
      </c>
      <c r="AK223" s="31">
        <f t="shared" si="183"/>
        <v>20360753.642499328</v>
      </c>
      <c r="AL223" s="31">
        <f t="shared" si="184"/>
        <v>1.5707962776808011</v>
      </c>
      <c r="AM223" s="31" t="str">
        <f t="shared" si="169"/>
        <v>1+9.29029215401367i</v>
      </c>
      <c r="AN223" s="31">
        <f t="shared" si="185"/>
        <v>9.3439567800224737</v>
      </c>
      <c r="AO223" s="31">
        <f t="shared" si="186"/>
        <v>1.4635699293308022</v>
      </c>
      <c r="AS223" s="58" t="str">
        <f t="shared" si="187"/>
        <v>19615.3577293414+182232.488124285i</v>
      </c>
      <c r="AT223" s="49">
        <f t="shared" si="188"/>
        <v>105.26254503969638</v>
      </c>
      <c r="AU223" s="61">
        <f t="shared" si="189"/>
        <v>83.856382786945517</v>
      </c>
      <c r="AV223" s="58" t="str">
        <f t="shared" si="190"/>
        <v>1675646.98366785+2155439.32519577i</v>
      </c>
      <c r="AW223" s="64">
        <f t="shared" si="191"/>
        <v>128.72372579047703</v>
      </c>
      <c r="AX223" s="61">
        <f t="shared" si="192"/>
        <v>52.138365320798066</v>
      </c>
      <c r="AY223" s="310"/>
      <c r="BA223" s="31">
        <f t="shared" si="193"/>
        <v>0</v>
      </c>
      <c r="BB223" s="31">
        <f t="shared" si="194"/>
        <v>0</v>
      </c>
    </row>
    <row r="224" spans="14:54" x14ac:dyDescent="0.45">
      <c r="N224" s="10">
        <v>6</v>
      </c>
      <c r="O224" s="50">
        <f t="shared" si="195"/>
        <v>1148.1536214968839</v>
      </c>
      <c r="P224" s="48" t="str">
        <f t="shared" si="161"/>
        <v>17.4002386318441</v>
      </c>
      <c r="Q224" s="17" t="str">
        <f t="shared" si="162"/>
        <v>1+0.617828984405855i</v>
      </c>
      <c r="R224" s="17">
        <f t="shared" si="170"/>
        <v>1.175462740358864</v>
      </c>
      <c r="S224" s="17">
        <f t="shared" si="171"/>
        <v>0.55342600275981912</v>
      </c>
      <c r="T224" s="17" t="str">
        <f t="shared" si="163"/>
        <v>1+0.00216421858949228i</v>
      </c>
      <c r="U224" s="17">
        <f t="shared" si="172"/>
        <v>1.0000023419183093</v>
      </c>
      <c r="V224" s="17">
        <f t="shared" si="173"/>
        <v>2.1642152105490592E-3</v>
      </c>
      <c r="W224" s="31" t="str">
        <f t="shared" si="164"/>
        <v>1-0.0053393873591102i</v>
      </c>
      <c r="X224" s="17">
        <f t="shared" si="174"/>
        <v>1.0000142544270909</v>
      </c>
      <c r="Y224" s="17">
        <f t="shared" si="175"/>
        <v>-5.3393366196779358E-3</v>
      </c>
      <c r="Z224" s="31" t="str">
        <f t="shared" si="165"/>
        <v>0.999998804302278+0.00746745283378674i</v>
      </c>
      <c r="AA224" s="17">
        <f t="shared" si="176"/>
        <v>1.0000266853728508</v>
      </c>
      <c r="AB224" s="17">
        <f t="shared" si="177"/>
        <v>7.4673229646044122E-3</v>
      </c>
      <c r="AC224" s="66" t="str">
        <f t="shared" si="178"/>
        <v>12.509598682481-7.9139683572139i</v>
      </c>
      <c r="AD224" s="64">
        <f t="shared" si="179"/>
        <v>23.406839107688945</v>
      </c>
      <c r="AE224" s="61">
        <f t="shared" si="180"/>
        <v>-32.318741377250774</v>
      </c>
      <c r="AF224" s="31" t="str">
        <f t="shared" si="166"/>
        <v>-9090.90909090909</v>
      </c>
      <c r="AG224" s="31" t="str">
        <f t="shared" si="167"/>
        <v>2.27623467397318E-08i</v>
      </c>
      <c r="AH224" s="31">
        <f t="shared" si="181"/>
        <v>2.27623467397318E-8</v>
      </c>
      <c r="AI224" s="31">
        <f t="shared" si="182"/>
        <v>1.5707963267948966</v>
      </c>
      <c r="AJ224" s="31" t="str">
        <f t="shared" si="168"/>
        <v>1+20835016.5199244i</v>
      </c>
      <c r="AK224" s="31">
        <f t="shared" si="183"/>
        <v>20835016.519924421</v>
      </c>
      <c r="AL224" s="31">
        <f t="shared" si="184"/>
        <v>1.5707962787987744</v>
      </c>
      <c r="AM224" s="31" t="str">
        <f t="shared" si="169"/>
        <v>1+9.50669085744306i</v>
      </c>
      <c r="AN224" s="31">
        <f t="shared" si="185"/>
        <v>9.5591407071447296</v>
      </c>
      <c r="AO224" s="31">
        <f t="shared" si="186"/>
        <v>1.465992661488682</v>
      </c>
      <c r="AS224" s="58" t="str">
        <f t="shared" si="187"/>
        <v>19168.8576754756+182232.488080925i</v>
      </c>
      <c r="AT224" s="49">
        <f t="shared" si="188"/>
        <v>105.26030570663875</v>
      </c>
      <c r="AU224" s="61">
        <f t="shared" si="189"/>
        <v>83.995195050427498</v>
      </c>
      <c r="AV224" s="58" t="str">
        <f t="shared" si="190"/>
        <v>1681976.86105059+2127953.55971472i</v>
      </c>
      <c r="AW224" s="64">
        <f t="shared" si="191"/>
        <v>128.66714481432768</v>
      </c>
      <c r="AX224" s="61">
        <f t="shared" si="192"/>
        <v>51.676453673176773</v>
      </c>
      <c r="AY224" s="310"/>
      <c r="BA224" s="31">
        <f t="shared" si="193"/>
        <v>0</v>
      </c>
      <c r="BB224" s="31">
        <f t="shared" si="194"/>
        <v>0</v>
      </c>
    </row>
    <row r="225" spans="14:54" x14ac:dyDescent="0.45">
      <c r="N225" s="10">
        <v>7</v>
      </c>
      <c r="O225" s="50">
        <f t="shared" si="195"/>
        <v>1174.8975549395295</v>
      </c>
      <c r="P225" s="48" t="str">
        <f t="shared" si="161"/>
        <v>17.4002386318441</v>
      </c>
      <c r="Q225" s="17" t="str">
        <f t="shared" si="162"/>
        <v>1+0.632220070170446i</v>
      </c>
      <c r="R225" s="17">
        <f t="shared" si="170"/>
        <v>1.1830901136964689</v>
      </c>
      <c r="S225" s="17">
        <f t="shared" si="171"/>
        <v>0.56377443642495273</v>
      </c>
      <c r="T225" s="17" t="str">
        <f t="shared" si="163"/>
        <v>1+0.00221462971639118i</v>
      </c>
      <c r="U225" s="17">
        <f t="shared" si="172"/>
        <v>1.0000024522893836</v>
      </c>
      <c r="V225" s="17">
        <f t="shared" si="173"/>
        <v>2.214626095788767E-3</v>
      </c>
      <c r="W225" s="31" t="str">
        <f t="shared" si="164"/>
        <v>1-0.0054637576676499i</v>
      </c>
      <c r="X225" s="17">
        <f t="shared" si="174"/>
        <v>1.0000149262125295</v>
      </c>
      <c r="Y225" s="17">
        <f t="shared" si="175"/>
        <v>-5.4637032994125203E-3</v>
      </c>
      <c r="Z225" s="31" t="str">
        <f t="shared" si="165"/>
        <v>0.99999874795078+0.00764139215500102i</v>
      </c>
      <c r="AA225" s="17">
        <f t="shared" si="176"/>
        <v>1.0000279429981915</v>
      </c>
      <c r="AB225" s="17">
        <f t="shared" si="177"/>
        <v>7.6412529978749019E-3</v>
      </c>
      <c r="AC225" s="66" t="str">
        <f t="shared" si="178"/>
        <v>12.3449290145786-7.99420048469487i</v>
      </c>
      <c r="AD225" s="64">
        <f t="shared" si="179"/>
        <v>23.350655822340652</v>
      </c>
      <c r="AE225" s="61">
        <f t="shared" si="180"/>
        <v>-32.925865762565969</v>
      </c>
      <c r="AF225" s="31" t="str">
        <f t="shared" si="166"/>
        <v>-9090.90909090909</v>
      </c>
      <c r="AG225" s="31" t="str">
        <f t="shared" si="167"/>
        <v>2.27623467397318E-08i</v>
      </c>
      <c r="AH225" s="31">
        <f t="shared" si="181"/>
        <v>2.27623467397318E-8</v>
      </c>
      <c r="AI225" s="31">
        <f t="shared" si="182"/>
        <v>1.5707963267948966</v>
      </c>
      <c r="AJ225" s="31" t="str">
        <f t="shared" si="168"/>
        <v>1+21320326.3988923i</v>
      </c>
      <c r="AK225" s="31">
        <f t="shared" si="183"/>
        <v>21320326.398892321</v>
      </c>
      <c r="AL225" s="31">
        <f t="shared" si="184"/>
        <v>1.5707962798912996</v>
      </c>
      <c r="AM225" s="31" t="str">
        <f t="shared" si="169"/>
        <v>1+9.72813013420099i</v>
      </c>
      <c r="AN225" s="31">
        <f t="shared" si="185"/>
        <v>9.7793924099582679</v>
      </c>
      <c r="AO225" s="31">
        <f t="shared" si="186"/>
        <v>1.4683614393370434</v>
      </c>
      <c r="AS225" s="58" t="str">
        <f t="shared" si="187"/>
        <v>18732.5212036794+182232.488039517i</v>
      </c>
      <c r="AT225" s="49">
        <f t="shared" si="188"/>
        <v>105.25816608175724</v>
      </c>
      <c r="AU225" s="61">
        <f t="shared" si="189"/>
        <v>84.130915961145575</v>
      </c>
      <c r="AV225" s="58" t="str">
        <f t="shared" si="190"/>
        <v>1688054.68873617+2099895.59891187i</v>
      </c>
      <c r="AW225" s="64">
        <f t="shared" si="191"/>
        <v>128.60882190409788</v>
      </c>
      <c r="AX225" s="61">
        <f t="shared" si="192"/>
        <v>51.205050198579585</v>
      </c>
      <c r="AY225" s="310"/>
      <c r="BA225" s="31">
        <f t="shared" si="193"/>
        <v>0</v>
      </c>
      <c r="BB225" s="31">
        <f t="shared" si="194"/>
        <v>0</v>
      </c>
    </row>
    <row r="226" spans="14:54" x14ac:dyDescent="0.45">
      <c r="N226" s="10">
        <v>8</v>
      </c>
      <c r="O226" s="50">
        <f t="shared" si="195"/>
        <v>1202.2644346174138</v>
      </c>
      <c r="P226" s="48" t="str">
        <f t="shared" si="161"/>
        <v>17.4002386318441</v>
      </c>
      <c r="Q226" s="17" t="str">
        <f t="shared" si="162"/>
        <v>1+0.646946367384665i</v>
      </c>
      <c r="R226" s="17">
        <f t="shared" si="170"/>
        <v>1.1910246018752988</v>
      </c>
      <c r="S226" s="17">
        <f t="shared" si="171"/>
        <v>0.5742255582410507</v>
      </c>
      <c r="T226" s="17" t="str">
        <f t="shared" si="163"/>
        <v>1+0.00226621506927982i</v>
      </c>
      <c r="U226" s="17">
        <f t="shared" si="172"/>
        <v>1.0000025678620732</v>
      </c>
      <c r="V226" s="17">
        <f t="shared" si="173"/>
        <v>2.2662111897349762E-3</v>
      </c>
      <c r="W226" s="31" t="str">
        <f t="shared" si="164"/>
        <v>1-0.00559102493282639i</v>
      </c>
      <c r="X226" s="17">
        <f t="shared" si="174"/>
        <v>1.0000156296577567</v>
      </c>
      <c r="Y226" s="17">
        <f t="shared" si="175"/>
        <v>-5.5909666762596214E-3</v>
      </c>
      <c r="Z226" s="31" t="str">
        <f t="shared" si="165"/>
        <v>0.999998688943519+0.00781938304348168i</v>
      </c>
      <c r="AA226" s="17">
        <f t="shared" si="176"/>
        <v>1.0000292598918981</v>
      </c>
      <c r="AB226" s="17">
        <f t="shared" si="177"/>
        <v>7.8192339341700851E-3</v>
      </c>
      <c r="AC226" s="66" t="str">
        <f t="shared" si="178"/>
        <v>12.1769752147053-8.07175179764858i</v>
      </c>
      <c r="AD226" s="64">
        <f t="shared" si="179"/>
        <v>23.292593355563032</v>
      </c>
      <c r="AE226" s="61">
        <f t="shared" si="180"/>
        <v>-33.539204536500002</v>
      </c>
      <c r="AF226" s="31" t="str">
        <f t="shared" si="166"/>
        <v>-9090.90909090909</v>
      </c>
      <c r="AG226" s="31" t="str">
        <f t="shared" si="167"/>
        <v>2.27623467397318E-08i</v>
      </c>
      <c r="AH226" s="31">
        <f t="shared" si="181"/>
        <v>2.27623467397318E-8</v>
      </c>
      <c r="AI226" s="31">
        <f t="shared" si="182"/>
        <v>1.5707963267948966</v>
      </c>
      <c r="AJ226" s="31" t="str">
        <f t="shared" si="168"/>
        <v>1+21816940.5971249i</v>
      </c>
      <c r="AK226" s="31">
        <f t="shared" si="183"/>
        <v>21816940.597124919</v>
      </c>
      <c r="AL226" s="31">
        <f t="shared" si="184"/>
        <v>1.5707962809589557</v>
      </c>
      <c r="AM226" s="31" t="str">
        <f t="shared" si="169"/>
        <v>1+9.95472739432312i</v>
      </c>
      <c r="AN226" s="31">
        <f t="shared" si="185"/>
        <v>10.004828708942856</v>
      </c>
      <c r="AO226" s="31">
        <f t="shared" si="186"/>
        <v>1.4706774124433983</v>
      </c>
      <c r="AS226" s="58" t="str">
        <f t="shared" si="187"/>
        <v>18306.1169625794+182232.487999973i</v>
      </c>
      <c r="AT226" s="49">
        <f t="shared" si="188"/>
        <v>105.25612177136313</v>
      </c>
      <c r="AU226" s="61">
        <f t="shared" si="189"/>
        <v>84.263611384433347</v>
      </c>
      <c r="AV226" s="58" t="str">
        <f t="shared" si="190"/>
        <v>1693848.54513458+2071278.05718909i</v>
      </c>
      <c r="AW226" s="64">
        <f t="shared" si="191"/>
        <v>128.5487151269262</v>
      </c>
      <c r="AX226" s="61">
        <f t="shared" si="192"/>
        <v>50.724406847933409</v>
      </c>
      <c r="AY226" s="310"/>
      <c r="BA226" s="31">
        <f t="shared" si="193"/>
        <v>0</v>
      </c>
      <c r="BB226" s="31">
        <f t="shared" si="194"/>
        <v>0</v>
      </c>
    </row>
    <row r="227" spans="14:54" x14ac:dyDescent="0.45">
      <c r="N227" s="10">
        <v>9</v>
      </c>
      <c r="O227" s="50">
        <f t="shared" si="195"/>
        <v>1230.2687708123824</v>
      </c>
      <c r="P227" s="48" t="str">
        <f t="shared" si="161"/>
        <v>17.4002386318441</v>
      </c>
      <c r="Q227" s="17" t="str">
        <f t="shared" si="162"/>
        <v>1+0.662015684126218i</v>
      </c>
      <c r="R227" s="17">
        <f t="shared" si="170"/>
        <v>1.1992767679018486</v>
      </c>
      <c r="S227" s="17">
        <f t="shared" si="171"/>
        <v>0.58477577700421235</v>
      </c>
      <c r="T227" s="17" t="str">
        <f t="shared" si="163"/>
        <v>1+0.00231900199939508i</v>
      </c>
      <c r="U227" s="17">
        <f t="shared" si="172"/>
        <v>1.0000026888815214</v>
      </c>
      <c r="V227" s="17">
        <f t="shared" si="173"/>
        <v>2.3189978423884881E-3</v>
      </c>
      <c r="W227" s="31" t="str">
        <f t="shared" si="164"/>
        <v>1-0.00572125663342822i</v>
      </c>
      <c r="X227" s="17">
        <f t="shared" si="174"/>
        <v>1.0000163662548056</v>
      </c>
      <c r="Y227" s="17">
        <f t="shared" si="175"/>
        <v>-5.7211942104474466E-3</v>
      </c>
      <c r="Z227" s="31" t="str">
        <f t="shared" si="165"/>
        <v>0.99999862715533+0.00800151987235376i</v>
      </c>
      <c r="AA227" s="17">
        <f t="shared" si="176"/>
        <v>1.0000306388470368</v>
      </c>
      <c r="AB227" s="17">
        <f t="shared" si="177"/>
        <v>8.0013600991120457E-3</v>
      </c>
      <c r="AC227" s="66" t="str">
        <f t="shared" si="178"/>
        <v>12.0058213955695-8.14646006957034i</v>
      </c>
      <c r="AD227" s="64">
        <f t="shared" si="179"/>
        <v>23.232615060989822</v>
      </c>
      <c r="AE227" s="61">
        <f t="shared" si="180"/>
        <v>-34.15855964083265</v>
      </c>
      <c r="AF227" s="31" t="str">
        <f t="shared" si="166"/>
        <v>-9090.90909090909</v>
      </c>
      <c r="AG227" s="31" t="str">
        <f t="shared" si="167"/>
        <v>2.27623467397318E-08i</v>
      </c>
      <c r="AH227" s="31">
        <f t="shared" si="181"/>
        <v>2.27623467397318E-8</v>
      </c>
      <c r="AI227" s="31">
        <f t="shared" si="182"/>
        <v>1.5707963267948966</v>
      </c>
      <c r="AJ227" s="31" t="str">
        <f t="shared" si="168"/>
        <v>1+22325122.4260434i</v>
      </c>
      <c r="AK227" s="31">
        <f t="shared" si="183"/>
        <v>22325122.426043417</v>
      </c>
      <c r="AL227" s="31">
        <f t="shared" si="184"/>
        <v>1.5707962820023091</v>
      </c>
      <c r="AM227" s="31" t="str">
        <f t="shared" si="169"/>
        <v>1+10.1866027826761i</v>
      </c>
      <c r="AN227" s="31">
        <f t="shared" si="185"/>
        <v>10.23556917088759</v>
      </c>
      <c r="AO227" s="31">
        <f t="shared" si="186"/>
        <v>1.4729417093348558</v>
      </c>
      <c r="AS227" s="58" t="str">
        <f t="shared" si="187"/>
        <v>17889.4188670031+182232.487962208i</v>
      </c>
      <c r="AT227" s="49">
        <f t="shared" si="188"/>
        <v>105.25416857137648</v>
      </c>
      <c r="AU227" s="61">
        <f t="shared" si="189"/>
        <v>84.393345980098701</v>
      </c>
      <c r="AV227" s="58" t="str">
        <f t="shared" si="190"/>
        <v>1699326.85435036+2042115.26647668i</v>
      </c>
      <c r="AW227" s="64">
        <f t="shared" si="191"/>
        <v>128.48678363236633</v>
      </c>
      <c r="AX227" s="61">
        <f t="shared" si="192"/>
        <v>50.234786339265987</v>
      </c>
      <c r="AY227" s="310"/>
      <c r="BA227" s="31">
        <f t="shared" si="193"/>
        <v>0</v>
      </c>
      <c r="BB227" s="31">
        <f t="shared" si="194"/>
        <v>0</v>
      </c>
    </row>
    <row r="228" spans="14:54" x14ac:dyDescent="0.45">
      <c r="N228" s="10">
        <v>10</v>
      </c>
      <c r="O228" s="50">
        <f t="shared" si="195"/>
        <v>1258.925411794168</v>
      </c>
      <c r="P228" s="48" t="str">
        <f t="shared" si="161"/>
        <v>17.4002386318441</v>
      </c>
      <c r="Q228" s="17" t="str">
        <f t="shared" si="162"/>
        <v>1+0.677436010346308i</v>
      </c>
      <c r="R228" s="17">
        <f t="shared" si="170"/>
        <v>1.2078574204408081</v>
      </c>
      <c r="S228" s="17">
        <f t="shared" si="171"/>
        <v>0.59542129189743165</v>
      </c>
      <c r="T228" s="17" t="str">
        <f t="shared" si="163"/>
        <v>1+0.00237301849506604i</v>
      </c>
      <c r="U228" s="17">
        <f t="shared" si="172"/>
        <v>1.0000028156044252</v>
      </c>
      <c r="V228" s="17">
        <f t="shared" si="173"/>
        <v>2.3730140407539021E-3</v>
      </c>
      <c r="W228" s="31" t="str">
        <f t="shared" si="164"/>
        <v>1-0.00585452182002688i</v>
      </c>
      <c r="X228" s="17">
        <f t="shared" si="174"/>
        <v>1.0000171375660225</v>
      </c>
      <c r="Y228" s="17">
        <f t="shared" si="175"/>
        <v>-5.8544549326597995E-3</v>
      </c>
      <c r="Z228" s="31" t="str">
        <f t="shared" si="165"/>
        <v>0.999998562455154+0.0081878992129748i</v>
      </c>
      <c r="AA228" s="17">
        <f t="shared" si="176"/>
        <v>1.0000320827882956</v>
      </c>
      <c r="AB228" s="17">
        <f t="shared" si="177"/>
        <v>8.1877280131583269E-3</v>
      </c>
      <c r="AC228" s="66" t="str">
        <f t="shared" si="178"/>
        <v>11.8315618150962-8.21816528495016i</v>
      </c>
      <c r="AD228" s="64">
        <f t="shared" si="179"/>
        <v>23.170685299341844</v>
      </c>
      <c r="AE228" s="61">
        <f t="shared" si="180"/>
        <v>-34.78372118663529</v>
      </c>
      <c r="AF228" s="31" t="str">
        <f t="shared" si="166"/>
        <v>-9090.90909090909</v>
      </c>
      <c r="AG228" s="31" t="str">
        <f t="shared" si="167"/>
        <v>2.27623467397318E-08i</v>
      </c>
      <c r="AH228" s="31">
        <f t="shared" si="181"/>
        <v>2.27623467397318E-8</v>
      </c>
      <c r="AI228" s="31">
        <f t="shared" si="182"/>
        <v>1.5707963267948966</v>
      </c>
      <c r="AJ228" s="31" t="str">
        <f t="shared" si="168"/>
        <v>1+22845141.3303801i</v>
      </c>
      <c r="AK228" s="31">
        <f t="shared" si="183"/>
        <v>22845141.330380119</v>
      </c>
      <c r="AL228" s="31">
        <f t="shared" si="184"/>
        <v>1.5707962830219129</v>
      </c>
      <c r="AM228" s="31" t="str">
        <f t="shared" si="169"/>
        <v>1+10.4238792426601i</v>
      </c>
      <c r="AN228" s="31">
        <f t="shared" si="185"/>
        <v>10.471736172457749</v>
      </c>
      <c r="AO228" s="31">
        <f t="shared" si="186"/>
        <v>1.4751554376474931</v>
      </c>
      <c r="AS228" s="58" t="str">
        <f t="shared" si="187"/>
        <v>17482.2059781045+182232.487926143i</v>
      </c>
      <c r="AT228" s="49">
        <f t="shared" si="188"/>
        <v>105.25230245949273</v>
      </c>
      <c r="AU228" s="61">
        <f t="shared" si="189"/>
        <v>84.520183210982452</v>
      </c>
      <c r="AV228" s="58" t="str">
        <f t="shared" si="190"/>
        <v>1704458.50675892+2012423.28734333i</v>
      </c>
      <c r="AW228" s="64">
        <f t="shared" si="191"/>
        <v>128.42298775883458</v>
      </c>
      <c r="AX228" s="61">
        <f t="shared" si="192"/>
        <v>49.736462024347141</v>
      </c>
      <c r="AY228" s="310"/>
      <c r="BA228" s="31">
        <f t="shared" si="193"/>
        <v>0</v>
      </c>
      <c r="BB228" s="31">
        <f t="shared" si="194"/>
        <v>0</v>
      </c>
    </row>
    <row r="229" spans="14:54" x14ac:dyDescent="0.45">
      <c r="N229" s="10">
        <v>11</v>
      </c>
      <c r="O229" s="50">
        <f t="shared" si="195"/>
        <v>1288.2495516931347</v>
      </c>
      <c r="P229" s="48" t="str">
        <f t="shared" si="161"/>
        <v>17.4002386318441</v>
      </c>
      <c r="Q229" s="17" t="str">
        <f t="shared" si="162"/>
        <v>1+0.693215522106009i</v>
      </c>
      <c r="R229" s="17">
        <f t="shared" si="170"/>
        <v>1.2167776132427433</v>
      </c>
      <c r="S229" s="17">
        <f t="shared" si="171"/>
        <v>0.60615809584616698</v>
      </c>
      <c r="T229" s="17" t="str">
        <f t="shared" si="163"/>
        <v>1+0.0024282931965537i</v>
      </c>
      <c r="U229" s="17">
        <f t="shared" si="172"/>
        <v>1.000002948299578</v>
      </c>
      <c r="V229" s="17">
        <f t="shared" si="173"/>
        <v>2.4282884236730127E-3</v>
      </c>
      <c r="W229" s="31" t="str">
        <f t="shared" si="164"/>
        <v>1-0.00599089115158826i</v>
      </c>
      <c r="X229" s="17">
        <f t="shared" si="174"/>
        <v>1.0000179452273794</v>
      </c>
      <c r="Y229" s="17">
        <f t="shared" si="175"/>
        <v>-5.9908194805526191E-3</v>
      </c>
      <c r="Z229" s="31" t="str">
        <f t="shared" si="165"/>
        <v>0.999998494705753+0.00837861988613821i</v>
      </c>
      <c r="AA229" s="17">
        <f t="shared" si="176"/>
        <v>1.0000335947781795</v>
      </c>
      <c r="AB229" s="17">
        <f t="shared" si="177"/>
        <v>8.3784364425624619E-3</v>
      </c>
      <c r="AC229" s="66" t="str">
        <f t="shared" si="178"/>
        <v>11.6543008827951-8.28671037874409i</v>
      </c>
      <c r="AD229" s="64">
        <f t="shared" si="179"/>
        <v>23.106769553114269</v>
      </c>
      <c r="AE229" s="61">
        <f t="shared" si="180"/>
        <v>-35.414467650692714</v>
      </c>
      <c r="AF229" s="31" t="str">
        <f t="shared" si="166"/>
        <v>-9090.90909090909</v>
      </c>
      <c r="AG229" s="31" t="str">
        <f t="shared" si="167"/>
        <v>2.27623467397318E-08i</v>
      </c>
      <c r="AH229" s="31">
        <f t="shared" si="181"/>
        <v>2.27623467397318E-8</v>
      </c>
      <c r="AI229" s="31">
        <f t="shared" si="182"/>
        <v>1.5707963267948966</v>
      </c>
      <c r="AJ229" s="31" t="str">
        <f t="shared" si="168"/>
        <v>1+23377273.0310414i</v>
      </c>
      <c r="AK229" s="31">
        <f t="shared" si="183"/>
        <v>23377273.031041421</v>
      </c>
      <c r="AL229" s="31">
        <f t="shared" si="184"/>
        <v>1.5707962840183076</v>
      </c>
      <c r="AM229" s="31" t="str">
        <f t="shared" si="169"/>
        <v>1+10.6666825813949i</v>
      </c>
      <c r="AN229" s="31">
        <f t="shared" si="185"/>
        <v>10.713454965240363</v>
      </c>
      <c r="AO229" s="31">
        <f t="shared" si="186"/>
        <v>1.4773196842929792</v>
      </c>
      <c r="AS229" s="58" t="str">
        <f t="shared" si="187"/>
        <v>17084.2623862199+182232.487891701i</v>
      </c>
      <c r="AT229" s="49">
        <f t="shared" si="188"/>
        <v>105.25051958764216</v>
      </c>
      <c r="AU229" s="61">
        <f t="shared" si="189"/>
        <v>84.644185352504934</v>
      </c>
      <c r="AV229" s="58" t="str">
        <f t="shared" si="190"/>
        <v>1709212.98296614+1982219.91008112i</v>
      </c>
      <c r="AW229" s="64">
        <f t="shared" si="191"/>
        <v>128.35728914075642</v>
      </c>
      <c r="AX229" s="61">
        <f t="shared" si="192"/>
        <v>49.229717701812206</v>
      </c>
      <c r="AY229" s="310"/>
      <c r="BA229" s="31">
        <f t="shared" si="193"/>
        <v>0</v>
      </c>
      <c r="BB229" s="31">
        <f t="shared" si="194"/>
        <v>0</v>
      </c>
    </row>
    <row r="230" spans="14:54" x14ac:dyDescent="0.45">
      <c r="N230" s="10">
        <v>12</v>
      </c>
      <c r="O230" s="50">
        <f t="shared" si="195"/>
        <v>1318.2567385564089</v>
      </c>
      <c r="P230" s="48" t="str">
        <f t="shared" si="161"/>
        <v>17.4002386318441</v>
      </c>
      <c r="Q230" s="17" t="str">
        <f t="shared" si="162"/>
        <v>1+0.709362585911324i</v>
      </c>
      <c r="R230" s="17">
        <f t="shared" si="170"/>
        <v>1.2260486443411618</v>
      </c>
      <c r="S230" s="17">
        <f t="shared" si="171"/>
        <v>0.61698197984560643</v>
      </c>
      <c r="T230" s="17" t="str">
        <f t="shared" si="163"/>
        <v>1+0.00248485541123644i</v>
      </c>
      <c r="U230" s="17">
        <f t="shared" si="172"/>
        <v>1.0000030872484418</v>
      </c>
      <c r="V230" s="17">
        <f t="shared" si="173"/>
        <v>2.4848502970034945E-3</v>
      </c>
      <c r="W230" s="31" t="str">
        <f t="shared" si="164"/>
        <v>1-0.00613043693293705i</v>
      </c>
      <c r="X230" s="17">
        <f t="shared" si="174"/>
        <v>1.0000187909519445</v>
      </c>
      <c r="Y230" s="17">
        <f t="shared" si="175"/>
        <v>-6.1303601361166722E-3</v>
      </c>
      <c r="Z230" s="31" t="str">
        <f t="shared" si="165"/>
        <v>0.999998423763421+0.00857378301446941i</v>
      </c>
      <c r="AA230" s="17">
        <f t="shared" si="176"/>
        <v>1.0000351780235062</v>
      </c>
      <c r="AB230" s="17">
        <f t="shared" si="177"/>
        <v>8.5735864515098202E-3</v>
      </c>
      <c r="AC230" s="66" t="str">
        <f t="shared" si="178"/>
        <v>11.4741531041211-8.35194199008295i</v>
      </c>
      <c r="AD230" s="64">
        <f t="shared" si="179"/>
        <v>23.040834540987451</v>
      </c>
      <c r="AE230" s="61">
        <f t="shared" si="180"/>
        <v>-36.050566127695653</v>
      </c>
      <c r="AF230" s="31" t="str">
        <f t="shared" si="166"/>
        <v>-9090.90909090909</v>
      </c>
      <c r="AG230" s="31" t="str">
        <f t="shared" si="167"/>
        <v>2.27623467397318E-08i</v>
      </c>
      <c r="AH230" s="31">
        <f t="shared" si="181"/>
        <v>2.27623467397318E-8</v>
      </c>
      <c r="AI230" s="31">
        <f t="shared" si="182"/>
        <v>1.5707963267948966</v>
      </c>
      <c r="AJ230" s="31" t="str">
        <f t="shared" si="168"/>
        <v>1+23921799.6712986i</v>
      </c>
      <c r="AK230" s="31">
        <f t="shared" si="183"/>
        <v>23921799.671298623</v>
      </c>
      <c r="AL230" s="31">
        <f t="shared" si="184"/>
        <v>1.5707962849920216</v>
      </c>
      <c r="AM230" s="31" t="str">
        <f t="shared" si="169"/>
        <v>1+10.9151415364246i</v>
      </c>
      <c r="AN230" s="31">
        <f t="shared" si="185"/>
        <v>10.96085374230409</v>
      </c>
      <c r="AO230" s="31">
        <f t="shared" si="186"/>
        <v>1.4794355156408239</v>
      </c>
      <c r="AS230" s="58" t="str">
        <f t="shared" si="187"/>
        <v>16695.3770963894+182232.487858809i</v>
      </c>
      <c r="AT230" s="49">
        <f t="shared" si="188"/>
        <v>105.24881627473435</v>
      </c>
      <c r="AU230" s="61">
        <f t="shared" si="189"/>
        <v>84.765413503108206</v>
      </c>
      <c r="AV230" s="58" t="str">
        <f t="shared" si="190"/>
        <v>1713560.48024028+1951524.64522526i</v>
      </c>
      <c r="AW230" s="64">
        <f t="shared" si="191"/>
        <v>128.28965081572181</v>
      </c>
      <c r="AX230" s="61">
        <f t="shared" si="192"/>
        <v>48.714847375412504</v>
      </c>
      <c r="AY230" s="310"/>
      <c r="BA230" s="31">
        <f t="shared" si="193"/>
        <v>0</v>
      </c>
      <c r="BB230" s="31">
        <f t="shared" si="194"/>
        <v>0</v>
      </c>
    </row>
    <row r="231" spans="14:54" x14ac:dyDescent="0.45">
      <c r="N231" s="10">
        <v>13</v>
      </c>
      <c r="O231" s="50">
        <f t="shared" si="195"/>
        <v>1348.9628825916541</v>
      </c>
      <c r="P231" s="48" t="str">
        <f t="shared" si="161"/>
        <v>17.4002386318441</v>
      </c>
      <c r="Q231" s="17" t="str">
        <f t="shared" si="162"/>
        <v>1+0.725885763149211i</v>
      </c>
      <c r="R231" s="17">
        <f t="shared" si="170"/>
        <v>1.2356820550379102</v>
      </c>
      <c r="S231" s="17">
        <f t="shared" si="171"/>
        <v>0.62788853827440039</v>
      </c>
      <c r="T231" s="17" t="str">
        <f t="shared" si="163"/>
        <v>1+0.00254273512914915i</v>
      </c>
      <c r="U231" s="17">
        <f t="shared" si="172"/>
        <v>1.0000032327457431</v>
      </c>
      <c r="V231" s="17">
        <f t="shared" si="173"/>
        <v>2.5427296491507744E-3</v>
      </c>
      <c r="W231" s="31" t="str">
        <f t="shared" si="164"/>
        <v>1-0.0062732331530936i</v>
      </c>
      <c r="X231" s="17">
        <f t="shared" si="174"/>
        <v>1.0000196765335136</v>
      </c>
      <c r="Y231" s="17">
        <f t="shared" si="175"/>
        <v>-6.2731508639054315E-3</v>
      </c>
      <c r="Z231" s="31" t="str">
        <f t="shared" si="165"/>
        <v>0.999998349477679+0.00877349207604229i</v>
      </c>
      <c r="AA231" s="17">
        <f t="shared" si="176"/>
        <v>1.0000368358822043</v>
      </c>
      <c r="AB231" s="17">
        <f t="shared" si="177"/>
        <v>8.7732814554551918E-3</v>
      </c>
      <c r="AC231" s="66" t="str">
        <f t="shared" si="178"/>
        <v>11.2912429601826-8.41371122439729i</v>
      </c>
      <c r="AD231" s="64">
        <f t="shared" si="179"/>
        <v>22.972848331244855</v>
      </c>
      <c r="AE231" s="61">
        <f t="shared" si="180"/>
        <v>-36.691772639051045</v>
      </c>
      <c r="AF231" s="31" t="str">
        <f t="shared" si="166"/>
        <v>-9090.90909090909</v>
      </c>
      <c r="AG231" s="31" t="str">
        <f t="shared" si="167"/>
        <v>2.27623467397318E-08i</v>
      </c>
      <c r="AH231" s="31">
        <f t="shared" si="181"/>
        <v>2.27623467397318E-8</v>
      </c>
      <c r="AI231" s="31">
        <f t="shared" si="182"/>
        <v>1.5707963267948966</v>
      </c>
      <c r="AJ231" s="31" t="str">
        <f t="shared" si="168"/>
        <v>1+24479009.9663838i</v>
      </c>
      <c r="AK231" s="31">
        <f t="shared" si="183"/>
        <v>24479009.966383822</v>
      </c>
      <c r="AL231" s="31">
        <f t="shared" si="184"/>
        <v>1.5707962859435713</v>
      </c>
      <c r="AM231" s="31" t="str">
        <f t="shared" si="169"/>
        <v>1+11.1693878439758i</v>
      </c>
      <c r="AN231" s="31">
        <f t="shared" si="185"/>
        <v>11.214063706308893</v>
      </c>
      <c r="AO231" s="31">
        <f t="shared" si="186"/>
        <v>1.4815039777147241</v>
      </c>
      <c r="AS231" s="58" t="str">
        <f t="shared" si="187"/>
        <v>16315.3439164849+182232.487827397i</v>
      </c>
      <c r="AT231" s="49">
        <f t="shared" si="188"/>
        <v>105.24718899967887</v>
      </c>
      <c r="AU231" s="61">
        <f t="shared" si="189"/>
        <v>84.883927595505796</v>
      </c>
      <c r="AV231" s="58" t="str">
        <f t="shared" si="190"/>
        <v>1717472.04042318+1920358.70305763i</v>
      </c>
      <c r="AW231" s="64">
        <f t="shared" si="191"/>
        <v>128.22003733092373</v>
      </c>
      <c r="AX231" s="61">
        <f t="shared" si="192"/>
        <v>48.192154956454807</v>
      </c>
      <c r="AY231" s="310"/>
      <c r="BA231" s="31">
        <f t="shared" si="193"/>
        <v>0</v>
      </c>
      <c r="BB231" s="31">
        <f t="shared" si="194"/>
        <v>0</v>
      </c>
    </row>
    <row r="232" spans="14:54" x14ac:dyDescent="0.45">
      <c r="N232" s="10">
        <v>14</v>
      </c>
      <c r="O232" s="50">
        <f t="shared" si="195"/>
        <v>1380.3842646028863</v>
      </c>
      <c r="P232" s="48" t="str">
        <f t="shared" si="161"/>
        <v>17.4002386318441</v>
      </c>
      <c r="Q232" s="17" t="str">
        <f t="shared" si="162"/>
        <v>1+0.742793814626956i</v>
      </c>
      <c r="R232" s="17">
        <f t="shared" si="170"/>
        <v>1.2456896286989247</v>
      </c>
      <c r="S232" s="17">
        <f t="shared" si="171"/>
        <v>0.63887317520180864</v>
      </c>
      <c r="T232" s="17" t="str">
        <f t="shared" si="163"/>
        <v>1+0.00260196303888443i</v>
      </c>
      <c r="U232" s="17">
        <f t="shared" si="172"/>
        <v>1.0000033851000985</v>
      </c>
      <c r="V232" s="17">
        <f t="shared" si="173"/>
        <v>2.6019571669614514E-3</v>
      </c>
      <c r="W232" s="31" t="str">
        <f t="shared" si="164"/>
        <v>1-0.00641935552450398i</v>
      </c>
      <c r="X232" s="17">
        <f t="shared" si="174"/>
        <v>1.0000206038504156</v>
      </c>
      <c r="Y232" s="17">
        <f t="shared" si="175"/>
        <v>-6.4192673501483628E-3</v>
      </c>
      <c r="Z232" s="31" t="str">
        <f t="shared" si="165"/>
        <v>0.999998271690959+0.00897785295924481i</v>
      </c>
      <c r="AA232" s="17">
        <f t="shared" si="176"/>
        <v>1.0000385718704368</v>
      </c>
      <c r="AB232" s="17">
        <f t="shared" si="177"/>
        <v>8.9776272756895373E-3</v>
      </c>
      <c r="AC232" s="66" t="str">
        <f t="shared" si="178"/>
        <v>11.105704720756-8.47187441771532i</v>
      </c>
      <c r="AD232" s="64">
        <f t="shared" si="179"/>
        <v>22.902780453455986</v>
      </c>
      <c r="AE232" s="61">
        <f t="shared" si="180"/>
        <v>-37.337832498713084</v>
      </c>
      <c r="AF232" s="31" t="str">
        <f t="shared" si="166"/>
        <v>-9090.90909090909</v>
      </c>
      <c r="AG232" s="31" t="str">
        <f t="shared" si="167"/>
        <v>2.27623467397318E-08i</v>
      </c>
      <c r="AH232" s="31">
        <f t="shared" si="181"/>
        <v>2.27623467397318E-8</v>
      </c>
      <c r="AI232" s="31">
        <f t="shared" si="182"/>
        <v>1.5707963267948966</v>
      </c>
      <c r="AJ232" s="31" t="str">
        <f t="shared" si="168"/>
        <v>1+25049199.3565713i</v>
      </c>
      <c r="AK232" s="31">
        <f t="shared" si="183"/>
        <v>25049199.356571324</v>
      </c>
      <c r="AL232" s="31">
        <f t="shared" si="184"/>
        <v>1.5707962868734611</v>
      </c>
      <c r="AM232" s="31" t="str">
        <f t="shared" si="169"/>
        <v>1+11.4295563088063i</v>
      </c>
      <c r="AN232" s="31">
        <f t="shared" si="185"/>
        <v>11.473219139202994</v>
      </c>
      <c r="AO232" s="31">
        <f t="shared" si="186"/>
        <v>1.4835260964015884</v>
      </c>
      <c r="AS232" s="58" t="str">
        <f t="shared" si="187"/>
        <v>15943.961347884+182232.4877974i</v>
      </c>
      <c r="AT232" s="49">
        <f t="shared" si="188"/>
        <v>105.24563439467448</v>
      </c>
      <c r="AU232" s="61">
        <f t="shared" si="189"/>
        <v>84.999786408658892</v>
      </c>
      <c r="AV232" s="58" t="str">
        <f t="shared" si="190"/>
        <v>1720919.67825616+1888744.96174652i</v>
      </c>
      <c r="AW232" s="64">
        <f t="shared" si="191"/>
        <v>128.14841484813047</v>
      </c>
      <c r="AX232" s="61">
        <f t="shared" si="192"/>
        <v>47.661953909945872</v>
      </c>
      <c r="AY232" s="310"/>
      <c r="BA232" s="31">
        <f t="shared" si="193"/>
        <v>0</v>
      </c>
      <c r="BB232" s="31">
        <f t="shared" si="194"/>
        <v>0</v>
      </c>
    </row>
    <row r="233" spans="14:54" x14ac:dyDescent="0.45">
      <c r="N233" s="10">
        <v>15</v>
      </c>
      <c r="O233" s="50">
        <f t="shared" si="195"/>
        <v>1412.5375446227545</v>
      </c>
      <c r="P233" s="48" t="str">
        <f t="shared" si="161"/>
        <v>17.4002386318441</v>
      </c>
      <c r="Q233" s="17" t="str">
        <f t="shared" si="162"/>
        <v>1+0.760095705217253i</v>
      </c>
      <c r="R233" s="17">
        <f t="shared" si="170"/>
        <v>1.2560833893853198</v>
      </c>
      <c r="S233" s="17">
        <f t="shared" si="171"/>
        <v>0.64993111168679962</v>
      </c>
      <c r="T233" s="17" t="str">
        <f t="shared" si="163"/>
        <v>1+0.00266257054386397i</v>
      </c>
      <c r="U233" s="17">
        <f t="shared" si="172"/>
        <v>1.0000035446346682</v>
      </c>
      <c r="V233" s="17">
        <f t="shared" si="173"/>
        <v>2.6625642519863438E-3</v>
      </c>
      <c r="W233" s="31" t="str">
        <f t="shared" si="164"/>
        <v>1-0.00656888152318367i</v>
      </c>
      <c r="X233" s="17">
        <f t="shared" si="174"/>
        <v>1.0000215748694952</v>
      </c>
      <c r="Y233" s="17">
        <f t="shared" si="175"/>
        <v>-6.5687870427694889E-3</v>
      </c>
      <c r="Z233" s="31" t="str">
        <f t="shared" si="165"/>
        <v>0.999998190238263+0.00918697401892224i</v>
      </c>
      <c r="AA233" s="17">
        <f t="shared" si="176"/>
        <v>1.00004038967005</v>
      </c>
      <c r="AB233" s="17">
        <f t="shared" si="177"/>
        <v>9.1867321951631144E-3</v>
      </c>
      <c r="AC233" s="66" t="str">
        <f t="shared" si="178"/>
        <v>10.9176821892354-8.52629389653129i</v>
      </c>
      <c r="AD233" s="64">
        <f t="shared" si="179"/>
        <v>22.830602007662371</v>
      </c>
      <c r="AE233" s="61">
        <f t="shared" si="180"/>
        <v>-37.988480735948926</v>
      </c>
      <c r="AF233" s="31" t="str">
        <f t="shared" si="166"/>
        <v>-9090.90909090909</v>
      </c>
      <c r="AG233" s="31" t="str">
        <f t="shared" si="167"/>
        <v>2.27623467397318E-08i</v>
      </c>
      <c r="AH233" s="31">
        <f t="shared" si="181"/>
        <v>2.27623467397318E-8</v>
      </c>
      <c r="AI233" s="31">
        <f t="shared" si="182"/>
        <v>1.5707963267948966</v>
      </c>
      <c r="AJ233" s="31" t="str">
        <f t="shared" si="168"/>
        <v>1+25632670.163823i</v>
      </c>
      <c r="AK233" s="31">
        <f t="shared" si="183"/>
        <v>25632670.163823023</v>
      </c>
      <c r="AL233" s="31">
        <f t="shared" si="184"/>
        <v>1.5707962877821837</v>
      </c>
      <c r="AM233" s="31" t="str">
        <f t="shared" si="169"/>
        <v>1+11.6957848756798i</v>
      </c>
      <c r="AN233" s="31">
        <f t="shared" si="185"/>
        <v>11.73845747354312</v>
      </c>
      <c r="AO233" s="31">
        <f t="shared" si="186"/>
        <v>1.4855028776718979</v>
      </c>
      <c r="AS233" s="58" t="str">
        <f t="shared" si="187"/>
        <v>15581.032478633+182232.487768753i</v>
      </c>
      <c r="AT233" s="49">
        <f t="shared" si="188"/>
        <v>105.24414923875815</v>
      </c>
      <c r="AU233" s="61">
        <f t="shared" si="189"/>
        <v>85.113047580402167</v>
      </c>
      <c r="AV233" s="58" t="str">
        <f t="shared" si="190"/>
        <v>1723876.5089943+1856707.92388875i</v>
      </c>
      <c r="AW233" s="64">
        <f t="shared" si="191"/>
        <v>128.0747512464205</v>
      </c>
      <c r="AX233" s="61">
        <f t="shared" si="192"/>
        <v>47.124566844453291</v>
      </c>
      <c r="AY233" s="310"/>
      <c r="BA233" s="31">
        <f t="shared" si="193"/>
        <v>0</v>
      </c>
      <c r="BB233" s="31">
        <f t="shared" si="194"/>
        <v>0</v>
      </c>
    </row>
    <row r="234" spans="14:54" x14ac:dyDescent="0.45">
      <c r="N234" s="10">
        <v>16</v>
      </c>
      <c r="O234" s="50">
        <f t="shared" si="195"/>
        <v>1445.4397707459289</v>
      </c>
      <c r="P234" s="48" t="str">
        <f t="shared" si="161"/>
        <v>17.4002386318441</v>
      </c>
      <c r="Q234" s="17" t="str">
        <f t="shared" si="162"/>
        <v>1+0.777800608611513i</v>
      </c>
      <c r="R234" s="17">
        <f t="shared" si="170"/>
        <v>1.2668756003477375</v>
      </c>
      <c r="S234" s="17">
        <f t="shared" si="171"/>
        <v>0.66105739405893083</v>
      </c>
      <c r="T234" s="17" t="str">
        <f t="shared" si="163"/>
        <v>1+0.00272458977898916i</v>
      </c>
      <c r="U234" s="17">
        <f t="shared" si="172"/>
        <v>1.0000037116878435</v>
      </c>
      <c r="V234" s="17">
        <f t="shared" si="173"/>
        <v>2.7245830371221691E-3</v>
      </c>
      <c r="W234" s="31" t="str">
        <f t="shared" si="164"/>
        <v>1-0.00672189042979638i</v>
      </c>
      <c r="X234" s="17">
        <f t="shared" si="174"/>
        <v>1.0000225916502836</v>
      </c>
      <c r="Y234" s="17">
        <f t="shared" si="175"/>
        <v>-6.7217891923321404E-3</v>
      </c>
      <c r="Z234" s="31" t="str">
        <f t="shared" si="165"/>
        <v>0.99999810494682+0.00940096613382849i</v>
      </c>
      <c r="AA234" s="17">
        <f t="shared" si="176"/>
        <v>1.0000422931363855</v>
      </c>
      <c r="AB234" s="17">
        <f t="shared" si="177"/>
        <v>9.4007070155936717E-3</v>
      </c>
      <c r="AC234" s="66" t="str">
        <f t="shared" si="178"/>
        <v>10.7273283788741-8.5768387263662i</v>
      </c>
      <c r="AD234" s="64">
        <f t="shared" si="179"/>
        <v>22.756285770292649</v>
      </c>
      <c r="AE234" s="61">
        <f t="shared" si="180"/>
        <v>-38.643442574463073</v>
      </c>
      <c r="AF234" s="31" t="str">
        <f t="shared" si="166"/>
        <v>-9090.90909090909</v>
      </c>
      <c r="AG234" s="31" t="str">
        <f t="shared" si="167"/>
        <v>2.27623467397318E-08i</v>
      </c>
      <c r="AH234" s="31">
        <f t="shared" si="181"/>
        <v>2.27623467397318E-8</v>
      </c>
      <c r="AI234" s="31">
        <f t="shared" si="182"/>
        <v>1.5707963267948966</v>
      </c>
      <c r="AJ234" s="31" t="str">
        <f t="shared" si="168"/>
        <v>1+26229731.7520841i</v>
      </c>
      <c r="AK234" s="31">
        <f t="shared" si="183"/>
        <v>26229731.752084121</v>
      </c>
      <c r="AL234" s="31">
        <f t="shared" si="184"/>
        <v>1.5707962886702216</v>
      </c>
      <c r="AM234" s="31" t="str">
        <f t="shared" si="169"/>
        <v>1+11.9682147025064i</v>
      </c>
      <c r="AN234" s="31">
        <f t="shared" si="185"/>
        <v>12.009919365478284</v>
      </c>
      <c r="AO234" s="31">
        <f t="shared" si="186"/>
        <v>1.487435307810175</v>
      </c>
      <c r="AS234" s="58" t="str">
        <f t="shared" si="187"/>
        <v>15226.3648790415+182232.487741395i</v>
      </c>
      <c r="AT234" s="49">
        <f t="shared" si="188"/>
        <v>105.24273045160623</v>
      </c>
      <c r="AU234" s="61">
        <f t="shared" si="189"/>
        <v>85.223767620648502</v>
      </c>
      <c r="AV234" s="58" t="str">
        <f t="shared" si="190"/>
        <v>1726316.87413648+1824273.66134475i</v>
      </c>
      <c r="AW234" s="64">
        <f t="shared" si="191"/>
        <v>127.99901622189887</v>
      </c>
      <c r="AX234" s="61">
        <f t="shared" si="192"/>
        <v>46.580325046185536</v>
      </c>
      <c r="AY234" s="310"/>
      <c r="BA234" s="31">
        <f t="shared" si="193"/>
        <v>0</v>
      </c>
      <c r="BB234" s="31">
        <f t="shared" si="194"/>
        <v>0</v>
      </c>
    </row>
    <row r="235" spans="14:54" x14ac:dyDescent="0.45">
      <c r="N235" s="10">
        <v>17</v>
      </c>
      <c r="O235" s="50">
        <f t="shared" si="195"/>
        <v>1479.1083881682086</v>
      </c>
      <c r="P235" s="48" t="str">
        <f t="shared" si="161"/>
        <v>17.4002386318441</v>
      </c>
      <c r="Q235" s="17" t="str">
        <f t="shared" si="162"/>
        <v>1+0.795917912183867i</v>
      </c>
      <c r="R235" s="17">
        <f t="shared" si="170"/>
        <v>1.2780787624145571</v>
      </c>
      <c r="S235" s="17">
        <f t="shared" si="171"/>
        <v>0.67224690316168645</v>
      </c>
      <c r="T235" s="17" t="str">
        <f t="shared" si="163"/>
        <v>1+0.00278805362767937i</v>
      </c>
      <c r="U235" s="17">
        <f t="shared" si="172"/>
        <v>1.0000038866139624</v>
      </c>
      <c r="V235" s="17">
        <f t="shared" si="173"/>
        <v>2.7880464036402521E-3</v>
      </c>
      <c r="W235" s="31" t="str">
        <f t="shared" si="164"/>
        <v>1-0.0068784633716897i</v>
      </c>
      <c r="X235" s="17">
        <f t="shared" si="174"/>
        <v>1.0000236563493663</v>
      </c>
      <c r="Y235" s="17">
        <f t="shared" si="175"/>
        <v>-6.8783548939309472E-3</v>
      </c>
      <c r="Z235" s="31" t="str">
        <f t="shared" si="165"/>
        <v>0.999998015635715+0.00961994276541539i</v>
      </c>
      <c r="AA235" s="17">
        <f t="shared" si="176"/>
        <v>1.0000442863064503</v>
      </c>
      <c r="AB235" s="17">
        <f t="shared" si="177"/>
        <v>9.6196651158881666E-3</v>
      </c>
      <c r="AC235" s="66" t="str">
        <f t="shared" si="178"/>
        <v>10.5348051204564-8.62338544195297i</v>
      </c>
      <c r="AD235" s="64">
        <f t="shared" si="179"/>
        <v>22.679806296031046</v>
      </c>
      <c r="AE235" s="61">
        <f t="shared" si="180"/>
        <v>-39.302433966774117</v>
      </c>
      <c r="AF235" s="31" t="str">
        <f t="shared" si="166"/>
        <v>-9090.90909090909</v>
      </c>
      <c r="AG235" s="31" t="str">
        <f t="shared" si="167"/>
        <v>2.27623467397318E-08i</v>
      </c>
      <c r="AH235" s="31">
        <f t="shared" si="181"/>
        <v>2.27623467397318E-8</v>
      </c>
      <c r="AI235" s="31">
        <f t="shared" si="182"/>
        <v>1.5707963267948966</v>
      </c>
      <c r="AJ235" s="31" t="str">
        <f t="shared" si="168"/>
        <v>1+26840700.6913116i</v>
      </c>
      <c r="AK235" s="31">
        <f t="shared" si="183"/>
        <v>26840700.69131162</v>
      </c>
      <c r="AL235" s="31">
        <f t="shared" si="184"/>
        <v>1.5707962895380452</v>
      </c>
      <c r="AM235" s="31" t="str">
        <f t="shared" si="169"/>
        <v>1+12.2469902351862i</v>
      </c>
      <c r="AN235" s="31">
        <f t="shared" si="185"/>
        <v>12.287748769434788</v>
      </c>
      <c r="AO235" s="31">
        <f t="shared" si="186"/>
        <v>1.4893243536543914</v>
      </c>
      <c r="AS235" s="58" t="str">
        <f t="shared" si="187"/>
        <v>14879.7704996537+182232.487715267i</v>
      </c>
      <c r="AT235" s="49">
        <f t="shared" si="188"/>
        <v>105.24137508757929</v>
      </c>
      <c r="AU235" s="61">
        <f t="shared" si="189"/>
        <v>85.332001925106212</v>
      </c>
      <c r="AV235" s="58" t="str">
        <f t="shared" si="190"/>
        <v>1728216.46406567+1791469.74838999i</v>
      </c>
      <c r="AW235" s="64">
        <f t="shared" si="191"/>
        <v>127.92118138361032</v>
      </c>
      <c r="AX235" s="61">
        <f t="shared" si="192"/>
        <v>46.029567958332201</v>
      </c>
      <c r="AY235" s="310"/>
      <c r="BA235" s="31">
        <f t="shared" si="193"/>
        <v>0</v>
      </c>
      <c r="BB235" s="31">
        <f t="shared" si="194"/>
        <v>0</v>
      </c>
    </row>
    <row r="236" spans="14:54" x14ac:dyDescent="0.45">
      <c r="N236" s="10">
        <v>18</v>
      </c>
      <c r="O236" s="50">
        <f t="shared" si="195"/>
        <v>1513.5612484362093</v>
      </c>
      <c r="P236" s="48" t="str">
        <f t="shared" si="161"/>
        <v>17.4002386318441</v>
      </c>
      <c r="Q236" s="17" t="str">
        <f t="shared" si="162"/>
        <v>1+0.81445722196848i</v>
      </c>
      <c r="R236" s="17">
        <f t="shared" si="170"/>
        <v>1.2897056123071706</v>
      </c>
      <c r="S236" s="17">
        <f t="shared" si="171"/>
        <v>0.68349436452974621</v>
      </c>
      <c r="T236" s="17" t="str">
        <f t="shared" si="163"/>
        <v>1+0.00285299573930724i</v>
      </c>
      <c r="U236" s="17">
        <f t="shared" si="172"/>
        <v>1.0000040697840626</v>
      </c>
      <c r="V236" s="17">
        <f t="shared" si="173"/>
        <v>2.8529879986115649E-3</v>
      </c>
      <c r="W236" s="31" t="str">
        <f t="shared" si="164"/>
        <v>1-0.00703868336590991i</v>
      </c>
      <c r="X236" s="17">
        <f t="shared" si="174"/>
        <v>1.0000247712249559</v>
      </c>
      <c r="Y236" s="17">
        <f t="shared" si="175"/>
        <v>-7.0385671300527202E-3</v>
      </c>
      <c r="Z236" s="31" t="str">
        <f t="shared" si="165"/>
        <v>0.999997922115508+0.0098440200179915i</v>
      </c>
      <c r="AA236" s="17">
        <f t="shared" si="176"/>
        <v>1.0000463734074776</v>
      </c>
      <c r="AB236" s="17">
        <f t="shared" si="177"/>
        <v>9.8437225119076925E-3</v>
      </c>
      <c r="AC236" s="66" t="str">
        <f t="shared" si="178"/>
        <v>10.3402826023544-8.66581875188776i</v>
      </c>
      <c r="AD236" s="64">
        <f t="shared" si="179"/>
        <v>22.601140014869173</v>
      </c>
      <c r="AE236" s="61">
        <f t="shared" si="180"/>
        <v>-39.965162182210477</v>
      </c>
      <c r="AF236" s="31" t="str">
        <f t="shared" si="166"/>
        <v>-9090.90909090909</v>
      </c>
      <c r="AG236" s="31" t="str">
        <f t="shared" si="167"/>
        <v>2.27623467397318E-08i</v>
      </c>
      <c r="AH236" s="31">
        <f t="shared" si="181"/>
        <v>2.27623467397318E-8</v>
      </c>
      <c r="AI236" s="31">
        <f t="shared" si="182"/>
        <v>1.5707963267948966</v>
      </c>
      <c r="AJ236" s="31" t="str">
        <f t="shared" si="168"/>
        <v>1+27465900.9253244i</v>
      </c>
      <c r="AK236" s="31">
        <f t="shared" si="183"/>
        <v>27465900.925324418</v>
      </c>
      <c r="AL236" s="31">
        <f t="shared" si="184"/>
        <v>1.5707962903861146</v>
      </c>
      <c r="AM236" s="31" t="str">
        <f t="shared" si="169"/>
        <v>1+12.5322592841969i</v>
      </c>
      <c r="AN236" s="31">
        <f t="shared" si="185"/>
        <v>12.572093014543736</v>
      </c>
      <c r="AO236" s="31">
        <f t="shared" si="186"/>
        <v>1.4911709628432479</v>
      </c>
      <c r="AS236" s="58" t="str">
        <f t="shared" si="187"/>
        <v>14541.0655715418+182232.487690316i</v>
      </c>
      <c r="AT236" s="49">
        <f t="shared" si="188"/>
        <v>105.24008033000307</v>
      </c>
      <c r="AU236" s="61">
        <f t="shared" si="189"/>
        <v>85.437804789446957</v>
      </c>
      <c r="AV236" s="58" t="str">
        <f t="shared" si="190"/>
        <v>1729552.436379+1758325.18334564i</v>
      </c>
      <c r="AW236" s="64">
        <f t="shared" si="191"/>
        <v>127.84122034487223</v>
      </c>
      <c r="AX236" s="61">
        <f t="shared" si="192"/>
        <v>45.472642607236551</v>
      </c>
      <c r="AY236" s="310"/>
      <c r="BA236" s="31">
        <f t="shared" si="193"/>
        <v>0</v>
      </c>
      <c r="BB236" s="31">
        <f t="shared" si="194"/>
        <v>0</v>
      </c>
    </row>
    <row r="237" spans="14:54" x14ac:dyDescent="0.45">
      <c r="N237" s="10">
        <v>19</v>
      </c>
      <c r="O237" s="50">
        <f t="shared" si="195"/>
        <v>1548.8166189124822</v>
      </c>
      <c r="P237" s="48" t="str">
        <f t="shared" si="161"/>
        <v>17.4002386318441</v>
      </c>
      <c r="Q237" s="17" t="str">
        <f t="shared" si="162"/>
        <v>1+0.833428367752795i</v>
      </c>
      <c r="R237" s="17">
        <f t="shared" si="170"/>
        <v>1.3017691209177948</v>
      </c>
      <c r="S237" s="17">
        <f t="shared" si="171"/>
        <v>0.69479435946230672</v>
      </c>
      <c r="T237" s="17" t="str">
        <f t="shared" si="163"/>
        <v>1+0.00291945054703994i</v>
      </c>
      <c r="U237" s="17">
        <f t="shared" si="172"/>
        <v>1.0000042615866678</v>
      </c>
      <c r="V237" s="17">
        <f t="shared" si="173"/>
        <v>2.9194422527369971E-3</v>
      </c>
      <c r="W237" s="31" t="str">
        <f t="shared" si="164"/>
        <v>1-0.00720263536321872i</v>
      </c>
      <c r="X237" s="17">
        <f t="shared" si="174"/>
        <v>1.0000259386416812</v>
      </c>
      <c r="Y237" s="17">
        <f t="shared" si="175"/>
        <v>-7.202510814428258E-3</v>
      </c>
      <c r="Z237" s="31" t="str">
        <f t="shared" si="165"/>
        <v>0.999997824187829+0.0100733167002822i</v>
      </c>
      <c r="AA237" s="17">
        <f t="shared" si="176"/>
        <v>1.0000485588658865</v>
      </c>
      <c r="AB237" s="17">
        <f t="shared" si="177"/>
        <v>1.0072997917605544E-2</v>
      </c>
      <c r="AC237" s="66" t="str">
        <f t="shared" si="178"/>
        <v>10.143938844765-8.70403221060292i</v>
      </c>
      <c r="AD237" s="64">
        <f t="shared" si="179"/>
        <v>22.520265323586223</v>
      </c>
      <c r="AE237" s="61">
        <f t="shared" si="180"/>
        <v>-40.631326446358479</v>
      </c>
      <c r="AF237" s="31" t="str">
        <f t="shared" si="166"/>
        <v>-9090.90909090909</v>
      </c>
      <c r="AG237" s="31" t="str">
        <f t="shared" si="167"/>
        <v>2.27623467397318E-08i</v>
      </c>
      <c r="AH237" s="31">
        <f t="shared" si="181"/>
        <v>2.27623467397318E-8</v>
      </c>
      <c r="AI237" s="31">
        <f t="shared" si="182"/>
        <v>1.5707963267948966</v>
      </c>
      <c r="AJ237" s="31" t="str">
        <f t="shared" si="168"/>
        <v>1+28105663.9435619i</v>
      </c>
      <c r="AK237" s="31">
        <f t="shared" si="183"/>
        <v>28105663.943561919</v>
      </c>
      <c r="AL237" s="31">
        <f t="shared" si="184"/>
        <v>1.5707962912148796</v>
      </c>
      <c r="AM237" s="31" t="str">
        <f t="shared" si="169"/>
        <v>1+12.8241731029641i</v>
      </c>
      <c r="AN237" s="31">
        <f t="shared" si="185"/>
        <v>12.863102882850152</v>
      </c>
      <c r="AO237" s="31">
        <f t="shared" si="186"/>
        <v>1.4929760640703085</v>
      </c>
      <c r="AS237" s="58" t="str">
        <f t="shared" si="187"/>
        <v>14210.0705088698+182232.487666488i</v>
      </c>
      <c r="AT237" s="49">
        <f t="shared" si="188"/>
        <v>105.23884348567678</v>
      </c>
      <c r="AU237" s="61">
        <f t="shared" si="189"/>
        <v>85.541229423866653</v>
      </c>
      <c r="AV237" s="58" t="str">
        <f t="shared" si="190"/>
        <v>1730303.52868918+1724870.29899411i</v>
      </c>
      <c r="AW237" s="64">
        <f t="shared" si="191"/>
        <v>127.75910880926301</v>
      </c>
      <c r="AX237" s="61">
        <f t="shared" si="192"/>
        <v>44.909902977508345</v>
      </c>
      <c r="AY237" s="310"/>
      <c r="BA237" s="31">
        <f t="shared" si="193"/>
        <v>0</v>
      </c>
      <c r="BB237" s="31">
        <f t="shared" si="194"/>
        <v>0</v>
      </c>
    </row>
    <row r="238" spans="14:54" x14ac:dyDescent="0.45">
      <c r="N238" s="10">
        <v>20</v>
      </c>
      <c r="O238" s="50">
        <f t="shared" si="195"/>
        <v>1584.8931924611156</v>
      </c>
      <c r="P238" s="48" t="str">
        <f t="shared" si="161"/>
        <v>17.4002386318441</v>
      </c>
      <c r="Q238" s="17" t="str">
        <f t="shared" si="162"/>
        <v>1+0.852841408289424i</v>
      </c>
      <c r="R238" s="17">
        <f t="shared" si="170"/>
        <v>1.3142824915873634</v>
      </c>
      <c r="S238" s="17">
        <f t="shared" si="171"/>
        <v>0.70614133694537951</v>
      </c>
      <c r="T238" s="17" t="str">
        <f t="shared" si="163"/>
        <v>1+0.00298745328609619i</v>
      </c>
      <c r="U238" s="17">
        <f t="shared" si="172"/>
        <v>1.0000044624286117</v>
      </c>
      <c r="V238" s="17">
        <f t="shared" si="173"/>
        <v>2.9874443985926052E-3</v>
      </c>
      <c r="W238" s="31" t="str">
        <f t="shared" si="164"/>
        <v>1-0.00737040629313527i</v>
      </c>
      <c r="X238" s="17">
        <f t="shared" si="174"/>
        <v>1.0000271610756009</v>
      </c>
      <c r="Y238" s="17">
        <f t="shared" si="175"/>
        <v>-7.3702728368976126E-3</v>
      </c>
      <c r="Z238" s="31" t="str">
        <f t="shared" si="165"/>
        <v>0.99999772164496+0.0103079543884234i</v>
      </c>
      <c r="AA238" s="17">
        <f t="shared" si="176"/>
        <v>1.0000508473166676</v>
      </c>
      <c r="AB238" s="17">
        <f t="shared" si="177"/>
        <v>1.0307612807568709E-2</v>
      </c>
      <c r="AC238" s="66" t="str">
        <f t="shared" si="178"/>
        <v>9.94595911077317-8.73792885064191i</v>
      </c>
      <c r="AD238" s="64">
        <f t="shared" si="179"/>
        <v>22.437162670928075</v>
      </c>
      <c r="AE238" s="61">
        <f t="shared" si="180"/>
        <v>-41.300618629269124</v>
      </c>
      <c r="AF238" s="31" t="str">
        <f t="shared" si="166"/>
        <v>-9090.90909090909</v>
      </c>
      <c r="AG238" s="31" t="str">
        <f t="shared" si="167"/>
        <v>2.27623467397318E-08i</v>
      </c>
      <c r="AH238" s="31">
        <f t="shared" si="181"/>
        <v>2.27623467397318E-8</v>
      </c>
      <c r="AI238" s="31">
        <f t="shared" si="182"/>
        <v>1.5707963267948966</v>
      </c>
      <c r="AJ238" s="31" t="str">
        <f t="shared" si="168"/>
        <v>1+28760328.9568448i</v>
      </c>
      <c r="AK238" s="31">
        <f t="shared" si="183"/>
        <v>28760328.95684481</v>
      </c>
      <c r="AL238" s="31">
        <f t="shared" si="184"/>
        <v>1.5707962920247798</v>
      </c>
      <c r="AM238" s="31" t="str">
        <f t="shared" si="169"/>
        <v>1+13.1228864680585i</v>
      </c>
      <c r="AN238" s="31">
        <f t="shared" si="185"/>
        <v>13.160932689348156</v>
      </c>
      <c r="AO238" s="31">
        <f t="shared" si="186"/>
        <v>1.4947405673440752</v>
      </c>
      <c r="AS238" s="58" t="str">
        <f t="shared" si="187"/>
        <v>13886.609813674+182232.487643733i</v>
      </c>
      <c r="AT238" s="49">
        <f t="shared" si="188"/>
        <v>105.23766197960227</v>
      </c>
      <c r="AU238" s="61">
        <f t="shared" si="189"/>
        <v>85.642327967986688</v>
      </c>
      <c r="AV238" s="58" t="str">
        <f t="shared" si="190"/>
        <v>1730450.16470048+1691136.66223054i</v>
      </c>
      <c r="AW238" s="64">
        <f t="shared" si="191"/>
        <v>127.67482465053034</v>
      </c>
      <c r="AX238" s="61">
        <f t="shared" si="192"/>
        <v>44.341709338717671</v>
      </c>
      <c r="AY238" s="310"/>
      <c r="BA238" s="31">
        <f t="shared" si="193"/>
        <v>0</v>
      </c>
      <c r="BB238" s="31">
        <f t="shared" si="194"/>
        <v>0</v>
      </c>
    </row>
    <row r="239" spans="14:54" x14ac:dyDescent="0.45">
      <c r="N239" s="10">
        <v>21</v>
      </c>
      <c r="O239" s="50">
        <f t="shared" si="195"/>
        <v>1621.8100973589308</v>
      </c>
      <c r="P239" s="48" t="str">
        <f t="shared" si="161"/>
        <v>17.4002386318441</v>
      </c>
      <c r="Q239" s="17" t="str">
        <f t="shared" si="162"/>
        <v>1+0.872706636629414i</v>
      </c>
      <c r="R239" s="17">
        <f t="shared" si="170"/>
        <v>1.327259158422734</v>
      </c>
      <c r="S239" s="17">
        <f t="shared" si="171"/>
        <v>0.71752962636696538</v>
      </c>
      <c r="T239" s="17" t="str">
        <f t="shared" si="163"/>
        <v>1+0.00305704001242833i</v>
      </c>
      <c r="U239" s="17">
        <f t="shared" si="172"/>
        <v>1.0000046727359015</v>
      </c>
      <c r="V239" s="17">
        <f t="shared" si="173"/>
        <v>3.0570304892990671E-3</v>
      </c>
      <c r="W239" s="31" t="str">
        <f t="shared" si="164"/>
        <v>1-0.00754208511002727i</v>
      </c>
      <c r="X239" s="17">
        <f t="shared" si="174"/>
        <v>1.0000284411194549</v>
      </c>
      <c r="Y239" s="17">
        <f t="shared" si="175"/>
        <v>-7.5419421093118688E-3</v>
      </c>
      <c r="Z239" s="31" t="str">
        <f t="shared" si="165"/>
        <v>0.999997614269395+0.0105480574904233i</v>
      </c>
      <c r="AA239" s="17">
        <f t="shared" si="176"/>
        <v>1.0000532436132106</v>
      </c>
      <c r="AB239" s="17">
        <f t="shared" si="177"/>
        <v>1.0547691480995105E-2</v>
      </c>
      <c r="AC239" s="66" t="str">
        <f t="shared" si="178"/>
        <v>9.74653525773271-8.76742176845296i</v>
      </c>
      <c r="AD239" s="64">
        <f t="shared" si="179"/>
        <v>22.351814635790916</v>
      </c>
      <c r="AE239" s="61">
        <f t="shared" si="180"/>
        <v>-41.972723979209043</v>
      </c>
      <c r="AF239" s="31" t="str">
        <f t="shared" si="166"/>
        <v>-9090.90909090909</v>
      </c>
      <c r="AG239" s="31" t="str">
        <f t="shared" si="167"/>
        <v>2.27623467397318E-08i</v>
      </c>
      <c r="AH239" s="31">
        <f t="shared" si="181"/>
        <v>2.27623467397318E-8</v>
      </c>
      <c r="AI239" s="31">
        <f t="shared" si="182"/>
        <v>1.5707963267948966</v>
      </c>
      <c r="AJ239" s="31" t="str">
        <f t="shared" si="168"/>
        <v>1+29430243.0772284i</v>
      </c>
      <c r="AK239" s="31">
        <f t="shared" si="183"/>
        <v>29430243.077228416</v>
      </c>
      <c r="AL239" s="31">
        <f t="shared" si="184"/>
        <v>1.5707962928162442</v>
      </c>
      <c r="AM239" s="31" t="str">
        <f t="shared" si="169"/>
        <v>1+13.4285577612602i</v>
      </c>
      <c r="AN239" s="31">
        <f t="shared" si="185"/>
        <v>13.465740363882766</v>
      </c>
      <c r="AO239" s="31">
        <f t="shared" si="186"/>
        <v>1.4964653642531258</v>
      </c>
      <c r="AS239" s="58" t="str">
        <f t="shared" si="187"/>
        <v>13570.5119828125+182232.487622003i</v>
      </c>
      <c r="AT239" s="49">
        <f t="shared" si="188"/>
        <v>105.23653334992531</v>
      </c>
      <c r="AU239" s="61">
        <f t="shared" si="189"/>
        <v>85.741151506044929</v>
      </c>
      <c r="AV239" s="58" t="str">
        <f t="shared" si="190"/>
        <v>1729974.55240245+1657156.96354503i</v>
      </c>
      <c r="AW239" s="64">
        <f t="shared" si="191"/>
        <v>127.58834798571621</v>
      </c>
      <c r="AX239" s="61">
        <f t="shared" si="192"/>
        <v>43.768427526835893</v>
      </c>
      <c r="AY239" s="310"/>
      <c r="BA239" s="31">
        <f t="shared" si="193"/>
        <v>0</v>
      </c>
      <c r="BB239" s="31">
        <f t="shared" si="194"/>
        <v>0</v>
      </c>
    </row>
    <row r="240" spans="14:54" x14ac:dyDescent="0.45">
      <c r="N240" s="10">
        <v>22</v>
      </c>
      <c r="O240" s="50">
        <f t="shared" si="195"/>
        <v>1659.5869074375626</v>
      </c>
      <c r="P240" s="48" t="str">
        <f t="shared" si="161"/>
        <v>17.4002386318441</v>
      </c>
      <c r="Q240" s="17" t="str">
        <f t="shared" si="162"/>
        <v>1+0.893034585579788i</v>
      </c>
      <c r="R240" s="17">
        <f t="shared" si="170"/>
        <v>1.3407127846938971</v>
      </c>
      <c r="S240" s="17">
        <f t="shared" si="171"/>
        <v>0.72895345096046626</v>
      </c>
      <c r="T240" s="17" t="str">
        <f t="shared" si="163"/>
        <v>1+0.00312824762183979i</v>
      </c>
      <c r="U240" s="17">
        <f t="shared" si="172"/>
        <v>1.0000048929546212</v>
      </c>
      <c r="V240" s="17">
        <f t="shared" si="173"/>
        <v>3.1282374176256349E-3</v>
      </c>
      <c r="W240" s="31" t="str">
        <f t="shared" si="164"/>
        <v>1-0.00771776284027595i</v>
      </c>
      <c r="X240" s="17">
        <f t="shared" si="174"/>
        <v>1.0000297814881609</v>
      </c>
      <c r="Y240" s="17">
        <f t="shared" si="175"/>
        <v>-7.7176096124951885E-3</v>
      </c>
      <c r="Z240" s="31" t="str">
        <f t="shared" si="165"/>
        <v>0.999997501833376+0.0107937533121247i</v>
      </c>
      <c r="AA240" s="17">
        <f t="shared" si="176"/>
        <v>1.0000557528375884</v>
      </c>
      <c r="AB240" s="17">
        <f t="shared" si="177"/>
        <v>1.0793361127136735E-2</v>
      </c>
      <c r="AC240" s="66" t="str">
        <f t="shared" si="178"/>
        <v>9.54586503327344-8.79243465726844i</v>
      </c>
      <c r="AD240" s="64">
        <f t="shared" si="179"/>
        <v>22.264205997757823</v>
      </c>
      <c r="AE240" s="61">
        <f t="shared" si="180"/>
        <v>-42.64732189825758</v>
      </c>
      <c r="AF240" s="31" t="str">
        <f t="shared" si="166"/>
        <v>-9090.90909090909</v>
      </c>
      <c r="AG240" s="31" t="str">
        <f t="shared" si="167"/>
        <v>2.27623467397318E-08i</v>
      </c>
      <c r="AH240" s="31">
        <f t="shared" si="181"/>
        <v>2.27623467397318E-8</v>
      </c>
      <c r="AI240" s="31">
        <f t="shared" si="182"/>
        <v>1.5707963267948966</v>
      </c>
      <c r="AJ240" s="31" t="str">
        <f t="shared" si="168"/>
        <v>1+30115761.5020471i</v>
      </c>
      <c r="AK240" s="31">
        <f t="shared" si="183"/>
        <v>30115761.502047114</v>
      </c>
      <c r="AL240" s="31">
        <f t="shared" si="184"/>
        <v>1.5707962935896929</v>
      </c>
      <c r="AM240" s="31" t="str">
        <f t="shared" si="169"/>
        <v>1+13.7413490535349i</v>
      </c>
      <c r="AN240" s="31">
        <f t="shared" si="185"/>
        <v>13.77768753496335</v>
      </c>
      <c r="AO240" s="31">
        <f t="shared" si="186"/>
        <v>1.4981513282355172</v>
      </c>
      <c r="AS240" s="58" t="str">
        <f t="shared" si="187"/>
        <v>13261.6094170313+182232.487601248i</v>
      </c>
      <c r="AT240" s="49">
        <f t="shared" si="188"/>
        <v>105.23545524308207</v>
      </c>
      <c r="AU240" s="61">
        <f t="shared" si="189"/>
        <v>85.837750082331624</v>
      </c>
      <c r="AV240" s="58" t="str">
        <f t="shared" si="190"/>
        <v>1728860.77328442+1622964.89706973i</v>
      </c>
      <c r="AW240" s="64">
        <f t="shared" si="191"/>
        <v>127.49966124083991</v>
      </c>
      <c r="AX240" s="61">
        <f t="shared" si="192"/>
        <v>43.190428184074172</v>
      </c>
      <c r="AY240" s="310"/>
      <c r="BA240" s="31">
        <f t="shared" si="193"/>
        <v>0</v>
      </c>
      <c r="BB240" s="31">
        <f t="shared" si="194"/>
        <v>0</v>
      </c>
    </row>
    <row r="241" spans="14:54" x14ac:dyDescent="0.45">
      <c r="N241" s="10">
        <v>23</v>
      </c>
      <c r="O241" s="50">
        <f t="shared" si="195"/>
        <v>1698.2436524617447</v>
      </c>
      <c r="P241" s="48" t="str">
        <f t="shared" si="161"/>
        <v>17.4002386318441</v>
      </c>
      <c r="Q241" s="17" t="str">
        <f t="shared" si="162"/>
        <v>1+0.913836033288142i</v>
      </c>
      <c r="R241" s="17">
        <f t="shared" si="170"/>
        <v>1.354657261352777</v>
      </c>
      <c r="S241" s="17">
        <f t="shared" si="171"/>
        <v>0.7404069419035022</v>
      </c>
      <c r="T241" s="17" t="str">
        <f t="shared" si="163"/>
        <v>1+0.00320111386954758i</v>
      </c>
      <c r="U241" s="17">
        <f t="shared" si="172"/>
        <v>1.0000051235518774</v>
      </c>
      <c r="V241" s="17">
        <f t="shared" si="173"/>
        <v>3.2011029355381439E-3</v>
      </c>
      <c r="W241" s="31" t="str">
        <f t="shared" si="164"/>
        <v>1-0.00789753263053916i</v>
      </c>
      <c r="X241" s="17">
        <f t="shared" si="174"/>
        <v>1.0000311850245724</v>
      </c>
      <c r="Y241" s="17">
        <f t="shared" si="175"/>
        <v>-7.8973684442905003E-3</v>
      </c>
      <c r="Z241" s="31" t="str">
        <f t="shared" si="165"/>
        <v>0.99999738409841+0.0110451721247044i</v>
      </c>
      <c r="AA241" s="17">
        <f t="shared" si="176"/>
        <v>1.0000583803113332</v>
      </c>
      <c r="AB241" s="17">
        <f t="shared" si="177"/>
        <v>1.1044751892242827E-2</v>
      </c>
      <c r="AC241" s="66" t="str">
        <f t="shared" si="178"/>
        <v>9.34415132102867-8.81290228109754i</v>
      </c>
      <c r="AD241" s="64">
        <f t="shared" si="179"/>
        <v>22.174323799391669</v>
      </c>
      <c r="AE241" s="61">
        <f t="shared" si="180"/>
        <v>-43.324086755577653</v>
      </c>
      <c r="AF241" s="31" t="str">
        <f t="shared" si="166"/>
        <v>-9090.90909090909</v>
      </c>
      <c r="AG241" s="31" t="str">
        <f t="shared" si="167"/>
        <v>2.27623467397318E-08i</v>
      </c>
      <c r="AH241" s="31">
        <f t="shared" si="181"/>
        <v>2.27623467397318E-8</v>
      </c>
      <c r="AI241" s="31">
        <f t="shared" si="182"/>
        <v>1.5707963267948966</v>
      </c>
      <c r="AJ241" s="31" t="str">
        <f t="shared" si="168"/>
        <v>1+30817247.7022432i</v>
      </c>
      <c r="AK241" s="31">
        <f t="shared" si="183"/>
        <v>30817247.702243216</v>
      </c>
      <c r="AL241" s="31">
        <f t="shared" si="184"/>
        <v>1.5707962943455356</v>
      </c>
      <c r="AM241" s="31" t="str">
        <f t="shared" si="169"/>
        <v>1+14.061426190966i</v>
      </c>
      <c r="AN241" s="31">
        <f t="shared" si="185"/>
        <v>14.09693961553303</v>
      </c>
      <c r="AO241" s="31">
        <f t="shared" si="186"/>
        <v>1.499799314851711</v>
      </c>
      <c r="AS241" s="58" t="str">
        <f t="shared" si="187"/>
        <v>12959.7383321011+182232.487581429i</v>
      </c>
      <c r="AT241" s="49">
        <f t="shared" si="188"/>
        <v>105.23442540914414</v>
      </c>
      <c r="AU241" s="61">
        <f t="shared" si="189"/>
        <v>85.932172716826983</v>
      </c>
      <c r="AV241" s="58" t="str">
        <f t="shared" si="190"/>
        <v>1727094.86155254+1588595.03205895i</v>
      </c>
      <c r="AW241" s="64">
        <f t="shared" si="191"/>
        <v>127.4087492085358</v>
      </c>
      <c r="AX241" s="61">
        <f t="shared" si="192"/>
        <v>42.608085961249394</v>
      </c>
      <c r="AY241" s="310"/>
      <c r="BA241" s="31">
        <f t="shared" si="193"/>
        <v>0</v>
      </c>
      <c r="BB241" s="31">
        <f t="shared" si="194"/>
        <v>0</v>
      </c>
    </row>
    <row r="242" spans="14:54" x14ac:dyDescent="0.45">
      <c r="N242" s="10">
        <v>24</v>
      </c>
      <c r="O242" s="50">
        <f t="shared" si="195"/>
        <v>1737.8008287493772</v>
      </c>
      <c r="P242" s="48" t="str">
        <f t="shared" si="161"/>
        <v>17.4002386318441</v>
      </c>
      <c r="Q242" s="17" t="str">
        <f t="shared" si="162"/>
        <v>1+0.935122008957401i</v>
      </c>
      <c r="R242" s="17">
        <f t="shared" si="170"/>
        <v>1.3691067057160029</v>
      </c>
      <c r="S242" s="17">
        <f t="shared" si="171"/>
        <v>0.75188415299204414</v>
      </c>
      <c r="T242" s="17" t="str">
        <f t="shared" si="163"/>
        <v>1+0.00327567739020078i</v>
      </c>
      <c r="U242" s="17">
        <f t="shared" si="172"/>
        <v>1.0000053650167906</v>
      </c>
      <c r="V242" s="17">
        <f t="shared" si="173"/>
        <v>3.2756656742019799E-3</v>
      </c>
      <c r="W242" s="31" t="str">
        <f t="shared" si="164"/>
        <v>1-0.00808148979713934i</v>
      </c>
      <c r="X242" s="17">
        <f t="shared" si="174"/>
        <v>1.0000326547055058</v>
      </c>
      <c r="Y242" s="17">
        <f t="shared" si="175"/>
        <v>-8.0813138687145097E-3</v>
      </c>
      <c r="Z242" s="31" t="str">
        <f t="shared" si="165"/>
        <v>0.999997260814766+0.0113024472337448i</v>
      </c>
      <c r="AA242" s="17">
        <f t="shared" si="176"/>
        <v>1.0000611316067167</v>
      </c>
      <c r="AB242" s="17">
        <f t="shared" si="177"/>
        <v>1.130199694803536E-2</v>
      </c>
      <c r="AC242" s="66" t="str">
        <f t="shared" si="178"/>
        <v>9.14160134189725-8.82877088442573i</v>
      </c>
      <c r="AD242" s="64">
        <f t="shared" si="179"/>
        <v>22.082157399747526</v>
      </c>
      <c r="AE242" s="61">
        <f t="shared" si="180"/>
        <v>-44.002688733775187</v>
      </c>
      <c r="AF242" s="31" t="str">
        <f t="shared" si="166"/>
        <v>-9090.90909090909</v>
      </c>
      <c r="AG242" s="31" t="str">
        <f t="shared" si="167"/>
        <v>2.27623467397318E-08i</v>
      </c>
      <c r="AH242" s="31">
        <f t="shared" si="181"/>
        <v>2.27623467397318E-8</v>
      </c>
      <c r="AI242" s="31">
        <f t="shared" si="182"/>
        <v>1.5707963267948966</v>
      </c>
      <c r="AJ242" s="31" t="str">
        <f t="shared" si="168"/>
        <v>1+31535073.6150858i</v>
      </c>
      <c r="AK242" s="31">
        <f t="shared" si="183"/>
        <v>31535073.615085814</v>
      </c>
      <c r="AL242" s="31">
        <f t="shared" si="184"/>
        <v>1.5707962950841732</v>
      </c>
      <c r="AM242" s="31" t="str">
        <f t="shared" si="169"/>
        <v>1+14.3889588826886i</v>
      </c>
      <c r="AN242" s="31">
        <f t="shared" si="185"/>
        <v>14.423665890740232</v>
      </c>
      <c r="AO242" s="31">
        <f t="shared" si="186"/>
        <v>1.501410162060336</v>
      </c>
      <c r="AS242" s="58" t="str">
        <f t="shared" si="187"/>
        <v>12664.7386719768+182232.487562502i</v>
      </c>
      <c r="AT242" s="49">
        <f t="shared" si="188"/>
        <v>105.23344169735267</v>
      </c>
      <c r="AU242" s="61">
        <f t="shared" si="189"/>
        <v>86.024467421000864</v>
      </c>
      <c r="AV242" s="58" t="str">
        <f t="shared" si="190"/>
        <v>1724664.87242681+1554082.67679263i</v>
      </c>
      <c r="AW242" s="64">
        <f t="shared" si="191"/>
        <v>127.31559909710018</v>
      </c>
      <c r="AX242" s="61">
        <f t="shared" si="192"/>
        <v>42.021778687225655</v>
      </c>
      <c r="AY242" s="310"/>
      <c r="BA242" s="31">
        <f t="shared" si="193"/>
        <v>0</v>
      </c>
      <c r="BB242" s="31">
        <f t="shared" si="194"/>
        <v>0</v>
      </c>
    </row>
    <row r="243" spans="14:54" x14ac:dyDescent="0.45">
      <c r="N243" s="10">
        <v>25</v>
      </c>
      <c r="O243" s="50">
        <f t="shared" si="195"/>
        <v>1778.2794100389244</v>
      </c>
      <c r="P243" s="48" t="str">
        <f t="shared" si="161"/>
        <v>17.4002386318441</v>
      </c>
      <c r="Q243" s="17" t="str">
        <f t="shared" si="162"/>
        <v>1+0.956903798693613i</v>
      </c>
      <c r="R243" s="17">
        <f t="shared" si="170"/>
        <v>1.3840754603540468</v>
      </c>
      <c r="S243" s="17">
        <f t="shared" si="171"/>
        <v>0.76337907580298858</v>
      </c>
      <c r="T243" s="17" t="str">
        <f t="shared" si="163"/>
        <v>1+0.00335197771836498i</v>
      </c>
      <c r="U243" s="17">
        <f t="shared" si="172"/>
        <v>1.000005617861532</v>
      </c>
      <c r="V243" s="17">
        <f t="shared" si="173"/>
        <v>3.3519651644498948E-3</v>
      </c>
      <c r="W243" s="31" t="str">
        <f t="shared" si="164"/>
        <v>1-0.00826973187660113i</v>
      </c>
      <c r="X243" s="17">
        <f t="shared" si="174"/>
        <v>1.0000341936480526</v>
      </c>
      <c r="Y243" s="17">
        <f t="shared" si="175"/>
        <v>-8.2695433662457046E-3</v>
      </c>
      <c r="Z243" s="31" t="str">
        <f t="shared" si="165"/>
        <v>0.999997131720943+0.0115657150499141i</v>
      </c>
      <c r="AA243" s="17">
        <f t="shared" si="176"/>
        <v>1.0000640125585605</v>
      </c>
      <c r="AB243" s="17">
        <f t="shared" si="177"/>
        <v>1.1565232561750672E-2</v>
      </c>
      <c r="AC243" s="66" t="str">
        <f t="shared" si="178"/>
        <v>8.93842581731094-8.83999853287819i</v>
      </c>
      <c r="AD243" s="64">
        <f t="shared" si="179"/>
        <v>21.987698518639025</v>
      </c>
      <c r="AE243" s="61">
        <f t="shared" si="180"/>
        <v>-44.682794703372629</v>
      </c>
      <c r="AF243" s="31" t="str">
        <f t="shared" si="166"/>
        <v>-9090.90909090909</v>
      </c>
      <c r="AG243" s="31" t="str">
        <f t="shared" si="167"/>
        <v>2.27623467397318E-08i</v>
      </c>
      <c r="AH243" s="31">
        <f t="shared" si="181"/>
        <v>2.27623467397318E-8</v>
      </c>
      <c r="AI243" s="31">
        <f t="shared" si="182"/>
        <v>1.5707963267948966</v>
      </c>
      <c r="AJ243" s="31" t="str">
        <f t="shared" si="168"/>
        <v>1+32269619.8413751i</v>
      </c>
      <c r="AK243" s="31">
        <f t="shared" si="183"/>
        <v>32269619.841375116</v>
      </c>
      <c r="AL243" s="31">
        <f t="shared" si="184"/>
        <v>1.5707962958059973</v>
      </c>
      <c r="AM243" s="31" t="str">
        <f t="shared" si="169"/>
        <v>1+14.7241207908712i</v>
      </c>
      <c r="AN243" s="31">
        <f t="shared" si="185"/>
        <v>14.758039607758395</v>
      </c>
      <c r="AO243" s="31">
        <f t="shared" si="186"/>
        <v>1.5029846904961461</v>
      </c>
      <c r="AS243" s="58" t="str">
        <f t="shared" si="187"/>
        <v>12376.4540239342+182232.487544426i</v>
      </c>
      <c r="AT243" s="49">
        <f t="shared" si="188"/>
        <v>105.23250205183773</v>
      </c>
      <c r="AU243" s="61">
        <f t="shared" si="189"/>
        <v>86.114681213738606</v>
      </c>
      <c r="AV243" s="58" t="str">
        <f t="shared" si="190"/>
        <v>1721560.93870976+1519463.73600608i</v>
      </c>
      <c r="AW243" s="64">
        <f t="shared" si="191"/>
        <v>127.22020057047675</v>
      </c>
      <c r="AX243" s="61">
        <f t="shared" si="192"/>
        <v>41.43188651036607</v>
      </c>
      <c r="AY243" s="310"/>
      <c r="BA243" s="31">
        <f t="shared" si="193"/>
        <v>0</v>
      </c>
      <c r="BB243" s="31">
        <f t="shared" si="194"/>
        <v>0</v>
      </c>
    </row>
    <row r="244" spans="14:54" x14ac:dyDescent="0.45">
      <c r="N244" s="10">
        <v>26</v>
      </c>
      <c r="O244" s="50">
        <f t="shared" si="195"/>
        <v>1819.7008586099832</v>
      </c>
      <c r="P244" s="48" t="str">
        <f t="shared" si="161"/>
        <v>17.4002386318441</v>
      </c>
      <c r="Q244" s="17" t="str">
        <f t="shared" si="162"/>
        <v>1+0.97919295149i</v>
      </c>
      <c r="R244" s="17">
        <f t="shared" si="170"/>
        <v>1.3995780922291179</v>
      </c>
      <c r="S244" s="17">
        <f t="shared" si="171"/>
        <v>0.7748856552527682</v>
      </c>
      <c r="T244" s="17" t="str">
        <f t="shared" si="163"/>
        <v>1+0.00343005530948409i</v>
      </c>
      <c r="U244" s="17">
        <f t="shared" si="172"/>
        <v>1.0000058826224103</v>
      </c>
      <c r="V244" s="17">
        <f t="shared" si="173"/>
        <v>3.4300418577259935E-3</v>
      </c>
      <c r="W244" s="31" t="str">
        <f t="shared" si="164"/>
        <v>1-0.00846235867736665i</v>
      </c>
      <c r="X244" s="17">
        <f t="shared" si="174"/>
        <v>1.0000358051161891</v>
      </c>
      <c r="Y244" s="17">
        <f t="shared" si="175"/>
        <v>-8.4621566852721725E-3</v>
      </c>
      <c r="Z244" s="31" t="str">
        <f t="shared" si="165"/>
        <v>0.999996996543116+0.011835115161293i</v>
      </c>
      <c r="AA244" s="17">
        <f t="shared" si="176"/>
        <v>1.000067029276605</v>
      </c>
      <c r="AB244" s="17">
        <f t="shared" si="177"/>
        <v>1.1834598167781844E-2</v>
      </c>
      <c r="AC244" s="66" t="str">
        <f t="shared" si="178"/>
        <v>8.73483810154089-8.84655538085455i</v>
      </c>
      <c r="AD244" s="64">
        <f t="shared" si="179"/>
        <v>21.890941271267547</v>
      </c>
      <c r="AE244" s="61">
        <f t="shared" si="180"/>
        <v>-45.364069120103714</v>
      </c>
      <c r="AF244" s="31" t="str">
        <f t="shared" si="166"/>
        <v>-9090.90909090909</v>
      </c>
      <c r="AG244" s="31" t="str">
        <f t="shared" si="167"/>
        <v>2.27623467397318E-08i</v>
      </c>
      <c r="AH244" s="31">
        <f t="shared" si="181"/>
        <v>2.27623467397318E-8</v>
      </c>
      <c r="AI244" s="31">
        <f t="shared" si="182"/>
        <v>1.5707963267948966</v>
      </c>
      <c r="AJ244" s="31" t="str">
        <f t="shared" si="168"/>
        <v>1+33021275.8472429i</v>
      </c>
      <c r="AK244" s="31">
        <f t="shared" si="183"/>
        <v>33021275.847242914</v>
      </c>
      <c r="AL244" s="31">
        <f t="shared" si="184"/>
        <v>1.5707962965113909</v>
      </c>
      <c r="AM244" s="31" t="str">
        <f t="shared" si="169"/>
        <v>1+15.0670896227938i</v>
      </c>
      <c r="AN244" s="31">
        <f t="shared" si="185"/>
        <v>15.100238067702794</v>
      </c>
      <c r="AO244" s="31">
        <f t="shared" si="186"/>
        <v>1.5045237037495973</v>
      </c>
      <c r="AS244" s="58" t="str">
        <f t="shared" si="187"/>
        <v>12094.7315356369+182232.487527165i</v>
      </c>
      <c r="AT244" s="49">
        <f t="shared" si="188"/>
        <v>105.23160450751404</v>
      </c>
      <c r="AU244" s="61">
        <f t="shared" si="189"/>
        <v>86.202860137359991</v>
      </c>
      <c r="AV244" s="58" t="str">
        <f t="shared" si="190"/>
        <v>1717775.31494534+1484774.56304428i</v>
      </c>
      <c r="AW244" s="64">
        <f t="shared" si="191"/>
        <v>127.12254577878157</v>
      </c>
      <c r="AX244" s="61">
        <f t="shared" si="192"/>
        <v>40.838791017256369</v>
      </c>
      <c r="AY244" s="310"/>
      <c r="BA244" s="31">
        <f t="shared" si="193"/>
        <v>0</v>
      </c>
      <c r="BB244" s="31">
        <f t="shared" si="194"/>
        <v>0</v>
      </c>
    </row>
    <row r="245" spans="14:54" x14ac:dyDescent="0.45">
      <c r="N245" s="10">
        <v>27</v>
      </c>
      <c r="O245" s="50">
        <f t="shared" si="195"/>
        <v>1862.0871366628687</v>
      </c>
      <c r="P245" s="48" t="str">
        <f t="shared" si="161"/>
        <v>17.4002386318441</v>
      </c>
      <c r="Q245" s="17" t="str">
        <f t="shared" si="162"/>
        <v>1+1.00200128535042i</v>
      </c>
      <c r="R245" s="17">
        <f t="shared" si="170"/>
        <v>1.4156293921234802</v>
      </c>
      <c r="S245" s="17">
        <f t="shared" si="171"/>
        <v>0.78639780545484694</v>
      </c>
      <c r="T245" s="17" t="str">
        <f t="shared" si="163"/>
        <v>1+0.00350995156133046i</v>
      </c>
      <c r="U245" s="17">
        <f t="shared" si="172"/>
        <v>1.0000061598610095</v>
      </c>
      <c r="V245" s="17">
        <f t="shared" si="173"/>
        <v>3.5099371475167656E-3</v>
      </c>
      <c r="W245" s="31" t="str">
        <f t="shared" si="164"/>
        <v>1-0.00865947233271552i</v>
      </c>
      <c r="X245" s="17">
        <f t="shared" si="174"/>
        <v>1.0000374925276958</v>
      </c>
      <c r="Y245" s="17">
        <f t="shared" si="175"/>
        <v>-8.6592558947250348E-3</v>
      </c>
      <c r="Z245" s="31" t="str">
        <f t="shared" si="165"/>
        <v>0.999996854994554+0.0121107904073868i</v>
      </c>
      <c r="AA245" s="17">
        <f t="shared" si="176"/>
        <v>1.0000701881584566</v>
      </c>
      <c r="AB245" s="17">
        <f t="shared" si="177"/>
        <v>1.211023644095764E-2</v>
      </c>
      <c r="AC245" s="66" t="str">
        <f t="shared" si="178"/>
        <v>8.53105329054634-8.84842386296922i</v>
      </c>
      <c r="AD245" s="64">
        <f t="shared" si="179"/>
        <v>21.791882192907227</v>
      </c>
      <c r="AE245" s="61">
        <f t="shared" si="180"/>
        <v>-46.046174939467782</v>
      </c>
      <c r="AF245" s="31" t="str">
        <f t="shared" si="166"/>
        <v>-9090.90909090909</v>
      </c>
      <c r="AG245" s="31" t="str">
        <f t="shared" si="167"/>
        <v>2.27623467397318E-08i</v>
      </c>
      <c r="AH245" s="31">
        <f t="shared" si="181"/>
        <v>2.27623467397318E-8</v>
      </c>
      <c r="AI245" s="31">
        <f t="shared" si="182"/>
        <v>1.5707963267948966</v>
      </c>
      <c r="AJ245" s="31" t="str">
        <f t="shared" si="168"/>
        <v>1+33790440.1706533i</v>
      </c>
      <c r="AK245" s="31">
        <f t="shared" si="183"/>
        <v>33790440.170653313</v>
      </c>
      <c r="AL245" s="31">
        <f t="shared" si="184"/>
        <v>1.5707962972007274</v>
      </c>
      <c r="AM245" s="31" t="str">
        <f t="shared" si="169"/>
        <v>1+15.4180472250709i</v>
      </c>
      <c r="AN245" s="31">
        <f t="shared" si="185"/>
        <v>15.450442719693067</v>
      </c>
      <c r="AO245" s="31">
        <f t="shared" si="186"/>
        <v>1.5060279886474961</v>
      </c>
      <c r="AS245" s="58" t="str">
        <f t="shared" si="187"/>
        <v>11819.4218340925+182232.48751068i</v>
      </c>
      <c r="AT245" s="49">
        <f t="shared" si="188"/>
        <v>105.23074718614646</v>
      </c>
      <c r="AU245" s="61">
        <f t="shared" si="189"/>
        <v>86.289049273698765</v>
      </c>
      <c r="AV245" s="58" t="str">
        <f t="shared" si="190"/>
        <v>1713302.40862783+1450051.80801915i</v>
      </c>
      <c r="AW245" s="64">
        <f t="shared" si="191"/>
        <v>127.02262937905371</v>
      </c>
      <c r="AX245" s="61">
        <f t="shared" si="192"/>
        <v>40.24287433423104</v>
      </c>
      <c r="AY245" s="310"/>
      <c r="BA245" s="31">
        <f t="shared" si="193"/>
        <v>0</v>
      </c>
      <c r="BB245" s="31">
        <f t="shared" si="194"/>
        <v>0</v>
      </c>
    </row>
    <row r="246" spans="14:54" x14ac:dyDescent="0.45">
      <c r="N246" s="10">
        <v>28</v>
      </c>
      <c r="O246" s="50">
        <f t="shared" si="195"/>
        <v>1905.4607179632501</v>
      </c>
      <c r="P246" s="48" t="str">
        <f t="shared" si="161"/>
        <v>17.4002386318441</v>
      </c>
      <c r="Q246" s="17" t="str">
        <f t="shared" si="162"/>
        <v>1+1.02534089355541i</v>
      </c>
      <c r="R246" s="17">
        <f t="shared" si="170"/>
        <v>1.4322443743987989</v>
      </c>
      <c r="S246" s="17">
        <f t="shared" si="171"/>
        <v>0.79790942577537283</v>
      </c>
      <c r="T246" s="17" t="str">
        <f t="shared" si="163"/>
        <v>1+0.00359170883595438i</v>
      </c>
      <c r="U246" s="17">
        <f t="shared" si="172"/>
        <v>1.0000064501653789</v>
      </c>
      <c r="V246" s="17">
        <f t="shared" si="173"/>
        <v>3.5916933912801246E-3</v>
      </c>
      <c r="W246" s="31" t="str">
        <f t="shared" si="164"/>
        <v>1-0.00886117735491693i</v>
      </c>
      <c r="X246" s="17">
        <f t="shared" si="174"/>
        <v>1.0000392594614049</v>
      </c>
      <c r="Y246" s="17">
        <f t="shared" si="175"/>
        <v>-8.8609454379234651E-3</v>
      </c>
      <c r="Z246" s="31" t="str">
        <f t="shared" si="165"/>
        <v>0.999996706775013+0.01239288695486i</v>
      </c>
      <c r="AA246" s="17">
        <f t="shared" si="176"/>
        <v>1.0000734959031496</v>
      </c>
      <c r="AB246" s="17">
        <f t="shared" si="177"/>
        <v>1.2392293371491505E-2</v>
      </c>
      <c r="AC246" s="66" t="str">
        <f t="shared" si="178"/>
        <v>8.3272873152256-8.84559880701508i</v>
      </c>
      <c r="AD246" s="64">
        <f t="shared" si="179"/>
        <v>21.690520253424467</v>
      </c>
      <c r="AE246" s="61">
        <f t="shared" si="180"/>
        <v>-46.728774542773628</v>
      </c>
      <c r="AF246" s="31" t="str">
        <f t="shared" si="166"/>
        <v>-9090.90909090909</v>
      </c>
      <c r="AG246" s="31" t="str">
        <f t="shared" si="167"/>
        <v>2.27623467397318E-08i</v>
      </c>
      <c r="AH246" s="31">
        <f t="shared" si="181"/>
        <v>2.27623467397318E-8</v>
      </c>
      <c r="AI246" s="31">
        <f t="shared" si="182"/>
        <v>1.5707963267948966</v>
      </c>
      <c r="AJ246" s="31" t="str">
        <f t="shared" si="168"/>
        <v>1+34577520.6327119i</v>
      </c>
      <c r="AK246" s="31">
        <f t="shared" si="183"/>
        <v>34577520.632711917</v>
      </c>
      <c r="AL246" s="31">
        <f t="shared" si="184"/>
        <v>1.570796297874373</v>
      </c>
      <c r="AM246" s="31" t="str">
        <f t="shared" si="169"/>
        <v>1+15.7771796800689i</v>
      </c>
      <c r="AN246" s="31">
        <f t="shared" si="185"/>
        <v>15.80883925711116</v>
      </c>
      <c r="AO246" s="31">
        <f t="shared" si="186"/>
        <v>1.5074983155342252</v>
      </c>
      <c r="AS246" s="58" t="str">
        <f t="shared" si="187"/>
        <v>11550.3789464528+182232.487494937i</v>
      </c>
      <c r="AT246" s="49">
        <f t="shared" si="188"/>
        <v>105.22992829258055</v>
      </c>
      <c r="AU246" s="61">
        <f t="shared" si="189"/>
        <v>86.373292760215932</v>
      </c>
      <c r="AV246" s="58" t="str">
        <f t="shared" si="190"/>
        <v>1708138.79807145+1415332.26330928i</v>
      </c>
      <c r="AW246" s="64">
        <f t="shared" si="191"/>
        <v>126.92044854600499</v>
      </c>
      <c r="AX246" s="61">
        <f t="shared" si="192"/>
        <v>39.644518217442268</v>
      </c>
      <c r="AY246" s="310"/>
      <c r="BA246" s="31">
        <f t="shared" si="193"/>
        <v>0</v>
      </c>
      <c r="BB246" s="31">
        <f t="shared" si="194"/>
        <v>0</v>
      </c>
    </row>
    <row r="247" spans="14:54" x14ac:dyDescent="0.45">
      <c r="N247" s="10">
        <v>29</v>
      </c>
      <c r="O247" s="50">
        <f t="shared" si="195"/>
        <v>1949.8445997580463</v>
      </c>
      <c r="P247" s="48" t="str">
        <f t="shared" si="161"/>
        <v>17.4002386318441</v>
      </c>
      <c r="Q247" s="17" t="str">
        <f t="shared" si="162"/>
        <v>1+1.04922415107413i</v>
      </c>
      <c r="R247" s="17">
        <f t="shared" si="170"/>
        <v>1.4494382771257384</v>
      </c>
      <c r="S247" s="17">
        <f t="shared" si="171"/>
        <v>0.8094144169839409</v>
      </c>
      <c r="T247" s="17" t="str">
        <f t="shared" si="163"/>
        <v>1+0.00367537048214496i</v>
      </c>
      <c r="U247" s="17">
        <f t="shared" si="172"/>
        <v>1.0000067541512812</v>
      </c>
      <c r="V247" s="17">
        <f t="shared" si="173"/>
        <v>3.6753539328843693E-3</v>
      </c>
      <c r="W247" s="31" t="str">
        <f t="shared" si="164"/>
        <v>1-0.00906758069064335i</v>
      </c>
      <c r="X247" s="17">
        <f t="shared" si="174"/>
        <v>1.0000411096647883</v>
      </c>
      <c r="Y247" s="17">
        <f t="shared" si="175"/>
        <v>-9.0673321876593629E-3</v>
      </c>
      <c r="Z247" s="31" t="str">
        <f t="shared" si="165"/>
        <v>0.999996551570101+0.0126815543750358i</v>
      </c>
      <c r="AA247" s="17">
        <f t="shared" si="176"/>
        <v>1.000076959525346</v>
      </c>
      <c r="AB247" s="17">
        <f t="shared" si="177"/>
        <v>1.2680918341639279E-2</v>
      </c>
      <c r="AC247" s="66" t="str">
        <f t="shared" si="178"/>
        <v>8.12375602716811-8.83808746709845i</v>
      </c>
      <c r="AD247" s="64">
        <f t="shared" si="179"/>
        <v>21.586856861501523</v>
      </c>
      <c r="AE247" s="61">
        <f t="shared" si="180"/>
        <v>-47.41153066877277</v>
      </c>
      <c r="AF247" s="31" t="str">
        <f t="shared" si="166"/>
        <v>-9090.90909090909</v>
      </c>
      <c r="AG247" s="31" t="str">
        <f t="shared" si="167"/>
        <v>2.27623467397318E-08i</v>
      </c>
      <c r="AH247" s="31">
        <f t="shared" si="181"/>
        <v>2.27623467397318E-8</v>
      </c>
      <c r="AI247" s="31">
        <f t="shared" si="182"/>
        <v>1.5707963267948966</v>
      </c>
      <c r="AJ247" s="31" t="str">
        <f t="shared" si="168"/>
        <v>1+35382934.5538971i</v>
      </c>
      <c r="AK247" s="31">
        <f t="shared" si="183"/>
        <v>35382934.553897113</v>
      </c>
      <c r="AL247" s="31">
        <f t="shared" si="184"/>
        <v>1.5707962985326847</v>
      </c>
      <c r="AM247" s="31" t="str">
        <f t="shared" si="169"/>
        <v>1+16.1446774045688i</v>
      </c>
      <c r="AN247" s="31">
        <f t="shared" si="185"/>
        <v>16.175617716105755</v>
      </c>
      <c r="AO247" s="31">
        <f t="shared" si="186"/>
        <v>1.5089354385530862</v>
      </c>
      <c r="AS247" s="58" t="str">
        <f t="shared" si="187"/>
        <v>11287.4602226182+182232.487479904i</v>
      </c>
      <c r="AT247" s="49">
        <f t="shared" si="188"/>
        <v>105.22914611112965</v>
      </c>
      <c r="AU247" s="61">
        <f t="shared" si="189"/>
        <v>86.455633806119266</v>
      </c>
      <c r="AV247" s="58" t="str">
        <f t="shared" si="190"/>
        <v>1702283.23670923+1380652.70778181i</v>
      </c>
      <c r="AW247" s="64">
        <f t="shared" si="191"/>
        <v>126.81600297263117</v>
      </c>
      <c r="AX247" s="61">
        <f t="shared" si="192"/>
        <v>39.044103137346447</v>
      </c>
      <c r="AY247" s="310"/>
      <c r="BA247" s="31">
        <f t="shared" si="193"/>
        <v>0</v>
      </c>
      <c r="BB247" s="31">
        <f t="shared" si="194"/>
        <v>0</v>
      </c>
    </row>
    <row r="248" spans="14:54" x14ac:dyDescent="0.45">
      <c r="N248" s="10">
        <v>30</v>
      </c>
      <c r="O248" s="50">
        <f t="shared" si="195"/>
        <v>1995.2623149688804</v>
      </c>
      <c r="P248" s="48" t="str">
        <f t="shared" si="161"/>
        <v>17.4002386318441</v>
      </c>
      <c r="Q248" s="17" t="str">
        <f t="shared" si="162"/>
        <v>1+1.07366372112588i</v>
      </c>
      <c r="R248" s="17">
        <f t="shared" si="170"/>
        <v>1.4672265626214211</v>
      </c>
      <c r="S248" s="17">
        <f t="shared" si="171"/>
        <v>0.82090669739540034</v>
      </c>
      <c r="T248" s="17" t="str">
        <f t="shared" si="163"/>
        <v>1+0.00376098085841448i</v>
      </c>
      <c r="U248" s="17">
        <f t="shared" si="172"/>
        <v>1.0000070724634988</v>
      </c>
      <c r="V248" s="17">
        <f t="shared" si="173"/>
        <v>3.760963125569043E-3</v>
      </c>
      <c r="W248" s="31" t="str">
        <f t="shared" si="164"/>
        <v>1-0.00927879177767564i</v>
      </c>
      <c r="X248" s="17">
        <f t="shared" si="174"/>
        <v>1.0000430470619019</v>
      </c>
      <c r="Y248" s="17">
        <f t="shared" si="175"/>
        <v>-9.2785255025499298E-3</v>
      </c>
      <c r="Z248" s="31" t="str">
        <f t="shared" si="165"/>
        <v>0.999996389050607+0.0129769457232015i</v>
      </c>
      <c r="AA248" s="17">
        <f t="shared" si="176"/>
        <v>1.0000805863701963</v>
      </c>
      <c r="AB248" s="17">
        <f t="shared" si="177"/>
        <v>1.2976264204102797E-2</v>
      </c>
      <c r="AC248" s="66" t="str">
        <f t="shared" si="178"/>
        <v>7.92067428511958-8.82590947654733i</v>
      </c>
      <c r="AD248" s="64">
        <f t="shared" si="179"/>
        <v>21.480895858524448</v>
      </c>
      <c r="AE248" s="61">
        <f t="shared" si="180"/>
        <v>-48.094107344922406</v>
      </c>
      <c r="AF248" s="31" t="str">
        <f t="shared" si="166"/>
        <v>-9090.90909090909</v>
      </c>
      <c r="AG248" s="31" t="str">
        <f t="shared" si="167"/>
        <v>2.27623467397318E-08i</v>
      </c>
      <c r="AH248" s="31">
        <f t="shared" si="181"/>
        <v>2.27623467397318E-8</v>
      </c>
      <c r="AI248" s="31">
        <f t="shared" si="182"/>
        <v>1.5707963267948966</v>
      </c>
      <c r="AJ248" s="31" t="str">
        <f t="shared" si="168"/>
        <v>1+36207108.9753315i</v>
      </c>
      <c r="AK248" s="31">
        <f t="shared" si="183"/>
        <v>36207108.975331515</v>
      </c>
      <c r="AL248" s="31">
        <f t="shared" si="184"/>
        <v>1.5707962991760109</v>
      </c>
      <c r="AM248" s="31" t="str">
        <f t="shared" si="169"/>
        <v>1+16.5207352507287i</v>
      </c>
      <c r="AN248" s="31">
        <f t="shared" si="185"/>
        <v>16.550972576397736</v>
      </c>
      <c r="AO248" s="31">
        <f t="shared" si="186"/>
        <v>1.5103400959273499</v>
      </c>
      <c r="AS248" s="58" t="str">
        <f t="shared" si="187"/>
        <v>11030.5262596006+182232.487465545i</v>
      </c>
      <c r="AT248" s="49">
        <f t="shared" si="188"/>
        <v>105.22839900211393</v>
      </c>
      <c r="AU248" s="61">
        <f t="shared" si="189"/>
        <v>86.536114708466613</v>
      </c>
      <c r="AV248" s="58" t="str">
        <f t="shared" si="190"/>
        <v>1695736.6437527+1346049.75113581i</v>
      </c>
      <c r="AW248" s="64">
        <f t="shared" si="191"/>
        <v>126.70929486063838</v>
      </c>
      <c r="AX248" s="61">
        <f t="shared" si="192"/>
        <v>38.442007363544313</v>
      </c>
      <c r="AY248" s="310"/>
      <c r="BA248" s="31">
        <f t="shared" si="193"/>
        <v>0</v>
      </c>
      <c r="BB248" s="31">
        <f t="shared" si="194"/>
        <v>0</v>
      </c>
    </row>
    <row r="249" spans="14:54" x14ac:dyDescent="0.45">
      <c r="N249" s="10">
        <v>31</v>
      </c>
      <c r="O249" s="50">
        <f t="shared" si="195"/>
        <v>2041.7379446695318</v>
      </c>
      <c r="P249" s="48" t="str">
        <f t="shared" si="161"/>
        <v>17.4002386318441</v>
      </c>
      <c r="Q249" s="17" t="str">
        <f t="shared" si="162"/>
        <v>1+1.09867256189419i</v>
      </c>
      <c r="R249" s="17">
        <f t="shared" si="170"/>
        <v>1.4856249184296628</v>
      </c>
      <c r="S249" s="17">
        <f t="shared" si="171"/>
        <v>0.83238021889838909</v>
      </c>
      <c r="T249" s="17" t="str">
        <f t="shared" si="163"/>
        <v>1+0.00384858535651758i</v>
      </c>
      <c r="U249" s="17">
        <f t="shared" si="172"/>
        <v>1.0000074057772004</v>
      </c>
      <c r="V249" s="17">
        <f t="shared" si="173"/>
        <v>3.8485663554389577E-3</v>
      </c>
      <c r="W249" s="31" t="str">
        <f t="shared" si="164"/>
        <v>1-0.00949492260292773i</v>
      </c>
      <c r="X249" s="17">
        <f t="shared" si="174"/>
        <v>1.0000450757617056</v>
      </c>
      <c r="Y249" s="17">
        <f t="shared" si="175"/>
        <v>-9.4946372846845956E-3</v>
      </c>
      <c r="Z249" s="31" t="str">
        <f t="shared" si="165"/>
        <v>0.999996218871805+0.0132792176197597i</v>
      </c>
      <c r="AA249" s="17">
        <f t="shared" si="176"/>
        <v>1.0000843841289093</v>
      </c>
      <c r="AB249" s="17">
        <f t="shared" si="177"/>
        <v>1.3278487362214679E-2</v>
      </c>
      <c r="AC249" s="66" t="str">
        <f t="shared" si="178"/>
        <v>7.71825505036786-8.80909672115777i</v>
      </c>
      <c r="AD249" s="64">
        <f t="shared" si="179"/>
        <v>21.372643502191981</v>
      </c>
      <c r="AE249" s="61">
        <f t="shared" si="180"/>
        <v>-48.776170812303327</v>
      </c>
      <c r="AF249" s="31" t="str">
        <f t="shared" si="166"/>
        <v>-9090.90909090909</v>
      </c>
      <c r="AG249" s="31" t="str">
        <f t="shared" si="167"/>
        <v>2.27623467397318E-08i</v>
      </c>
      <c r="AH249" s="31">
        <f t="shared" si="181"/>
        <v>2.27623467397318E-8</v>
      </c>
      <c r="AI249" s="31">
        <f t="shared" si="182"/>
        <v>1.5707963267948966</v>
      </c>
      <c r="AJ249" s="31" t="str">
        <f t="shared" si="168"/>
        <v>1+37050480.8852022i</v>
      </c>
      <c r="AK249" s="31">
        <f t="shared" si="183"/>
        <v>37050480.885202214</v>
      </c>
      <c r="AL249" s="31">
        <f t="shared" si="184"/>
        <v>1.5707962998046936</v>
      </c>
      <c r="AM249" s="31" t="str">
        <f t="shared" si="169"/>
        <v>1+16.9055526093962i</v>
      </c>
      <c r="AN249" s="31">
        <f t="shared" si="185"/>
        <v>16.935102864437013</v>
      </c>
      <c r="AO249" s="31">
        <f t="shared" si="186"/>
        <v>1.5117130102406167</v>
      </c>
      <c r="AS249" s="58" t="str">
        <f t="shared" si="187"/>
        <v>10779.4408276122+182232.487451834i</v>
      </c>
      <c r="AT249" s="49">
        <f t="shared" si="188"/>
        <v>105.22768539854582</v>
      </c>
      <c r="AU249" s="61">
        <f t="shared" si="189"/>
        <v>86.614776868229072</v>
      </c>
      <c r="AV249" s="58" t="str">
        <f t="shared" si="190"/>
        <v>1688502.08130823+1311559.67976578i</v>
      </c>
      <c r="AW249" s="64">
        <f t="shared" si="191"/>
        <v>126.60032890073778</v>
      </c>
      <c r="AX249" s="61">
        <f t="shared" si="192"/>
        <v>37.838606055925773</v>
      </c>
      <c r="AY249" s="310"/>
      <c r="BA249" s="31">
        <f t="shared" si="193"/>
        <v>0</v>
      </c>
      <c r="BB249" s="31">
        <f t="shared" si="194"/>
        <v>0</v>
      </c>
    </row>
    <row r="250" spans="14:54" x14ac:dyDescent="0.45">
      <c r="N250" s="10">
        <v>32</v>
      </c>
      <c r="O250" s="50">
        <f t="shared" si="195"/>
        <v>2089.2961308540398</v>
      </c>
      <c r="P250" s="48" t="str">
        <f t="shared" si="161"/>
        <v>17.4002386318441</v>
      </c>
      <c r="Q250" s="17" t="str">
        <f t="shared" si="162"/>
        <v>1+1.12426393339747i</v>
      </c>
      <c r="R250" s="17">
        <f t="shared" si="170"/>
        <v>1.5046492587770581</v>
      </c>
      <c r="S250" s="17">
        <f t="shared" si="171"/>
        <v>0.84382898276807405</v>
      </c>
      <c r="T250" s="17" t="str">
        <f t="shared" si="163"/>
        <v>1+0.00393823042551879i</v>
      </c>
      <c r="U250" s="17">
        <f t="shared" si="172"/>
        <v>1.0000077547993738</v>
      </c>
      <c r="V250" s="17">
        <f t="shared" si="173"/>
        <v>3.9382100655047537E-3</v>
      </c>
      <c r="W250" s="31" t="str">
        <f t="shared" si="164"/>
        <v>1-0.00971608776182414i</v>
      </c>
      <c r="X250" s="17">
        <f t="shared" si="174"/>
        <v>1.0000472000667746</v>
      </c>
      <c r="Y250" s="17">
        <f t="shared" si="175"/>
        <v>-9.715782038597803E-3</v>
      </c>
      <c r="Z250" s="31" t="str">
        <f t="shared" si="165"/>
        <v>0.999996040672723+0.0135885303332713i</v>
      </c>
      <c r="AA250" s="17">
        <f t="shared" si="176"/>
        <v>1.0000883608550499</v>
      </c>
      <c r="AB250" s="17">
        <f t="shared" si="177"/>
        <v>1.3587747851945954E-2</v>
      </c>
      <c r="AC250" s="66" t="str">
        <f t="shared" si="178"/>
        <v>7.51670849911106-8.78769313429414i</v>
      </c>
      <c r="AD250" s="64">
        <f t="shared" si="179"/>
        <v>21.262108439989436</v>
      </c>
      <c r="AE250" s="61">
        <f t="shared" si="180"/>
        <v>-49.457390438323777</v>
      </c>
      <c r="AF250" s="31" t="str">
        <f t="shared" si="166"/>
        <v>-9090.90909090909</v>
      </c>
      <c r="AG250" s="31" t="str">
        <f t="shared" si="167"/>
        <v>2.27623467397318E-08i</v>
      </c>
      <c r="AH250" s="31">
        <f t="shared" si="181"/>
        <v>2.27623467397318E-8</v>
      </c>
      <c r="AI250" s="31">
        <f t="shared" si="182"/>
        <v>1.5707963267948966</v>
      </c>
      <c r="AJ250" s="31" t="str">
        <f t="shared" si="168"/>
        <v>1+37913497.4504596i</v>
      </c>
      <c r="AK250" s="31">
        <f t="shared" si="183"/>
        <v>37913497.450459614</v>
      </c>
      <c r="AL250" s="31">
        <f t="shared" si="184"/>
        <v>1.5707963004190657</v>
      </c>
      <c r="AM250" s="31" t="str">
        <f t="shared" si="169"/>
        <v>1+17.2993335158289i</v>
      </c>
      <c r="AN250" s="31">
        <f t="shared" si="185"/>
        <v>17.328212258968929</v>
      </c>
      <c r="AO250" s="31">
        <f t="shared" si="186"/>
        <v>1.5130548887161515</v>
      </c>
      <c r="AS250" s="58" t="str">
        <f t="shared" si="187"/>
        <v>10534.0707978334+182232.48743874i</v>
      </c>
      <c r="AT250" s="49">
        <f t="shared" si="188"/>
        <v>105.22700380295413</v>
      </c>
      <c r="AU250" s="61">
        <f t="shared" si="189"/>
        <v>86.691660806295701</v>
      </c>
      <c r="AV250" s="58" t="str">
        <f t="shared" si="190"/>
        <v>1680584.71820707+1277218.30551864i</v>
      </c>
      <c r="AW250" s="64">
        <f t="shared" si="191"/>
        <v>126.48911224294358</v>
      </c>
      <c r="AX250" s="61">
        <f t="shared" si="192"/>
        <v>37.234270367971973</v>
      </c>
      <c r="AY250" s="310"/>
      <c r="BA250" s="31">
        <f t="shared" si="193"/>
        <v>0</v>
      </c>
      <c r="BB250" s="31">
        <f t="shared" si="194"/>
        <v>0</v>
      </c>
    </row>
    <row r="251" spans="14:54" x14ac:dyDescent="0.45">
      <c r="N251" s="10">
        <v>33</v>
      </c>
      <c r="O251" s="50">
        <f t="shared" si="195"/>
        <v>2137.9620895022344</v>
      </c>
      <c r="P251" s="48" t="str">
        <f t="shared" si="161"/>
        <v>17.4002386318441</v>
      </c>
      <c r="Q251" s="17" t="str">
        <f t="shared" si="162"/>
        <v>1+1.15045140451963i</v>
      </c>
      <c r="R251" s="17">
        <f t="shared" si="170"/>
        <v>1.5243157265347587</v>
      </c>
      <c r="S251" s="17">
        <f t="shared" si="171"/>
        <v>0.85524705516283128</v>
      </c>
      <c r="T251" s="17" t="str">
        <f t="shared" si="163"/>
        <v>1+0.00402996359642022i</v>
      </c>
      <c r="U251" s="17">
        <f t="shared" si="172"/>
        <v>1.0000081202703248</v>
      </c>
      <c r="V251" s="17">
        <f t="shared" si="173"/>
        <v>4.0299417802816921E-3</v>
      </c>
      <c r="W251" s="31" t="str">
        <f t="shared" si="164"/>
        <v>1-0.00994240451905941i</v>
      </c>
      <c r="X251" s="17">
        <f t="shared" si="174"/>
        <v>1.0000494244824205</v>
      </c>
      <c r="Y251" s="17">
        <f t="shared" si="175"/>
        <v>-9.942076931594733E-3</v>
      </c>
      <c r="Z251" s="31" t="str">
        <f t="shared" si="165"/>
        <v>0.999995854075378+0.013905047865431i</v>
      </c>
      <c r="AA251" s="17">
        <f t="shared" si="176"/>
        <v>1.0000925249816064</v>
      </c>
      <c r="AB251" s="17">
        <f t="shared" si="177"/>
        <v>1.3904209425772144E-2</v>
      </c>
      <c r="AC251" s="66" t="str">
        <f t="shared" si="178"/>
        <v>7.31624115961698-8.76175441628284i</v>
      </c>
      <c r="AD251" s="64">
        <f t="shared" si="179"/>
        <v>21.149301672765652</v>
      </c>
      <c r="AE251" s="61">
        <f t="shared" si="180"/>
        <v>-50.137439611466547</v>
      </c>
      <c r="AF251" s="31" t="str">
        <f t="shared" si="166"/>
        <v>-9090.90909090909</v>
      </c>
      <c r="AG251" s="31" t="str">
        <f t="shared" si="167"/>
        <v>2.27623467397318E-08i</v>
      </c>
      <c r="AH251" s="31">
        <f t="shared" si="181"/>
        <v>2.27623467397318E-8</v>
      </c>
      <c r="AI251" s="31">
        <f t="shared" si="182"/>
        <v>1.5707963267948966</v>
      </c>
      <c r="AJ251" s="31" t="str">
        <f t="shared" si="168"/>
        <v>1+38796616.2539095i</v>
      </c>
      <c r="AK251" s="31">
        <f t="shared" si="183"/>
        <v>38796616.253909513</v>
      </c>
      <c r="AL251" s="31">
        <f t="shared" si="184"/>
        <v>1.5707963010194528</v>
      </c>
      <c r="AM251" s="31" t="str">
        <f t="shared" si="169"/>
        <v>1+17.7022867578752i</v>
      </c>
      <c r="AN251" s="31">
        <f t="shared" si="185"/>
        <v>17.730509199062606</v>
      </c>
      <c r="AO251" s="31">
        <f t="shared" si="186"/>
        <v>1.5143664234948533</v>
      </c>
      <c r="AS251" s="58" t="str">
        <f t="shared" si="187"/>
        <v>10294.2860718264+182232.487426234i</v>
      </c>
      <c r="AT251" s="49">
        <f t="shared" si="188"/>
        <v>105.22635278434379</v>
      </c>
      <c r="AU251" s="61">
        <f t="shared" si="189"/>
        <v>86.766806179400305</v>
      </c>
      <c r="AV251" s="58" t="str">
        <f t="shared" si="190"/>
        <v>1671991.78096458+1243060.81867489i</v>
      </c>
      <c r="AW251" s="64">
        <f t="shared" si="191"/>
        <v>126.37565445710945</v>
      </c>
      <c r="AX251" s="61">
        <f t="shared" si="192"/>
        <v>36.629366567933708</v>
      </c>
      <c r="AY251" s="310"/>
      <c r="BA251" s="31">
        <f t="shared" si="193"/>
        <v>0</v>
      </c>
      <c r="BB251" s="31">
        <f t="shared" si="194"/>
        <v>0</v>
      </c>
    </row>
    <row r="252" spans="14:54" x14ac:dyDescent="0.45">
      <c r="N252" s="10">
        <v>34</v>
      </c>
      <c r="O252" s="50">
        <f t="shared" si="195"/>
        <v>2187.7616239495528</v>
      </c>
      <c r="P252" s="48" t="str">
        <f t="shared" si="161"/>
        <v>17.4002386318441</v>
      </c>
      <c r="Q252" s="17" t="str">
        <f t="shared" si="162"/>
        <v>1+1.17724886020449i</v>
      </c>
      <c r="R252" s="17">
        <f t="shared" si="170"/>
        <v>1.5446406957130099</v>
      </c>
      <c r="S252" s="17">
        <f t="shared" si="171"/>
        <v>0.86662858220850492</v>
      </c>
      <c r="T252" s="17" t="str">
        <f t="shared" si="163"/>
        <v>1+0.00412383350736336i</v>
      </c>
      <c r="U252" s="17">
        <f t="shared" si="172"/>
        <v>1.0000085029652479</v>
      </c>
      <c r="V252" s="17">
        <f t="shared" si="173"/>
        <v>4.1238101309604971E-3</v>
      </c>
      <c r="W252" s="31" t="str">
        <f t="shared" si="164"/>
        <v>1-0.010173992870774i</v>
      </c>
      <c r="X252" s="17">
        <f t="shared" si="174"/>
        <v>1.0000517537262432</v>
      </c>
      <c r="Y252" s="17">
        <f t="shared" si="175"/>
        <v>-1.0173641855462533E-2</v>
      </c>
      <c r="Z252" s="31" t="str">
        <f t="shared" si="165"/>
        <v>0.99999565868397+0.014228938038024i</v>
      </c>
      <c r="AA252" s="17">
        <f t="shared" si="176"/>
        <v>1.0000968853388539</v>
      </c>
      <c r="AB252" s="17">
        <f t="shared" si="177"/>
        <v>1.4228039638441383E-2</v>
      </c>
      <c r="AC252" s="66" t="str">
        <f t="shared" si="178"/>
        <v>7.11705508160135-8.73134768141307i</v>
      </c>
      <c r="AD252" s="64">
        <f t="shared" si="179"/>
        <v>21.034236508734068</v>
      </c>
      <c r="AE252" s="61">
        <f t="shared" si="180"/>
        <v>-50.815996612559559</v>
      </c>
      <c r="AF252" s="31" t="str">
        <f t="shared" si="166"/>
        <v>-9090.90909090909</v>
      </c>
      <c r="AG252" s="31" t="str">
        <f t="shared" si="167"/>
        <v>2.27623467397318E-08i</v>
      </c>
      <c r="AH252" s="31">
        <f t="shared" si="181"/>
        <v>2.27623467397318E-8</v>
      </c>
      <c r="AI252" s="31">
        <f t="shared" si="182"/>
        <v>1.5707963267948966</v>
      </c>
      <c r="AJ252" s="31" t="str">
        <f t="shared" si="168"/>
        <v>1+39700305.5368312i</v>
      </c>
      <c r="AK252" s="31">
        <f t="shared" si="183"/>
        <v>39700305.536831215</v>
      </c>
      <c r="AL252" s="31">
        <f t="shared" si="184"/>
        <v>1.5707963016061737</v>
      </c>
      <c r="AM252" s="31" t="str">
        <f t="shared" si="169"/>
        <v>1+18.1146259866781i</v>
      </c>
      <c r="AN252" s="31">
        <f t="shared" si="185"/>
        <v>18.142206994663947</v>
      </c>
      <c r="AO252" s="31">
        <f t="shared" si="186"/>
        <v>1.5156482919115959</v>
      </c>
      <c r="AS252" s="58" t="str">
        <f t="shared" si="187"/>
        <v>10059.9595125557+182232.487414292i</v>
      </c>
      <c r="AT252" s="49">
        <f t="shared" si="188"/>
        <v>105.22573097528453</v>
      </c>
      <c r="AU252" s="61">
        <f t="shared" si="189"/>
        <v>86.840251795954188</v>
      </c>
      <c r="AV252" s="58" t="str">
        <f t="shared" si="190"/>
        <v>1662732.49243245+1209121.64641968i</v>
      </c>
      <c r="AW252" s="64">
        <f t="shared" si="191"/>
        <v>126.2599674840186</v>
      </c>
      <c r="AX252" s="61">
        <f t="shared" si="192"/>
        <v>36.024255183394708</v>
      </c>
      <c r="AY252" s="310"/>
      <c r="BA252" s="31">
        <f t="shared" si="193"/>
        <v>0</v>
      </c>
      <c r="BB252" s="31">
        <f t="shared" si="194"/>
        <v>0</v>
      </c>
    </row>
    <row r="253" spans="14:54" x14ac:dyDescent="0.45">
      <c r="N253" s="10">
        <v>35</v>
      </c>
      <c r="O253" s="50">
        <f t="shared" si="195"/>
        <v>2238.7211385683418</v>
      </c>
      <c r="P253" s="48" t="str">
        <f t="shared" si="161"/>
        <v>17.4002386318441</v>
      </c>
      <c r="Q253" s="17" t="str">
        <f t="shared" si="162"/>
        <v>1+1.20467050881776i</v>
      </c>
      <c r="R253" s="17">
        <f t="shared" si="170"/>
        <v>1.5656407745122254</v>
      </c>
      <c r="S253" s="17">
        <f t="shared" si="171"/>
        <v>0.87796780457866908</v>
      </c>
      <c r="T253" s="17" t="str">
        <f t="shared" si="163"/>
        <v>1+0.0042198899294175i</v>
      </c>
      <c r="U253" s="17">
        <f t="shared" si="172"/>
        <v>1.0000089036958704</v>
      </c>
      <c r="V253" s="17">
        <f t="shared" si="173"/>
        <v>4.2198648811625902E-3</v>
      </c>
      <c r="W253" s="31" t="str">
        <f t="shared" si="164"/>
        <v>1-0.0104109756081774i</v>
      </c>
      <c r="X253" s="17">
        <f t="shared" si="174"/>
        <v>1.0000541927381306</v>
      </c>
      <c r="Y253" s="17">
        <f t="shared" si="175"/>
        <v>-1.0410599489595522E-2</v>
      </c>
      <c r="Z253" s="31" t="str">
        <f t="shared" si="165"/>
        <v>0.999995454084049+0.014560372581907i</v>
      </c>
      <c r="AA253" s="17">
        <f t="shared" si="176"/>
        <v>1.0001014511730733</v>
      </c>
      <c r="AB253" s="17">
        <f t="shared" si="177"/>
        <v>1.4559409934681713E-2</v>
      </c>
      <c r="AC253" s="66" t="str">
        <f t="shared" si="178"/>
        <v>6.91934704476838-8.69655103667353i</v>
      </c>
      <c r="AD253" s="64">
        <f t="shared" si="179"/>
        <v>20.916928508301748</v>
      </c>
      <c r="AE253" s="61">
        <f t="shared" si="180"/>
        <v>-51.492745457331345</v>
      </c>
      <c r="AF253" s="31" t="str">
        <f t="shared" si="166"/>
        <v>-9090.90909090909</v>
      </c>
      <c r="AG253" s="31" t="str">
        <f t="shared" si="167"/>
        <v>2.27623467397318E-08i</v>
      </c>
      <c r="AH253" s="31">
        <f t="shared" si="181"/>
        <v>2.27623467397318E-8</v>
      </c>
      <c r="AI253" s="31">
        <f t="shared" si="182"/>
        <v>1.5707963267948966</v>
      </c>
      <c r="AJ253" s="31" t="str">
        <f t="shared" si="168"/>
        <v>1+40625044.4472443i</v>
      </c>
      <c r="AK253" s="31">
        <f t="shared" si="183"/>
        <v>40625044.447244316</v>
      </c>
      <c r="AL253" s="31">
        <f t="shared" si="184"/>
        <v>1.570796302179539</v>
      </c>
      <c r="AM253" s="31" t="str">
        <f t="shared" si="169"/>
        <v>1+18.5365698299546i</v>
      </c>
      <c r="AN253" s="31">
        <f t="shared" si="185"/>
        <v>18.563523939726078</v>
      </c>
      <c r="AO253" s="31">
        <f t="shared" si="186"/>
        <v>1.5169011567696469</v>
      </c>
      <c r="AS253" s="58" t="str">
        <f t="shared" si="187"/>
        <v>9830.96687697791+182232.487402887i</v>
      </c>
      <c r="AT253" s="49">
        <f t="shared" si="188"/>
        <v>105.22513706912305</v>
      </c>
      <c r="AU253" s="61">
        <f t="shared" si="189"/>
        <v>86.912035631769314</v>
      </c>
      <c r="AV253" s="58" t="str">
        <f t="shared" si="190"/>
        <v>1652817.99884661+1175434.31798647i</v>
      </c>
      <c r="AW253" s="64">
        <f t="shared" si="191"/>
        <v>126.1420655774248</v>
      </c>
      <c r="AX253" s="61">
        <f t="shared" si="192"/>
        <v>35.419290174437869</v>
      </c>
      <c r="AY253" s="310"/>
      <c r="BA253" s="31">
        <f t="shared" si="193"/>
        <v>0</v>
      </c>
      <c r="BB253" s="31">
        <f t="shared" si="194"/>
        <v>0</v>
      </c>
    </row>
    <row r="254" spans="14:54" x14ac:dyDescent="0.45">
      <c r="N254" s="10">
        <v>36</v>
      </c>
      <c r="O254" s="50">
        <f t="shared" si="195"/>
        <v>2290.8676527677749</v>
      </c>
      <c r="P254" s="48" t="str">
        <f t="shared" si="161"/>
        <v>17.4002386318441</v>
      </c>
      <c r="Q254" s="17" t="str">
        <f t="shared" si="162"/>
        <v>1+1.2327308896805i</v>
      </c>
      <c r="R254" s="17">
        <f t="shared" si="170"/>
        <v>1.5873328089510645</v>
      </c>
      <c r="S254" s="17">
        <f t="shared" si="171"/>
        <v>0.88925907148519823</v>
      </c>
      <c r="T254" s="17" t="str">
        <f t="shared" si="163"/>
        <v>1+0.00431818379296905i</v>
      </c>
      <c r="U254" s="17">
        <f t="shared" si="172"/>
        <v>1.000009323312173</v>
      </c>
      <c r="V254" s="17">
        <f t="shared" si="173"/>
        <v>4.3181569532938667E-3</v>
      </c>
      <c r="W254" s="31" t="str">
        <f t="shared" si="164"/>
        <v>1-0.0106534783826538i</v>
      </c>
      <c r="X254" s="17">
        <f t="shared" si="174"/>
        <v>1.0000567466907313</v>
      </c>
      <c r="Y254" s="17">
        <f t="shared" si="175"/>
        <v>-1.0653075365567359E-2</v>
      </c>
      <c r="Z254" s="31" t="str">
        <f t="shared" si="165"/>
        <v>0.99999523984163+0.0148995272280623i</v>
      </c>
      <c r="AA254" s="17">
        <f t="shared" si="176"/>
        <v>1.0001062321661329</v>
      </c>
      <c r="AB254" s="17">
        <f t="shared" si="177"/>
        <v>1.4898495738890707E-2</v>
      </c>
      <c r="AC254" s="66" t="str">
        <f t="shared" si="178"/>
        <v>6.72330781287662-8.65745309709021i</v>
      </c>
      <c r="AD254" s="64">
        <f t="shared" si="179"/>
        <v>20.7973954202062</v>
      </c>
      <c r="AE254" s="61">
        <f t="shared" si="180"/>
        <v>-52.167376705339279</v>
      </c>
      <c r="AF254" s="31" t="str">
        <f t="shared" si="166"/>
        <v>-9090.90909090909</v>
      </c>
      <c r="AG254" s="31" t="str">
        <f t="shared" si="167"/>
        <v>2.27623467397318E-08i</v>
      </c>
      <c r="AH254" s="31">
        <f t="shared" si="181"/>
        <v>2.27623467397318E-8</v>
      </c>
      <c r="AI254" s="31">
        <f t="shared" si="182"/>
        <v>1.5707963267948966</v>
      </c>
      <c r="AJ254" s="31" t="str">
        <f t="shared" si="168"/>
        <v>1+41571323.2939592i</v>
      </c>
      <c r="AK254" s="31">
        <f t="shared" si="183"/>
        <v>41571323.293959215</v>
      </c>
      <c r="AL254" s="31">
        <f t="shared" si="184"/>
        <v>1.5707963027398528</v>
      </c>
      <c r="AM254" s="31" t="str">
        <f t="shared" si="169"/>
        <v>1+18.9683420079154i</v>
      </c>
      <c r="AN254" s="31">
        <f t="shared" si="185"/>
        <v>18.99468342798184</v>
      </c>
      <c r="AO254" s="31">
        <f t="shared" si="186"/>
        <v>1.5181256666129435</v>
      </c>
      <c r="AS254" s="58" t="str">
        <f t="shared" si="187"/>
        <v>9607.18675016654+182232.487391995i</v>
      </c>
      <c r="AT254" s="49">
        <f t="shared" si="188"/>
        <v>105.224569817315</v>
      </c>
      <c r="AU254" s="61">
        <f t="shared" si="189"/>
        <v>86.982194845658796</v>
      </c>
      <c r="AV254" s="58" t="str">
        <f t="shared" si="190"/>
        <v>1642261.28609944+1142031.33755799i</v>
      </c>
      <c r="AW254" s="64">
        <f t="shared" si="191"/>
        <v>126.0219652375212</v>
      </c>
      <c r="AX254" s="61">
        <f t="shared" si="192"/>
        <v>34.814818140319581</v>
      </c>
      <c r="AY254" s="310"/>
      <c r="BA254" s="31">
        <f t="shared" si="193"/>
        <v>0</v>
      </c>
      <c r="BB254" s="31">
        <f t="shared" si="194"/>
        <v>0</v>
      </c>
    </row>
    <row r="255" spans="14:54" x14ac:dyDescent="0.45">
      <c r="N255" s="10">
        <v>37</v>
      </c>
      <c r="O255" s="50">
        <f t="shared" si="195"/>
        <v>2344.2288153199238</v>
      </c>
      <c r="P255" s="48" t="str">
        <f t="shared" si="161"/>
        <v>17.4002386318441</v>
      </c>
      <c r="Q255" s="17" t="str">
        <f t="shared" si="162"/>
        <v>1+1.26144488077808i</v>
      </c>
      <c r="R255" s="17">
        <f t="shared" si="170"/>
        <v>1.6097338870885538</v>
      </c>
      <c r="S255" s="17">
        <f t="shared" si="171"/>
        <v>0.90049685400021284</v>
      </c>
      <c r="T255" s="17" t="str">
        <f t="shared" si="163"/>
        <v>1+0.00441876721472556i</v>
      </c>
      <c r="U255" s="17">
        <f t="shared" si="172"/>
        <v>1.0000097627041937</v>
      </c>
      <c r="V255" s="17">
        <f t="shared" si="173"/>
        <v>4.4187384555106181E-3</v>
      </c>
      <c r="W255" s="31" t="str">
        <f t="shared" si="164"/>
        <v>1-0.0109016297723842i</v>
      </c>
      <c r="X255" s="17">
        <f t="shared" si="174"/>
        <v>1.0000594210004194</v>
      </c>
      <c r="Y255" s="17">
        <f t="shared" si="175"/>
        <v>-1.0901197933181533E-2</v>
      </c>
      <c r="Z255" s="31" t="str">
        <f t="shared" si="165"/>
        <v>0.999995015502278+0.0152465818007724i</v>
      </c>
      <c r="AA255" s="17">
        <f t="shared" si="176"/>
        <v>1.0001112384560074</v>
      </c>
      <c r="AB255" s="17">
        <f t="shared" si="177"/>
        <v>1.5245476546847889E-2</v>
      </c>
      <c r="AC255" s="66" t="str">
        <f t="shared" si="178"/>
        <v>6.52912143902301-8.61415244317576i</v>
      </c>
      <c r="AD255" s="64">
        <f t="shared" si="179"/>
        <v>20.67565710950494</v>
      </c>
      <c r="AE255" s="61">
        <f t="shared" si="180"/>
        <v>-52.839588230755709</v>
      </c>
      <c r="AF255" s="31" t="str">
        <f t="shared" si="166"/>
        <v>-9090.90909090909</v>
      </c>
      <c r="AG255" s="31" t="str">
        <f t="shared" si="167"/>
        <v>2.27623467397318E-08i</v>
      </c>
      <c r="AH255" s="31">
        <f t="shared" si="181"/>
        <v>2.27623467397318E-8</v>
      </c>
      <c r="AI255" s="31">
        <f t="shared" si="182"/>
        <v>1.5707963267948966</v>
      </c>
      <c r="AJ255" s="31" t="str">
        <f t="shared" si="168"/>
        <v>1+42539643.8065462i</v>
      </c>
      <c r="AK255" s="31">
        <f t="shared" si="183"/>
        <v>42539643.806546204</v>
      </c>
      <c r="AL255" s="31">
        <f t="shared" si="184"/>
        <v>1.5707963032874126</v>
      </c>
      <c r="AM255" s="31" t="str">
        <f t="shared" si="169"/>
        <v>1+19.4101714518845i</v>
      </c>
      <c r="AN255" s="31">
        <f t="shared" si="185"/>
        <v>19.435914071418203</v>
      </c>
      <c r="AO255" s="31">
        <f t="shared" si="186"/>
        <v>1.5193224559960059</v>
      </c>
      <c r="AS255" s="58" t="str">
        <f t="shared" si="187"/>
        <v>9388.50048093618+182232.487381595i</v>
      </c>
      <c r="AT255" s="49">
        <f t="shared" si="188"/>
        <v>105.22402802687081</v>
      </c>
      <c r="AU255" s="61">
        <f t="shared" si="189"/>
        <v>87.050765794901523</v>
      </c>
      <c r="AV255" s="58" t="str">
        <f t="shared" si="190"/>
        <v>1631077.08617452+1108944.06589405i</v>
      </c>
      <c r="AW255" s="64">
        <f t="shared" si="191"/>
        <v>125.89968513637575</v>
      </c>
      <c r="AX255" s="61">
        <f t="shared" si="192"/>
        <v>34.211177564145856</v>
      </c>
      <c r="AY255" s="310"/>
      <c r="BA255" s="31">
        <f t="shared" si="193"/>
        <v>0</v>
      </c>
      <c r="BB255" s="31">
        <f t="shared" si="194"/>
        <v>0</v>
      </c>
    </row>
    <row r="256" spans="14:54" x14ac:dyDescent="0.45">
      <c r="N256" s="10">
        <v>38</v>
      </c>
      <c r="O256" s="50">
        <f t="shared" si="195"/>
        <v>2398.8329190194918</v>
      </c>
      <c r="P256" s="48" t="str">
        <f t="shared" si="161"/>
        <v>17.4002386318441</v>
      </c>
      <c r="Q256" s="17" t="str">
        <f t="shared" si="162"/>
        <v>1+1.29082770664863i</v>
      </c>
      <c r="R256" s="17">
        <f t="shared" si="170"/>
        <v>1.6328613438537156</v>
      </c>
      <c r="S256" s="17">
        <f t="shared" si="171"/>
        <v>0.91167575763795861</v>
      </c>
      <c r="T256" s="17" t="str">
        <f t="shared" si="163"/>
        <v>1+0.0045216935253486i</v>
      </c>
      <c r="U256" s="17">
        <f t="shared" si="172"/>
        <v>1.0000102228039158</v>
      </c>
      <c r="V256" s="17">
        <f t="shared" si="173"/>
        <v>4.5216627093116009E-3</v>
      </c>
      <c r="W256" s="31" t="str">
        <f t="shared" si="164"/>
        <v>1-0.0111555613505199i</v>
      </c>
      <c r="X256" s="17">
        <f t="shared" si="174"/>
        <v>1.0000622213387751</v>
      </c>
      <c r="Y256" s="17">
        <f t="shared" si="175"/>
        <v>-1.1155098628032359E-2</v>
      </c>
      <c r="Z256" s="31" t="str">
        <f t="shared" si="165"/>
        <v>0.999994780590138+0.0156017203129657i</v>
      </c>
      <c r="AA256" s="17">
        <f t="shared" si="176"/>
        <v>1.0001164806582494</v>
      </c>
      <c r="AB256" s="17">
        <f t="shared" si="177"/>
        <v>1.5600536019493997E-2</v>
      </c>
      <c r="AC256" s="66" t="str">
        <f t="shared" si="178"/>
        <v>6.33696462710793-8.56675702655298i</v>
      </c>
      <c r="AD256" s="64">
        <f t="shared" si="179"/>
        <v>20.551735478028029</v>
      </c>
      <c r="AE256" s="61">
        <f t="shared" si="180"/>
        <v>-53.509085950918724</v>
      </c>
      <c r="AF256" s="31" t="str">
        <f t="shared" si="166"/>
        <v>-9090.90909090909</v>
      </c>
      <c r="AG256" s="31" t="str">
        <f t="shared" si="167"/>
        <v>2.27623467397318E-08i</v>
      </c>
      <c r="AH256" s="31">
        <f t="shared" si="181"/>
        <v>2.27623467397318E-8</v>
      </c>
      <c r="AI256" s="31">
        <f t="shared" si="182"/>
        <v>1.5707963267948966</v>
      </c>
      <c r="AJ256" s="31" t="str">
        <f t="shared" si="168"/>
        <v>1+43530519.401358i</v>
      </c>
      <c r="AK256" s="31">
        <f t="shared" si="183"/>
        <v>43530519.401358008</v>
      </c>
      <c r="AL256" s="31">
        <f t="shared" si="184"/>
        <v>1.5707963038225081</v>
      </c>
      <c r="AM256" s="31" t="str">
        <f t="shared" si="169"/>
        <v>1+19.8622924256813i</v>
      </c>
      <c r="AN256" s="31">
        <f t="shared" si="185"/>
        <v>19.887449821514991</v>
      </c>
      <c r="AO256" s="31">
        <f t="shared" si="186"/>
        <v>1.5204921457512883</v>
      </c>
      <c r="AS256" s="58" t="str">
        <f t="shared" si="187"/>
        <v>9174.79211893245+182232.487371661i</v>
      </c>
      <c r="AT256" s="49">
        <f t="shared" si="188"/>
        <v>105.22351055791093</v>
      </c>
      <c r="AU256" s="61">
        <f t="shared" si="189"/>
        <v>87.117784050560132</v>
      </c>
      <c r="AV256" s="58" t="str">
        <f t="shared" si="190"/>
        <v>1619281.77477615+1076202.61153208i</v>
      </c>
      <c r="AW256" s="64">
        <f t="shared" si="191"/>
        <v>125.77524603593898</v>
      </c>
      <c r="AX256" s="61">
        <f t="shared" si="192"/>
        <v>33.608698099641344</v>
      </c>
      <c r="AY256" s="310"/>
      <c r="BA256" s="31">
        <f t="shared" si="193"/>
        <v>0</v>
      </c>
      <c r="BB256" s="31">
        <f t="shared" si="194"/>
        <v>0</v>
      </c>
    </row>
    <row r="257" spans="14:54" x14ac:dyDescent="0.45">
      <c r="N257" s="10">
        <v>39</v>
      </c>
      <c r="O257" s="50">
        <f t="shared" si="195"/>
        <v>2454.7089156850338</v>
      </c>
      <c r="P257" s="48" t="str">
        <f t="shared" si="161"/>
        <v>17.4002386318441</v>
      </c>
      <c r="Q257" s="17" t="str">
        <f t="shared" si="162"/>
        <v>1+1.32089494645538i</v>
      </c>
      <c r="R257" s="17">
        <f t="shared" si="170"/>
        <v>1.6567327664929434</v>
      </c>
      <c r="S257" s="17">
        <f t="shared" si="171"/>
        <v>0.92279053413348033</v>
      </c>
      <c r="T257" s="17" t="str">
        <f t="shared" si="163"/>
        <v>1+0.00462701729773047i</v>
      </c>
      <c r="U257" s="17">
        <f t="shared" si="172"/>
        <v>1.0000107045872426</v>
      </c>
      <c r="V257" s="17">
        <f t="shared" si="173"/>
        <v>4.6269842777710048E-3</v>
      </c>
      <c r="W257" s="31" t="str">
        <f t="shared" si="164"/>
        <v>1-0.011415407754945i</v>
      </c>
      <c r="X257" s="17">
        <f t="shared" si="174"/>
        <v>1.0000651536446072</v>
      </c>
      <c r="Y257" s="17">
        <f t="shared" si="175"/>
        <v>-1.1414911940611219E-2</v>
      </c>
      <c r="Z257" s="31" t="str">
        <f t="shared" si="165"/>
        <v>0.999994534606929+0.015965131063782i</v>
      </c>
      <c r="AA257" s="17">
        <f t="shared" si="176"/>
        <v>1.0001219698884793</v>
      </c>
      <c r="AB257" s="17">
        <f t="shared" si="177"/>
        <v>1.5963862078817996E-2</v>
      </c>
      <c r="AC257" s="66" t="str">
        <f t="shared" si="178"/>
        <v>6.14700615364778-8.51538353025143i</v>
      </c>
      <c r="AD257" s="64">
        <f t="shared" si="179"/>
        <v>20.425654377948547</v>
      </c>
      <c r="AE257" s="61">
        <f t="shared" si="180"/>
        <v>-54.175584509037314</v>
      </c>
      <c r="AF257" s="31" t="str">
        <f t="shared" si="166"/>
        <v>-9090.90909090909</v>
      </c>
      <c r="AG257" s="31" t="str">
        <f t="shared" si="167"/>
        <v>2.27623467397318E-08i</v>
      </c>
      <c r="AH257" s="31">
        <f t="shared" si="181"/>
        <v>2.27623467397318E-8</v>
      </c>
      <c r="AI257" s="31">
        <f t="shared" si="182"/>
        <v>1.5707963267948966</v>
      </c>
      <c r="AJ257" s="31" t="str">
        <f t="shared" si="168"/>
        <v>1+44544475.4537509i</v>
      </c>
      <c r="AK257" s="31">
        <f t="shared" si="183"/>
        <v>44544475.453750908</v>
      </c>
      <c r="AL257" s="31">
        <f t="shared" si="184"/>
        <v>1.5707963043454236</v>
      </c>
      <c r="AM257" s="31" t="str">
        <f t="shared" si="169"/>
        <v>1+20.3249446498307i</v>
      </c>
      <c r="AN257" s="31">
        <f t="shared" si="185"/>
        <v>20.349530093313742</v>
      </c>
      <c r="AO257" s="31">
        <f t="shared" si="186"/>
        <v>1.5216353432538003</v>
      </c>
      <c r="AS257" s="58" t="str">
        <f t="shared" si="187"/>
        <v>8965.94835315283+182232.487362175i</v>
      </c>
      <c r="AT257" s="49">
        <f t="shared" si="188"/>
        <v>105.22301632132695</v>
      </c>
      <c r="AU257" s="61">
        <f t="shared" si="189"/>
        <v>87.183284412643133</v>
      </c>
      <c r="AV257" s="58" t="str">
        <f t="shared" si="190"/>
        <v>1606893.26126074+1043835.73227031i</v>
      </c>
      <c r="AW257" s="64">
        <f t="shared" si="191"/>
        <v>125.64867069927553</v>
      </c>
      <c r="AX257" s="61">
        <f t="shared" si="192"/>
        <v>33.00769990360579</v>
      </c>
      <c r="AY257" s="310"/>
      <c r="BA257" s="31">
        <f t="shared" si="193"/>
        <v>0</v>
      </c>
      <c r="BB257" s="31">
        <f t="shared" si="194"/>
        <v>0</v>
      </c>
    </row>
    <row r="258" spans="14:54" x14ac:dyDescent="0.45">
      <c r="N258" s="10">
        <v>40</v>
      </c>
      <c r="O258" s="50">
        <f t="shared" si="195"/>
        <v>2511.8864315095811</v>
      </c>
      <c r="P258" s="48" t="str">
        <f t="shared" si="161"/>
        <v>17.4002386318441</v>
      </c>
      <c r="Q258" s="17" t="str">
        <f t="shared" si="162"/>
        <v>1+1.35166254224686i</v>
      </c>
      <c r="R258" s="17">
        <f t="shared" si="170"/>
        <v>1.6813660006415156</v>
      </c>
      <c r="S258" s="17">
        <f t="shared" si="171"/>
        <v>0.93383609236343135</v>
      </c>
      <c r="T258" s="17" t="str">
        <f t="shared" si="163"/>
        <v>1+0.00473479437592944i</v>
      </c>
      <c r="U258" s="17">
        <f t="shared" si="172"/>
        <v>1.0000112090760696</v>
      </c>
      <c r="V258" s="17">
        <f t="shared" si="173"/>
        <v>4.7347589944268338E-3</v>
      </c>
      <c r="W258" s="31" t="str">
        <f t="shared" si="164"/>
        <v>1-0.0116813067596627i</v>
      </c>
      <c r="X258" s="17">
        <f t="shared" si="174"/>
        <v>1.0000682241365402</v>
      </c>
      <c r="Y258" s="17">
        <f t="shared" si="175"/>
        <v>-1.168077548698968E-2</v>
      </c>
      <c r="Z258" s="31" t="str">
        <f t="shared" si="165"/>
        <v>0.999994277030889+0.016337006738412i</v>
      </c>
      <c r="AA258" s="17">
        <f t="shared" si="176"/>
        <v>1.000127717785934</v>
      </c>
      <c r="AB258" s="17">
        <f t="shared" si="177"/>
        <v>1.633564700589818E-2</v>
      </c>
      <c r="AC258" s="66" t="str">
        <f t="shared" si="178"/>
        <v>5.95940635328443-8.4601566905123i</v>
      </c>
      <c r="AD258" s="64">
        <f t="shared" si="179"/>
        <v>20.297439519176521</v>
      </c>
      <c r="AE258" s="61">
        <f t="shared" si="180"/>
        <v>-54.838807907919026</v>
      </c>
      <c r="AF258" s="31" t="str">
        <f t="shared" si="166"/>
        <v>-9090.90909090909</v>
      </c>
      <c r="AG258" s="31" t="str">
        <f t="shared" si="167"/>
        <v>2.27623467397318E-08i</v>
      </c>
      <c r="AH258" s="31">
        <f t="shared" si="181"/>
        <v>2.27623467397318E-8</v>
      </c>
      <c r="AI258" s="31">
        <f t="shared" si="182"/>
        <v>1.5707963267948966</v>
      </c>
      <c r="AJ258" s="31" t="str">
        <f t="shared" si="168"/>
        <v>1+45582049.5766456i</v>
      </c>
      <c r="AK258" s="31">
        <f t="shared" si="183"/>
        <v>45582049.576645605</v>
      </c>
      <c r="AL258" s="31">
        <f t="shared" si="184"/>
        <v>1.570796304856436</v>
      </c>
      <c r="AM258" s="31" t="str">
        <f t="shared" si="169"/>
        <v>1+20.798373428666i</v>
      </c>
      <c r="AN258" s="31">
        <f t="shared" si="185"/>
        <v>20.822399892381277</v>
      </c>
      <c r="AO258" s="31">
        <f t="shared" si="186"/>
        <v>1.5227526426828379</v>
      </c>
      <c r="AS258" s="58" t="str">
        <f t="shared" si="187"/>
        <v>8761.85845186837+182232.487353115i</v>
      </c>
      <c r="AT258" s="49">
        <f t="shared" si="188"/>
        <v>105.22254427654269</v>
      </c>
      <c r="AU258" s="61">
        <f t="shared" si="189"/>
        <v>87.247300925100518</v>
      </c>
      <c r="AV258" s="58" t="str">
        <f t="shared" si="190"/>
        <v>1593930.8720338+1011870.74750408i</v>
      </c>
      <c r="AW258" s="64">
        <f t="shared" si="191"/>
        <v>125.51998379571921</v>
      </c>
      <c r="AX258" s="61">
        <f t="shared" si="192"/>
        <v>32.408493017181378</v>
      </c>
      <c r="AY258" s="310"/>
      <c r="BA258" s="31">
        <f t="shared" si="193"/>
        <v>0</v>
      </c>
      <c r="BB258" s="31">
        <f t="shared" si="194"/>
        <v>0</v>
      </c>
    </row>
    <row r="259" spans="14:54" x14ac:dyDescent="0.45">
      <c r="N259" s="10">
        <v>41</v>
      </c>
      <c r="O259" s="50">
        <f t="shared" si="195"/>
        <v>2570.3957827688669</v>
      </c>
      <c r="P259" s="48" t="str">
        <f t="shared" si="161"/>
        <v>17.4002386318441</v>
      </c>
      <c r="Q259" s="17" t="str">
        <f t="shared" si="162"/>
        <v>1+1.3831468074096i</v>
      </c>
      <c r="R259" s="17">
        <f t="shared" si="170"/>
        <v>1.7067791570227735</v>
      </c>
      <c r="S259" s="17">
        <f t="shared" si="171"/>
        <v>0.94480750836362082</v>
      </c>
      <c r="T259" s="17" t="str">
        <f t="shared" si="163"/>
        <v>1+0.00484508190477891i</v>
      </c>
      <c r="U259" s="17">
        <f t="shared" si="172"/>
        <v>1.0000117373404493</v>
      </c>
      <c r="V259" s="17">
        <f t="shared" si="173"/>
        <v>4.8450439928398514E-3</v>
      </c>
      <c r="W259" s="31" t="str">
        <f t="shared" si="164"/>
        <v>1-0.0119533993478446i</v>
      </c>
      <c r="X259" s="17">
        <f t="shared" si="174"/>
        <v>1.000071439326196</v>
      </c>
      <c r="Y259" s="17">
        <f t="shared" si="175"/>
        <v>-1.1952830081115378E-2</v>
      </c>
      <c r="Z259" s="31" t="str">
        <f t="shared" si="165"/>
        <v>0.999994007315664+0.0167175445102604i</v>
      </c>
      <c r="AA259" s="17">
        <f t="shared" si="176"/>
        <v>1.0001337365381155</v>
      </c>
      <c r="AB259" s="17">
        <f t="shared" si="177"/>
        <v>1.6716087541138583E-2</v>
      </c>
      <c r="AC259" s="66" t="str">
        <f t="shared" si="178"/>
        <v>5.77431667048657-8.40120858714892i</v>
      </c>
      <c r="AD259" s="64">
        <f t="shared" si="179"/>
        <v>20.167118371307385</v>
      </c>
      <c r="AE259" s="61">
        <f t="shared" si="180"/>
        <v>-55.498490092125067</v>
      </c>
      <c r="AF259" s="31" t="str">
        <f t="shared" si="166"/>
        <v>-9090.90909090909</v>
      </c>
      <c r="AG259" s="31" t="str">
        <f t="shared" si="167"/>
        <v>2.27623467397318E-08i</v>
      </c>
      <c r="AH259" s="31">
        <f t="shared" si="181"/>
        <v>2.27623467397318E-8</v>
      </c>
      <c r="AI259" s="31">
        <f t="shared" si="182"/>
        <v>1.5707963267948966</v>
      </c>
      <c r="AJ259" s="31" t="str">
        <f t="shared" si="168"/>
        <v>1+46643791.9055752i</v>
      </c>
      <c r="AK259" s="31">
        <f t="shared" si="183"/>
        <v>46643791.905575208</v>
      </c>
      <c r="AL259" s="31">
        <f t="shared" si="184"/>
        <v>1.5707963053558163</v>
      </c>
      <c r="AM259" s="31" t="str">
        <f t="shared" si="169"/>
        <v>1+21.2828297803921i</v>
      </c>
      <c r="AN259" s="31">
        <f t="shared" si="185"/>
        <v>21.306309944735734</v>
      </c>
      <c r="AO259" s="31">
        <f t="shared" si="186"/>
        <v>1.5238446252806892</v>
      </c>
      <c r="AS259" s="58" t="str">
        <f t="shared" si="187"/>
        <v>8562.41420391203+182232.487344464i</v>
      </c>
      <c r="AT259" s="49">
        <f t="shared" si="188"/>
        <v>105.22209342937268</v>
      </c>
      <c r="AU259" s="61">
        <f t="shared" si="189"/>
        <v>87.309866890646745</v>
      </c>
      <c r="AV259" s="58" t="str">
        <f t="shared" si="190"/>
        <v>1580415.22861308+980333.46184074i</v>
      </c>
      <c r="AW259" s="64">
        <f t="shared" si="191"/>
        <v>125.38921180068009</v>
      </c>
      <c r="AX259" s="61">
        <f t="shared" si="192"/>
        <v>31.81137679852165</v>
      </c>
      <c r="AY259" s="310"/>
      <c r="BA259" s="31">
        <f t="shared" si="193"/>
        <v>0</v>
      </c>
      <c r="BB259" s="31">
        <f t="shared" si="194"/>
        <v>0</v>
      </c>
    </row>
    <row r="260" spans="14:54" x14ac:dyDescent="0.45">
      <c r="N260" s="10">
        <v>42</v>
      </c>
      <c r="O260" s="50">
        <f t="shared" si="195"/>
        <v>2630.2679918953822</v>
      </c>
      <c r="P260" s="48" t="str">
        <f t="shared" si="161"/>
        <v>17.4002386318441</v>
      </c>
      <c r="Q260" s="17" t="str">
        <f t="shared" si="162"/>
        <v>1+1.41536443531774i</v>
      </c>
      <c r="R260" s="17">
        <f t="shared" si="170"/>
        <v>1.7329906187750428</v>
      </c>
      <c r="S260" s="17">
        <f t="shared" si="171"/>
        <v>0.95570003440701834</v>
      </c>
      <c r="T260" s="17" t="str">
        <f t="shared" si="163"/>
        <v>1+0.00495793836018654i</v>
      </c>
      <c r="U260" s="17">
        <f t="shared" si="172"/>
        <v>1.0000122905008635</v>
      </c>
      <c r="V260" s="17">
        <f t="shared" si="173"/>
        <v>4.9578977368389052E-3</v>
      </c>
      <c r="W260" s="31" t="str">
        <f t="shared" si="164"/>
        <v>1-0.0122318297865827i</v>
      </c>
      <c r="X260" s="17">
        <f t="shared" si="174"/>
        <v>1.0000748060319926</v>
      </c>
      <c r="Y260" s="17">
        <f t="shared" si="175"/>
        <v>-1.2231219808756735E-2</v>
      </c>
      <c r="Z260" s="31" t="str">
        <f t="shared" si="165"/>
        <v>0.999993724889153+0.017106946145491i</v>
      </c>
      <c r="AA260" s="17">
        <f t="shared" si="176"/>
        <v>1.0001400389066062</v>
      </c>
      <c r="AB260" s="17">
        <f t="shared" si="177"/>
        <v>1.7105384986749544E-2</v>
      </c>
      <c r="AC260" s="66" t="str">
        <f t="shared" si="178"/>
        <v>5.59187927909294-8.33867790961852i</v>
      </c>
      <c r="AD260" s="64">
        <f t="shared" si="179"/>
        <v>20.034720060884133</v>
      </c>
      <c r="AE260" s="61">
        <f t="shared" si="180"/>
        <v>-56.154375476477107</v>
      </c>
      <c r="AF260" s="31" t="str">
        <f t="shared" si="166"/>
        <v>-9090.90909090909</v>
      </c>
      <c r="AG260" s="31" t="str">
        <f t="shared" si="167"/>
        <v>2.27623467397318E-08i</v>
      </c>
      <c r="AH260" s="31">
        <f t="shared" si="181"/>
        <v>2.27623467397318E-8</v>
      </c>
      <c r="AI260" s="31">
        <f t="shared" si="182"/>
        <v>1.5707963267948966</v>
      </c>
      <c r="AJ260" s="31" t="str">
        <f t="shared" si="168"/>
        <v>1+47730265.3903768i</v>
      </c>
      <c r="AK260" s="31">
        <f t="shared" si="183"/>
        <v>47730265.390376806</v>
      </c>
      <c r="AL260" s="31">
        <f t="shared" si="184"/>
        <v>1.5707963058438295</v>
      </c>
      <c r="AM260" s="31" t="str">
        <f t="shared" si="169"/>
        <v>1+21.7785705701794i</v>
      </c>
      <c r="AN260" s="31">
        <f t="shared" si="185"/>
        <v>21.801516829805315</v>
      </c>
      <c r="AO260" s="31">
        <f t="shared" si="186"/>
        <v>1.5249118596081921</v>
      </c>
      <c r="AS260" s="58" t="str">
        <f t="shared" si="187"/>
        <v>8367.50986130355+182232.487336202i</v>
      </c>
      <c r="AT260" s="49">
        <f t="shared" si="188"/>
        <v>105.22166282997274</v>
      </c>
      <c r="AU260" s="61">
        <f t="shared" si="189"/>
        <v>87.371014885403042</v>
      </c>
      <c r="AV260" s="58" t="str">
        <f t="shared" si="190"/>
        <v>1566368.12157625+949248.100273908i</v>
      </c>
      <c r="AW260" s="64">
        <f t="shared" si="191"/>
        <v>125.25638289085686</v>
      </c>
      <c r="AX260" s="61">
        <f t="shared" si="192"/>
        <v>31.216639408926007</v>
      </c>
      <c r="AY260" s="310"/>
      <c r="BA260" s="31">
        <f t="shared" si="193"/>
        <v>0</v>
      </c>
      <c r="BB260" s="31">
        <f t="shared" si="194"/>
        <v>0</v>
      </c>
    </row>
    <row r="261" spans="14:54" x14ac:dyDescent="0.45">
      <c r="N261" s="10">
        <v>43</v>
      </c>
      <c r="O261" s="50">
        <f t="shared" si="195"/>
        <v>2691.5348039269184</v>
      </c>
      <c r="P261" s="48" t="str">
        <f t="shared" si="161"/>
        <v>17.4002386318441</v>
      </c>
      <c r="Q261" s="17" t="str">
        <f t="shared" si="162"/>
        <v>1+1.44833250818405i</v>
      </c>
      <c r="R261" s="17">
        <f t="shared" si="170"/>
        <v>1.7600190494033583</v>
      </c>
      <c r="S261" s="17">
        <f t="shared" si="171"/>
        <v>0.96650910711525306</v>
      </c>
      <c r="T261" s="17" t="str">
        <f t="shared" si="163"/>
        <v>1+0.00507342358013883i</v>
      </c>
      <c r="U261" s="17">
        <f t="shared" si="172"/>
        <v>1.0000128697305968</v>
      </c>
      <c r="V261" s="17">
        <f t="shared" si="173"/>
        <v>5.0733800514678514E-3</v>
      </c>
      <c r="W261" s="31" t="str">
        <f t="shared" si="164"/>
        <v>1-0.0125167457033811i</v>
      </c>
      <c r="X261" s="17">
        <f t="shared" si="174"/>
        <v>1.0000783313935979</v>
      </c>
      <c r="Y261" s="17">
        <f t="shared" si="175"/>
        <v>-1.251609210312969E-2</v>
      </c>
      <c r="Z261" s="31" t="str">
        <f t="shared" si="165"/>
        <v>0.99999342915229+0.0175054181100053i</v>
      </c>
      <c r="AA261" s="17">
        <f t="shared" si="176"/>
        <v>1.0001466382540922</v>
      </c>
      <c r="AB261" s="17">
        <f t="shared" si="177"/>
        <v>1.7503745311514541E-2</v>
      </c>
      <c r="AC261" s="66" t="str">
        <f t="shared" si="178"/>
        <v>5.41222677050833-8.2727092059552i</v>
      </c>
      <c r="AD261" s="64">
        <f t="shared" si="179"/>
        <v>19.90027526474503</v>
      </c>
      <c r="AE261" s="61">
        <f t="shared" si="180"/>
        <v>-56.806219419374671</v>
      </c>
      <c r="AF261" s="31" t="str">
        <f t="shared" si="166"/>
        <v>-9090.90909090909</v>
      </c>
      <c r="AG261" s="31" t="str">
        <f t="shared" si="167"/>
        <v>2.27623467397318E-08i</v>
      </c>
      <c r="AH261" s="31">
        <f t="shared" si="181"/>
        <v>2.27623467397318E-8</v>
      </c>
      <c r="AI261" s="31">
        <f t="shared" si="182"/>
        <v>1.5707963267948966</v>
      </c>
      <c r="AJ261" s="31" t="str">
        <f t="shared" si="168"/>
        <v>1+48842046.0936733i</v>
      </c>
      <c r="AK261" s="31">
        <f t="shared" si="183"/>
        <v>48842046.093673311</v>
      </c>
      <c r="AL261" s="31">
        <f t="shared" si="184"/>
        <v>1.570796306320734</v>
      </c>
      <c r="AM261" s="31" t="str">
        <f t="shared" si="169"/>
        <v>1+22.2858586463565i</v>
      </c>
      <c r="AN261" s="31">
        <f t="shared" si="185"/>
        <v>22.308283116487981</v>
      </c>
      <c r="AO261" s="31">
        <f t="shared" si="186"/>
        <v>1.5259549017970355</v>
      </c>
      <c r="AS261" s="58" t="str">
        <f t="shared" si="187"/>
        <v>8177.04208318066+182232.487328313i</v>
      </c>
      <c r="AT261" s="49">
        <f t="shared" si="188"/>
        <v>105.22125157087993</v>
      </c>
      <c r="AU261" s="61">
        <f t="shared" si="189"/>
        <v>87.430776773353259</v>
      </c>
      <c r="AV261" s="58" t="str">
        <f t="shared" si="190"/>
        <v>1551812.38161121+918637.255055604i</v>
      </c>
      <c r="AW261" s="64">
        <f t="shared" si="191"/>
        <v>125.12152683562493</v>
      </c>
      <c r="AX261" s="61">
        <f t="shared" si="192"/>
        <v>30.624557353978631</v>
      </c>
      <c r="AY261" s="310"/>
      <c r="BA261" s="31">
        <f t="shared" si="193"/>
        <v>0</v>
      </c>
      <c r="BB261" s="31">
        <f t="shared" si="194"/>
        <v>0</v>
      </c>
    </row>
    <row r="262" spans="14:54" x14ac:dyDescent="0.45">
      <c r="N262" s="10">
        <v>44</v>
      </c>
      <c r="O262" s="50">
        <f t="shared" si="195"/>
        <v>2754.228703338169</v>
      </c>
      <c r="P262" s="48" t="str">
        <f t="shared" si="161"/>
        <v>17.4002386318441</v>
      </c>
      <c r="Q262" s="17" t="str">
        <f t="shared" si="162"/>
        <v>1+1.48206850611715i</v>
      </c>
      <c r="R262" s="17">
        <f t="shared" si="170"/>
        <v>1.7878834013504126</v>
      </c>
      <c r="S262" s="17">
        <f t="shared" si="171"/>
        <v>0.97723035458594387</v>
      </c>
      <c r="T262" s="17" t="str">
        <f t="shared" si="163"/>
        <v>1+0.00519159879642802i</v>
      </c>
      <c r="U262" s="17">
        <f t="shared" si="172"/>
        <v>1.0000134762582267</v>
      </c>
      <c r="V262" s="17">
        <f t="shared" si="173"/>
        <v>5.1915521546506823E-3</v>
      </c>
      <c r="W262" s="31" t="str">
        <f t="shared" si="164"/>
        <v>1-0.0128082981644301i</v>
      </c>
      <c r="X262" s="17">
        <f t="shared" si="174"/>
        <v>1.0000820228870575</v>
      </c>
      <c r="Y262" s="17">
        <f t="shared" si="175"/>
        <v>-1.2807597822245021E-2</v>
      </c>
      <c r="Z262" s="31" t="str">
        <f t="shared" si="165"/>
        <v>0.999993119477777+0.017913171678913i</v>
      </c>
      <c r="AA262" s="17">
        <f t="shared" si="176"/>
        <v>1.0001535485726649</v>
      </c>
      <c r="AB262" s="17">
        <f t="shared" si="177"/>
        <v>1.7911379257890801E-2</v>
      </c>
      <c r="AC262" s="66" t="str">
        <f t="shared" si="178"/>
        <v>5.23548191055053-8.20345212160507i</v>
      </c>
      <c r="AD262" s="64">
        <f t="shared" si="179"/>
        <v>19.763816100232003</v>
      </c>
      <c r="AE262" s="61">
        <f t="shared" si="180"/>
        <v>-57.453788639914862</v>
      </c>
      <c r="AF262" s="31" t="str">
        <f t="shared" si="166"/>
        <v>-9090.90909090909</v>
      </c>
      <c r="AG262" s="31" t="str">
        <f t="shared" si="167"/>
        <v>2.27623467397318E-08i</v>
      </c>
      <c r="AH262" s="31">
        <f t="shared" si="181"/>
        <v>2.27623467397318E-8</v>
      </c>
      <c r="AI262" s="31">
        <f t="shared" si="182"/>
        <v>1.5707963267948966</v>
      </c>
      <c r="AJ262" s="31" t="str">
        <f t="shared" si="168"/>
        <v>1+49979723.4963096i</v>
      </c>
      <c r="AK262" s="31">
        <f t="shared" si="183"/>
        <v>49979723.496309608</v>
      </c>
      <c r="AL262" s="31">
        <f t="shared" si="184"/>
        <v>1.5707963067867827</v>
      </c>
      <c r="AM262" s="31" t="str">
        <f t="shared" si="169"/>
        <v>1+22.8049629797761i</v>
      </c>
      <c r="AN262" s="31">
        <f t="shared" si="185"/>
        <v>22.826877502386491</v>
      </c>
      <c r="AO262" s="31">
        <f t="shared" si="186"/>
        <v>1.5269742957987151</v>
      </c>
      <c r="AS262" s="58" t="str">
        <f t="shared" si="187"/>
        <v>7990.90988100613+182232.487320777i</v>
      </c>
      <c r="AT262" s="49">
        <f t="shared" si="188"/>
        <v>105.22085878513712</v>
      </c>
      <c r="AU262" s="61">
        <f t="shared" si="189"/>
        <v>87.489183720607812</v>
      </c>
      <c r="AV262" s="58" t="str">
        <f t="shared" si="190"/>
        <v>1536771.74886784+888521.844265662i</v>
      </c>
      <c r="AW262" s="64">
        <f t="shared" si="191"/>
        <v>124.9846748853691</v>
      </c>
      <c r="AX262" s="61">
        <f t="shared" si="192"/>
        <v>30.035395080693007</v>
      </c>
      <c r="AY262" s="310"/>
      <c r="BA262" s="31">
        <f t="shared" si="193"/>
        <v>0</v>
      </c>
      <c r="BB262" s="31">
        <f t="shared" si="194"/>
        <v>0</v>
      </c>
    </row>
    <row r="263" spans="14:54" x14ac:dyDescent="0.45">
      <c r="N263" s="10">
        <v>45</v>
      </c>
      <c r="O263" s="50">
        <f t="shared" si="195"/>
        <v>2818.3829312644561</v>
      </c>
      <c r="P263" s="48" t="str">
        <f t="shared" si="161"/>
        <v>17.4002386318441</v>
      </c>
      <c r="Q263" s="17" t="str">
        <f t="shared" si="162"/>
        <v>1+1.51659031638968i</v>
      </c>
      <c r="R263" s="17">
        <f t="shared" si="170"/>
        <v>1.8166029251784632</v>
      </c>
      <c r="S263" s="17">
        <f t="shared" si="171"/>
        <v>0.98785960252718708</v>
      </c>
      <c r="T263" s="17" t="str">
        <f t="shared" si="163"/>
        <v>1+0.00531252666711798i</v>
      </c>
      <c r="U263" s="17">
        <f t="shared" si="172"/>
        <v>1.000014111370229</v>
      </c>
      <c r="V263" s="17">
        <f t="shared" si="173"/>
        <v>5.3124766895912218E-3</v>
      </c>
      <c r="W263" s="31" t="str">
        <f t="shared" si="164"/>
        <v>1-0.0131066417547038i</v>
      </c>
      <c r="X263" s="17">
        <f t="shared" si="174"/>
        <v>1.0000858883406396</v>
      </c>
      <c r="Y263" s="17">
        <f t="shared" si="175"/>
        <v>-1.3105891328012919E-2</v>
      </c>
      <c r="Z263" s="31" t="str">
        <f t="shared" si="165"/>
        <v>0.999992795208755+0.0183304230485538i</v>
      </c>
      <c r="AA263" s="17">
        <f t="shared" si="176"/>
        <v>1.000160784513449</v>
      </c>
      <c r="AB263" s="17">
        <f t="shared" si="177"/>
        <v>1.8328502451491972E-2</v>
      </c>
      <c r="AC263" s="66" t="str">
        <f t="shared" si="178"/>
        <v>5.06175746417663-8.13106063500144i</v>
      </c>
      <c r="AD263" s="64">
        <f t="shared" si="179"/>
        <v>19.625376013032668</v>
      </c>
      <c r="AE263" s="61">
        <f t="shared" si="180"/>
        <v>-58.096861578321601</v>
      </c>
      <c r="AF263" s="31" t="str">
        <f t="shared" si="166"/>
        <v>-9090.90909090909</v>
      </c>
      <c r="AG263" s="31" t="str">
        <f t="shared" si="167"/>
        <v>2.27623467397318E-08i</v>
      </c>
      <c r="AH263" s="31">
        <f t="shared" si="181"/>
        <v>2.27623467397318E-8</v>
      </c>
      <c r="AI263" s="31">
        <f t="shared" si="182"/>
        <v>1.5707963267948966</v>
      </c>
      <c r="AJ263" s="31" t="str">
        <f t="shared" si="168"/>
        <v>1+51143900.8099033i</v>
      </c>
      <c r="AK263" s="31">
        <f t="shared" si="183"/>
        <v>51143900.809903316</v>
      </c>
      <c r="AL263" s="31">
        <f t="shared" si="184"/>
        <v>1.5707963072422231</v>
      </c>
      <c r="AM263" s="31" t="str">
        <f t="shared" si="169"/>
        <v>1+23.3361588064269i</v>
      </c>
      <c r="AN263" s="31">
        <f t="shared" si="185"/>
        <v>23.357574956291497</v>
      </c>
      <c r="AO263" s="31">
        <f t="shared" si="186"/>
        <v>1.5279705736300573</v>
      </c>
      <c r="AS263" s="58" t="str">
        <f t="shared" si="187"/>
        <v>7809.01456502276+182232.487313581i</v>
      </c>
      <c r="AT263" s="49">
        <f t="shared" si="188"/>
        <v>105.22048364449985</v>
      </c>
      <c r="AU263" s="61">
        <f t="shared" si="189"/>
        <v>87.546266209471369</v>
      </c>
      <c r="AV263" s="58" t="str">
        <f t="shared" si="190"/>
        <v>1521270.74177623+858921.081947182i</v>
      </c>
      <c r="AW263" s="64">
        <f t="shared" si="191"/>
        <v>124.84585965753254</v>
      </c>
      <c r="AX263" s="61">
        <f t="shared" si="192"/>
        <v>29.449404631149694</v>
      </c>
      <c r="AY263" s="310"/>
      <c r="BA263" s="31">
        <f t="shared" si="193"/>
        <v>0</v>
      </c>
      <c r="BB263" s="31">
        <f t="shared" si="194"/>
        <v>0</v>
      </c>
    </row>
    <row r="264" spans="14:54" x14ac:dyDescent="0.45">
      <c r="N264" s="10">
        <v>46</v>
      </c>
      <c r="O264" s="50">
        <f t="shared" si="195"/>
        <v>2884.0315031266077</v>
      </c>
      <c r="P264" s="48" t="str">
        <f t="shared" si="161"/>
        <v>17.4002386318441</v>
      </c>
      <c r="Q264" s="17" t="str">
        <f t="shared" si="162"/>
        <v>1+1.55191624292241i</v>
      </c>
      <c r="R264" s="17">
        <f t="shared" si="170"/>
        <v>1.8461971793517638</v>
      </c>
      <c r="S264" s="17">
        <f t="shared" si="171"/>
        <v>0.99839287939927457</v>
      </c>
      <c r="T264" s="17" t="str">
        <f t="shared" si="163"/>
        <v>1+0.00543627130976647i</v>
      </c>
      <c r="U264" s="17">
        <f t="shared" si="172"/>
        <v>1.0000147764137055</v>
      </c>
      <c r="V264" s="17">
        <f t="shared" si="173"/>
        <v>5.4362177579244568E-3</v>
      </c>
      <c r="W264" s="31" t="str">
        <f t="shared" si="164"/>
        <v>1-0.0134119346599227i</v>
      </c>
      <c r="X264" s="17">
        <f t="shared" si="174"/>
        <v>1.0000899359514233</v>
      </c>
      <c r="Y264" s="17">
        <f t="shared" si="175"/>
        <v>-1.3411130567141626E-2</v>
      </c>
      <c r="Z264" s="31" t="str">
        <f t="shared" si="165"/>
        <v>0.999992455657405+0.0187573934511267i</v>
      </c>
      <c r="AA264" s="17">
        <f t="shared" si="176"/>
        <v>1.0001683614176202</v>
      </c>
      <c r="AB264" s="17">
        <f t="shared" si="177"/>
        <v>1.8755335512997174E-2</v>
      </c>
      <c r="AC264" s="66" t="str">
        <f t="shared" si="178"/>
        <v>4.89115608659516-8.05569229642346i</v>
      </c>
      <c r="AD264" s="64">
        <f t="shared" si="179"/>
        <v>19.484989663413611</v>
      </c>
      <c r="AE264" s="61">
        <f t="shared" si="180"/>
        <v>-58.735228699691731</v>
      </c>
      <c r="AF264" s="31" t="str">
        <f t="shared" si="166"/>
        <v>-9090.90909090909</v>
      </c>
      <c r="AG264" s="31" t="str">
        <f t="shared" si="167"/>
        <v>2.27623467397318E-08i</v>
      </c>
      <c r="AH264" s="31">
        <f t="shared" si="181"/>
        <v>2.27623467397318E-8</v>
      </c>
      <c r="AI264" s="31">
        <f t="shared" si="182"/>
        <v>1.5707963267948966</v>
      </c>
      <c r="AJ264" s="31" t="str">
        <f t="shared" si="168"/>
        <v>1+52335195.2966761i</v>
      </c>
      <c r="AK264" s="31">
        <f t="shared" si="183"/>
        <v>52335195.296676114</v>
      </c>
      <c r="AL264" s="31">
        <f t="shared" si="184"/>
        <v>1.5707963076872962</v>
      </c>
      <c r="AM264" s="31" t="str">
        <f t="shared" si="169"/>
        <v>1+23.8797277733675i</v>
      </c>
      <c r="AN264" s="31">
        <f t="shared" si="185"/>
        <v>23.900656863988885</v>
      </c>
      <c r="AO264" s="31">
        <f t="shared" si="186"/>
        <v>1.5289442556152506</v>
      </c>
      <c r="AS264" s="58" t="str">
        <f t="shared" si="187"/>
        <v>7631.25969192631+182232.48730671i</v>
      </c>
      <c r="AT264" s="49">
        <f t="shared" si="188"/>
        <v>105.22012535772051</v>
      </c>
      <c r="AU264" s="61">
        <f t="shared" si="189"/>
        <v>87.602054052310038</v>
      </c>
      <c r="AV264" s="58" t="str">
        <f t="shared" si="190"/>
        <v>1505334.5264453+829852.459553332i</v>
      </c>
      <c r="AW264" s="64">
        <f t="shared" si="191"/>
        <v>124.70511502113411</v>
      </c>
      <c r="AX264" s="61">
        <f t="shared" si="192"/>
        <v>28.866825352618353</v>
      </c>
      <c r="AY264" s="310"/>
      <c r="BA264" s="31">
        <f t="shared" si="193"/>
        <v>0</v>
      </c>
      <c r="BB264" s="31">
        <f t="shared" si="194"/>
        <v>0</v>
      </c>
    </row>
    <row r="265" spans="14:54" x14ac:dyDescent="0.45">
      <c r="N265" s="10">
        <v>47</v>
      </c>
      <c r="O265" s="50">
        <f t="shared" si="195"/>
        <v>2951.2092266663876</v>
      </c>
      <c r="P265" s="48" t="str">
        <f t="shared" si="161"/>
        <v>17.4002386318441</v>
      </c>
      <c r="Q265" s="17" t="str">
        <f t="shared" si="162"/>
        <v>1+1.58806501598918i</v>
      </c>
      <c r="R265" s="17">
        <f t="shared" si="170"/>
        <v>1.8766860406068764</v>
      </c>
      <c r="S265" s="17">
        <f t="shared" si="171"/>
        <v>1.0088264205719322</v>
      </c>
      <c r="T265" s="17" t="str">
        <f t="shared" si="163"/>
        <v>1+0.00556289833542094i</v>
      </c>
      <c r="U265" s="17">
        <f t="shared" si="172"/>
        <v>1.0000154727992414</v>
      </c>
      <c r="V265" s="17">
        <f t="shared" si="173"/>
        <v>5.5628409536363438E-3</v>
      </c>
      <c r="W265" s="31" t="str">
        <f t="shared" si="164"/>
        <v>1-0.0137243387504262i</v>
      </c>
      <c r="X265" s="17">
        <f t="shared" si="174"/>
        <v>1.0000941743026686</v>
      </c>
      <c r="Y265" s="17">
        <f t="shared" si="175"/>
        <v>-1.372347715386992E-2</v>
      </c>
      <c r="Z265" s="31" t="str">
        <f t="shared" si="165"/>
        <v>0.999992100103492+0.0191943092719909i</v>
      </c>
      <c r="AA265" s="17">
        <f t="shared" si="176"/>
        <v>1.0001762953488857</v>
      </c>
      <c r="AB265" s="17">
        <f t="shared" si="177"/>
        <v>1.9192104172537208E-2</v>
      </c>
      <c r="AC265" s="66" t="str">
        <f t="shared" si="178"/>
        <v>4.72377027861353-7.97750747631464i</v>
      </c>
      <c r="AD265" s="64">
        <f t="shared" si="179"/>
        <v>19.342692811584236</v>
      </c>
      <c r="AE265" s="61">
        <f t="shared" si="180"/>
        <v>-59.368692741538375</v>
      </c>
      <c r="AF265" s="31" t="str">
        <f t="shared" si="166"/>
        <v>-9090.90909090909</v>
      </c>
      <c r="AG265" s="31" t="str">
        <f t="shared" si="167"/>
        <v>2.27623467397318E-08i</v>
      </c>
      <c r="AH265" s="31">
        <f t="shared" si="181"/>
        <v>2.27623467397318E-8</v>
      </c>
      <c r="AI265" s="31">
        <f t="shared" si="182"/>
        <v>1.5707963267948966</v>
      </c>
      <c r="AJ265" s="31" t="str">
        <f t="shared" si="168"/>
        <v>1+53554238.5967333i</v>
      </c>
      <c r="AK265" s="31">
        <f t="shared" si="183"/>
        <v>53554238.596733317</v>
      </c>
      <c r="AL265" s="31">
        <f t="shared" si="184"/>
        <v>1.5707963081222382</v>
      </c>
      <c r="AM265" s="31" t="str">
        <f t="shared" si="169"/>
        <v>1+24.435958088059i</v>
      </c>
      <c r="AN265" s="31">
        <f t="shared" si="185"/>
        <v>24.456411177467885</v>
      </c>
      <c r="AO265" s="31">
        <f t="shared" si="186"/>
        <v>1.5298958506243183</v>
      </c>
      <c r="AS265" s="58" t="str">
        <f t="shared" si="187"/>
        <v>7457.55101373015+182232.487300146i</v>
      </c>
      <c r="AT265" s="49">
        <f t="shared" si="188"/>
        <v>105.21978316890767</v>
      </c>
      <c r="AU265" s="61">
        <f t="shared" si="189"/>
        <v>87.656576405214992</v>
      </c>
      <c r="AV265" s="58" t="str">
        <f t="shared" si="190"/>
        <v>1488988.78769423+801331.738339217i</v>
      </c>
      <c r="AW265" s="64">
        <f t="shared" si="191"/>
        <v>124.5624759804919</v>
      </c>
      <c r="AX265" s="61">
        <f t="shared" si="192"/>
        <v>28.287883663676613</v>
      </c>
      <c r="AY265" s="310"/>
      <c r="BA265" s="31">
        <f t="shared" si="193"/>
        <v>0</v>
      </c>
      <c r="BB265" s="31">
        <f t="shared" si="194"/>
        <v>0</v>
      </c>
    </row>
    <row r="266" spans="14:54" x14ac:dyDescent="0.45">
      <c r="N266" s="10">
        <v>48</v>
      </c>
      <c r="O266" s="50">
        <f t="shared" si="195"/>
        <v>3019.9517204020176</v>
      </c>
      <c r="P266" s="48" t="str">
        <f t="shared" si="161"/>
        <v>17.4002386318441</v>
      </c>
      <c r="Q266" s="17" t="str">
        <f t="shared" si="162"/>
        <v>1+1.62505580214795i</v>
      </c>
      <c r="R266" s="17">
        <f t="shared" si="170"/>
        <v>1.9080897148967384</v>
      </c>
      <c r="S266" s="17">
        <f t="shared" si="171"/>
        <v>1.0191566715132081</v>
      </c>
      <c r="T266" s="17" t="str">
        <f t="shared" si="163"/>
        <v>1+0.00569247488340652i</v>
      </c>
      <c r="U266" s="17">
        <f t="shared" si="172"/>
        <v>1.0000162020038965</v>
      </c>
      <c r="V266" s="17">
        <f t="shared" si="173"/>
        <v>5.6924133977703578E-3</v>
      </c>
      <c r="W266" s="31" t="str">
        <f t="shared" si="164"/>
        <v>1-0.0140440196669984i</v>
      </c>
      <c r="X266" s="17">
        <f t="shared" si="174"/>
        <v>1.0000986123820026</v>
      </c>
      <c r="Y266" s="17">
        <f t="shared" si="175"/>
        <v>-1.404309645457147E-2</v>
      </c>
      <c r="Z266" s="31" t="str">
        <f t="shared" si="165"/>
        <v>0.99999172779284+0.0196414021696977i</v>
      </c>
      <c r="AA266" s="17">
        <f t="shared" si="176"/>
        <v>1.0001846031274932</v>
      </c>
      <c r="AB266" s="17">
        <f t="shared" si="177"/>
        <v>1.9639039386603701E-2</v>
      </c>
      <c r="AC266" s="66" t="str">
        <f t="shared" si="178"/>
        <v>4.55968240347884-7.89666862880122i</v>
      </c>
      <c r="AD266" s="64">
        <f t="shared" si="179"/>
        <v>19.198522202901131</v>
      </c>
      <c r="AE266" s="61">
        <f t="shared" si="180"/>
        <v>-59.9970689060574</v>
      </c>
      <c r="AF266" s="31" t="str">
        <f t="shared" si="166"/>
        <v>-9090.90909090909</v>
      </c>
      <c r="AG266" s="31" t="str">
        <f t="shared" si="167"/>
        <v>2.27623467397318E-08i</v>
      </c>
      <c r="AH266" s="31">
        <f t="shared" si="181"/>
        <v>2.27623467397318E-8</v>
      </c>
      <c r="AI266" s="31">
        <f t="shared" si="182"/>
        <v>1.5707963267948966</v>
      </c>
      <c r="AJ266" s="31" t="str">
        <f t="shared" si="168"/>
        <v>1+54801677.0629686i</v>
      </c>
      <c r="AK266" s="31">
        <f t="shared" si="183"/>
        <v>54801677.062968597</v>
      </c>
      <c r="AL266" s="31">
        <f t="shared" si="184"/>
        <v>1.5707963085472798</v>
      </c>
      <c r="AM266" s="31" t="str">
        <f t="shared" si="169"/>
        <v>1+25.005144671177i</v>
      </c>
      <c r="AN266" s="31">
        <f t="shared" si="185"/>
        <v>25.025132567610736</v>
      </c>
      <c r="AO266" s="31">
        <f t="shared" si="186"/>
        <v>1.5308258563079957</v>
      </c>
      <c r="AS266" s="58" t="str">
        <f t="shared" si="187"/>
        <v>7287.79642779384+182232.487293879i</v>
      </c>
      <c r="AT266" s="49">
        <f t="shared" si="188"/>
        <v>105.21945635595773</v>
      </c>
      <c r="AU266" s="61">
        <f t="shared" si="189"/>
        <v>87.709861781459793</v>
      </c>
      <c r="AV266" s="58" t="str">
        <f t="shared" si="190"/>
        <v>1472259.60269394+773372.952231632i</v>
      </c>
      <c r="AW266" s="64">
        <f t="shared" si="191"/>
        <v>124.41797855885888</v>
      </c>
      <c r="AX266" s="61">
        <f t="shared" si="192"/>
        <v>27.712792875402361</v>
      </c>
      <c r="AY266" s="310"/>
      <c r="BA266" s="31">
        <f t="shared" si="193"/>
        <v>0</v>
      </c>
      <c r="BB266" s="31">
        <f t="shared" si="194"/>
        <v>0</v>
      </c>
    </row>
    <row r="267" spans="14:54" x14ac:dyDescent="0.45">
      <c r="N267" s="10">
        <v>49</v>
      </c>
      <c r="O267" s="50">
        <f t="shared" si="195"/>
        <v>3090.295432513592</v>
      </c>
      <c r="P267" s="48" t="str">
        <f t="shared" si="161"/>
        <v>17.4002386318441</v>
      </c>
      <c r="Q267" s="17" t="str">
        <f t="shared" si="162"/>
        <v>1+1.66290821440318i</v>
      </c>
      <c r="R267" s="17">
        <f t="shared" si="170"/>
        <v>1.9404287488927732</v>
      </c>
      <c r="S267" s="17">
        <f t="shared" si="171"/>
        <v>1.0293802900332405</v>
      </c>
      <c r="T267" s="17" t="str">
        <f t="shared" si="163"/>
        <v>1+0.00582506965692409i</v>
      </c>
      <c r="U267" s="17">
        <f t="shared" si="172"/>
        <v>1.0000169655743387</v>
      </c>
      <c r="V267" s="17">
        <f t="shared" si="173"/>
        <v>5.8250037739383149E-3</v>
      </c>
      <c r="W267" s="31" t="str">
        <f t="shared" si="164"/>
        <v>1-0.0143711469086925i</v>
      </c>
      <c r="X267" s="17">
        <f t="shared" si="174"/>
        <v>1.0001032596004631</v>
      </c>
      <c r="Y267" s="17">
        <f t="shared" si="175"/>
        <v>-1.4370157674270485E-2</v>
      </c>
      <c r="Z267" s="31" t="str">
        <f t="shared" si="165"/>
        <v>0.999991337935728+0.0200989091988197i</v>
      </c>
      <c r="AA267" s="17">
        <f t="shared" si="176"/>
        <v>1.0001933023658327</v>
      </c>
      <c r="AB267" s="17">
        <f t="shared" si="177"/>
        <v>2.0096377457532726E-2</v>
      </c>
      <c r="AC267" s="66" t="str">
        <f t="shared" si="178"/>
        <v>4.39896476195525-7.8133395756626i</v>
      </c>
      <c r="AD267" s="64">
        <f t="shared" si="179"/>
        <v>19.052515453589209</v>
      </c>
      <c r="AE267" s="61">
        <f t="shared" si="180"/>
        <v>-60.620184998454583</v>
      </c>
      <c r="AF267" s="31" t="str">
        <f t="shared" si="166"/>
        <v>-9090.90909090909</v>
      </c>
      <c r="AG267" s="31" t="str">
        <f t="shared" si="167"/>
        <v>2.27623467397318E-08i</v>
      </c>
      <c r="AH267" s="31">
        <f t="shared" si="181"/>
        <v>2.27623467397318E-8</v>
      </c>
      <c r="AI267" s="31">
        <f t="shared" si="182"/>
        <v>1.5707963267948966</v>
      </c>
      <c r="AJ267" s="31" t="str">
        <f t="shared" si="168"/>
        <v>1+56078172.1037687i</v>
      </c>
      <c r="AK267" s="31">
        <f t="shared" si="183"/>
        <v>56078172.103768699</v>
      </c>
      <c r="AL267" s="31">
        <f t="shared" si="184"/>
        <v>1.5707963089626464</v>
      </c>
      <c r="AM267" s="31" t="str">
        <f t="shared" si="169"/>
        <v>1+25.5875893129818i</v>
      </c>
      <c r="AN267" s="31">
        <f t="shared" si="185"/>
        <v>25.607122580442741</v>
      </c>
      <c r="AO267" s="31">
        <f t="shared" si="186"/>
        <v>1.5317347593289627</v>
      </c>
      <c r="AS267" s="58" t="str">
        <f t="shared" si="187"/>
        <v>7121.90592798894+182232.487287894i</v>
      </c>
      <c r="AT267" s="49">
        <f t="shared" si="188"/>
        <v>105.21914422905412</v>
      </c>
      <c r="AU267" s="61">
        <f t="shared" si="189"/>
        <v>87.761938064749145</v>
      </c>
      <c r="AV267" s="58" t="str">
        <f t="shared" si="190"/>
        <v>1455173.31811312+745988.420621602i</v>
      </c>
      <c r="AW267" s="64">
        <f t="shared" si="191"/>
        <v>124.27165968264335</v>
      </c>
      <c r="AX267" s="61">
        <f t="shared" si="192"/>
        <v>27.141753066294545</v>
      </c>
      <c r="AY267" s="310"/>
      <c r="BA267" s="31">
        <f t="shared" si="193"/>
        <v>0</v>
      </c>
      <c r="BB267" s="31">
        <f t="shared" si="194"/>
        <v>0</v>
      </c>
    </row>
    <row r="268" spans="14:54" x14ac:dyDescent="0.45">
      <c r="N268" s="10">
        <v>50</v>
      </c>
      <c r="O268" s="50">
        <f t="shared" si="195"/>
        <v>3162.2776601683804</v>
      </c>
      <c r="P268" s="48" t="str">
        <f t="shared" si="161"/>
        <v>17.4002386318441</v>
      </c>
      <c r="Q268" s="17" t="str">
        <f t="shared" si="162"/>
        <v>1+1.70164232260487i</v>
      </c>
      <c r="R268" s="17">
        <f t="shared" si="170"/>
        <v>1.9737240420281903</v>
      </c>
      <c r="S268" s="17">
        <f t="shared" si="171"/>
        <v>1.0394941476126152</v>
      </c>
      <c r="T268" s="17" t="str">
        <f t="shared" si="163"/>
        <v>1+0.00596075295947767i</v>
      </c>
      <c r="U268" s="17">
        <f t="shared" si="172"/>
        <v>1.0000177651301221</v>
      </c>
      <c r="V268" s="17">
        <f t="shared" si="173"/>
        <v>5.9606823646542574E-3</v>
      </c>
      <c r="W268" s="31" t="str">
        <f t="shared" si="164"/>
        <v>1-0.0147058939227023i</v>
      </c>
      <c r="X268" s="17">
        <f t="shared" si="174"/>
        <v>1.0001081258124374</v>
      </c>
      <c r="Y268" s="17">
        <f t="shared" si="175"/>
        <v>-1.4704833945110983E-2</v>
      </c>
      <c r="Z268" s="31" t="str">
        <f t="shared" si="165"/>
        <v>0.999990929705215+0.0205670729356393i</v>
      </c>
      <c r="AA268" s="17">
        <f t="shared" si="176"/>
        <v>1.0002024115057113</v>
      </c>
      <c r="AB268" s="17">
        <f t="shared" si="177"/>
        <v>2.0564360155608849E-2</v>
      </c>
      <c r="AC268" s="66" t="str">
        <f t="shared" si="178"/>
        <v>4.24167972194529-7.72768481547655i</v>
      </c>
      <c r="AD268" s="64">
        <f t="shared" si="179"/>
        <v>18.904710937617658</v>
      </c>
      <c r="AE268" s="61">
        <f t="shared" si="180"/>
        <v>-61.237881513037998</v>
      </c>
      <c r="AF268" s="31" t="str">
        <f t="shared" si="166"/>
        <v>-9090.90909090909</v>
      </c>
      <c r="AG268" s="31" t="str">
        <f t="shared" si="167"/>
        <v>2.27623467397318E-08i</v>
      </c>
      <c r="AH268" s="31">
        <f t="shared" si="181"/>
        <v>2.27623467397318E-8</v>
      </c>
      <c r="AI268" s="31">
        <f t="shared" si="182"/>
        <v>1.5707963267948966</v>
      </c>
      <c r="AJ268" s="31" t="str">
        <f t="shared" si="168"/>
        <v>1+57384400.5337005i</v>
      </c>
      <c r="AK268" s="31">
        <f t="shared" si="183"/>
        <v>57384400.533700503</v>
      </c>
      <c r="AL268" s="31">
        <f t="shared" si="184"/>
        <v>1.570796309368558</v>
      </c>
      <c r="AM268" s="31" t="str">
        <f t="shared" si="169"/>
        <v>1+26.1836008333322i</v>
      </c>
      <c r="AN268" s="31">
        <f t="shared" si="185"/>
        <v>26.202689797027986</v>
      </c>
      <c r="AO268" s="31">
        <f t="shared" si="186"/>
        <v>1.5326230355894137</v>
      </c>
      <c r="AS268" s="58" t="str">
        <f t="shared" si="187"/>
        <v>6959.79155697665+182232.487282178i</v>
      </c>
      <c r="AT268" s="49">
        <f t="shared" si="188"/>
        <v>105.218846129233</v>
      </c>
      <c r="AU268" s="61">
        <f t="shared" si="189"/>
        <v>87.812832522257636</v>
      </c>
      <c r="AV268" s="58" t="str">
        <f t="shared" si="190"/>
        <v>1437756.4315732+719188.770450737i</v>
      </c>
      <c r="AW268" s="64">
        <f t="shared" si="191"/>
        <v>124.12355706685062</v>
      </c>
      <c r="AX268" s="61">
        <f t="shared" si="192"/>
        <v>26.574951009219703</v>
      </c>
      <c r="AY268" s="310"/>
      <c r="BA268" s="31">
        <f t="shared" si="193"/>
        <v>0</v>
      </c>
      <c r="BB268" s="31">
        <f t="shared" si="194"/>
        <v>0</v>
      </c>
    </row>
    <row r="269" spans="14:54" x14ac:dyDescent="0.45">
      <c r="N269" s="10">
        <v>51</v>
      </c>
      <c r="O269" s="50">
        <f t="shared" si="195"/>
        <v>3235.9365692962833</v>
      </c>
      <c r="P269" s="48" t="str">
        <f t="shared" si="161"/>
        <v>17.4002386318441</v>
      </c>
      <c r="Q269" s="17" t="str">
        <f t="shared" si="162"/>
        <v>1+1.74127866408991i</v>
      </c>
      <c r="R269" s="17">
        <f t="shared" si="170"/>
        <v>2.0079968590649591</v>
      </c>
      <c r="S269" s="17">
        <f t="shared" si="171"/>
        <v>1.0494953298508733</v>
      </c>
      <c r="T269" s="17" t="str">
        <f t="shared" si="163"/>
        <v>1+0.00609959673215026i</v>
      </c>
      <c r="U269" s="17">
        <f t="shared" si="172"/>
        <v>1.0000186023671234</v>
      </c>
      <c r="V269" s="17">
        <f t="shared" si="173"/>
        <v>6.0995210885101212E-3</v>
      </c>
      <c r="W269" s="31" t="str">
        <f t="shared" si="164"/>
        <v>1-0.0150484381963253i</v>
      </c>
      <c r="X269" s="17">
        <f t="shared" si="174"/>
        <v>1.0001132213365389</v>
      </c>
      <c r="Y269" s="17">
        <f t="shared" si="175"/>
        <v>-1.5047302416817473E-2</v>
      </c>
      <c r="Z269" s="31" t="str">
        <f t="shared" si="165"/>
        <v>0.999990502235392+0.0210461416067669i</v>
      </c>
      <c r="AA269" s="17">
        <f t="shared" si="176"/>
        <v>1.0002119498573907</v>
      </c>
      <c r="AB269" s="17">
        <f t="shared" si="177"/>
        <v>2.1043234843842837E-2</v>
      </c>
      <c r="AC269" s="66" t="str">
        <f t="shared" si="178"/>
        <v>4.08787989860441-7.63986886210195i</v>
      </c>
      <c r="AD269" s="64">
        <f t="shared" si="179"/>
        <v>18.755147675323151</v>
      </c>
      <c r="AE269" s="61">
        <f t="shared" si="180"/>
        <v>-61.850011669118061</v>
      </c>
      <c r="AF269" s="31" t="str">
        <f t="shared" si="166"/>
        <v>-9090.90909090909</v>
      </c>
      <c r="AG269" s="31" t="str">
        <f t="shared" si="167"/>
        <v>2.27623467397318E-08i</v>
      </c>
      <c r="AH269" s="31">
        <f t="shared" si="181"/>
        <v>2.27623467397318E-8</v>
      </c>
      <c r="AI269" s="31">
        <f t="shared" si="182"/>
        <v>1.5707963267948966</v>
      </c>
      <c r="AJ269" s="31" t="str">
        <f t="shared" si="168"/>
        <v>1+58721054.9323677i</v>
      </c>
      <c r="AK269" s="31">
        <f t="shared" si="183"/>
        <v>58721054.932367697</v>
      </c>
      <c r="AL269" s="31">
        <f t="shared" si="184"/>
        <v>1.5707963097652298</v>
      </c>
      <c r="AM269" s="31" t="str">
        <f t="shared" si="169"/>
        <v>1+26.7934952454253i</v>
      </c>
      <c r="AN269" s="31">
        <f t="shared" si="185"/>
        <v>26.812149997093265</v>
      </c>
      <c r="AO269" s="31">
        <f t="shared" si="186"/>
        <v>1.533491150454934</v>
      </c>
      <c r="AS269" s="58" t="str">
        <f t="shared" si="187"/>
        <v>6801.36735957158+182232.487276719i</v>
      </c>
      <c r="AT269" s="49">
        <f t="shared" si="188"/>
        <v>105.21856142701171</v>
      </c>
      <c r="AU269" s="61">
        <f t="shared" si="189"/>
        <v>87.862571817456882</v>
      </c>
      <c r="AV269" s="58" t="str">
        <f t="shared" si="190"/>
        <v>1420035.47812101+692982.966901076i</v>
      </c>
      <c r="AW269" s="64">
        <f t="shared" si="191"/>
        <v>123.97370910233485</v>
      </c>
      <c r="AX269" s="61">
        <f t="shared" si="192"/>
        <v>26.012560148338856</v>
      </c>
      <c r="AY269" s="310"/>
      <c r="BA269" s="31">
        <f t="shared" si="193"/>
        <v>0</v>
      </c>
      <c r="BB269" s="31">
        <f t="shared" si="194"/>
        <v>0</v>
      </c>
    </row>
    <row r="270" spans="14:54" x14ac:dyDescent="0.45">
      <c r="N270" s="10">
        <v>52</v>
      </c>
      <c r="O270" s="50">
        <f t="shared" si="195"/>
        <v>3311.3112148259115</v>
      </c>
      <c r="P270" s="48" t="str">
        <f t="shared" si="161"/>
        <v>17.4002386318441</v>
      </c>
      <c r="Q270" s="17" t="str">
        <f t="shared" si="162"/>
        <v>1+1.78183825457121i</v>
      </c>
      <c r="R270" s="17">
        <f t="shared" si="170"/>
        <v>2.0432688431661106</v>
      </c>
      <c r="S270" s="17">
        <f t="shared" si="171"/>
        <v>1.0593811360756684</v>
      </c>
      <c r="T270" s="17" t="str">
        <f t="shared" si="163"/>
        <v>1+0.00624167459174797i</v>
      </c>
      <c r="U270" s="17">
        <f t="shared" si="172"/>
        <v>1.0000194790611376</v>
      </c>
      <c r="V270" s="17">
        <f t="shared" si="173"/>
        <v>6.241593538212512E-3</v>
      </c>
      <c r="W270" s="31" t="str">
        <f t="shared" si="164"/>
        <v>1-0.0153989613510698i</v>
      </c>
      <c r="X270" s="17">
        <f t="shared" si="174"/>
        <v>1.0001185569774673</v>
      </c>
      <c r="Y270" s="17">
        <f t="shared" si="175"/>
        <v>-1.5397744349192282E-2</v>
      </c>
      <c r="Z270" s="31" t="str">
        <f t="shared" si="165"/>
        <v>0.999990054619536+0.021536369220753i</v>
      </c>
      <c r="AA270" s="17">
        <f t="shared" si="176"/>
        <v>1.0002219376404395</v>
      </c>
      <c r="AB270" s="17">
        <f t="shared" si="177"/>
        <v>2.1533254605469575E-2</v>
      </c>
      <c r="AC270" s="66" t="str">
        <f>(IMDIV(IMPRODUCT(P270,T270,W270),IMPRODUCT(Q270,Z270)))</f>
        <v>3.93760838062365-7.55005561608621i</v>
      </c>
      <c r="AD270" s="64">
        <f t="shared" si="179"/>
        <v>18.603865224327386</v>
      </c>
      <c r="AE270" s="61">
        <f t="shared" si="180"/>
        <v>-62.456441399038681</v>
      </c>
      <c r="AF270" s="31" t="str">
        <f t="shared" si="166"/>
        <v>-9090.90909090909</v>
      </c>
      <c r="AG270" s="31" t="str">
        <f t="shared" si="167"/>
        <v>2.27623467397318E-08i</v>
      </c>
      <c r="AH270" s="31">
        <f t="shared" si="181"/>
        <v>2.27623467397318E-8</v>
      </c>
      <c r="AI270" s="31">
        <f t="shared" si="182"/>
        <v>1.5707963267948966</v>
      </c>
      <c r="AJ270" s="31" t="str">
        <f t="shared" si="168"/>
        <v>1+60088844.0116252i</v>
      </c>
      <c r="AK270" s="31">
        <f t="shared" si="183"/>
        <v>60088844.011625201</v>
      </c>
      <c r="AL270" s="31">
        <f t="shared" si="184"/>
        <v>1.5707963101528724</v>
      </c>
      <c r="AM270" s="31" t="str">
        <f t="shared" si="169"/>
        <v>1+27.4175959233515i</v>
      </c>
      <c r="AN270" s="31">
        <f t="shared" si="185"/>
        <v>27.435826326469204</v>
      </c>
      <c r="AO270" s="31">
        <f t="shared" si="186"/>
        <v>1.5343395589746756</v>
      </c>
      <c r="AS270" s="58" t="str">
        <f t="shared" si="187"/>
        <v>6646.54933716726+182232.487271506i</v>
      </c>
      <c r="AT270" s="49">
        <f t="shared" si="188"/>
        <v>105.21828952107748</v>
      </c>
      <c r="AU270" s="61">
        <f t="shared" si="189"/>
        <v>87.911182022730728</v>
      </c>
      <c r="AV270" s="58" t="str">
        <f t="shared" si="190"/>
        <v>1402036.92232985+667378.351951501i</v>
      </c>
      <c r="AW270" s="64">
        <f t="shared" si="191"/>
        <v>123.82215474540487</v>
      </c>
      <c r="AX270" s="61">
        <f t="shared" si="192"/>
        <v>25.454740623692071</v>
      </c>
      <c r="AY270" s="310"/>
      <c r="BA270" s="31">
        <f t="shared" si="193"/>
        <v>0</v>
      </c>
      <c r="BB270" s="31">
        <f t="shared" si="194"/>
        <v>0</v>
      </c>
    </row>
    <row r="271" spans="14:54" x14ac:dyDescent="0.45">
      <c r="N271" s="10">
        <v>53</v>
      </c>
      <c r="O271" s="50">
        <f t="shared" si="195"/>
        <v>3388.4415613920314</v>
      </c>
      <c r="P271" s="48" t="str">
        <f t="shared" si="161"/>
        <v>17.4002386318441</v>
      </c>
      <c r="Q271" s="17" t="str">
        <f t="shared" si="162"/>
        <v>1+1.82334259928049i</v>
      </c>
      <c r="R271" s="17">
        <f t="shared" si="170"/>
        <v>2.0795620294549844</v>
      </c>
      <c r="S271" s="17">
        <f t="shared" si="171"/>
        <v>1.0691490781574513</v>
      </c>
      <c r="T271" s="17" t="str">
        <f t="shared" si="163"/>
        <v>1+0.00638706186983254i</v>
      </c>
      <c r="U271" s="17">
        <f t="shared" si="172"/>
        <v>1.0000203970716444</v>
      </c>
      <c r="V271" s="17">
        <f t="shared" si="173"/>
        <v>6.3869750195002135E-3</v>
      </c>
      <c r="W271" s="31" t="str">
        <f t="shared" si="164"/>
        <v>1-0.0157576492389519i</v>
      </c>
      <c r="X271" s="17">
        <f t="shared" si="174"/>
        <v>1.0001241440488964</v>
      </c>
      <c r="Y271" s="17">
        <f t="shared" si="175"/>
        <v>-1.5756345206687825E-2</v>
      </c>
      <c r="Z271" s="31" t="str">
        <f t="shared" si="165"/>
        <v>0.999989585908195+0.0220380157027675i</v>
      </c>
      <c r="AA271" s="17">
        <f t="shared" si="176"/>
        <v>1.0002323960265229</v>
      </c>
      <c r="AB271" s="17">
        <f t="shared" si="177"/>
        <v>2.2034678374219109E-2</v>
      </c>
      <c r="AC271" s="66" t="str">
        <f t="shared" si="178"/>
        <v>3.79089899815521-7.45840777199984i</v>
      </c>
      <c r="AD271" s="64">
        <f t="shared" si="179"/>
        <v>18.450903573243302</v>
      </c>
      <c r="AE271" s="61">
        <f t="shared" si="180"/>
        <v>-63.057049290917099</v>
      </c>
      <c r="AF271" s="31" t="str">
        <f t="shared" si="166"/>
        <v>-9090.90909090909</v>
      </c>
      <c r="AG271" s="31" t="str">
        <f t="shared" si="167"/>
        <v>2.27623467397318E-08i</v>
      </c>
      <c r="AH271" s="31">
        <f t="shared" si="181"/>
        <v>2.27623467397318E-8</v>
      </c>
      <c r="AI271" s="31">
        <f t="shared" si="182"/>
        <v>1.5707963267948966</v>
      </c>
      <c r="AJ271" s="31" t="str">
        <f t="shared" si="168"/>
        <v>1+61488492.9913475i</v>
      </c>
      <c r="AK271" s="31">
        <f t="shared" si="183"/>
        <v>61488492.991347499</v>
      </c>
      <c r="AL271" s="31">
        <f t="shared" si="184"/>
        <v>1.5707963105316911</v>
      </c>
      <c r="AM271" s="31" t="str">
        <f t="shared" si="169"/>
        <v>1+28.056233773551i</v>
      </c>
      <c r="AN271" s="31">
        <f t="shared" si="185"/>
        <v>28.074049468435149</v>
      </c>
      <c r="AO271" s="31">
        <f t="shared" si="186"/>
        <v>1.535168706097821</v>
      </c>
      <c r="AS271" s="58" t="str">
        <f t="shared" si="187"/>
        <v>6495.25540319902+182232.487266528i</v>
      </c>
      <c r="AT271" s="49">
        <f t="shared" si="188"/>
        <v>105.21802983703365</v>
      </c>
      <c r="AU271" s="61">
        <f t="shared" si="189"/>
        <v>87.958688631777662</v>
      </c>
      <c r="AV271" s="58" t="str">
        <f t="shared" si="190"/>
        <v>1383787.05654028+642380.69002967i</v>
      </c>
      <c r="AW271" s="64">
        <f t="shared" si="191"/>
        <v>123.66893341027692</v>
      </c>
      <c r="AX271" s="61">
        <f t="shared" si="192"/>
        <v>24.90163934086064</v>
      </c>
      <c r="AY271" s="310"/>
      <c r="BA271" s="31">
        <f t="shared" si="193"/>
        <v>0</v>
      </c>
      <c r="BB271" s="31">
        <f t="shared" si="194"/>
        <v>0</v>
      </c>
    </row>
    <row r="272" spans="14:54" x14ac:dyDescent="0.45">
      <c r="N272" s="10">
        <v>54</v>
      </c>
      <c r="O272" s="50">
        <f t="shared" si="195"/>
        <v>3467.3685045253224</v>
      </c>
      <c r="P272" s="48" t="str">
        <f t="shared" si="161"/>
        <v>17.4002386318441</v>
      </c>
      <c r="Q272" s="17" t="str">
        <f t="shared" si="162"/>
        <v>1+1.8658137043707i</v>
      </c>
      <c r="R272" s="17">
        <f t="shared" si="170"/>
        <v>2.11689885904299</v>
      </c>
      <c r="S272" s="17">
        <f t="shared" si="171"/>
        <v>1.0787968785780595</v>
      </c>
      <c r="T272" s="17" t="str">
        <f t="shared" si="163"/>
        <v>1+0.00653583565266325i</v>
      </c>
      <c r="U272" s="17">
        <f t="shared" si="172"/>
        <v>1.0000213583457498</v>
      </c>
      <c r="V272" s="17">
        <f t="shared" si="173"/>
        <v>6.5357425909628444E-3</v>
      </c>
      <c r="W272" s="31" t="str">
        <f t="shared" si="164"/>
        <v>1-0.0161246920410377i</v>
      </c>
      <c r="X272" s="17">
        <f t="shared" si="174"/>
        <v>1.0001299943974375</v>
      </c>
      <c r="Y272" s="17">
        <f t="shared" si="175"/>
        <v>-1.6123294755100843E-2</v>
      </c>
      <c r="Z272" s="31" t="str">
        <f t="shared" si="165"/>
        <v>0.999989095107169+0.0225513470324152i</v>
      </c>
      <c r="AA272" s="17">
        <f t="shared" si="176"/>
        <v>1.0002433471841896</v>
      </c>
      <c r="AB272" s="17">
        <f t="shared" si="177"/>
        <v>2.2547771067409648E-2</v>
      </c>
      <c r="AC272" s="66" t="str">
        <f t="shared" si="178"/>
        <v>3.64777662773553-7.3650862641236i</v>
      </c>
      <c r="AD272" s="64">
        <f t="shared" si="179"/>
        <v>18.296303038615424</v>
      </c>
      <c r="AE272" s="61">
        <f t="shared" si="180"/>
        <v>-63.651726488866359</v>
      </c>
      <c r="AF272" s="31" t="str">
        <f t="shared" si="166"/>
        <v>-9090.90909090909</v>
      </c>
      <c r="AG272" s="31" t="str">
        <f t="shared" si="167"/>
        <v>2.27623467397318E-08i</v>
      </c>
      <c r="AH272" s="31">
        <f t="shared" si="181"/>
        <v>2.27623467397318E-8</v>
      </c>
      <c r="AI272" s="31">
        <f t="shared" si="182"/>
        <v>1.5707963267948966</v>
      </c>
      <c r="AJ272" s="31" t="str">
        <f t="shared" si="168"/>
        <v>1+62920743.9839502i</v>
      </c>
      <c r="AK272" s="31">
        <f t="shared" si="183"/>
        <v>62920743.983950198</v>
      </c>
      <c r="AL272" s="31">
        <f t="shared" si="184"/>
        <v>1.5707963109018868</v>
      </c>
      <c r="AM272" s="31" t="str">
        <f t="shared" si="169"/>
        <v>1+28.7097474102654i</v>
      </c>
      <c r="AN272" s="31">
        <f t="shared" si="185"/>
        <v>28.727157819061055</v>
      </c>
      <c r="AO272" s="31">
        <f t="shared" si="186"/>
        <v>1.5359790268863363</v>
      </c>
      <c r="AS272" s="58" t="str">
        <f t="shared" si="187"/>
        <v>6347.40533962041+182232.487261774i</v>
      </c>
      <c r="AT272" s="49">
        <f t="shared" si="188"/>
        <v>105.21778182620112</v>
      </c>
      <c r="AU272" s="61">
        <f t="shared" si="189"/>
        <v>88.00511657180067</v>
      </c>
      <c r="AV272" s="58" t="str">
        <f t="shared" si="190"/>
        <v>1365311.9056534+617994.219967949i</v>
      </c>
      <c r="AW272" s="64">
        <f t="shared" si="191"/>
        <v>123.51408486481654</v>
      </c>
      <c r="AX272" s="61">
        <f t="shared" si="192"/>
        <v>24.353390082934336</v>
      </c>
      <c r="AY272" s="310"/>
      <c r="BA272" s="31">
        <f t="shared" si="193"/>
        <v>0</v>
      </c>
      <c r="BB272" s="31">
        <f t="shared" si="194"/>
        <v>0</v>
      </c>
    </row>
    <row r="273" spans="14:54" x14ac:dyDescent="0.45">
      <c r="N273" s="10">
        <v>55</v>
      </c>
      <c r="O273" s="50">
        <f t="shared" si="195"/>
        <v>3548.1338923357539</v>
      </c>
      <c r="P273" s="48" t="str">
        <f t="shared" si="161"/>
        <v>17.4002386318441</v>
      </c>
      <c r="Q273" s="17" t="str">
        <f t="shared" si="162"/>
        <v>1+1.90927408858392i</v>
      </c>
      <c r="R273" s="17">
        <f t="shared" si="170"/>
        <v>2.1553021935074343</v>
      </c>
      <c r="S273" s="17">
        <f t="shared" si="171"/>
        <v>1.0883224678043206</v>
      </c>
      <c r="T273" s="17" t="str">
        <f t="shared" si="163"/>
        <v>1+0.00668807482206898i</v>
      </c>
      <c r="U273" s="17">
        <f t="shared" si="172"/>
        <v>1.0000223649223179</v>
      </c>
      <c r="V273" s="17">
        <f t="shared" si="173"/>
        <v>6.6879751047808625E-3</v>
      </c>
      <c r="W273" s="31" t="str">
        <f t="shared" si="164"/>
        <v>1-0.016500284368279i</v>
      </c>
      <c r="X273" s="17">
        <f t="shared" si="174"/>
        <v>1.0001361204277317</v>
      </c>
      <c r="Y273" s="17">
        <f t="shared" si="175"/>
        <v>-1.6498787160428127E-2</v>
      </c>
      <c r="Z273" s="31" t="str">
        <f t="shared" si="165"/>
        <v>0.999988581175403+0.0230766353847618i</v>
      </c>
      <c r="AA273" s="17">
        <f t="shared" si="176"/>
        <v>1.0002548143257681</v>
      </c>
      <c r="AB273" s="17">
        <f t="shared" si="177"/>
        <v>2.3072803721914021E-2</v>
      </c>
      <c r="AC273" s="66" t="str">
        <f t="shared" si="178"/>
        <v>3.50825752950797-7.2702497523456i</v>
      </c>
      <c r="AD273" s="64">
        <f t="shared" si="179"/>
        <v>18.140104165484804</v>
      </c>
      <c r="AE273" s="61">
        <f t="shared" si="180"/>
        <v>-64.240376553634121</v>
      </c>
      <c r="AF273" s="31" t="str">
        <f t="shared" si="166"/>
        <v>-9090.90909090909</v>
      </c>
      <c r="AG273" s="31" t="str">
        <f t="shared" si="167"/>
        <v>2.27623467397318E-08i</v>
      </c>
      <c r="AH273" s="31">
        <f t="shared" si="181"/>
        <v>2.27623467397318E-8</v>
      </c>
      <c r="AI273" s="31">
        <f t="shared" si="182"/>
        <v>1.5707963267948966</v>
      </c>
      <c r="AJ273" s="31" t="str">
        <f t="shared" si="168"/>
        <v>1+64386356.3878673i</v>
      </c>
      <c r="AK273" s="31">
        <f t="shared" si="183"/>
        <v>64386356.387867302</v>
      </c>
      <c r="AL273" s="31">
        <f t="shared" si="184"/>
        <v>1.5707963112636558</v>
      </c>
      <c r="AM273" s="31" t="str">
        <f t="shared" si="169"/>
        <v>1+29.378483335075i</v>
      </c>
      <c r="AN273" s="31">
        <f t="shared" si="185"/>
        <v>29.395497666637308</v>
      </c>
      <c r="AO273" s="31">
        <f t="shared" si="186"/>
        <v>1.5367709467240169</v>
      </c>
      <c r="AS273" s="58" t="str">
        <f t="shared" si="187"/>
        <v>6202.92075437077+182232.487257234i</v>
      </c>
      <c r="AT273" s="49">
        <f t="shared" si="188"/>
        <v>105.21754496447285</v>
      </c>
      <c r="AU273" s="61">
        <f t="shared" si="189"/>
        <v>88.050490215484601</v>
      </c>
      <c r="AV273" s="58" t="str">
        <f t="shared" si="190"/>
        <v>1346637.13879269+594221.712462873i</v>
      </c>
      <c r="AW273" s="64">
        <f t="shared" si="191"/>
        <v>123.35764912995764</v>
      </c>
      <c r="AX273" s="61">
        <f t="shared" si="192"/>
        <v>23.81011366185049</v>
      </c>
      <c r="AY273" s="310"/>
      <c r="BA273" s="31">
        <f t="shared" si="193"/>
        <v>0</v>
      </c>
      <c r="BB273" s="31">
        <f t="shared" si="194"/>
        <v>0</v>
      </c>
    </row>
    <row r="274" spans="14:54" x14ac:dyDescent="0.45">
      <c r="N274" s="10">
        <v>56</v>
      </c>
      <c r="O274" s="50">
        <f t="shared" si="195"/>
        <v>3630.7805477010188</v>
      </c>
      <c r="P274" s="48" t="str">
        <f t="shared" si="161"/>
        <v>17.4002386318441</v>
      </c>
      <c r="Q274" s="17" t="str">
        <f t="shared" si="162"/>
        <v>1+1.95374679519116i</v>
      </c>
      <c r="R274" s="17">
        <f t="shared" si="170"/>
        <v>2.1947953298017855</v>
      </c>
      <c r="S274" s="17">
        <f t="shared" si="171"/>
        <v>1.0977239810199371</v>
      </c>
      <c r="T274" s="17" t="str">
        <f t="shared" si="163"/>
        <v>1+0.00684386009727256i</v>
      </c>
      <c r="U274" s="17">
        <f t="shared" si="172"/>
        <v>1.0000234189362922</v>
      </c>
      <c r="V274" s="17">
        <f t="shared" si="173"/>
        <v>6.843753248408419E-3</v>
      </c>
      <c r="W274" s="31" t="str">
        <f t="shared" si="164"/>
        <v>1-0.0168846253646996i</v>
      </c>
      <c r="X274" s="17">
        <f t="shared" si="174"/>
        <v>1.0001425351287216</v>
      </c>
      <c r="Y274" s="17">
        <f t="shared" si="175"/>
        <v>-1.6883021089931484E-2</v>
      </c>
      <c r="Z274" s="31" t="str">
        <f t="shared" si="165"/>
        <v>0.99998804302278+0.0236141592746449i</v>
      </c>
      <c r="AA274" s="17">
        <f t="shared" si="176"/>
        <v>1.0002668217564639</v>
      </c>
      <c r="AB274" s="17">
        <f t="shared" si="177"/>
        <v>2.361005363305008E-2</v>
      </c>
      <c r="AC274" s="66" t="str">
        <f t="shared" si="178"/>
        <v>3.37234971206143-7.17405414958187i</v>
      </c>
      <c r="AD274" s="64">
        <f t="shared" si="179"/>
        <v>17.982347631916674</v>
      </c>
      <c r="AE274" s="61">
        <f t="shared" si="180"/>
        <v>-64.82291528671324</v>
      </c>
      <c r="AF274" s="31" t="str">
        <f t="shared" si="166"/>
        <v>-9090.90909090909</v>
      </c>
      <c r="AG274" s="31" t="str">
        <f t="shared" si="167"/>
        <v>2.27623467397318E-08i</v>
      </c>
      <c r="AH274" s="31">
        <f t="shared" si="181"/>
        <v>2.27623467397318E-8</v>
      </c>
      <c r="AI274" s="31">
        <f t="shared" si="182"/>
        <v>1.5707963267948966</v>
      </c>
      <c r="AJ274" s="31" t="str">
        <f t="shared" si="168"/>
        <v>1+65886107.290196i</v>
      </c>
      <c r="AK274" s="31">
        <f t="shared" si="183"/>
        <v>65886107.290196002</v>
      </c>
      <c r="AL274" s="31">
        <f t="shared" si="184"/>
        <v>1.5707963116171901</v>
      </c>
      <c r="AM274" s="31" t="str">
        <f t="shared" si="169"/>
        <v>1+30.0627961206192i</v>
      </c>
      <c r="AN274" s="31">
        <f t="shared" si="185"/>
        <v>30.079423375289572</v>
      </c>
      <c r="AO274" s="31">
        <f t="shared" si="186"/>
        <v>1.5375448815218349</v>
      </c>
      <c r="AS274" s="58" t="str">
        <f t="shared" si="187"/>
        <v>6061.7250398104+182232.487252897i</v>
      </c>
      <c r="AT274" s="49">
        <f t="shared" si="188"/>
        <v>105.21731875121846</v>
      </c>
      <c r="AU274" s="61">
        <f t="shared" si="189"/>
        <v>88.094833392761856</v>
      </c>
      <c r="AV274" s="58" t="str">
        <f t="shared" si="190"/>
        <v>1327787.98805787+571064.532240069i</v>
      </c>
      <c r="AW274" s="64">
        <f t="shared" si="191"/>
        <v>123.19966638313514</v>
      </c>
      <c r="AX274" s="61">
        <f t="shared" si="192"/>
        <v>23.271918106048627</v>
      </c>
      <c r="AY274" s="310"/>
      <c r="BA274" s="31">
        <f t="shared" si="193"/>
        <v>0</v>
      </c>
      <c r="BB274" s="31">
        <f t="shared" si="194"/>
        <v>0</v>
      </c>
    </row>
    <row r="275" spans="14:54" x14ac:dyDescent="0.45">
      <c r="N275" s="10">
        <v>57</v>
      </c>
      <c r="O275" s="50">
        <f t="shared" si="195"/>
        <v>3715.352290971724</v>
      </c>
      <c r="P275" s="48" t="str">
        <f t="shared" ref="P275:P338" si="196">COMPLEX(Adc,0)</f>
        <v>17.4002386318441</v>
      </c>
      <c r="Q275" s="17" t="str">
        <f t="shared" ref="Q275:Q338" si="197">IMSUM(COMPLEX(1,0),IMDIV(COMPLEX(0,2*PI()*O275),COMPLEX(wp_lf,0)))</f>
        <v>1+1.99925540421009i</v>
      </c>
      <c r="R275" s="17">
        <f t="shared" si="170"/>
        <v>2.2354020155809224</v>
      </c>
      <c r="S275" s="17">
        <f t="shared" si="171"/>
        <v>1.1069997542701648</v>
      </c>
      <c r="T275" s="17" t="str">
        <f t="shared" ref="T275:T338" si="198">IMSUM(COMPLEX(1,0),IMDIV(COMPLEX(0,2*PI()*O275),COMPLEX(wz_esr,0)))</f>
        <v>1+0.00700327407768889i</v>
      </c>
      <c r="U275" s="17">
        <f t="shared" si="172"/>
        <v>1.0000245226232241</v>
      </c>
      <c r="V275" s="17">
        <f t="shared" si="173"/>
        <v>7.0031595872198519E-3</v>
      </c>
      <c r="W275" s="31" t="str">
        <f t="shared" ref="W275:W338" si="199">IMSUB(COMPLEX(1,0),IMDIV(COMPLEX(0,2*PI()*O275),COMPLEX(wz_rhp,0)))</f>
        <v>1-0.017277918812983i</v>
      </c>
      <c r="X275" s="17">
        <f t="shared" si="174"/>
        <v>1.0001492521011592</v>
      </c>
      <c r="Y275" s="17">
        <f t="shared" si="175"/>
        <v>-1.7276199815452534E-2</v>
      </c>
      <c r="Z275" s="31" t="str">
        <f t="shared" ref="Z275:Z338" si="200">IMSUM(COMPLEX(1,0),IMDIV(COMPLEX(0,2*PI()*O275),COMPLEX(Q*(wsl/2),0)),IMDIV(IMPOWER(COMPLEX(0,2*PI()*O275),2),IMPOWER(COMPLEX(wsl/2,0),2)))</f>
        <v>0.999987479507804+0.0241642037043457i</v>
      </c>
      <c r="AA275" s="17">
        <f t="shared" si="176"/>
        <v>1.0002793949257556</v>
      </c>
      <c r="AB275" s="17">
        <f t="shared" si="177"/>
        <v>2.4159804496445354E-2</v>
      </c>
      <c r="AC275" s="66" t="str">
        <f t="shared" si="178"/>
        <v>3.24005332027565-7.07665219151687i</v>
      </c>
      <c r="AD275" s="64">
        <f t="shared" si="179"/>
        <v>17.823074157776585</v>
      </c>
      <c r="AE275" s="61">
        <f t="shared" si="180"/>
        <v>-65.399270521053026</v>
      </c>
      <c r="AF275" s="31" t="str">
        <f t="shared" ref="AF275:AF338" si="201">COMPLEX(Adc_ea,0)</f>
        <v>-9090.90909090909</v>
      </c>
      <c r="AG275" s="31" t="str">
        <f t="shared" ref="AG275:AG338" si="202">COMPLEX(0,2*PI()*wp0_ea)</f>
        <v>2.27623467397318E-08i</v>
      </c>
      <c r="AH275" s="31">
        <f t="shared" si="181"/>
        <v>2.27623467397318E-8</v>
      </c>
      <c r="AI275" s="31">
        <f t="shared" si="182"/>
        <v>1.5707963267948966</v>
      </c>
      <c r="AJ275" s="31" t="str">
        <f t="shared" ref="AJ275:AJ338" si="203">IMSUM(COMPLEX(1,0),IMDIV(COMPLEX(0,2*PI()*O275),COMPLEX(wp1_ea,0)))</f>
        <v>1+67420791.8787155i</v>
      </c>
      <c r="AK275" s="31">
        <f t="shared" si="183"/>
        <v>67420791.8787155</v>
      </c>
      <c r="AL275" s="31">
        <f t="shared" si="184"/>
        <v>1.5707963119626769</v>
      </c>
      <c r="AM275" s="31" t="str">
        <f t="shared" ref="AM275:AM338" si="204">IMSUM(COMPLEX(1,0),IMDIV(COMPLEX(0,2*PI()*O275),COMPLEX(wz_ea,0)))</f>
        <v>1+30.7630485985947i</v>
      </c>
      <c r="AN275" s="31">
        <f t="shared" si="185"/>
        <v>30.779297572873546</v>
      </c>
      <c r="AO275" s="31">
        <f t="shared" si="186"/>
        <v>1.5383012379196039</v>
      </c>
      <c r="AS275" s="58" t="str">
        <f t="shared" si="187"/>
        <v>5923.74333210254+182232.487248756i</v>
      </c>
      <c r="AT275" s="49">
        <f t="shared" si="188"/>
        <v>105.2171027082378</v>
      </c>
      <c r="AU275" s="61">
        <f t="shared" si="189"/>
        <v>88.138169402366813</v>
      </c>
      <c r="AV275" s="58" t="str">
        <f t="shared" si="190"/>
        <v>1308789.17450612+548522.704139315i</v>
      </c>
      <c r="AW275" s="64">
        <f t="shared" si="191"/>
        <v>123.04017686601439</v>
      </c>
      <c r="AX275" s="61">
        <f t="shared" si="192"/>
        <v>22.738898881313766</v>
      </c>
      <c r="AY275" s="310"/>
      <c r="BA275" s="31">
        <f t="shared" si="193"/>
        <v>0</v>
      </c>
      <c r="BB275" s="31">
        <f t="shared" si="194"/>
        <v>0</v>
      </c>
    </row>
    <row r="276" spans="14:54" x14ac:dyDescent="0.45">
      <c r="N276" s="10">
        <v>58</v>
      </c>
      <c r="O276" s="50">
        <f t="shared" si="195"/>
        <v>3801.8939632056172</v>
      </c>
      <c r="P276" s="48" t="str">
        <f t="shared" si="196"/>
        <v>17.4002386318441</v>
      </c>
      <c r="Q276" s="17" t="str">
        <f t="shared" si="197"/>
        <v>1+2.04582404490761i</v>
      </c>
      <c r="R276" s="17">
        <f t="shared" ref="R276:R339" si="205">IMABS(Q276)</f>
        <v>2.2771464649253756</v>
      </c>
      <c r="S276" s="17">
        <f t="shared" ref="S276:S339" si="206">IMARGUMENT(Q276)</f>
        <v>1.1161483200746811</v>
      </c>
      <c r="T276" s="17" t="str">
        <f t="shared" si="198"/>
        <v>1+0.0071664012867205i</v>
      </c>
      <c r="U276" s="17">
        <f t="shared" ref="U276:U339" si="207">IMABS(T276)</f>
        <v>1.0000256783240131</v>
      </c>
      <c r="V276" s="17">
        <f t="shared" ref="V276:V339" si="208">IMARGUMENT(T276)</f>
        <v>7.1662786081427921E-3</v>
      </c>
      <c r="W276" s="31" t="str">
        <f t="shared" si="199"/>
        <v>1-0.0176803732425213i</v>
      </c>
      <c r="X276" s="17">
        <f t="shared" ref="X276:X339" si="209">IMABS(W276)</f>
        <v>1.0001562855864052</v>
      </c>
      <c r="Y276" s="17">
        <f t="shared" ref="Y276:Y339" si="210">IMARGUMENT(W276)</f>
        <v>-1.7678531319026428E-2</v>
      </c>
      <c r="Z276" s="31" t="str">
        <f t="shared" si="200"/>
        <v>0.999986889435186+0.0247270603147016i</v>
      </c>
      <c r="AA276" s="17">
        <f t="shared" ref="AA276:AA339" si="211">IMABS(Z276)</f>
        <v>1.0002925604812154</v>
      </c>
      <c r="AB276" s="17">
        <f t="shared" ref="AB276:AB339" si="212">IMARGUMENT(Z276)</f>
        <v>2.4722346552928116E-2</v>
      </c>
      <c r="AC276" s="66" t="str">
        <f t="shared" ref="AC276:AC339" si="213">(IMDIV(IMPRODUCT(P276,T276,W276),IMPRODUCT(Q276,Z276)))</f>
        <v>3.11136104168937-6.97819304897711i</v>
      </c>
      <c r="AD276" s="64">
        <f t="shared" ref="AD276:AD339" si="214">20*LOG(IMABS(AC276))</f>
        <v>17.662324417988582</v>
      </c>
      <c r="AE276" s="61">
        <f t="shared" ref="AE276:AE339" si="215">(180/PI())*IMARGUMENT(AC276)</f>
        <v>-65.969381881547278</v>
      </c>
      <c r="AF276" s="31" t="str">
        <f t="shared" si="201"/>
        <v>-9090.90909090909</v>
      </c>
      <c r="AG276" s="31" t="str">
        <f t="shared" si="202"/>
        <v>2.27623467397318E-08i</v>
      </c>
      <c r="AH276" s="31">
        <f t="shared" ref="AH276:AH339" si="216">IMABS(AG276)</f>
        <v>2.27623467397318E-8</v>
      </c>
      <c r="AI276" s="31">
        <f t="shared" ref="AI276:AI339" si="217">IMARGUMENT(AG276)</f>
        <v>1.5707963267948966</v>
      </c>
      <c r="AJ276" s="31" t="str">
        <f t="shared" si="203"/>
        <v>1+68991223.8635087i</v>
      </c>
      <c r="AK276" s="31">
        <f t="shared" ref="AK276:AK339" si="218">IMABS(AJ276)</f>
        <v>68991223.863508701</v>
      </c>
      <c r="AL276" s="31">
        <f t="shared" ref="AL276:AL339" si="219">IMARGUMENT(AJ276)</f>
        <v>1.5707963123002995</v>
      </c>
      <c r="AM276" s="31" t="str">
        <f t="shared" si="204"/>
        <v>1+31.4796120521342i</v>
      </c>
      <c r="AN276" s="31">
        <f t="shared" ref="AN276:AN339" si="220">IMABS(AM276)</f>
        <v>31.495491343252176</v>
      </c>
      <c r="AO276" s="31">
        <f t="shared" ref="AO276:AO339" si="221">IMARGUMENT(AM276)</f>
        <v>1.5390404134839777</v>
      </c>
      <c r="AS276" s="58" t="str">
        <f t="shared" ref="AS276:AS339" si="222">IMPRODUCT(AF276,IMDIV(AM276,IMPRODUCT(AG276,AJ276)))</f>
        <v>5788.90247151943+182232.487244803i</v>
      </c>
      <c r="AT276" s="49">
        <f t="shared" ref="AT276:AT339" si="223">20*LOG(IMABS(AS276))</f>
        <v>105.21689637876005</v>
      </c>
      <c r="AU276" s="61">
        <f t="shared" ref="AU276:AU339" si="224">(180/PI())*IMARGUMENT(AS276)</f>
        <v>88.18052102318029</v>
      </c>
      <c r="AV276" s="58" t="str">
        <f t="shared" ref="AV276:AV339" si="225">IMPRODUCT(AC276,AS276)</f>
        <v>1289664.84141352+526594.982355672i</v>
      </c>
      <c r="AW276" s="64">
        <f t="shared" ref="AW276:AW339" si="226">20*LOG(IMABS(AV276))</f>
        <v>122.87922079674864</v>
      </c>
      <c r="AX276" s="61">
        <f t="shared" ref="AX276:AX339" si="227">(180/PI())*IMARGUMENT(AV276)</f>
        <v>22.211139141632998</v>
      </c>
      <c r="AY276" s="310"/>
      <c r="BA276" s="31">
        <f t="shared" ref="BA276:BA339" si="228">SUM((AW277&lt;0)*(AW276&gt;0))*O276</f>
        <v>0</v>
      </c>
      <c r="BB276" s="31">
        <f t="shared" ref="BB276:BB339" si="229">IF(BA276&gt;0,AX276,0)</f>
        <v>0</v>
      </c>
    </row>
    <row r="277" spans="14:54" x14ac:dyDescent="0.45">
      <c r="N277" s="10">
        <v>59</v>
      </c>
      <c r="O277" s="50">
        <f t="shared" si="195"/>
        <v>3890.451449942811</v>
      </c>
      <c r="P277" s="48" t="str">
        <f t="shared" si="196"/>
        <v>17.4002386318441</v>
      </c>
      <c r="Q277" s="17" t="str">
        <f t="shared" si="197"/>
        <v>1+2.09347740859343i</v>
      </c>
      <c r="R277" s="17">
        <f t="shared" si="205"/>
        <v>2.3200533744487566</v>
      </c>
      <c r="S277" s="17">
        <f t="shared" si="206"/>
        <v>1.1251684025639528</v>
      </c>
      <c r="T277" s="17" t="str">
        <f t="shared" si="198"/>
        <v>1+0.00733332821657287i</v>
      </c>
      <c r="U277" s="17">
        <f t="shared" si="207"/>
        <v>1.0000268884898706</v>
      </c>
      <c r="V277" s="17">
        <f t="shared" si="208"/>
        <v>7.3331967642994086E-3</v>
      </c>
      <c r="W277" s="31" t="str">
        <f t="shared" si="199"/>
        <v>1-0.0180922020399802i</v>
      </c>
      <c r="X277" s="17">
        <f t="shared" si="209"/>
        <v>1.0001636504965852</v>
      </c>
      <c r="Y277" s="17">
        <f t="shared" si="210"/>
        <v>-1.8090228400837727E-2</v>
      </c>
      <c r="Z277" s="31" t="str">
        <f t="shared" si="200"/>
        <v>0.999986271553302+0.0253030275397377i</v>
      </c>
      <c r="AA277" s="17">
        <f t="shared" si="211"/>
        <v>1.0003063463248401</v>
      </c>
      <c r="AB277" s="17">
        <f t="shared" si="212"/>
        <v>2.5297976736493959E-2</v>
      </c>
      <c r="AC277" s="66" t="str">
        <f t="shared" si="213"/>
        <v>2.98625852708129-6.87882198280714i</v>
      </c>
      <c r="AD277" s="64">
        <f t="shared" si="214"/>
        <v>17.500138960460639</v>
      </c>
      <c r="AE277" s="61">
        <f t="shared" si="215"/>
        <v>-66.533200518474885</v>
      </c>
      <c r="AF277" s="31" t="str">
        <f t="shared" si="201"/>
        <v>-9090.90909090909</v>
      </c>
      <c r="AG277" s="31" t="str">
        <f t="shared" si="202"/>
        <v>2.27623467397318E-08i</v>
      </c>
      <c r="AH277" s="31">
        <f t="shared" si="216"/>
        <v>2.27623467397318E-8</v>
      </c>
      <c r="AI277" s="31">
        <f t="shared" si="217"/>
        <v>1.5707963267948966</v>
      </c>
      <c r="AJ277" s="31" t="str">
        <f t="shared" si="203"/>
        <v>1+70598235.9084012i</v>
      </c>
      <c r="AK277" s="31">
        <f t="shared" si="218"/>
        <v>70598235.908401206</v>
      </c>
      <c r="AL277" s="31">
        <f t="shared" si="219"/>
        <v>1.5707963126302367</v>
      </c>
      <c r="AM277" s="31" t="str">
        <f t="shared" si="204"/>
        <v>1+32.2128664126657i</v>
      </c>
      <c r="AN277" s="31">
        <f t="shared" si="220"/>
        <v>32.228384423055488</v>
      </c>
      <c r="AO277" s="31">
        <f t="shared" si="221"/>
        <v>1.5397627969028087</v>
      </c>
      <c r="AS277" s="58" t="str">
        <f t="shared" si="222"/>
        <v>5657.13096365186+182232.487241026i</v>
      </c>
      <c r="AT277" s="49">
        <f t="shared" si="223"/>
        <v>105.21669932648734</v>
      </c>
      <c r="AU277" s="61">
        <f t="shared" si="224"/>
        <v>88.221910525365516</v>
      </c>
      <c r="AV277" s="58" t="str">
        <f t="shared" si="225"/>
        <v>1270438.49479421+505278.922102359i</v>
      </c>
      <c r="AW277" s="64">
        <f t="shared" si="226"/>
        <v>122.71683828694796</v>
      </c>
      <c r="AX277" s="61">
        <f t="shared" si="227"/>
        <v>21.688710006890673</v>
      </c>
      <c r="AY277" s="310"/>
      <c r="BA277" s="31">
        <f t="shared" si="228"/>
        <v>0</v>
      </c>
      <c r="BB277" s="31">
        <f t="shared" si="229"/>
        <v>0</v>
      </c>
    </row>
    <row r="278" spans="14:54" x14ac:dyDescent="0.45">
      <c r="N278" s="10">
        <v>60</v>
      </c>
      <c r="O278" s="50">
        <f t="shared" si="195"/>
        <v>3981.0717055349769</v>
      </c>
      <c r="P278" s="48" t="str">
        <f t="shared" si="196"/>
        <v>17.4002386318441</v>
      </c>
      <c r="Q278" s="17" t="str">
        <f t="shared" si="197"/>
        <v>1+2.14224076171172i</v>
      </c>
      <c r="R278" s="17">
        <f t="shared" si="205"/>
        <v>2.3641479397743304</v>
      </c>
      <c r="S278" s="17">
        <f t="shared" si="206"/>
        <v>1.1340589121941458</v>
      </c>
      <c r="T278" s="17" t="str">
        <f t="shared" si="198"/>
        <v>1+0.00750414337411372i</v>
      </c>
      <c r="U278" s="17">
        <f t="shared" si="207"/>
        <v>1.0000281556875183</v>
      </c>
      <c r="V278" s="17">
        <f t="shared" si="208"/>
        <v>7.5040025206791717E-3</v>
      </c>
      <c r="W278" s="31" t="str">
        <f t="shared" si="199"/>
        <v>1-0.0185136235624393i</v>
      </c>
      <c r="X278" s="17">
        <f t="shared" si="209"/>
        <v>1.0001713624461619</v>
      </c>
      <c r="Y278" s="17">
        <f t="shared" si="210"/>
        <v>-1.8511508789565329E-2</v>
      </c>
      <c r="Z278" s="31" t="str">
        <f t="shared" si="200"/>
        <v>0.999985624551542+0.0258924107649004i</v>
      </c>
      <c r="AA278" s="17">
        <f t="shared" si="211"/>
        <v>1.0003207816720374</v>
      </c>
      <c r="AB278" s="17">
        <f t="shared" si="212"/>
        <v>2.588699882539899E-2</v>
      </c>
      <c r="AC278" s="66" t="str">
        <f t="shared" si="213"/>
        <v>2.86472482116328-6.77868004071264i</v>
      </c>
      <c r="AD278" s="64">
        <f t="shared" si="214"/>
        <v>17.336558128813316</v>
      </c>
      <c r="AE278" s="61">
        <f t="shared" si="215"/>
        <v>-67.090688817048289</v>
      </c>
      <c r="AF278" s="31" t="str">
        <f t="shared" si="201"/>
        <v>-9090.90909090909</v>
      </c>
      <c r="AG278" s="31" t="str">
        <f t="shared" si="202"/>
        <v>2.27623467397318E-08i</v>
      </c>
      <c r="AH278" s="31">
        <f t="shared" si="216"/>
        <v>2.27623467397318E-8</v>
      </c>
      <c r="AI278" s="31">
        <f t="shared" si="217"/>
        <v>1.5707963267948966</v>
      </c>
      <c r="AJ278" s="31" t="str">
        <f t="shared" si="203"/>
        <v>1+72242680.0724503i</v>
      </c>
      <c r="AK278" s="31">
        <f t="shared" si="218"/>
        <v>72242680.072450295</v>
      </c>
      <c r="AL278" s="31">
        <f t="shared" si="219"/>
        <v>1.5707963129526639</v>
      </c>
      <c r="AM278" s="31" t="str">
        <f t="shared" si="204"/>
        <v>1+32.9632004613568i</v>
      </c>
      <c r="AN278" s="31">
        <f t="shared" si="220"/>
        <v>32.978365403027375</v>
      </c>
      <c r="AO278" s="31">
        <f t="shared" si="221"/>
        <v>1.5404687681758864</v>
      </c>
      <c r="AS278" s="58" t="str">
        <f t="shared" si="222"/>
        <v>5528.35894150221+182232.487237419i</v>
      </c>
      <c r="AT278" s="49">
        <f t="shared" si="223"/>
        <v>105.21651113468117</v>
      </c>
      <c r="AU278" s="61">
        <f t="shared" si="224"/>
        <v>88.262359681296644</v>
      </c>
      <c r="AV278" s="58" t="str">
        <f t="shared" si="225"/>
        <v>1251132.95108573+484570.952996699i</v>
      </c>
      <c r="AW278" s="64">
        <f t="shared" si="226"/>
        <v>122.55306926349446</v>
      </c>
      <c r="AX278" s="61">
        <f t="shared" si="227"/>
        <v>21.171670864248441</v>
      </c>
      <c r="AY278" s="310"/>
      <c r="BA278" s="31">
        <f t="shared" si="228"/>
        <v>0</v>
      </c>
      <c r="BB278" s="31">
        <f t="shared" si="229"/>
        <v>0</v>
      </c>
    </row>
    <row r="279" spans="14:54" x14ac:dyDescent="0.45">
      <c r="N279" s="10">
        <v>61</v>
      </c>
      <c r="O279" s="50">
        <f t="shared" si="195"/>
        <v>4073.8027780411317</v>
      </c>
      <c r="P279" s="48" t="str">
        <f t="shared" si="196"/>
        <v>17.4002386318441</v>
      </c>
      <c r="Q279" s="17" t="str">
        <f t="shared" si="197"/>
        <v>1+2.19213995923779i</v>
      </c>
      <c r="R279" s="17">
        <f t="shared" si="205"/>
        <v>2.4094558723676727</v>
      </c>
      <c r="S279" s="17">
        <f t="shared" si="206"/>
        <v>1.1428189400946107</v>
      </c>
      <c r="T279" s="17" t="str">
        <f t="shared" si="198"/>
        <v>1+0.00767893732780063i</v>
      </c>
      <c r="U279" s="17">
        <f t="shared" si="207"/>
        <v>1.0000294826046301</v>
      </c>
      <c r="V279" s="17">
        <f t="shared" si="208"/>
        <v>7.6787864008666194E-3</v>
      </c>
      <c r="W279" s="31" t="str">
        <f t="shared" si="199"/>
        <v>1-0.018944861253168i</v>
      </c>
      <c r="X279" s="17">
        <f t="shared" si="209"/>
        <v>1.0001794377849915</v>
      </c>
      <c r="Y279" s="17">
        <f t="shared" si="210"/>
        <v>-1.8942595255163366E-2</v>
      </c>
      <c r="Z279" s="31" t="str">
        <f t="shared" si="200"/>
        <v>0.999984947057529+0.0264955224889774i</v>
      </c>
      <c r="AA279" s="17">
        <f t="shared" si="211"/>
        <v>1.0003358971133711</v>
      </c>
      <c r="AB279" s="17">
        <f t="shared" si="212"/>
        <v>2.6489723596430467E-2</v>
      </c>
      <c r="AC279" s="66" t="str">
        <f t="shared" si="213"/>
        <v>2.74673279952813-6.67790379517656i</v>
      </c>
      <c r="AD279" s="64">
        <f t="shared" si="214"/>
        <v>17.171621990003892</v>
      </c>
      <c r="AE279" s="61">
        <f t="shared" si="215"/>
        <v>-67.641820086172089</v>
      </c>
      <c r="AF279" s="31" t="str">
        <f t="shared" si="201"/>
        <v>-9090.90909090909</v>
      </c>
      <c r="AG279" s="31" t="str">
        <f t="shared" si="202"/>
        <v>2.27623467397318E-08i</v>
      </c>
      <c r="AH279" s="31">
        <f t="shared" si="216"/>
        <v>2.27623467397318E-8</v>
      </c>
      <c r="AI279" s="31">
        <f t="shared" si="217"/>
        <v>1.5707963267948966</v>
      </c>
      <c r="AJ279" s="31" t="str">
        <f t="shared" si="203"/>
        <v>1+73925428.2617189i</v>
      </c>
      <c r="AK279" s="31">
        <f t="shared" si="218"/>
        <v>73925428.261718899</v>
      </c>
      <c r="AL279" s="31">
        <f t="shared" si="219"/>
        <v>1.5707963132677514</v>
      </c>
      <c r="AM279" s="31" t="str">
        <f t="shared" si="204"/>
        <v>1+33.7310120352522i</v>
      </c>
      <c r="AN279" s="31">
        <f t="shared" si="220"/>
        <v>33.745831934067482</v>
      </c>
      <c r="AO279" s="31">
        <f t="shared" si="221"/>
        <v>1.5411586988020922</v>
      </c>
      <c r="AS279" s="58" t="str">
        <f t="shared" si="222"/>
        <v>5402.51812843984+182232.487233975i</v>
      </c>
      <c r="AT279" s="49">
        <f t="shared" si="223"/>
        <v>105.21633140528866</v>
      </c>
      <c r="AU279" s="61">
        <f t="shared" si="224"/>
        <v>88.301889776281854</v>
      </c>
      <c r="AV279" s="58" t="str">
        <f t="shared" si="225"/>
        <v>1231770.29184766+464466.453511732i</v>
      </c>
      <c r="AW279" s="64">
        <f t="shared" si="226"/>
        <v>122.38795339529258</v>
      </c>
      <c r="AX279" s="61">
        <f t="shared" si="227"/>
        <v>20.660069690109712</v>
      </c>
      <c r="AY279" s="310"/>
      <c r="BA279" s="31">
        <f t="shared" si="228"/>
        <v>0</v>
      </c>
      <c r="BB279" s="31">
        <f t="shared" si="229"/>
        <v>0</v>
      </c>
    </row>
    <row r="280" spans="14:54" x14ac:dyDescent="0.45">
      <c r="N280" s="10">
        <v>62</v>
      </c>
      <c r="O280" s="50">
        <f t="shared" si="195"/>
        <v>4168.6938347033583</v>
      </c>
      <c r="P280" s="48" t="str">
        <f t="shared" si="196"/>
        <v>17.4002386318441</v>
      </c>
      <c r="Q280" s="17" t="str">
        <f t="shared" si="197"/>
        <v>1+2.24320145838665i</v>
      </c>
      <c r="R280" s="17">
        <f t="shared" si="205"/>
        <v>2.4560034167134202</v>
      </c>
      <c r="S280" s="17">
        <f t="shared" si="206"/>
        <v>1.151447752100573</v>
      </c>
      <c r="T280" s="17" t="str">
        <f t="shared" si="198"/>
        <v>1+0.0078578027557015i</v>
      </c>
      <c r="U280" s="17">
        <f t="shared" si="207"/>
        <v>1.000030872055532</v>
      </c>
      <c r="V280" s="17">
        <f t="shared" si="208"/>
        <v>7.8576410348476667E-3</v>
      </c>
      <c r="W280" s="31" t="str">
        <f t="shared" si="199"/>
        <v>1-0.019386143760098i</v>
      </c>
      <c r="X280" s="17">
        <f t="shared" si="209"/>
        <v>1.0001878936329349</v>
      </c>
      <c r="Y280" s="17">
        <f t="shared" si="210"/>
        <v>-1.9383715724124877E-2</v>
      </c>
      <c r="Z280" s="31" t="str">
        <f t="shared" si="200"/>
        <v>0.999984237634206+0.0271126824897877i</v>
      </c>
      <c r="AA280" s="17">
        <f t="shared" si="211"/>
        <v>1.0003517246792031</v>
      </c>
      <c r="AB280" s="17">
        <f t="shared" si="212"/>
        <v>2.7106468982402151E-2</v>
      </c>
      <c r="AC280" s="66" t="str">
        <f t="shared" si="213"/>
        <v>2.63224960826129-6.57662512123866i</v>
      </c>
      <c r="AD280" s="64">
        <f t="shared" si="214"/>
        <v>17.005370266895731</v>
      </c>
      <c r="AE280" s="61">
        <f t="shared" si="215"/>
        <v>-68.186578229430779</v>
      </c>
      <c r="AF280" s="31" t="str">
        <f t="shared" si="201"/>
        <v>-9090.90909090909</v>
      </c>
      <c r="AG280" s="31" t="str">
        <f t="shared" si="202"/>
        <v>2.27623467397318E-08i</v>
      </c>
      <c r="AH280" s="31">
        <f t="shared" si="216"/>
        <v>2.27623467397318E-8</v>
      </c>
      <c r="AI280" s="31">
        <f t="shared" si="217"/>
        <v>1.5707963267948966</v>
      </c>
      <c r="AJ280" s="31" t="str">
        <f t="shared" si="203"/>
        <v>1+75647372.6915708i</v>
      </c>
      <c r="AK280" s="31">
        <f t="shared" si="218"/>
        <v>75647372.691570804</v>
      </c>
      <c r="AL280" s="31">
        <f t="shared" si="219"/>
        <v>1.5707963135756668</v>
      </c>
      <c r="AM280" s="31" t="str">
        <f t="shared" si="204"/>
        <v>1+34.5167082382114i</v>
      </c>
      <c r="AN280" s="31">
        <f t="shared" si="220"/>
        <v>34.531190938075255</v>
      </c>
      <c r="AO280" s="31">
        <f t="shared" si="221"/>
        <v>1.5418329519629934</v>
      </c>
      <c r="AS280" s="58" t="str">
        <f t="shared" si="222"/>
        <v>5279.54180199993+182232.487230686i</v>
      </c>
      <c r="AT280" s="49">
        <f t="shared" si="223"/>
        <v>105.21615975810769</v>
      </c>
      <c r="AU280" s="61">
        <f t="shared" si="224"/>
        <v>88.340521619082594</v>
      </c>
      <c r="AV280" s="58" t="str">
        <f t="shared" si="225"/>
        <v>1212371.82526725+444959.825881791i</v>
      </c>
      <c r="AW280" s="64">
        <f t="shared" si="226"/>
        <v>122.22153002500346</v>
      </c>
      <c r="AX280" s="61">
        <f t="shared" si="227"/>
        <v>20.15394338965174</v>
      </c>
      <c r="AY280" s="310"/>
      <c r="BA280" s="31">
        <f t="shared" si="228"/>
        <v>0</v>
      </c>
      <c r="BB280" s="31">
        <f t="shared" si="229"/>
        <v>0</v>
      </c>
    </row>
    <row r="281" spans="14:54" x14ac:dyDescent="0.45">
      <c r="N281" s="10">
        <v>63</v>
      </c>
      <c r="O281" s="50">
        <f t="shared" si="195"/>
        <v>4265.7951880159299</v>
      </c>
      <c r="P281" s="48" t="str">
        <f t="shared" si="196"/>
        <v>17.4002386318441</v>
      </c>
      <c r="Q281" s="17" t="str">
        <f t="shared" si="197"/>
        <v>1+2.29545233264103i</v>
      </c>
      <c r="R281" s="17">
        <f t="shared" si="205"/>
        <v>2.5038173678260049</v>
      </c>
      <c r="S281" s="17">
        <f t="shared" si="206"/>
        <v>1.1599447825219951</v>
      </c>
      <c r="T281" s="17" t="str">
        <f t="shared" si="198"/>
        <v>1+0.00804083449463374i</v>
      </c>
      <c r="U281" s="17">
        <f t="shared" si="207"/>
        <v>1.000032326987168</v>
      </c>
      <c r="V281" s="17">
        <f t="shared" si="208"/>
        <v>8.0406612079193373E-3</v>
      </c>
      <c r="W281" s="31" t="str">
        <f t="shared" si="199"/>
        <v>1-0.0198377050570556i</v>
      </c>
      <c r="X281" s="17">
        <f t="shared" si="209"/>
        <v>1.0001967479160943</v>
      </c>
      <c r="Y281" s="17">
        <f t="shared" si="210"/>
        <v>-1.9835103397276243E-2</v>
      </c>
      <c r="Z281" s="31" t="str">
        <f t="shared" si="200"/>
        <v>0.999983494776793+0.0277442179937329i</v>
      </c>
      <c r="AA281" s="17">
        <f t="shared" si="211"/>
        <v>1.0003682979073718</v>
      </c>
      <c r="AB281" s="17">
        <f t="shared" si="212"/>
        <v>2.7737560232926711E-2</v>
      </c>
      <c r="AC281" s="66" t="str">
        <f t="shared" si="213"/>
        <v>2.52123710291021-6.474971012658i</v>
      </c>
      <c r="AD281" s="64">
        <f t="shared" si="214"/>
        <v>16.837842275783146</v>
      </c>
      <c r="AE281" s="61">
        <f t="shared" si="215"/>
        <v>-68.72495740122821</v>
      </c>
      <c r="AF281" s="31" t="str">
        <f t="shared" si="201"/>
        <v>-9090.90909090909</v>
      </c>
      <c r="AG281" s="31" t="str">
        <f t="shared" si="202"/>
        <v>2.27623467397318E-08i</v>
      </c>
      <c r="AH281" s="31">
        <f t="shared" si="216"/>
        <v>2.27623467397318E-8</v>
      </c>
      <c r="AI281" s="31">
        <f t="shared" si="217"/>
        <v>1.5707963267948966</v>
      </c>
      <c r="AJ281" s="31" t="str">
        <f t="shared" si="203"/>
        <v>1+77409426.3597348i</v>
      </c>
      <c r="AK281" s="31">
        <f t="shared" si="218"/>
        <v>77409426.359734803</v>
      </c>
      <c r="AL281" s="31">
        <f t="shared" si="219"/>
        <v>1.5707963138765733</v>
      </c>
      <c r="AM281" s="31" t="str">
        <f t="shared" si="204"/>
        <v>1+35.3207056567611i</v>
      </c>
      <c r="AN281" s="31">
        <f t="shared" si="220"/>
        <v>35.334858823710555</v>
      </c>
      <c r="AO281" s="31">
        <f t="shared" si="221"/>
        <v>1.5424918827029201</v>
      </c>
      <c r="AS281" s="58" t="str">
        <f t="shared" si="222"/>
        <v>5159.36475850643+182232.487227545i</v>
      </c>
      <c r="AT281" s="49">
        <f t="shared" si="223"/>
        <v>105.2159958299893</v>
      </c>
      <c r="AU281" s="61">
        <f t="shared" si="224"/>
        <v>88.378275552231159</v>
      </c>
      <c r="AV281" s="58" t="str">
        <f t="shared" si="225"/>
        <v>1192958.05421952+426044.570898639i</v>
      </c>
      <c r="AW281" s="64">
        <f t="shared" si="226"/>
        <v>122.05383810577246</v>
      </c>
      <c r="AX281" s="61">
        <f t="shared" si="227"/>
        <v>19.653318151002896</v>
      </c>
      <c r="AY281" s="310"/>
      <c r="BA281" s="31">
        <f t="shared" si="228"/>
        <v>0</v>
      </c>
      <c r="BB281" s="31">
        <f t="shared" si="229"/>
        <v>0</v>
      </c>
    </row>
    <row r="282" spans="14:54" x14ac:dyDescent="0.45">
      <c r="N282" s="10">
        <v>64</v>
      </c>
      <c r="O282" s="50">
        <f t="shared" si="195"/>
        <v>4365.1583224016631</v>
      </c>
      <c r="P282" s="48" t="str">
        <f t="shared" si="196"/>
        <v>17.4002386318441</v>
      </c>
      <c r="Q282" s="17" t="str">
        <f t="shared" si="197"/>
        <v>1+2.34892028610607i</v>
      </c>
      <c r="R282" s="17">
        <f t="shared" si="205"/>
        <v>2.5529250890851896</v>
      </c>
      <c r="S282" s="17">
        <f t="shared" si="206"/>
        <v>1.1683096276974061</v>
      </c>
      <c r="T282" s="17" t="str">
        <f t="shared" si="198"/>
        <v>1+0.00822812959044805i</v>
      </c>
      <c r="U282" s="17">
        <f t="shared" si="207"/>
        <v>1.000033850485351</v>
      </c>
      <c r="V282" s="17">
        <f t="shared" si="208"/>
        <v>8.2279439107276788E-3</v>
      </c>
      <c r="W282" s="31" t="str">
        <f t="shared" si="199"/>
        <v>1-0.0202997845678174i</v>
      </c>
      <c r="X282" s="17">
        <f t="shared" si="209"/>
        <v>1.0002060194047524</v>
      </c>
      <c r="Y282" s="17">
        <f t="shared" si="210"/>
        <v>-2.0296996870149554E-2</v>
      </c>
      <c r="Z282" s="31" t="str">
        <f t="shared" si="200"/>
        <v>0.999982716909588+0.0283904638492964i</v>
      </c>
      <c r="AA282" s="17">
        <f t="shared" si="211"/>
        <v>1.0003856519140302</v>
      </c>
      <c r="AB282" s="17">
        <f t="shared" si="212"/>
        <v>2.8383330078510752E-2</v>
      </c>
      <c r="AC282" s="66" t="str">
        <f t="shared" si="213"/>
        <v>2.41365228380189-6.37306343475241i</v>
      </c>
      <c r="AD282" s="64">
        <f t="shared" si="214"/>
        <v>16.669076868847622</v>
      </c>
      <c r="AE282" s="61">
        <f t="shared" si="215"/>
        <v>-69.256961650882005</v>
      </c>
      <c r="AF282" s="31" t="str">
        <f t="shared" si="201"/>
        <v>-9090.90909090909</v>
      </c>
      <c r="AG282" s="31" t="str">
        <f t="shared" si="202"/>
        <v>2.27623467397318E-08i</v>
      </c>
      <c r="AH282" s="31">
        <f t="shared" si="216"/>
        <v>2.27623467397318E-8</v>
      </c>
      <c r="AI282" s="31">
        <f t="shared" si="217"/>
        <v>1.5707963267948966</v>
      </c>
      <c r="AJ282" s="31" t="str">
        <f t="shared" si="203"/>
        <v>1+79212523.5303896i</v>
      </c>
      <c r="AK282" s="31">
        <f t="shared" si="218"/>
        <v>79212523.530389607</v>
      </c>
      <c r="AL282" s="31">
        <f t="shared" si="219"/>
        <v>1.5707963141706303</v>
      </c>
      <c r="AM282" s="31" t="str">
        <f t="shared" si="204"/>
        <v>1+36.1434305809747i</v>
      </c>
      <c r="AN282" s="31">
        <f t="shared" si="220"/>
        <v>36.15726170718321</v>
      </c>
      <c r="AO282" s="31">
        <f t="shared" si="221"/>
        <v>1.5431358381055551</v>
      </c>
      <c r="AS282" s="58" t="str">
        <f t="shared" si="222"/>
        <v>5041.92327850019+182232.487224545i</v>
      </c>
      <c r="AT282" s="49">
        <f t="shared" si="223"/>
        <v>105.21583927407521</v>
      </c>
      <c r="AU282" s="61">
        <f t="shared" si="224"/>
        <v>88.415171462148578</v>
      </c>
      <c r="AV282" s="58" t="str">
        <f t="shared" si="225"/>
        <v>1173548.65059064+407713.362085385i</v>
      </c>
      <c r="AW282" s="64">
        <f t="shared" si="226"/>
        <v>121.88491614292283</v>
      </c>
      <c r="AX282" s="61">
        <f t="shared" si="227"/>
        <v>19.158209811266548</v>
      </c>
      <c r="AY282" s="310"/>
      <c r="BA282" s="31">
        <f t="shared" si="228"/>
        <v>0</v>
      </c>
      <c r="BB282" s="31">
        <f t="shared" si="229"/>
        <v>0</v>
      </c>
    </row>
    <row r="283" spans="14:54" x14ac:dyDescent="0.45">
      <c r="N283" s="10">
        <v>65</v>
      </c>
      <c r="O283" s="50">
        <f t="shared" si="195"/>
        <v>4466.8359215096343</v>
      </c>
      <c r="P283" s="48" t="str">
        <f t="shared" si="196"/>
        <v>17.4002386318441</v>
      </c>
      <c r="Q283" s="17" t="str">
        <f t="shared" si="197"/>
        <v>1+2.40363366819845i</v>
      </c>
      <c r="R283" s="17">
        <f t="shared" si="205"/>
        <v>2.6033545303890397</v>
      </c>
      <c r="S283" s="17">
        <f t="shared" si="206"/>
        <v>1.1765420393792227</v>
      </c>
      <c r="T283" s="17" t="str">
        <f t="shared" si="198"/>
        <v>1+0.0084197873494834i</v>
      </c>
      <c r="U283" s="17">
        <f t="shared" si="207"/>
        <v>1.0000354457813037</v>
      </c>
      <c r="V283" s="17">
        <f t="shared" si="208"/>
        <v>8.4195883904593007E-3</v>
      </c>
      <c r="W283" s="31" t="str">
        <f t="shared" si="199"/>
        <v>1-0.0207726272930565i</v>
      </c>
      <c r="X283" s="17">
        <f t="shared" si="209"/>
        <v>1.0002157277530963</v>
      </c>
      <c r="Y283" s="17">
        <f t="shared" si="210"/>
        <v>-2.0769640255982658E-2</v>
      </c>
      <c r="Z283" s="31" t="str">
        <f t="shared" si="200"/>
        <v>0.999981902382631+0.0290517627045851i</v>
      </c>
      <c r="AA283" s="17">
        <f t="shared" si="211"/>
        <v>1.0004038234678181</v>
      </c>
      <c r="AB283" s="17">
        <f t="shared" si="212"/>
        <v>2.9044118898021914E-2</v>
      </c>
      <c r="AC283" s="66" t="str">
        <f t="shared" si="213"/>
        <v>2.30944772500153-6.27101921202332i</v>
      </c>
      <c r="AD283" s="64">
        <f t="shared" si="214"/>
        <v>16.499112381486757</v>
      </c>
      <c r="AE283" s="61">
        <f t="shared" si="215"/>
        <v>-69.782604557339155</v>
      </c>
      <c r="AF283" s="31" t="str">
        <f t="shared" si="201"/>
        <v>-9090.90909090909</v>
      </c>
      <c r="AG283" s="31" t="str">
        <f t="shared" si="202"/>
        <v>2.27623467397318E-08i</v>
      </c>
      <c r="AH283" s="31">
        <f t="shared" si="216"/>
        <v>2.27623467397318E-8</v>
      </c>
      <c r="AI283" s="31">
        <f t="shared" si="217"/>
        <v>1.5707963267948966</v>
      </c>
      <c r="AJ283" s="31" t="str">
        <f t="shared" si="203"/>
        <v>1+81057620.229522i</v>
      </c>
      <c r="AK283" s="31">
        <f t="shared" si="218"/>
        <v>81057620.229522005</v>
      </c>
      <c r="AL283" s="31">
        <f t="shared" si="219"/>
        <v>1.5707963144579935</v>
      </c>
      <c r="AM283" s="31" t="str">
        <f t="shared" si="204"/>
        <v>1+36.9853192304974i</v>
      </c>
      <c r="AN283" s="31">
        <f t="shared" si="220"/>
        <v>36.99883563819003</v>
      </c>
      <c r="AO283" s="31">
        <f t="shared" si="221"/>
        <v>1.5437651574670779</v>
      </c>
      <c r="AS283" s="58" t="str">
        <f t="shared" si="222"/>
        <v>4927.15509295393+182232.48722168i</v>
      </c>
      <c r="AT283" s="49">
        <f t="shared" si="223"/>
        <v>105.21568975906948</v>
      </c>
      <c r="AU283" s="61">
        <f t="shared" si="224"/>
        <v>88.451228789064984</v>
      </c>
      <c r="AV283" s="58" t="str">
        <f t="shared" si="225"/>
        <v>1154162.4355421+389958.118786947i</v>
      </c>
      <c r="AW283" s="64">
        <f t="shared" si="226"/>
        <v>121.71480214055623</v>
      </c>
      <c r="AX283" s="61">
        <f t="shared" si="227"/>
        <v>18.668624231725868</v>
      </c>
      <c r="AY283" s="310"/>
      <c r="BA283" s="31">
        <f t="shared" si="228"/>
        <v>0</v>
      </c>
      <c r="BB283" s="31">
        <f t="shared" si="229"/>
        <v>0</v>
      </c>
    </row>
    <row r="284" spans="14:54" x14ac:dyDescent="0.45">
      <c r="N284" s="10">
        <v>66</v>
      </c>
      <c r="O284" s="50">
        <f t="shared" ref="O284:O318" si="230">10^(3+(N284/100))</f>
        <v>4570.8818961487532</v>
      </c>
      <c r="P284" s="48" t="str">
        <f t="shared" si="196"/>
        <v>17.4002386318441</v>
      </c>
      <c r="Q284" s="17" t="str">
        <f t="shared" si="197"/>
        <v>1+2.45962148867756i</v>
      </c>
      <c r="R284" s="17">
        <f t="shared" si="205"/>
        <v>2.6551342466181285</v>
      </c>
      <c r="S284" s="17">
        <f t="shared" si="206"/>
        <v>1.1846419179944634</v>
      </c>
      <c r="T284" s="17" t="str">
        <f t="shared" si="198"/>
        <v>1+0.00861590939122051i</v>
      </c>
      <c r="U284" s="17">
        <f t="shared" si="207"/>
        <v>1.0000371162585107</v>
      </c>
      <c r="V284" s="17">
        <f t="shared" si="208"/>
        <v>8.6156962032125778E-3</v>
      </c>
      <c r="W284" s="31" t="str">
        <f t="shared" si="199"/>
        <v>1-0.0212564839402447i</v>
      </c>
      <c r="X284" s="17">
        <f t="shared" si="209"/>
        <v>1.000225893540805</v>
      </c>
      <c r="Y284" s="17">
        <f t="shared" si="210"/>
        <v>-2.1253283311393485E-2</v>
      </c>
      <c r="Z284" s="31" t="str">
        <f t="shared" si="200"/>
        <v>0.999981049468201+0.0297284651890053i</v>
      </c>
      <c r="AA284" s="17">
        <f t="shared" si="211"/>
        <v>1.0004228510674966</v>
      </c>
      <c r="AB284" s="17">
        <f t="shared" si="212"/>
        <v>2.9720274889572709E-2</v>
      </c>
      <c r="AC284" s="66" t="str">
        <f t="shared" si="213"/>
        <v>2.20857199450956-6.16894994853294i</v>
      </c>
      <c r="AD284" s="64">
        <f t="shared" si="214"/>
        <v>16.327986584431208</v>
      </c>
      <c r="AE284" s="61">
        <f t="shared" si="215"/>
        <v>-70.301908857034533</v>
      </c>
      <c r="AF284" s="31" t="str">
        <f t="shared" si="201"/>
        <v>-9090.90909090909</v>
      </c>
      <c r="AG284" s="31" t="str">
        <f t="shared" si="202"/>
        <v>2.27623467397318E-08i</v>
      </c>
      <c r="AH284" s="31">
        <f t="shared" si="216"/>
        <v>2.27623467397318E-8</v>
      </c>
      <c r="AI284" s="31">
        <f t="shared" si="217"/>
        <v>1.5707963267948966</v>
      </c>
      <c r="AJ284" s="31" t="str">
        <f t="shared" si="203"/>
        <v>1+82945694.7518246i</v>
      </c>
      <c r="AK284" s="31">
        <f t="shared" si="218"/>
        <v>82945694.751824602</v>
      </c>
      <c r="AL284" s="31">
        <f t="shared" si="219"/>
        <v>1.5707963147388158</v>
      </c>
      <c r="AM284" s="31" t="str">
        <f t="shared" si="204"/>
        <v>1+37.8468179858346i</v>
      </c>
      <c r="AN284" s="31">
        <f t="shared" si="220"/>
        <v>37.860026831116926</v>
      </c>
      <c r="AO284" s="31">
        <f t="shared" si="221"/>
        <v>1.544380172465903</v>
      </c>
      <c r="AS284" s="58" t="str">
        <f t="shared" si="222"/>
        <v>4814.99935025657+182232.487218945i</v>
      </c>
      <c r="AT284" s="49">
        <f t="shared" si="223"/>
        <v>105.21554696854233</v>
      </c>
      <c r="AU284" s="61">
        <f t="shared" si="224"/>
        <v>88.48646653674497</v>
      </c>
      <c r="AV284" s="58" t="str">
        <f t="shared" si="225"/>
        <v>1134817.3653689+372770.077767632i</v>
      </c>
      <c r="AW284" s="64">
        <f t="shared" si="226"/>
        <v>121.54353355297354</v>
      </c>
      <c r="AX284" s="61">
        <f t="shared" si="227"/>
        <v>18.184557679710441</v>
      </c>
      <c r="AY284" s="310"/>
      <c r="BA284" s="31">
        <f t="shared" si="228"/>
        <v>0</v>
      </c>
      <c r="BB284" s="31">
        <f t="shared" si="229"/>
        <v>0</v>
      </c>
    </row>
    <row r="285" spans="14:54" x14ac:dyDescent="0.45">
      <c r="N285" s="10">
        <v>67</v>
      </c>
      <c r="O285" s="50">
        <f t="shared" si="230"/>
        <v>4677.3514128719844</v>
      </c>
      <c r="P285" s="48" t="str">
        <f t="shared" si="196"/>
        <v>17.4002386318441</v>
      </c>
      <c r="Q285" s="17" t="str">
        <f t="shared" si="197"/>
        <v>1+2.5169134330269i</v>
      </c>
      <c r="R285" s="17">
        <f t="shared" si="205"/>
        <v>2.7082934164065855</v>
      </c>
      <c r="S285" s="17">
        <f t="shared" si="206"/>
        <v>1.1926093058221103</v>
      </c>
      <c r="T285" s="17" t="str">
        <f t="shared" si="198"/>
        <v>1+0.00881659970216188i</v>
      </c>
      <c r="U285" s="17">
        <f t="shared" si="207"/>
        <v>1.000038865459892</v>
      </c>
      <c r="V285" s="17">
        <f t="shared" si="208"/>
        <v>8.8163712675752171E-3</v>
      </c>
      <c r="W285" s="31" t="str">
        <f t="shared" si="199"/>
        <v>1-0.0217516110565808i</v>
      </c>
      <c r="X285" s="17">
        <f t="shared" si="209"/>
        <v>1.0002365383165908</v>
      </c>
      <c r="Y285" s="17">
        <f t="shared" si="210"/>
        <v>-2.1748181564778851E-2</v>
      </c>
      <c r="Z285" s="31" t="str">
        <f t="shared" si="200"/>
        <v>0.999980156357152+0.0304209300991715i</v>
      </c>
      <c r="AA285" s="17">
        <f t="shared" si="211"/>
        <v>1.0004427750232259</v>
      </c>
      <c r="AB285" s="17">
        <f t="shared" si="212"/>
        <v>3.0412154244868539E-2</v>
      </c>
      <c r="AC285" s="66" t="str">
        <f t="shared" si="213"/>
        <v>2.11097006359369-6.06696197889375i</v>
      </c>
      <c r="AD285" s="64">
        <f t="shared" si="214"/>
        <v>16.155736640536936</v>
      </c>
      <c r="AE285" s="61">
        <f t="shared" si="215"/>
        <v>-70.814906067259287</v>
      </c>
      <c r="AF285" s="31" t="str">
        <f t="shared" si="201"/>
        <v>-9090.90909090909</v>
      </c>
      <c r="AG285" s="31" t="str">
        <f t="shared" si="202"/>
        <v>2.27623467397318E-08i</v>
      </c>
      <c r="AH285" s="31">
        <f t="shared" si="216"/>
        <v>2.27623467397318E-8</v>
      </c>
      <c r="AI285" s="31">
        <f t="shared" si="217"/>
        <v>1.5707963267948966</v>
      </c>
      <c r="AJ285" s="31" t="str">
        <f t="shared" si="203"/>
        <v>1+84877748.1794005i</v>
      </c>
      <c r="AK285" s="31">
        <f t="shared" si="218"/>
        <v>84877748.179400504</v>
      </c>
      <c r="AL285" s="31">
        <f t="shared" si="219"/>
        <v>1.5707963150132458</v>
      </c>
      <c r="AM285" s="31" t="str">
        <f t="shared" si="204"/>
        <v>1+38.7283836250297i</v>
      </c>
      <c r="AN285" s="31">
        <f t="shared" si="220"/>
        <v>38.741291901632152</v>
      </c>
      <c r="AO285" s="31">
        <f t="shared" si="221"/>
        <v>1.5449812073290543</v>
      </c>
      <c r="AS285" s="58" t="str">
        <f t="shared" si="222"/>
        <v>4705.39658394878+182232.487216332i</v>
      </c>
      <c r="AT285" s="49">
        <f t="shared" si="223"/>
        <v>105.21541060026479</v>
      </c>
      <c r="AU285" s="61">
        <f t="shared" si="224"/>
        <v>88.520903282020086</v>
      </c>
      <c r="AV285" s="58" t="str">
        <f t="shared" si="225"/>
        <v>1115530.52258678+356139.862957463i</v>
      </c>
      <c r="AW285" s="64">
        <f t="shared" si="226"/>
        <v>121.37114724080172</v>
      </c>
      <c r="AX285" s="61">
        <f t="shared" si="227"/>
        <v>17.705997214760803</v>
      </c>
      <c r="AY285" s="310"/>
      <c r="BA285" s="31">
        <f t="shared" si="228"/>
        <v>0</v>
      </c>
      <c r="BB285" s="31">
        <f t="shared" si="229"/>
        <v>0</v>
      </c>
    </row>
    <row r="286" spans="14:54" x14ac:dyDescent="0.45">
      <c r="N286" s="10">
        <v>68</v>
      </c>
      <c r="O286" s="50">
        <f t="shared" si="230"/>
        <v>4786.3009232263848</v>
      </c>
      <c r="P286" s="48" t="str">
        <f t="shared" si="196"/>
        <v>17.4002386318441</v>
      </c>
      <c r="Q286" s="17" t="str">
        <f t="shared" si="197"/>
        <v>1+2.57553987819372i</v>
      </c>
      <c r="R286" s="17">
        <f t="shared" si="205"/>
        <v>2.7628618612167566</v>
      </c>
      <c r="S286" s="17">
        <f t="shared" si="206"/>
        <v>1.2004443801254845</v>
      </c>
      <c r="T286" s="17" t="str">
        <f t="shared" si="198"/>
        <v>1+0.00902196469096684i</v>
      </c>
      <c r="U286" s="17">
        <f t="shared" si="207"/>
        <v>1.0000406970953157</v>
      </c>
      <c r="V286" s="17">
        <f t="shared" si="208"/>
        <v>9.0217199194352303E-3</v>
      </c>
      <c r="W286" s="31" t="str">
        <f t="shared" si="199"/>
        <v>1-0.0222582711650157i</v>
      </c>
      <c r="X286" s="17">
        <f t="shared" si="209"/>
        <v>1.0002476846437862</v>
      </c>
      <c r="Y286" s="17">
        <f t="shared" si="210"/>
        <v>-2.2254596447486792E-2</v>
      </c>
      <c r="Z286" s="31" t="str">
        <f t="shared" si="200"/>
        <v>0.999979221155077+0.0311295245891448i</v>
      </c>
      <c r="AA286" s="17">
        <f t="shared" si="211"/>
        <v>1.0004636375416454</v>
      </c>
      <c r="AB286" s="17">
        <f t="shared" si="212"/>
        <v>3.1120121327061989E-2</v>
      </c>
      <c r="AC286" s="66" t="str">
        <f t="shared" si="213"/>
        <v>2.01658370344655-5.96515634766082i</v>
      </c>
      <c r="AD286" s="64">
        <f t="shared" si="214"/>
        <v>15.982399066119356</v>
      </c>
      <c r="AE286" s="61">
        <f t="shared" si="215"/>
        <v>-71.321636107239328</v>
      </c>
      <c r="AF286" s="31" t="str">
        <f t="shared" si="201"/>
        <v>-9090.90909090909</v>
      </c>
      <c r="AG286" s="31" t="str">
        <f t="shared" si="202"/>
        <v>2.27623467397318E-08i</v>
      </c>
      <c r="AH286" s="31">
        <f t="shared" si="216"/>
        <v>2.27623467397318E-8</v>
      </c>
      <c r="AI286" s="31">
        <f t="shared" si="217"/>
        <v>1.5707963267948966</v>
      </c>
      <c r="AJ286" s="31" t="str">
        <f t="shared" si="203"/>
        <v>1+86854804.9125511i</v>
      </c>
      <c r="AK286" s="31">
        <f t="shared" si="218"/>
        <v>86854804.912551105</v>
      </c>
      <c r="AL286" s="31">
        <f t="shared" si="219"/>
        <v>1.5707963152814288</v>
      </c>
      <c r="AM286" s="31" t="str">
        <f t="shared" si="204"/>
        <v>1+39.6304835658536i</v>
      </c>
      <c r="AN286" s="31">
        <f t="shared" si="220"/>
        <v>39.643098108793069</v>
      </c>
      <c r="AO286" s="31">
        <f t="shared" si="221"/>
        <v>1.5455685789952207</v>
      </c>
      <c r="AS286" s="58" t="str">
        <f t="shared" si="222"/>
        <v>4598.28868119305+182232.487213836i</v>
      </c>
      <c r="AT286" s="49">
        <f t="shared" si="223"/>
        <v>105.21528036557339</v>
      </c>
      <c r="AU286" s="61">
        <f t="shared" si="224"/>
        <v>88.554557184131227</v>
      </c>
      <c r="AV286" s="58" t="str">
        <f t="shared" si="225"/>
        <v>1096318.11187187+340057.553038958i</v>
      </c>
      <c r="AW286" s="64">
        <f t="shared" si="226"/>
        <v>121.19767943169276</v>
      </c>
      <c r="AX286" s="61">
        <f t="shared" si="227"/>
        <v>17.232921076891909</v>
      </c>
      <c r="AY286" s="310"/>
      <c r="BA286" s="31">
        <f t="shared" si="228"/>
        <v>0</v>
      </c>
      <c r="BB286" s="31">
        <f t="shared" si="229"/>
        <v>0</v>
      </c>
    </row>
    <row r="287" spans="14:54" x14ac:dyDescent="0.45">
      <c r="N287" s="10">
        <v>69</v>
      </c>
      <c r="O287" s="50">
        <f t="shared" si="230"/>
        <v>4897.7881936844633</v>
      </c>
      <c r="P287" s="48" t="str">
        <f t="shared" si="196"/>
        <v>17.4002386318441</v>
      </c>
      <c r="Q287" s="17" t="str">
        <f t="shared" si="197"/>
        <v>1+2.63553190869526i</v>
      </c>
      <c r="R287" s="17">
        <f t="shared" si="205"/>
        <v>2.8188700647158038</v>
      </c>
      <c r="S287" s="17">
        <f t="shared" si="206"/>
        <v>1.2081474462751161</v>
      </c>
      <c r="T287" s="17" t="str">
        <f t="shared" si="198"/>
        <v>1+0.00923211324487078i</v>
      </c>
      <c r="U287" s="17">
        <f t="shared" si="207"/>
        <v>1.0000426150494617</v>
      </c>
      <c r="V287" s="17">
        <f t="shared" si="208"/>
        <v>9.2318509680529137E-3</v>
      </c>
      <c r="W287" s="31" t="str">
        <f t="shared" si="199"/>
        <v>1-0.0227767329034454i</v>
      </c>
      <c r="X287" s="17">
        <f t="shared" si="209"/>
        <v>1.0002593561480717</v>
      </c>
      <c r="Y287" s="17">
        <f t="shared" si="210"/>
        <v>-2.2772795427810598E-2</v>
      </c>
      <c r="Z287" s="31" t="str">
        <f t="shared" si="200"/>
        <v>0.999978241878286+0.0318546243651034i</v>
      </c>
      <c r="AA287" s="17">
        <f t="shared" si="211"/>
        <v>1.000485482814933</v>
      </c>
      <c r="AB287" s="17">
        <f t="shared" si="212"/>
        <v>3.184454885215765E-2</v>
      </c>
      <c r="AC287" s="66" t="str">
        <f t="shared" si="213"/>
        <v>1.92535186764104-5.86362881487968i</v>
      </c>
      <c r="AD287" s="64">
        <f t="shared" si="214"/>
        <v>15.808009696676846</v>
      </c>
      <c r="AE287" s="61">
        <f t="shared" si="215"/>
        <v>-71.822146918964492</v>
      </c>
      <c r="AF287" s="31" t="str">
        <f t="shared" si="201"/>
        <v>-9090.90909090909</v>
      </c>
      <c r="AG287" s="31" t="str">
        <f t="shared" si="202"/>
        <v>2.27623467397318E-08i</v>
      </c>
      <c r="AH287" s="31">
        <f t="shared" si="216"/>
        <v>2.27623467397318E-8</v>
      </c>
      <c r="AI287" s="31">
        <f t="shared" si="217"/>
        <v>1.5707963267948966</v>
      </c>
      <c r="AJ287" s="31" t="str">
        <f t="shared" si="203"/>
        <v>1+88877913.2129257i</v>
      </c>
      <c r="AK287" s="31">
        <f t="shared" si="218"/>
        <v>88877913.212925702</v>
      </c>
      <c r="AL287" s="31">
        <f t="shared" si="219"/>
        <v>1.5707963155435074</v>
      </c>
      <c r="AM287" s="31" t="str">
        <f t="shared" si="204"/>
        <v>1+40.5535961136356i</v>
      </c>
      <c r="AN287" s="31">
        <f t="shared" si="220"/>
        <v>40.565923602795991</v>
      </c>
      <c r="AO287" s="31">
        <f t="shared" si="221"/>
        <v>1.5461425972745346</v>
      </c>
      <c r="AS287" s="58" t="str">
        <f t="shared" si="222"/>
        <v>4493.61885196165+182232.487211453i</v>
      </c>
      <c r="AT287" s="49">
        <f t="shared" si="223"/>
        <v>105.21515598876286</v>
      </c>
      <c r="AU287" s="61">
        <f t="shared" si="224"/>
        <v>88.587445993883279</v>
      </c>
      <c r="AV287" s="58" t="str">
        <f t="shared" si="225"/>
        <v>1077195.46046936+324512.746613994i</v>
      </c>
      <c r="AW287" s="64">
        <f t="shared" si="226"/>
        <v>121.02316568543971</v>
      </c>
      <c r="AX287" s="61">
        <f t="shared" si="227"/>
        <v>16.765299074918786</v>
      </c>
      <c r="AY287" s="310"/>
      <c r="BA287" s="31">
        <f t="shared" si="228"/>
        <v>0</v>
      </c>
      <c r="BB287" s="31">
        <f t="shared" si="229"/>
        <v>0</v>
      </c>
    </row>
    <row r="288" spans="14:54" x14ac:dyDescent="0.45">
      <c r="N288" s="10">
        <v>70</v>
      </c>
      <c r="O288" s="50">
        <f t="shared" si="230"/>
        <v>5011.8723362727324</v>
      </c>
      <c r="P288" s="48" t="str">
        <f t="shared" si="196"/>
        <v>17.4002386318441</v>
      </c>
      <c r="Q288" s="17" t="str">
        <f t="shared" si="197"/>
        <v>1+2.69692133310019i</v>
      </c>
      <c r="R288" s="17">
        <f t="shared" si="205"/>
        <v>2.8763491924540223</v>
      </c>
      <c r="S288" s="17">
        <f t="shared" si="206"/>
        <v>1.2157189308946763</v>
      </c>
      <c r="T288" s="17" t="str">
        <f t="shared" si="198"/>
        <v>1+0.00944715678741862i</v>
      </c>
      <c r="U288" s="17">
        <f t="shared" si="207"/>
        <v>1.0000446233900597</v>
      </c>
      <c r="V288" s="17">
        <f t="shared" si="208"/>
        <v>9.4468757534222365E-3</v>
      </c>
      <c r="W288" s="31" t="str">
        <f t="shared" si="199"/>
        <v>1-0.0233072711671462i</v>
      </c>
      <c r="X288" s="17">
        <f t="shared" si="209"/>
        <v>1.0002715775674418</v>
      </c>
      <c r="Y288" s="17">
        <f t="shared" si="210"/>
        <v>-2.3303052147854154E-2</v>
      </c>
      <c r="Z288" s="31" t="str">
        <f t="shared" si="200"/>
        <v>0.999977216449601+0.0325966138845461i</v>
      </c>
      <c r="AA288" s="17">
        <f t="shared" si="211"/>
        <v>1.0005083571140376</v>
      </c>
      <c r="AB288" s="17">
        <f t="shared" si="212"/>
        <v>3.2585818074005547E-2</v>
      </c>
      <c r="AC288" s="66" t="str">
        <f t="shared" si="213"/>
        <v>1.83721105912543-5.76246988553257i</v>
      </c>
      <c r="AD288" s="64">
        <f t="shared" si="214"/>
        <v>15.632603656834871</v>
      </c>
      <c r="AE288" s="61">
        <f t="shared" si="215"/>
        <v>-72.31649408963294</v>
      </c>
      <c r="AF288" s="31" t="str">
        <f t="shared" si="201"/>
        <v>-9090.90909090909</v>
      </c>
      <c r="AG288" s="31" t="str">
        <f t="shared" si="202"/>
        <v>2.27623467397318E-08i</v>
      </c>
      <c r="AH288" s="31">
        <f t="shared" si="216"/>
        <v>2.27623467397318E-8</v>
      </c>
      <c r="AI288" s="31">
        <f t="shared" si="217"/>
        <v>1.5707963267948966</v>
      </c>
      <c r="AJ288" s="31" t="str">
        <f t="shared" si="203"/>
        <v>1+90948145.7593241i</v>
      </c>
      <c r="AK288" s="31">
        <f t="shared" si="218"/>
        <v>90948145.759324104</v>
      </c>
      <c r="AL288" s="31">
        <f t="shared" si="219"/>
        <v>1.5707963157996203</v>
      </c>
      <c r="AM288" s="31" t="str">
        <f t="shared" si="204"/>
        <v>1+41.4982107148675i</v>
      </c>
      <c r="AN288" s="31">
        <f t="shared" si="220"/>
        <v>41.510257678500906</v>
      </c>
      <c r="AO288" s="31">
        <f t="shared" si="221"/>
        <v>1.5467035650051202</v>
      </c>
      <c r="AS288" s="58" t="str">
        <f t="shared" si="222"/>
        <v>4391.33159892565+182232.487209178i</v>
      </c>
      <c r="AT288" s="49">
        <f t="shared" si="223"/>
        <v>105.21503720650573</v>
      </c>
      <c r="AU288" s="61">
        <f t="shared" si="224"/>
        <v>88.619587062614684</v>
      </c>
      <c r="AV288" s="58" t="str">
        <f t="shared" si="225"/>
        <v>1058177.02268642+309494.624736439i</v>
      </c>
      <c r="AW288" s="64">
        <f t="shared" si="226"/>
        <v>120.8476408633406</v>
      </c>
      <c r="AX288" s="61">
        <f t="shared" si="227"/>
        <v>16.303092972981773</v>
      </c>
      <c r="AY288" s="310"/>
      <c r="BA288" s="31">
        <f t="shared" si="228"/>
        <v>0</v>
      </c>
      <c r="BB288" s="31">
        <f t="shared" si="229"/>
        <v>0</v>
      </c>
    </row>
    <row r="289" spans="14:54" x14ac:dyDescent="0.45">
      <c r="N289" s="10">
        <v>71</v>
      </c>
      <c r="O289" s="50">
        <f t="shared" si="230"/>
        <v>5128.6138399136489</v>
      </c>
      <c r="P289" s="48" t="str">
        <f t="shared" si="196"/>
        <v>17.4002386318441</v>
      </c>
      <c r="Q289" s="17" t="str">
        <f t="shared" si="197"/>
        <v>1+2.75974070089388i</v>
      </c>
      <c r="R289" s="17">
        <f t="shared" si="205"/>
        <v>2.9353311118458585</v>
      </c>
      <c r="S289" s="17">
        <f t="shared" si="206"/>
        <v>1.2231593750595766</v>
      </c>
      <c r="T289" s="17" t="str">
        <f t="shared" si="198"/>
        <v>1+0.009667209337543i</v>
      </c>
      <c r="U289" s="17">
        <f t="shared" si="207"/>
        <v>1.0000467263765107</v>
      </c>
      <c r="V289" s="17">
        <f t="shared" si="208"/>
        <v>9.6669082049503589E-3</v>
      </c>
      <c r="W289" s="31" t="str">
        <f t="shared" si="199"/>
        <v>1-0.0238501672545278i</v>
      </c>
      <c r="X289" s="17">
        <f t="shared" si="209"/>
        <v>1.0002843748045198</v>
      </c>
      <c r="Y289" s="17">
        <f t="shared" si="210"/>
        <v>-2.3845646563317887E-2</v>
      </c>
      <c r="Z289" s="31" t="str">
        <f t="shared" si="200"/>
        <v>0.999976142693951+0.0333558865601374i</v>
      </c>
      <c r="AA289" s="17">
        <f t="shared" si="211"/>
        <v>1.0005323088862677</v>
      </c>
      <c r="AB289" s="17">
        <f t="shared" si="212"/>
        <v>3.3344318972924863E-2</v>
      </c>
      <c r="AC289" s="66" t="str">
        <f t="shared" si="213"/>
        <v>1.75209568075357-5.66176486064347i</v>
      </c>
      <c r="AD289" s="64">
        <f t="shared" si="214"/>
        <v>15.456215334330153</v>
      </c>
      <c r="AE289" s="61">
        <f t="shared" si="215"/>
        <v>-72.804740477414384</v>
      </c>
      <c r="AF289" s="31" t="str">
        <f t="shared" si="201"/>
        <v>-9090.90909090909</v>
      </c>
      <c r="AG289" s="31" t="str">
        <f t="shared" si="202"/>
        <v>2.27623467397318E-08i</v>
      </c>
      <c r="AH289" s="31">
        <f t="shared" si="216"/>
        <v>2.27623467397318E-8</v>
      </c>
      <c r="AI289" s="31">
        <f t="shared" si="217"/>
        <v>1.5707963267948966</v>
      </c>
      <c r="AJ289" s="31" t="str">
        <f t="shared" si="203"/>
        <v>1+93066600.2164446i</v>
      </c>
      <c r="AK289" s="31">
        <f t="shared" si="218"/>
        <v>93066600.216444597</v>
      </c>
      <c r="AL289" s="31">
        <f t="shared" si="219"/>
        <v>1.5707963160499032</v>
      </c>
      <c r="AM289" s="31" t="str">
        <f t="shared" si="204"/>
        <v>1+42.4648282167138i</v>
      </c>
      <c r="AN289" s="31">
        <f t="shared" si="220"/>
        <v>42.476601034864039</v>
      </c>
      <c r="AO289" s="31">
        <f t="shared" si="221"/>
        <v>1.5472517782064603</v>
      </c>
      <c r="AS289" s="58" t="str">
        <f t="shared" si="222"/>
        <v>4291.37268802955+182232.487207005i</v>
      </c>
      <c r="AT289" s="49">
        <f t="shared" si="223"/>
        <v>105.21492376729799</v>
      </c>
      <c r="AU289" s="61">
        <f t="shared" si="224"/>
        <v>88.650997350984653</v>
      </c>
      <c r="AV289" s="58" t="str">
        <f t="shared" si="225"/>
        <v>1039276.38808748+294992.010639363i</v>
      </c>
      <c r="AW289" s="64">
        <f t="shared" si="226"/>
        <v>120.67113910162814</v>
      </c>
      <c r="AX289" s="61">
        <f t="shared" si="227"/>
        <v>15.846256873570324</v>
      </c>
      <c r="AY289" s="310"/>
      <c r="BA289" s="31">
        <f t="shared" si="228"/>
        <v>0</v>
      </c>
      <c r="BB289" s="31">
        <f t="shared" si="229"/>
        <v>0</v>
      </c>
    </row>
    <row r="290" spans="14:54" x14ac:dyDescent="0.45">
      <c r="N290" s="10">
        <v>72</v>
      </c>
      <c r="O290" s="50">
        <f t="shared" si="230"/>
        <v>5248.0746024977261</v>
      </c>
      <c r="P290" s="48" t="str">
        <f t="shared" si="196"/>
        <v>17.4002386318441</v>
      </c>
      <c r="Q290" s="17" t="str">
        <f t="shared" si="197"/>
        <v>1+2.82402331973669i</v>
      </c>
      <c r="R290" s="17">
        <f t="shared" si="205"/>
        <v>2.9958484124562506</v>
      </c>
      <c r="S290" s="17">
        <f t="shared" si="206"/>
        <v>1.2304694275750032</v>
      </c>
      <c r="T290" s="17" t="str">
        <f t="shared" si="198"/>
        <v>1+0.00989238757001884i</v>
      </c>
      <c r="U290" s="17">
        <f t="shared" si="207"/>
        <v>1.0000489284689202</v>
      </c>
      <c r="V290" s="17">
        <f t="shared" si="208"/>
        <v>9.8920649014850176E-3</v>
      </c>
      <c r="W290" s="31" t="str">
        <f t="shared" si="199"/>
        <v>1-0.0244057090162823i</v>
      </c>
      <c r="X290" s="17">
        <f t="shared" si="209"/>
        <v>1.000297774981324</v>
      </c>
      <c r="Y290" s="17">
        <f t="shared" si="210"/>
        <v>-2.4400865086255011E-2</v>
      </c>
      <c r="Z290" s="31" t="str">
        <f t="shared" si="200"/>
        <v>0.999975018333757+0.0341328449683005i</v>
      </c>
      <c r="AA290" s="17">
        <f t="shared" si="211"/>
        <v>1.0005573888574446</v>
      </c>
      <c r="AB290" s="17">
        <f t="shared" si="212"/>
        <v>3.4120450447992688E-2</v>
      </c>
      <c r="AC290" s="66" t="str">
        <f t="shared" si="213"/>
        <v>1.66993836858243-5.56159390783981i</v>
      </c>
      <c r="AD290" s="64">
        <f t="shared" si="214"/>
        <v>15.278878357842727</v>
      </c>
      <c r="AE290" s="61">
        <f t="shared" si="215"/>
        <v>-73.28695584206713</v>
      </c>
      <c r="AF290" s="31" t="str">
        <f t="shared" si="201"/>
        <v>-9090.90909090909</v>
      </c>
      <c r="AG290" s="31" t="str">
        <f t="shared" si="202"/>
        <v>2.27623467397318E-08i</v>
      </c>
      <c r="AH290" s="31">
        <f t="shared" si="216"/>
        <v>2.27623467397318E-8</v>
      </c>
      <c r="AI290" s="31">
        <f t="shared" si="217"/>
        <v>1.5707963267948966</v>
      </c>
      <c r="AJ290" s="31" t="str">
        <f t="shared" si="203"/>
        <v>1+95234399.8168825i</v>
      </c>
      <c r="AK290" s="31">
        <f t="shared" si="218"/>
        <v>95234399.816882506</v>
      </c>
      <c r="AL290" s="31">
        <f t="shared" si="219"/>
        <v>1.5707963162944891</v>
      </c>
      <c r="AM290" s="31" t="str">
        <f t="shared" si="204"/>
        <v>1+43.4539611325694i</v>
      </c>
      <c r="AN290" s="31">
        <f t="shared" si="220"/>
        <v>43.465466040419393</v>
      </c>
      <c r="AO290" s="31">
        <f t="shared" si="221"/>
        <v>1.5477875262296257</v>
      </c>
      <c r="AS290" s="58" t="str">
        <f t="shared" si="222"/>
        <v>4193.68911973565+182232.48720493i</v>
      </c>
      <c r="AT290" s="49">
        <f t="shared" si="223"/>
        <v>105.21481543092955</v>
      </c>
      <c r="AU290" s="61">
        <f t="shared" si="224"/>
        <v>88.68169343758079</v>
      </c>
      <c r="AV290" s="58" t="str">
        <f t="shared" si="225"/>
        <v>1020506.29301639+280993.426526023i</v>
      </c>
      <c r="AW290" s="64">
        <f t="shared" si="226"/>
        <v>120.4936937887723</v>
      </c>
      <c r="AX290" s="61">
        <f t="shared" si="227"/>
        <v>15.394737595513599</v>
      </c>
      <c r="AY290" s="310"/>
      <c r="BA290" s="31">
        <f t="shared" si="228"/>
        <v>0</v>
      </c>
      <c r="BB290" s="31">
        <f t="shared" si="229"/>
        <v>0</v>
      </c>
    </row>
    <row r="291" spans="14:54" x14ac:dyDescent="0.45">
      <c r="N291" s="10">
        <v>73</v>
      </c>
      <c r="O291" s="50">
        <f t="shared" si="230"/>
        <v>5370.3179637025269</v>
      </c>
      <c r="P291" s="48" t="str">
        <f t="shared" si="196"/>
        <v>17.4002386318441</v>
      </c>
      <c r="Q291" s="17" t="str">
        <f t="shared" si="197"/>
        <v>1+2.88980327312398i</v>
      </c>
      <c r="R291" s="17">
        <f t="shared" si="205"/>
        <v>3.0579344265955193</v>
      </c>
      <c r="S291" s="17">
        <f t="shared" si="206"/>
        <v>1.2376498383572374</v>
      </c>
      <c r="T291" s="17" t="str">
        <f t="shared" si="198"/>
        <v>1+0.0101228108773255i</v>
      </c>
      <c r="U291" s="17">
        <f t="shared" si="207"/>
        <v>1.0000512343375505</v>
      </c>
      <c r="V291" s="17">
        <f t="shared" si="208"/>
        <v>1.0122465132718977E-2</v>
      </c>
      <c r="W291" s="31" t="str">
        <f t="shared" si="199"/>
        <v>1-0.0249741910080049i</v>
      </c>
      <c r="X291" s="17">
        <f t="shared" si="209"/>
        <v>1.0003118064966066</v>
      </c>
      <c r="Y291" s="17">
        <f t="shared" si="210"/>
        <v>-2.496900073084362E-2</v>
      </c>
      <c r="Z291" s="31" t="str">
        <f t="shared" si="200"/>
        <v>0.999973840984099+0.0349279010626672i</v>
      </c>
      <c r="AA291" s="17">
        <f t="shared" si="211"/>
        <v>1.0005836501388254</v>
      </c>
      <c r="AB291" s="17">
        <f t="shared" si="212"/>
        <v>3.4914620513029994E-2</v>
      </c>
      <c r="AC291" s="66" t="str">
        <f t="shared" si="213"/>
        <v>1.59067030738884-5.46203214922819i</v>
      </c>
      <c r="AD291" s="64">
        <f t="shared" si="214"/>
        <v>15.100625578478555</v>
      </c>
      <c r="AE291" s="61">
        <f t="shared" si="215"/>
        <v>-73.763216481779025</v>
      </c>
      <c r="AF291" s="31" t="str">
        <f t="shared" si="201"/>
        <v>-9090.90909090909</v>
      </c>
      <c r="AG291" s="31" t="str">
        <f t="shared" si="202"/>
        <v>2.27623467397318E-08i</v>
      </c>
      <c r="AH291" s="31">
        <f t="shared" si="216"/>
        <v>2.27623467397318E-8</v>
      </c>
      <c r="AI291" s="31">
        <f t="shared" si="217"/>
        <v>1.5707963267948966</v>
      </c>
      <c r="AJ291" s="31" t="str">
        <f t="shared" si="203"/>
        <v>1+97452693.9566792i</v>
      </c>
      <c r="AK291" s="31">
        <f t="shared" si="218"/>
        <v>97452693.956679195</v>
      </c>
      <c r="AL291" s="31">
        <f t="shared" si="219"/>
        <v>1.5707963165335077</v>
      </c>
      <c r="AM291" s="31" t="str">
        <f t="shared" si="204"/>
        <v>1+44.4661339137984i</v>
      </c>
      <c r="AN291" s="31">
        <f t="shared" si="220"/>
        <v>44.477377004943229</v>
      </c>
      <c r="AO291" s="31">
        <f t="shared" si="221"/>
        <v>1.5483110919044161</v>
      </c>
      <c r="AS291" s="58" t="str">
        <f t="shared" si="222"/>
        <v>4098.22910092309+182232.487202947i</v>
      </c>
      <c r="AT291" s="49">
        <f t="shared" si="223"/>
        <v>105.21471196797799</v>
      </c>
      <c r="AU291" s="61">
        <f t="shared" si="224"/>
        <v>88.71169152734943</v>
      </c>
      <c r="AV291" s="58" t="str">
        <f t="shared" si="225"/>
        <v>1001878.63508003+267487.1473312i</v>
      </c>
      <c r="AW291" s="64">
        <f t="shared" si="226"/>
        <v>120.31533754645658</v>
      </c>
      <c r="AX291" s="61">
        <f t="shared" si="227"/>
        <v>14.94847504557036</v>
      </c>
      <c r="AY291" s="310"/>
      <c r="BA291" s="31">
        <f t="shared" si="228"/>
        <v>0</v>
      </c>
      <c r="BB291" s="31">
        <f t="shared" si="229"/>
        <v>0</v>
      </c>
    </row>
    <row r="292" spans="14:54" x14ac:dyDescent="0.45">
      <c r="N292" s="10">
        <v>74</v>
      </c>
      <c r="O292" s="50">
        <f t="shared" si="230"/>
        <v>5495.4087385762541</v>
      </c>
      <c r="P292" s="48" t="str">
        <f t="shared" si="196"/>
        <v>17.4002386318441</v>
      </c>
      <c r="Q292" s="17" t="str">
        <f t="shared" si="197"/>
        <v>1+2.95711543845776i</v>
      </c>
      <c r="R292" s="17">
        <f t="shared" si="205"/>
        <v>3.1216232502281933</v>
      </c>
      <c r="S292" s="17">
        <f t="shared" si="206"/>
        <v>1.2447014519394921</v>
      </c>
      <c r="T292" s="17" t="str">
        <f t="shared" si="198"/>
        <v>1+0.0103586014329506i</v>
      </c>
      <c r="U292" s="17">
        <f t="shared" si="207"/>
        <v>1.0000536488727225</v>
      </c>
      <c r="V292" s="17">
        <f t="shared" si="208"/>
        <v>1.035823096200341E-2</v>
      </c>
      <c r="W292" s="31" t="str">
        <f t="shared" si="199"/>
        <v>1-0.0255559146463724i</v>
      </c>
      <c r="X292" s="17">
        <f t="shared" si="209"/>
        <v>1.0003264990858798</v>
      </c>
      <c r="Y292" s="17">
        <f t="shared" si="210"/>
        <v>-2.5550353262228216E-2</v>
      </c>
      <c r="Z292" s="31" t="str">
        <f t="shared" si="200"/>
        <v>0.999972608147661+0.0357414763925029i</v>
      </c>
      <c r="AA292" s="17">
        <f t="shared" si="211"/>
        <v>1.0006111483390296</v>
      </c>
      <c r="AB292" s="17">
        <f t="shared" si="212"/>
        <v>3.5727246496320475E-2</v>
      </c>
      <c r="AC292" s="66" t="str">
        <f t="shared" si="213"/>
        <v>1.51422152805637-5.36314976451367i</v>
      </c>
      <c r="AD292" s="64">
        <f t="shared" si="214"/>
        <v>14.921489054697549</v>
      </c>
      <c r="AE292" s="61">
        <f t="shared" si="215"/>
        <v>-74.23360487745073</v>
      </c>
      <c r="AF292" s="31" t="str">
        <f t="shared" si="201"/>
        <v>-9090.90909090909</v>
      </c>
      <c r="AG292" s="31" t="str">
        <f t="shared" si="202"/>
        <v>2.27623467397318E-08i</v>
      </c>
      <c r="AH292" s="31">
        <f t="shared" si="216"/>
        <v>2.27623467397318E-8</v>
      </c>
      <c r="AI292" s="31">
        <f t="shared" si="217"/>
        <v>1.5707963267948966</v>
      </c>
      <c r="AJ292" s="31" t="str">
        <f t="shared" si="203"/>
        <v>1+99722658.8047509i</v>
      </c>
      <c r="AK292" s="31">
        <f t="shared" si="218"/>
        <v>99722658.804750904</v>
      </c>
      <c r="AL292" s="31">
        <f t="shared" si="219"/>
        <v>1.5707963167670853</v>
      </c>
      <c r="AM292" s="31" t="str">
        <f t="shared" si="204"/>
        <v>1+45.5018832278076i</v>
      </c>
      <c r="AN292" s="31">
        <f t="shared" si="220"/>
        <v>45.512870457454554</v>
      </c>
      <c r="AO292" s="31">
        <f t="shared" si="221"/>
        <v>1.5488227516834616</v>
      </c>
      <c r="AS292" s="58" t="str">
        <f t="shared" si="222"/>
        <v>4004.94201742631+182232.487201055i</v>
      </c>
      <c r="AT292" s="49">
        <f t="shared" si="223"/>
        <v>105.21461315932542</v>
      </c>
      <c r="AU292" s="61">
        <f t="shared" si="224"/>
        <v>88.741007459852312</v>
      </c>
      <c r="AV292" s="58" t="str">
        <f t="shared" si="225"/>
        <v>983404.490240483+254461.251393444i</v>
      </c>
      <c r="AW292" s="64">
        <f t="shared" si="226"/>
        <v>120.136102214023</v>
      </c>
      <c r="AX292" s="61">
        <f t="shared" si="227"/>
        <v>14.507402582401619</v>
      </c>
      <c r="AY292" s="310"/>
      <c r="BA292" s="31">
        <f t="shared" si="228"/>
        <v>0</v>
      </c>
      <c r="BB292" s="31">
        <f t="shared" si="229"/>
        <v>0</v>
      </c>
    </row>
    <row r="293" spans="14:54" x14ac:dyDescent="0.45">
      <c r="N293" s="10">
        <v>75</v>
      </c>
      <c r="O293" s="50">
        <f t="shared" si="230"/>
        <v>5623.4132519034993</v>
      </c>
      <c r="P293" s="48" t="str">
        <f t="shared" si="196"/>
        <v>17.4002386318441</v>
      </c>
      <c r="Q293" s="17" t="str">
        <f t="shared" si="197"/>
        <v>1+3.02599550553906i</v>
      </c>
      <c r="R293" s="17">
        <f t="shared" si="205"/>
        <v>3.1869497642012794</v>
      </c>
      <c r="S293" s="17">
        <f t="shared" si="206"/>
        <v>1.2516252011207363</v>
      </c>
      <c r="T293" s="17" t="str">
        <f t="shared" si="198"/>
        <v>1+0.0105998842561677i</v>
      </c>
      <c r="U293" s="17">
        <f t="shared" si="207"/>
        <v>1.0000561771951835</v>
      </c>
      <c r="V293" s="17">
        <f t="shared" si="208"/>
        <v>1.0599487290600104E-2</v>
      </c>
      <c r="W293" s="31" t="str">
        <f t="shared" si="199"/>
        <v>1-0.026151188368958i</v>
      </c>
      <c r="X293" s="17">
        <f t="shared" si="209"/>
        <v>1.0003418838842593</v>
      </c>
      <c r="Y293" s="17">
        <f t="shared" si="210"/>
        <v>-2.6145229348474519E-2</v>
      </c>
      <c r="Z293" s="31" t="str">
        <f t="shared" si="200"/>
        <v>0.999971317209432+0.0365740023262162i</v>
      </c>
      <c r="AA293" s="17">
        <f t="shared" si="211"/>
        <v>1.0006399416811846</v>
      </c>
      <c r="AB293" s="17">
        <f t="shared" si="212"/>
        <v>3.6558755244084418E-2</v>
      </c>
      <c r="AC293" s="66" t="str">
        <f t="shared" si="213"/>
        <v>1.44052118666558-5.26501210738067i</v>
      </c>
      <c r="AD293" s="64">
        <f t="shared" si="214"/>
        <v>14.741500040481561</v>
      </c>
      <c r="AE293" s="61">
        <f t="shared" si="215"/>
        <v>-74.698209345484017</v>
      </c>
      <c r="AF293" s="31" t="str">
        <f t="shared" si="201"/>
        <v>-9090.90909090909</v>
      </c>
      <c r="AG293" s="31" t="str">
        <f t="shared" si="202"/>
        <v>2.27623467397318E-08i</v>
      </c>
      <c r="AH293" s="31">
        <f t="shared" si="216"/>
        <v>2.27623467397318E-8</v>
      </c>
      <c r="AI293" s="31">
        <f t="shared" si="217"/>
        <v>1.5707963267948966</v>
      </c>
      <c r="AJ293" s="31" t="str">
        <f t="shared" si="203"/>
        <v>1+102045497.926506i</v>
      </c>
      <c r="AK293" s="31">
        <f t="shared" si="218"/>
        <v>102045497.926506</v>
      </c>
      <c r="AL293" s="31">
        <f t="shared" si="219"/>
        <v>1.5707963169953463</v>
      </c>
      <c r="AM293" s="31" t="str">
        <f t="shared" si="204"/>
        <v>1+46.5617582425926i</v>
      </c>
      <c r="AN293" s="31">
        <f t="shared" si="220"/>
        <v>46.57249543068999</v>
      </c>
      <c r="AO293" s="31">
        <f t="shared" si="221"/>
        <v>1.5493227757833323</v>
      </c>
      <c r="AS293" s="58" t="str">
        <f t="shared" si="222"/>
        <v>3913.77840719886+182232.487199248i</v>
      </c>
      <c r="AT293" s="49">
        <f t="shared" si="223"/>
        <v>105.21451879569619</v>
      </c>
      <c r="AU293" s="61">
        <f t="shared" si="224"/>
        <v>88.769656717351381</v>
      </c>
      <c r="AV293" s="58" t="str">
        <f t="shared" si="225"/>
        <v>965094.132177618+241903.668009774i</v>
      </c>
      <c r="AW293" s="64">
        <f t="shared" si="226"/>
        <v>119.95601883617775</v>
      </c>
      <c r="AX293" s="61">
        <f t="shared" si="227"/>
        <v>14.071447371867375</v>
      </c>
      <c r="AY293" s="310"/>
      <c r="BA293" s="31">
        <f t="shared" si="228"/>
        <v>0</v>
      </c>
      <c r="BB293" s="31">
        <f t="shared" si="229"/>
        <v>0</v>
      </c>
    </row>
    <row r="294" spans="14:54" x14ac:dyDescent="0.45">
      <c r="N294" s="10">
        <v>76</v>
      </c>
      <c r="O294" s="50">
        <f t="shared" si="230"/>
        <v>5754.399373371567</v>
      </c>
      <c r="P294" s="48" t="str">
        <f t="shared" si="196"/>
        <v>17.4002386318441</v>
      </c>
      <c r="Q294" s="17" t="str">
        <f t="shared" si="197"/>
        <v>1+3.09647999549117i</v>
      </c>
      <c r="R294" s="17">
        <f t="shared" si="205"/>
        <v>3.2539496557993943</v>
      </c>
      <c r="S294" s="17">
        <f t="shared" si="206"/>
        <v>1.2584221007735588</v>
      </c>
      <c r="T294" s="17" t="str">
        <f t="shared" si="198"/>
        <v>1+0.0108467872783235i</v>
      </c>
      <c r="U294" s="17">
        <f t="shared" si="207"/>
        <v>1.0000588246669599</v>
      </c>
      <c r="V294" s="17">
        <f t="shared" si="208"/>
        <v>1.0846361923405596E-2</v>
      </c>
      <c r="W294" s="31" t="str">
        <f t="shared" si="199"/>
        <v>1-0.0267603277977686i</v>
      </c>
      <c r="X294" s="17">
        <f t="shared" si="209"/>
        <v>1.0003579934922517</v>
      </c>
      <c r="Y294" s="17">
        <f t="shared" si="210"/>
        <v>-2.6753942715686468E-2</v>
      </c>
      <c r="Z294" s="31" t="str">
        <f t="shared" si="200"/>
        <v>0.999969965431158+0.037425920280077i</v>
      </c>
      <c r="AA294" s="17">
        <f t="shared" si="211"/>
        <v>1.0006700911255428</v>
      </c>
      <c r="AB294" s="17">
        <f t="shared" si="212"/>
        <v>3.7409583327736896E-2</v>
      </c>
      <c r="AC294" s="66" t="str">
        <f t="shared" si="213"/>
        <v>1.36949782528266-5.16767983324982i</v>
      </c>
      <c r="AD294" s="64">
        <f t="shared" si="214"/>
        <v>14.560688976534173</v>
      </c>
      <c r="AE294" s="61">
        <f t="shared" si="215"/>
        <v>-75.157123699995054</v>
      </c>
      <c r="AF294" s="31" t="str">
        <f t="shared" si="201"/>
        <v>-9090.90909090909</v>
      </c>
      <c r="AG294" s="31" t="str">
        <f t="shared" si="202"/>
        <v>2.27623467397318E-08i</v>
      </c>
      <c r="AH294" s="31">
        <f t="shared" si="216"/>
        <v>2.27623467397318E-8</v>
      </c>
      <c r="AI294" s="31">
        <f t="shared" si="217"/>
        <v>1.5707963267948966</v>
      </c>
      <c r="AJ294" s="31" t="str">
        <f t="shared" si="203"/>
        <v>1+104422442.921994i</v>
      </c>
      <c r="AK294" s="31">
        <f t="shared" si="218"/>
        <v>104422442.921994</v>
      </c>
      <c r="AL294" s="31">
        <f t="shared" si="219"/>
        <v>1.5707963172184112</v>
      </c>
      <c r="AM294" s="31" t="str">
        <f t="shared" si="204"/>
        <v>1+47.6463209179156i</v>
      </c>
      <c r="AN294" s="31">
        <f t="shared" si="220"/>
        <v>47.656813752211775</v>
      </c>
      <c r="AO294" s="31">
        <f t="shared" si="221"/>
        <v>1.5498114283227074</v>
      </c>
      <c r="AS294" s="58" t="str">
        <f t="shared" si="222"/>
        <v>3824.68993408786+182232.487197521i</v>
      </c>
      <c r="AT294" s="49">
        <f t="shared" si="223"/>
        <v>105.21442867721578</v>
      </c>
      <c r="AU294" s="61">
        <f t="shared" si="224"/>
        <v>88.797654432725224</v>
      </c>
      <c r="AV294" s="58" t="str">
        <f t="shared" si="225"/>
        <v>946957.053600699+229802.221872036i</v>
      </c>
      <c r="AW294" s="64">
        <f t="shared" si="226"/>
        <v>119.77511765374996</v>
      </c>
      <c r="AX294" s="61">
        <f t="shared" si="227"/>
        <v>13.640530732730179</v>
      </c>
      <c r="AY294" s="310"/>
      <c r="BA294" s="31">
        <f t="shared" si="228"/>
        <v>0</v>
      </c>
      <c r="BB294" s="31">
        <f t="shared" si="229"/>
        <v>0</v>
      </c>
    </row>
    <row r="295" spans="14:54" x14ac:dyDescent="0.45">
      <c r="N295" s="10">
        <v>77</v>
      </c>
      <c r="O295" s="50">
        <f t="shared" si="230"/>
        <v>5888.4365535558973</v>
      </c>
      <c r="P295" s="48" t="str">
        <f t="shared" si="196"/>
        <v>17.4002386318441</v>
      </c>
      <c r="Q295" s="17" t="str">
        <f t="shared" si="197"/>
        <v>1+3.16860628012366i</v>
      </c>
      <c r="R295" s="17">
        <f t="shared" si="205"/>
        <v>3.3226594406347303</v>
      </c>
      <c r="S295" s="17">
        <f t="shared" si="206"/>
        <v>1.2650932418246814</v>
      </c>
      <c r="T295" s="17" t="str">
        <f t="shared" si="198"/>
        <v>1+0.0110994414106685i</v>
      </c>
      <c r="U295" s="17">
        <f t="shared" si="207"/>
        <v>1.0000615969027251</v>
      </c>
      <c r="V295" s="17">
        <f t="shared" si="208"/>
        <v>1.1098985636178548E-2</v>
      </c>
      <c r="W295" s="31" t="str">
        <f t="shared" si="199"/>
        <v>1-0.0273836559065925i</v>
      </c>
      <c r="X295" s="17">
        <f t="shared" si="209"/>
        <v>1.0003748620446291</v>
      </c>
      <c r="Y295" s="17">
        <f t="shared" si="210"/>
        <v>-2.7376814306333496E-2</v>
      </c>
      <c r="Z295" s="31" t="str">
        <f t="shared" si="200"/>
        <v>0.999968549945537+0.0382976819522611i</v>
      </c>
      <c r="AA295" s="17">
        <f t="shared" si="211"/>
        <v>1.0007016604978212</v>
      </c>
      <c r="AB295" s="17">
        <f t="shared" si="212"/>
        <v>3.8280177254947659E-2</v>
      </c>
      <c r="AC295" s="66" t="str">
        <f t="shared" si="213"/>
        <v>1.30107961458543-5.07120903663024i</v>
      </c>
      <c r="AD295" s="64">
        <f t="shared" si="214"/>
        <v>14.379085484305094</v>
      </c>
      <c r="AE295" s="61">
        <f t="shared" si="215"/>
        <v>-75.610446925235621</v>
      </c>
      <c r="AF295" s="31" t="str">
        <f t="shared" si="201"/>
        <v>-9090.90909090909</v>
      </c>
      <c r="AG295" s="31" t="str">
        <f t="shared" si="202"/>
        <v>2.27623467397318E-08i</v>
      </c>
      <c r="AH295" s="31">
        <f t="shared" si="216"/>
        <v>2.27623467397318E-8</v>
      </c>
      <c r="AI295" s="31">
        <f t="shared" si="217"/>
        <v>1.5707963267948966</v>
      </c>
      <c r="AJ295" s="31" t="str">
        <f t="shared" si="203"/>
        <v>1+106854754.078914i</v>
      </c>
      <c r="AK295" s="31">
        <f t="shared" si="218"/>
        <v>106854754.078914</v>
      </c>
      <c r="AL295" s="31">
        <f t="shared" si="219"/>
        <v>1.5707963174363986</v>
      </c>
      <c r="AM295" s="31" t="str">
        <f t="shared" si="204"/>
        <v>1+48.7561463032631i</v>
      </c>
      <c r="AN295" s="31">
        <f t="shared" si="220"/>
        <v>48.766400342297111</v>
      </c>
      <c r="AO295" s="31">
        <f t="shared" si="221"/>
        <v>1.5502889674576468</v>
      </c>
      <c r="AS295" s="58" t="str">
        <f t="shared" si="222"/>
        <v>3737.62936220567+182232.487195873i</v>
      </c>
      <c r="AT295" s="49">
        <f t="shared" si="223"/>
        <v>105.2143426129895</v>
      </c>
      <c r="AU295" s="61">
        <f t="shared" si="224"/>
        <v>88.825015397219829</v>
      </c>
      <c r="AV295" s="58" t="str">
        <f t="shared" si="225"/>
        <v>929001.989205357+218144.674408559i</v>
      </c>
      <c r="AW295" s="64">
        <f t="shared" si="226"/>
        <v>119.59342809729461</v>
      </c>
      <c r="AX295" s="61">
        <f t="shared" si="227"/>
        <v>13.214568471984219</v>
      </c>
      <c r="AY295" s="310"/>
      <c r="BA295" s="31">
        <f t="shared" si="228"/>
        <v>0</v>
      </c>
      <c r="BB295" s="31">
        <f t="shared" si="229"/>
        <v>0</v>
      </c>
    </row>
    <row r="296" spans="14:54" x14ac:dyDescent="0.45">
      <c r="N296" s="10">
        <v>78</v>
      </c>
      <c r="O296" s="50">
        <f t="shared" si="230"/>
        <v>6025.595860743585</v>
      </c>
      <c r="P296" s="48" t="str">
        <f t="shared" si="196"/>
        <v>17.4002386318441</v>
      </c>
      <c r="Q296" s="17" t="str">
        <f t="shared" si="197"/>
        <v>1+3.24241260174733i</v>
      </c>
      <c r="R296" s="17">
        <f t="shared" si="205"/>
        <v>3.393116484880808</v>
      </c>
      <c r="S296" s="17">
        <f t="shared" si="206"/>
        <v>1.271639785419495</v>
      </c>
      <c r="T296" s="17" t="str">
        <f t="shared" si="198"/>
        <v>1+0.0113579806137679i</v>
      </c>
      <c r="U296" s="17">
        <f t="shared" si="207"/>
        <v>1.0000644997817005</v>
      </c>
      <c r="V296" s="17">
        <f t="shared" si="208"/>
        <v>1.1357492244304226E-2</v>
      </c>
      <c r="W296" s="31" t="str">
        <f t="shared" si="199"/>
        <v>1-0.0280215031922436i</v>
      </c>
      <c r="X296" s="17">
        <f t="shared" si="209"/>
        <v>1.0003925252825279</v>
      </c>
      <c r="Y296" s="17">
        <f t="shared" si="210"/>
        <v>-2.8014172440831608E-2</v>
      </c>
      <c r="Z296" s="31" t="str">
        <f t="shared" si="200"/>
        <v>0.999967067750134+0.0391897495623458i</v>
      </c>
      <c r="AA296" s="17">
        <f t="shared" si="211"/>
        <v>1.0007347166235219</v>
      </c>
      <c r="AB296" s="17">
        <f t="shared" si="212"/>
        <v>3.9170993684519442E-2</v>
      </c>
      <c r="AC296" s="66" t="str">
        <f t="shared" si="213"/>
        <v>1.23519457859171-4.97565139639804i</v>
      </c>
      <c r="AD296" s="64">
        <f t="shared" si="214"/>
        <v>14.196718362635362</v>
      </c>
      <c r="AE296" s="61">
        <f t="shared" si="215"/>
        <v>-76.058282858875387</v>
      </c>
      <c r="AF296" s="31" t="str">
        <f t="shared" si="201"/>
        <v>-9090.90909090909</v>
      </c>
      <c r="AG296" s="31" t="str">
        <f t="shared" si="202"/>
        <v>2.27623467397318E-08i</v>
      </c>
      <c r="AH296" s="31">
        <f t="shared" si="216"/>
        <v>2.27623467397318E-8</v>
      </c>
      <c r="AI296" s="31">
        <f t="shared" si="217"/>
        <v>1.5707963267948966</v>
      </c>
      <c r="AJ296" s="31" t="str">
        <f t="shared" si="203"/>
        <v>1+109343721.040836i</v>
      </c>
      <c r="AK296" s="31">
        <f t="shared" si="218"/>
        <v>109343721.04083601</v>
      </c>
      <c r="AL296" s="31">
        <f t="shared" si="219"/>
        <v>1.570796317649424</v>
      </c>
      <c r="AM296" s="31" t="str">
        <f t="shared" si="204"/>
        <v>1+49.8918228427443i</v>
      </c>
      <c r="AN296" s="31">
        <f t="shared" si="220"/>
        <v>49.901843518769738</v>
      </c>
      <c r="AO296" s="31">
        <f t="shared" si="221"/>
        <v>1.5507556455140235</v>
      </c>
      <c r="AS296" s="58" t="str">
        <f t="shared" si="222"/>
        <v>3652.5505308847+182232.487194298i</v>
      </c>
      <c r="AT296" s="49">
        <f t="shared" si="223"/>
        <v>105.21426042069926</v>
      </c>
      <c r="AU296" s="61">
        <f t="shared" si="224"/>
        <v>88.851754068036115</v>
      </c>
      <c r="AV296" s="58" t="str">
        <f t="shared" si="225"/>
        <v>911236.939991178+206918.762076269i</v>
      </c>
      <c r="AW296" s="64">
        <f t="shared" si="226"/>
        <v>119.41097878333464</v>
      </c>
      <c r="AX296" s="61">
        <f t="shared" si="227"/>
        <v>12.793471209160719</v>
      </c>
      <c r="AY296" s="310"/>
      <c r="BA296" s="31">
        <f t="shared" si="228"/>
        <v>0</v>
      </c>
      <c r="BB296" s="31">
        <f t="shared" si="229"/>
        <v>0</v>
      </c>
    </row>
    <row r="297" spans="14:54" x14ac:dyDescent="0.45">
      <c r="N297" s="10">
        <v>79</v>
      </c>
      <c r="O297" s="50">
        <f t="shared" si="230"/>
        <v>6165.9500186148289</v>
      </c>
      <c r="P297" s="48" t="str">
        <f t="shared" si="196"/>
        <v>17.4002386318441</v>
      </c>
      <c r="Q297" s="17" t="str">
        <f t="shared" si="197"/>
        <v>1+3.31793809345085i</v>
      </c>
      <c r="R297" s="17">
        <f t="shared" si="205"/>
        <v>3.4653590278602096</v>
      </c>
      <c r="S297" s="17">
        <f t="shared" si="206"/>
        <v>1.2780629572799305</v>
      </c>
      <c r="T297" s="17" t="str">
        <f t="shared" si="198"/>
        <v>1+0.0116225419685293i</v>
      </c>
      <c r="U297" s="17">
        <f t="shared" si="207"/>
        <v>1.0000675394601157</v>
      </c>
      <c r="V297" s="17">
        <f t="shared" si="208"/>
        <v>1.1622018673129586E-2</v>
      </c>
      <c r="W297" s="31" t="str">
        <f t="shared" si="199"/>
        <v>1-0.0286742078497957i</v>
      </c>
      <c r="X297" s="17">
        <f t="shared" si="209"/>
        <v>1.0004110206289278</v>
      </c>
      <c r="Y297" s="17">
        <f t="shared" si="210"/>
        <v>-2.8666352982425963E-2</v>
      </c>
      <c r="Z297" s="31" t="str">
        <f t="shared" si="200"/>
        <v>0.999965515701014+0.0401025960963863i</v>
      </c>
      <c r="AA297" s="17">
        <f t="shared" si="211"/>
        <v>1.0007693294685167</v>
      </c>
      <c r="AB297" s="17">
        <f t="shared" si="212"/>
        <v>4.008249964509903E-2</v>
      </c>
      <c r="AC297" s="66" t="str">
        <f t="shared" si="213"/>
        <v>1.17177080186329-4.88105432744511i</v>
      </c>
      <c r="AD297" s="64">
        <f t="shared" si="214"/>
        <v>14.013615586821786</v>
      </c>
      <c r="AE297" s="61">
        <f t="shared" si="215"/>
        <v>-76.500739886680336</v>
      </c>
      <c r="AF297" s="31" t="str">
        <f t="shared" si="201"/>
        <v>-9090.90909090909</v>
      </c>
      <c r="AG297" s="31" t="str">
        <f t="shared" si="202"/>
        <v>2.27623467397318E-08i</v>
      </c>
      <c r="AH297" s="31">
        <f t="shared" si="216"/>
        <v>2.27623467397318E-8</v>
      </c>
      <c r="AI297" s="31">
        <f t="shared" si="217"/>
        <v>1.5707963267948966</v>
      </c>
      <c r="AJ297" s="31" t="str">
        <f t="shared" si="203"/>
        <v>1+111890663.490989i</v>
      </c>
      <c r="AK297" s="31">
        <f t="shared" si="218"/>
        <v>111890663.490989</v>
      </c>
      <c r="AL297" s="31">
        <f t="shared" si="219"/>
        <v>1.5707963178576005</v>
      </c>
      <c r="AM297" s="31" t="str">
        <f t="shared" si="204"/>
        <v>1+51.0539526870931i</v>
      </c>
      <c r="AN297" s="31">
        <f t="shared" si="220"/>
        <v>51.063745308936568</v>
      </c>
      <c r="AO297" s="31">
        <f t="shared" si="221"/>
        <v>1.5512117091171573</v>
      </c>
      <c r="AS297" s="58" t="str">
        <f t="shared" si="222"/>
        <v>3569.40833020245+182232.487192795i</v>
      </c>
      <c r="AT297" s="49">
        <f t="shared" si="223"/>
        <v>105.2141819262194</v>
      </c>
      <c r="AU297" s="61">
        <f t="shared" si="224"/>
        <v>88.877884575757591</v>
      </c>
      <c r="AV297" s="58" t="str">
        <f t="shared" si="225"/>
        <v>893669.198674736+196112.23166689i</v>
      </c>
      <c r="AW297" s="64">
        <f t="shared" si="226"/>
        <v>119.2277975130412</v>
      </c>
      <c r="AX297" s="61">
        <f t="shared" si="227"/>
        <v>12.377144689077276</v>
      </c>
      <c r="AY297" s="310"/>
      <c r="BA297" s="31">
        <f t="shared" si="228"/>
        <v>0</v>
      </c>
      <c r="BB297" s="31">
        <f t="shared" si="229"/>
        <v>0</v>
      </c>
    </row>
    <row r="298" spans="14:54" x14ac:dyDescent="0.45">
      <c r="N298" s="10">
        <v>80</v>
      </c>
      <c r="O298" s="50">
        <f t="shared" si="230"/>
        <v>6309.5734448019384</v>
      </c>
      <c r="P298" s="48" t="str">
        <f t="shared" si="196"/>
        <v>17.4002386318441</v>
      </c>
      <c r="Q298" s="17" t="str">
        <f t="shared" si="197"/>
        <v>1+3.39522279984962i</v>
      </c>
      <c r="R298" s="17">
        <f t="shared" si="205"/>
        <v>3.5394262049968903</v>
      </c>
      <c r="S298" s="17">
        <f t="shared" si="206"/>
        <v>1.2843640422629756</v>
      </c>
      <c r="T298" s="17" t="str">
        <f t="shared" si="198"/>
        <v>1+0.011893265748885i</v>
      </c>
      <c r="U298" s="17">
        <f t="shared" si="207"/>
        <v>1.0000707223842589</v>
      </c>
      <c r="V298" s="17">
        <f t="shared" si="208"/>
        <v>1.1892705029903441E-2</v>
      </c>
      <c r="W298" s="31" t="str">
        <f t="shared" si="199"/>
        <v>1-0.0293421159518977i</v>
      </c>
      <c r="X298" s="17">
        <f t="shared" si="209"/>
        <v>1.0004303872676672</v>
      </c>
      <c r="Y298" s="17">
        <f t="shared" si="210"/>
        <v>-2.9333699505417095E-2</v>
      </c>
      <c r="Z298" s="31" t="str">
        <f t="shared" si="200"/>
        <v>0.999963890506072+0.0410367055576976i</v>
      </c>
      <c r="AA298" s="17">
        <f t="shared" si="211"/>
        <v>1.0008055722861802</v>
      </c>
      <c r="AB298" s="17">
        <f t="shared" si="212"/>
        <v>4.1015172757722318E-2</v>
      </c>
      <c r="AC298" s="66" t="str">
        <f t="shared" si="213"/>
        <v>1.11073661965146-4.78746113725814i</v>
      </c>
      <c r="AD298" s="64">
        <f t="shared" si="214"/>
        <v>13.829804309904345</v>
      </c>
      <c r="AE298" s="61">
        <f t="shared" si="215"/>
        <v>-76.937930649005949</v>
      </c>
      <c r="AF298" s="31" t="str">
        <f t="shared" si="201"/>
        <v>-9090.90909090909</v>
      </c>
      <c r="AG298" s="31" t="str">
        <f t="shared" si="202"/>
        <v>2.27623467397318E-08i</v>
      </c>
      <c r="AH298" s="31">
        <f t="shared" si="216"/>
        <v>2.27623467397318E-8</v>
      </c>
      <c r="AI298" s="31">
        <f t="shared" si="217"/>
        <v>1.5707963267948966</v>
      </c>
      <c r="AJ298" s="31" t="str">
        <f t="shared" si="203"/>
        <v>1+114496931.851973i</v>
      </c>
      <c r="AK298" s="31">
        <f t="shared" si="218"/>
        <v>114496931.851973</v>
      </c>
      <c r="AL298" s="31">
        <f t="shared" si="219"/>
        <v>1.570796318061038</v>
      </c>
      <c r="AM298" s="31" t="str">
        <f t="shared" si="204"/>
        <v>1+52.2431520129355i</v>
      </c>
      <c r="AN298" s="31">
        <f t="shared" si="220"/>
        <v>52.252721768791019</v>
      </c>
      <c r="AO298" s="31">
        <f t="shared" si="221"/>
        <v>1.5516573993187044</v>
      </c>
      <c r="AS298" s="58" t="str">
        <f t="shared" si="222"/>
        <v>3488.15867706356+182232.487191359i</v>
      </c>
      <c r="AT298" s="49">
        <f t="shared" si="223"/>
        <v>105.21410696324867</v>
      </c>
      <c r="AU298" s="61">
        <f t="shared" si="224"/>
        <v>88.903420731620457</v>
      </c>
      <c r="AV298" s="58" t="str">
        <f t="shared" si="225"/>
        <v>876305.375952292+185712.872706577i</v>
      </c>
      <c r="AW298" s="64">
        <f t="shared" si="226"/>
        <v>119.04391127315301</v>
      </c>
      <c r="AX298" s="61">
        <f t="shared" si="227"/>
        <v>11.965490082614535</v>
      </c>
      <c r="AY298" s="310"/>
      <c r="BA298" s="31">
        <f t="shared" si="228"/>
        <v>0</v>
      </c>
      <c r="BB298" s="31">
        <f t="shared" si="229"/>
        <v>0</v>
      </c>
    </row>
    <row r="299" spans="14:54" x14ac:dyDescent="0.45">
      <c r="N299" s="10">
        <v>81</v>
      </c>
      <c r="O299" s="50">
        <f t="shared" si="230"/>
        <v>6456.5422903465615</v>
      </c>
      <c r="P299" s="48" t="str">
        <f t="shared" si="196"/>
        <v>17.4002386318441</v>
      </c>
      <c r="Q299" s="17" t="str">
        <f t="shared" si="197"/>
        <v>1+3.47430769831797i</v>
      </c>
      <c r="R299" s="17">
        <f t="shared" si="205"/>
        <v>3.6153580711447537</v>
      </c>
      <c r="S299" s="17">
        <f t="shared" si="206"/>
        <v>1.2905443791253914</v>
      </c>
      <c r="T299" s="17" t="str">
        <f t="shared" si="198"/>
        <v>1+0.0121702954961668i</v>
      </c>
      <c r="U299" s="17">
        <f t="shared" si="207"/>
        <v>1.0000740553041381</v>
      </c>
      <c r="V299" s="17">
        <f t="shared" si="208"/>
        <v>1.2169694677356116E-2</v>
      </c>
      <c r="W299" s="31" t="str">
        <f t="shared" si="199"/>
        <v>1-0.0300255816322663i</v>
      </c>
      <c r="X299" s="17">
        <f t="shared" si="209"/>
        <v>1.0004506662261543</v>
      </c>
      <c r="Y299" s="17">
        <f t="shared" si="210"/>
        <v>-3.0016563466774795E-2</v>
      </c>
      <c r="Z299" s="31" t="str">
        <f t="shared" si="200"/>
        <v>0.999962188718053+0.0419925732234807i</v>
      </c>
      <c r="AA299" s="17">
        <f t="shared" si="211"/>
        <v>1.0008435217713747</v>
      </c>
      <c r="AB299" s="17">
        <f t="shared" si="212"/>
        <v>4.1969501462199833E-2</v>
      </c>
      <c r="AC299" s="66" t="str">
        <f t="shared" si="213"/>
        <v>1.05202079152662-4.69491118610376i</v>
      </c>
      <c r="AD299" s="64">
        <f t="shared" si="214"/>
        <v>13.645310865985978</v>
      </c>
      <c r="AE299" s="61">
        <f t="shared" si="215"/>
        <v>-77.369971759425752</v>
      </c>
      <c r="AF299" s="31" t="str">
        <f t="shared" si="201"/>
        <v>-9090.90909090909</v>
      </c>
      <c r="AG299" s="31" t="str">
        <f t="shared" si="202"/>
        <v>2.27623467397318E-08i</v>
      </c>
      <c r="AH299" s="31">
        <f t="shared" si="216"/>
        <v>2.27623467397318E-8</v>
      </c>
      <c r="AI299" s="31">
        <f t="shared" si="217"/>
        <v>1.5707963267948966</v>
      </c>
      <c r="AJ299" s="31" t="str">
        <f t="shared" si="203"/>
        <v>1+117163908.001771i</v>
      </c>
      <c r="AK299" s="31">
        <f t="shared" si="218"/>
        <v>117163908.001771</v>
      </c>
      <c r="AL299" s="31">
        <f t="shared" si="219"/>
        <v>1.570796318259845</v>
      </c>
      <c r="AM299" s="31" t="str">
        <f t="shared" si="204"/>
        <v>1+53.4600513494952i</v>
      </c>
      <c r="AN299" s="31">
        <f t="shared" si="220"/>
        <v>53.469403309656109</v>
      </c>
      <c r="AO299" s="31">
        <f t="shared" si="221"/>
        <v>1.5520929517208484</v>
      </c>
      <c r="AS299" s="58" t="str">
        <f t="shared" si="222"/>
        <v>3408.75849182649+182232.487189988i</v>
      </c>
      <c r="AT299" s="49">
        <f t="shared" si="223"/>
        <v>105.21403537295951</v>
      </c>
      <c r="AU299" s="61">
        <f t="shared" si="224"/>
        <v>88.928376034629281</v>
      </c>
      <c r="AV299" s="58" t="str">
        <f t="shared" si="225"/>
        <v>859151.427386479+175708.547041473i</v>
      </c>
      <c r="AW299" s="64">
        <f t="shared" si="226"/>
        <v>118.85934623894549</v>
      </c>
      <c r="AX299" s="61">
        <f t="shared" si="227"/>
        <v>11.558404275203502</v>
      </c>
      <c r="AY299" s="310"/>
      <c r="BA299" s="31">
        <f t="shared" si="228"/>
        <v>0</v>
      </c>
      <c r="BB299" s="31">
        <f t="shared" si="229"/>
        <v>0</v>
      </c>
    </row>
    <row r="300" spans="14:54" x14ac:dyDescent="0.45">
      <c r="N300" s="10">
        <v>82</v>
      </c>
      <c r="O300" s="50">
        <f t="shared" si="230"/>
        <v>6606.9344800759654</v>
      </c>
      <c r="P300" s="48" t="str">
        <f t="shared" si="196"/>
        <v>17.4002386318441</v>
      </c>
      <c r="Q300" s="17" t="str">
        <f t="shared" si="197"/>
        <v>1+3.55523472071584i</v>
      </c>
      <c r="R300" s="17">
        <f t="shared" si="205"/>
        <v>3.6931956243047077</v>
      </c>
      <c r="S300" s="17">
        <f t="shared" si="206"/>
        <v>1.2966053554985078</v>
      </c>
      <c r="T300" s="17" t="str">
        <f t="shared" si="198"/>
        <v>1+0.0124537780952135i</v>
      </c>
      <c r="U300" s="17">
        <f t="shared" si="207"/>
        <v>1.0000775452877866</v>
      </c>
      <c r="V300" s="17">
        <f t="shared" si="208"/>
        <v>1.2453134308954937E-2</v>
      </c>
      <c r="W300" s="31" t="str">
        <f t="shared" si="199"/>
        <v>1-0.0307249672734518i</v>
      </c>
      <c r="X300" s="17">
        <f t="shared" si="209"/>
        <v>1.0004719004619542</v>
      </c>
      <c r="Y300" s="17">
        <f t="shared" si="210"/>
        <v>-3.0715304381179309E-2</v>
      </c>
      <c r="Z300" s="31" t="str">
        <f t="shared" si="200"/>
        <v>0.999960406727234+0.0429707059074241i</v>
      </c>
      <c r="AA300" s="17">
        <f t="shared" si="211"/>
        <v>1.0008832582215956</v>
      </c>
      <c r="AB300" s="17">
        <f t="shared" si="212"/>
        <v>4.2945985247332993E-2</v>
      </c>
      <c r="AC300" s="66" t="str">
        <f t="shared" si="213"/>
        <v>0.995552659097737-4.60344004961017i</v>
      </c>
      <c r="AD300" s="64">
        <f t="shared" si="214"/>
        <v>13.460160775401071</v>
      </c>
      <c r="AE300" s="61">
        <f t="shared" si="215"/>
        <v>-77.796983535716066</v>
      </c>
      <c r="AF300" s="31" t="str">
        <f t="shared" si="201"/>
        <v>-9090.90909090909</v>
      </c>
      <c r="AG300" s="31" t="str">
        <f t="shared" si="202"/>
        <v>2.27623467397318E-08i</v>
      </c>
      <c r="AH300" s="31">
        <f t="shared" si="216"/>
        <v>2.27623467397318E-8</v>
      </c>
      <c r="AI300" s="31">
        <f t="shared" si="217"/>
        <v>1.5707963267948966</v>
      </c>
      <c r="AJ300" s="31" t="str">
        <f t="shared" si="203"/>
        <v>1+119893006.006439i</v>
      </c>
      <c r="AK300" s="31">
        <f t="shared" si="218"/>
        <v>119893006.006439</v>
      </c>
      <c r="AL300" s="31">
        <f t="shared" si="219"/>
        <v>1.5707963184541265</v>
      </c>
      <c r="AM300" s="31" t="str">
        <f t="shared" si="204"/>
        <v>1+54.7052959129076i</v>
      </c>
      <c r="AN300" s="31">
        <f t="shared" si="220"/>
        <v>54.714435032437152</v>
      </c>
      <c r="AO300" s="31">
        <f t="shared" si="221"/>
        <v>1.5525185965978439</v>
      </c>
      <c r="AS300" s="58" t="str">
        <f t="shared" si="222"/>
        <v>3331.16567546205+182232.487188679i</v>
      </c>
      <c r="AT300" s="49">
        <f t="shared" si="223"/>
        <v>105.2139670036625</v>
      </c>
      <c r="AU300" s="61">
        <f t="shared" si="224"/>
        <v>88.952763678520981</v>
      </c>
      <c r="AV300" s="58" t="str">
        <f t="shared" si="225"/>
        <v>842212.680710538+166087.215712375i</v>
      </c>
      <c r="AW300" s="64">
        <f t="shared" si="226"/>
        <v>118.67412777906355</v>
      </c>
      <c r="AX300" s="61">
        <f t="shared" si="227"/>
        <v>11.155780142804922</v>
      </c>
      <c r="AY300" s="310"/>
      <c r="BA300" s="31">
        <f t="shared" si="228"/>
        <v>0</v>
      </c>
      <c r="BB300" s="31">
        <f t="shared" si="229"/>
        <v>0</v>
      </c>
    </row>
    <row r="301" spans="14:54" x14ac:dyDescent="0.45">
      <c r="N301" s="10">
        <v>83</v>
      </c>
      <c r="O301" s="50">
        <f t="shared" si="230"/>
        <v>6760.8297539198229</v>
      </c>
      <c r="P301" s="48" t="str">
        <f t="shared" si="196"/>
        <v>17.4002386318441</v>
      </c>
      <c r="Q301" s="17" t="str">
        <f t="shared" si="197"/>
        <v>1+3.63804677562175i</v>
      </c>
      <c r="R301" s="17">
        <f t="shared" si="205"/>
        <v>3.7729808297434819</v>
      </c>
      <c r="S301" s="17">
        <f t="shared" si="206"/>
        <v>1.302548403075513</v>
      </c>
      <c r="T301" s="17" t="str">
        <f t="shared" si="198"/>
        <v>1+0.0127438638522515i</v>
      </c>
      <c r="U301" s="17">
        <f t="shared" si="207"/>
        <v>1.0000811997362438</v>
      </c>
      <c r="V301" s="17">
        <f t="shared" si="208"/>
        <v>1.2743174025871974E-2</v>
      </c>
      <c r="W301" s="31" t="str">
        <f t="shared" si="199"/>
        <v>1-0.0314406436989787i</v>
      </c>
      <c r="X301" s="17">
        <f t="shared" si="209"/>
        <v>1.0004941349534269</v>
      </c>
      <c r="Y301" s="17">
        <f t="shared" si="210"/>
        <v>-3.1430289999531409E-2</v>
      </c>
      <c r="Z301" s="31" t="str">
        <f t="shared" si="200"/>
        <v>0.999958540753776+0.0439716222284243i</v>
      </c>
      <c r="AA301" s="17">
        <f t="shared" si="211"/>
        <v>1.0009248657056236</v>
      </c>
      <c r="AB301" s="17">
        <f t="shared" si="212"/>
        <v>4.3945134884952303E-2</v>
      </c>
      <c r="AC301" s="66" t="str">
        <f t="shared" si="213"/>
        <v>0.941262288476628-4.51307968264686i</v>
      </c>
      <c r="AD301" s="64">
        <f t="shared" si="214"/>
        <v>13.274378751554467</v>
      </c>
      <c r="AE301" s="61">
        <f t="shared" si="215"/>
        <v>-78.219089743335175</v>
      </c>
      <c r="AF301" s="31" t="str">
        <f t="shared" si="201"/>
        <v>-9090.90909090909</v>
      </c>
      <c r="AG301" s="31" t="str">
        <f t="shared" si="202"/>
        <v>2.27623467397318E-08i</v>
      </c>
      <c r="AH301" s="31">
        <f t="shared" si="216"/>
        <v>2.27623467397318E-8</v>
      </c>
      <c r="AI301" s="31">
        <f t="shared" si="217"/>
        <v>1.5707963267948966</v>
      </c>
      <c r="AJ301" s="31" t="str">
        <f t="shared" si="203"/>
        <v>1+122685672.869863i</v>
      </c>
      <c r="AK301" s="31">
        <f t="shared" si="218"/>
        <v>122685672.869863</v>
      </c>
      <c r="AL301" s="31">
        <f t="shared" si="219"/>
        <v>1.5707963186439857</v>
      </c>
      <c r="AM301" s="31" t="str">
        <f t="shared" si="204"/>
        <v>1+55.9795459483233i</v>
      </c>
      <c r="AN301" s="31">
        <f t="shared" si="220"/>
        <v>55.988477069665322</v>
      </c>
      <c r="AO301" s="31">
        <f t="shared" si="221"/>
        <v>1.5529345590149604</v>
      </c>
      <c r="AS301" s="58" t="str">
        <f t="shared" si="222"/>
        <v>3255.33908723193+182232.487187429i</v>
      </c>
      <c r="AT301" s="49">
        <f t="shared" si="223"/>
        <v>105.21390171048597</v>
      </c>
      <c r="AU301" s="61">
        <f t="shared" si="224"/>
        <v>88.976596558579686</v>
      </c>
      <c r="AV301" s="58" t="str">
        <f t="shared" si="225"/>
        <v>825493.863362805+156836.963230115i</v>
      </c>
      <c r="AW301" s="64">
        <f t="shared" si="226"/>
        <v>118.48828046204045</v>
      </c>
      <c r="AX301" s="61">
        <f t="shared" si="227"/>
        <v>10.757506815244547</v>
      </c>
      <c r="AY301" s="310"/>
      <c r="BA301" s="31">
        <f t="shared" si="228"/>
        <v>0</v>
      </c>
      <c r="BB301" s="31">
        <f t="shared" si="229"/>
        <v>0</v>
      </c>
    </row>
    <row r="302" spans="14:54" x14ac:dyDescent="0.45">
      <c r="N302" s="10">
        <v>84</v>
      </c>
      <c r="O302" s="50">
        <f t="shared" si="230"/>
        <v>6918.3097091893687</v>
      </c>
      <c r="P302" s="48" t="str">
        <f t="shared" si="196"/>
        <v>17.4002386318441</v>
      </c>
      <c r="Q302" s="17" t="str">
        <f t="shared" si="197"/>
        <v>1+3.72278777108333i</v>
      </c>
      <c r="R302" s="17">
        <f t="shared" si="205"/>
        <v>3.854756644527328</v>
      </c>
      <c r="S302" s="17">
        <f t="shared" si="206"/>
        <v>1.3083749930122295</v>
      </c>
      <c r="T302" s="17" t="str">
        <f t="shared" si="198"/>
        <v>1+0.013040706574589i</v>
      </c>
      <c r="U302" s="17">
        <f t="shared" si="207"/>
        <v>1.000085026399238</v>
      </c>
      <c r="V302" s="17">
        <f t="shared" si="208"/>
        <v>1.3039967415700113E-2</v>
      </c>
      <c r="W302" s="31" t="str">
        <f t="shared" si="199"/>
        <v>1-0.032172990369961i</v>
      </c>
      <c r="X302" s="17">
        <f t="shared" si="209"/>
        <v>1.0005174167946032</v>
      </c>
      <c r="Y302" s="17">
        <f t="shared" si="210"/>
        <v>-3.2161896490967061E-2</v>
      </c>
      <c r="Z302" s="31" t="str">
        <f t="shared" si="200"/>
        <v>0.999956586839699+0.0449958528855632i</v>
      </c>
      <c r="AA302" s="17">
        <f t="shared" si="211"/>
        <v>1.0009684322399983</v>
      </c>
      <c r="AB302" s="17">
        <f t="shared" si="212"/>
        <v>4.496747266775513E-2</v>
      </c>
      <c r="AC302" s="66" t="str">
        <f t="shared" si="213"/>
        <v>0.889080598180491-4.42385858351393i</v>
      </c>
      <c r="AD302" s="64">
        <f t="shared" si="214"/>
        <v>13.087988709263117</v>
      </c>
      <c r="AE302" s="61">
        <f t="shared" si="215"/>
        <v>-78.636417351452863</v>
      </c>
      <c r="AF302" s="31" t="str">
        <f t="shared" si="201"/>
        <v>-9090.90909090909</v>
      </c>
      <c r="AG302" s="31" t="str">
        <f t="shared" si="202"/>
        <v>2.27623467397318E-08i</v>
      </c>
      <c r="AH302" s="31">
        <f t="shared" si="216"/>
        <v>2.27623467397318E-8</v>
      </c>
      <c r="AI302" s="31">
        <f t="shared" si="217"/>
        <v>1.5707963267948966</v>
      </c>
      <c r="AJ302" s="31" t="str">
        <f t="shared" si="203"/>
        <v>1+125543389.30098i</v>
      </c>
      <c r="AK302" s="31">
        <f t="shared" si="218"/>
        <v>125543389.30098</v>
      </c>
      <c r="AL302" s="31">
        <f t="shared" si="219"/>
        <v>1.5707963188295231</v>
      </c>
      <c r="AM302" s="31" t="str">
        <f t="shared" si="204"/>
        <v>1+57.2834770799777i</v>
      </c>
      <c r="AN302" s="31">
        <f t="shared" si="220"/>
        <v>57.292204935508721</v>
      </c>
      <c r="AO302" s="31">
        <f t="shared" si="221"/>
        <v>1.5533410589448724</v>
      </c>
      <c r="AS302" s="58" t="str">
        <f t="shared" si="222"/>
        <v>3181.23852287535+182232.487186235i</v>
      </c>
      <c r="AT302" s="49">
        <f t="shared" si="223"/>
        <v>105.21383935507011</v>
      </c>
      <c r="AU302" s="61">
        <f t="shared" si="224"/>
        <v>88.999887278305522</v>
      </c>
      <c r="AV302" s="58" t="str">
        <f t="shared" si="225"/>
        <v>808999.130082791+147946.019369829i</v>
      </c>
      <c r="AW302" s="64">
        <f t="shared" si="226"/>
        <v>118.30182806433322</v>
      </c>
      <c r="AX302" s="61">
        <f t="shared" si="227"/>
        <v>10.363469926852648</v>
      </c>
      <c r="AY302" s="310"/>
      <c r="BA302" s="31">
        <f t="shared" si="228"/>
        <v>0</v>
      </c>
      <c r="BB302" s="31">
        <f t="shared" si="229"/>
        <v>0</v>
      </c>
    </row>
    <row r="303" spans="14:54" x14ac:dyDescent="0.45">
      <c r="N303" s="10">
        <v>85</v>
      </c>
      <c r="O303" s="50">
        <f t="shared" si="230"/>
        <v>7079.4578438413828</v>
      </c>
      <c r="P303" s="48" t="str">
        <f t="shared" si="196"/>
        <v>17.4002386318441</v>
      </c>
      <c r="Q303" s="17" t="str">
        <f t="shared" si="197"/>
        <v>1+3.80950263789805i</v>
      </c>
      <c r="R303" s="17">
        <f t="shared" si="205"/>
        <v>3.9385670424854013</v>
      </c>
      <c r="S303" s="17">
        <f t="shared" si="206"/>
        <v>1.3140866315412354</v>
      </c>
      <c r="T303" s="17" t="str">
        <f t="shared" si="198"/>
        <v>1+0.0133444636521664i</v>
      </c>
      <c r="U303" s="17">
        <f t="shared" si="207"/>
        <v>1.0000890333916097</v>
      </c>
      <c r="V303" s="17">
        <f t="shared" si="208"/>
        <v>1.3343671632955448E-2</v>
      </c>
      <c r="W303" s="31" t="str">
        <f t="shared" si="199"/>
        <v>1-0.0329223955862972i</v>
      </c>
      <c r="X303" s="17">
        <f t="shared" si="209"/>
        <v>1.0005417952944997</v>
      </c>
      <c r="Y303" s="17">
        <f t="shared" si="210"/>
        <v>-3.2910508628412778E-2</v>
      </c>
      <c r="Z303" s="31" t="str">
        <f t="shared" si="200"/>
        <v>0.999954540840487+0.0460439409394926i</v>
      </c>
      <c r="AA303" s="17">
        <f t="shared" si="211"/>
        <v>1.0010140499736997</v>
      </c>
      <c r="AB303" s="17">
        <f t="shared" si="212"/>
        <v>4.6013532650919009E-2</v>
      </c>
      <c r="AC303" s="66" t="str">
        <f t="shared" si="213"/>
        <v>0.838939473192383-4.33580195755533i</v>
      </c>
      <c r="AD303" s="64">
        <f t="shared" si="214"/>
        <v>12.90101377443726</v>
      </c>
      <c r="AE303" s="61">
        <f t="shared" si="215"/>
        <v>-79.049096301520891</v>
      </c>
      <c r="AF303" s="31" t="str">
        <f t="shared" si="201"/>
        <v>-9090.90909090909</v>
      </c>
      <c r="AG303" s="31" t="str">
        <f t="shared" si="202"/>
        <v>2.27623467397318E-08i</v>
      </c>
      <c r="AH303" s="31">
        <f t="shared" si="216"/>
        <v>2.27623467397318E-8</v>
      </c>
      <c r="AI303" s="31">
        <f t="shared" si="217"/>
        <v>1.5707963267948966</v>
      </c>
      <c r="AJ303" s="31" t="str">
        <f t="shared" si="203"/>
        <v>1+128467670.498868i</v>
      </c>
      <c r="AK303" s="31">
        <f t="shared" si="218"/>
        <v>128467670.498868</v>
      </c>
      <c r="AL303" s="31">
        <f t="shared" si="219"/>
        <v>1.5707963190108369</v>
      </c>
      <c r="AM303" s="31" t="str">
        <f t="shared" si="204"/>
        <v>1+58.6177806694163i</v>
      </c>
      <c r="AN303" s="31">
        <f t="shared" si="220"/>
        <v>58.626309883940294</v>
      </c>
      <c r="AO303" s="31">
        <f t="shared" si="221"/>
        <v>1.5537383113815482</v>
      </c>
      <c r="AS303" s="58" t="str">
        <f t="shared" si="222"/>
        <v>3108.82469329226+182232.487185093i</v>
      </c>
      <c r="AT303" s="49">
        <f t="shared" si="223"/>
        <v>105.21377980527438</v>
      </c>
      <c r="AU303" s="61">
        <f t="shared" si="224"/>
        <v>89.022648155939791</v>
      </c>
      <c r="AV303" s="58" t="str">
        <f t="shared" si="225"/>
        <v>792732.090417741+139402.778606727i</v>
      </c>
      <c r="AW303" s="64">
        <f t="shared" si="226"/>
        <v>118.11479357971166</v>
      </c>
      <c r="AX303" s="61">
        <f t="shared" si="227"/>
        <v>9.9735518544189237</v>
      </c>
      <c r="AY303" s="310"/>
      <c r="BA303" s="31">
        <f t="shared" si="228"/>
        <v>0</v>
      </c>
      <c r="BB303" s="31">
        <f t="shared" si="229"/>
        <v>0</v>
      </c>
    </row>
    <row r="304" spans="14:54" x14ac:dyDescent="0.45">
      <c r="N304" s="10">
        <v>86</v>
      </c>
      <c r="O304" s="50">
        <f t="shared" si="230"/>
        <v>7244.3596007499036</v>
      </c>
      <c r="P304" s="48" t="str">
        <f t="shared" si="196"/>
        <v>17.4002386318441</v>
      </c>
      <c r="Q304" s="17" t="str">
        <f t="shared" si="197"/>
        <v>1+3.89823735343613i</v>
      </c>
      <c r="R304" s="17">
        <f t="shared" si="205"/>
        <v>4.0244570396172357</v>
      </c>
      <c r="S304" s="17">
        <f t="shared" si="206"/>
        <v>1.3196848557980341</v>
      </c>
      <c r="T304" s="17" t="str">
        <f t="shared" si="198"/>
        <v>1+0.0136552961410072i</v>
      </c>
      <c r="U304" s="17">
        <f t="shared" si="207"/>
        <v>1.0000932292105065</v>
      </c>
      <c r="V304" s="17">
        <f t="shared" si="208"/>
        <v>1.3654447481405287E-2</v>
      </c>
      <c r="W304" s="31" t="str">
        <f t="shared" si="199"/>
        <v>1-0.0336892566925528i</v>
      </c>
      <c r="X304" s="17">
        <f t="shared" si="209"/>
        <v>1.0005673220810765</v>
      </c>
      <c r="Y304" s="17">
        <f t="shared" si="210"/>
        <v>-3.3676519977715827E-2</v>
      </c>
      <c r="Z304" s="31" t="str">
        <f t="shared" si="200"/>
        <v>0.999952398416304+0.0471164421003717i</v>
      </c>
      <c r="AA304" s="17">
        <f t="shared" si="211"/>
        <v>1.0010618153814062</v>
      </c>
      <c r="AB304" s="17">
        <f t="shared" si="212"/>
        <v>4.7083860897451306E-2</v>
      </c>
      <c r="AC304" s="66" t="str">
        <f t="shared" si="213"/>
        <v>0.790771865917507-4.24893187941125i</v>
      </c>
      <c r="AD304" s="64">
        <f t="shared" si="214"/>
        <v>12.713476294948924</v>
      </c>
      <c r="AE304" s="61">
        <f t="shared" si="215"/>
        <v>-79.457259288306602</v>
      </c>
      <c r="AF304" s="31" t="str">
        <f t="shared" si="201"/>
        <v>-9090.90909090909</v>
      </c>
      <c r="AG304" s="31" t="str">
        <f t="shared" si="202"/>
        <v>2.27623467397318E-08i</v>
      </c>
      <c r="AH304" s="31">
        <f t="shared" si="216"/>
        <v>2.27623467397318E-8</v>
      </c>
      <c r="AI304" s="31">
        <f t="shared" si="217"/>
        <v>1.5707963267948966</v>
      </c>
      <c r="AJ304" s="31" t="str">
        <f t="shared" si="203"/>
        <v>1+131460066.956124i</v>
      </c>
      <c r="AK304" s="31">
        <f t="shared" si="218"/>
        <v>131460066.95612399</v>
      </c>
      <c r="AL304" s="31">
        <f t="shared" si="219"/>
        <v>1.5707963191880239</v>
      </c>
      <c r="AM304" s="31" t="str">
        <f t="shared" si="204"/>
        <v>1+59.9831641820641i</v>
      </c>
      <c r="AN304" s="31">
        <f t="shared" si="220"/>
        <v>59.99149927525113</v>
      </c>
      <c r="AO304" s="31">
        <f t="shared" si="221"/>
        <v>1.5541265264516784</v>
      </c>
      <c r="AS304" s="58" t="str">
        <f t="shared" si="222"/>
        <v>3038.05920371175+182232.487184005i</v>
      </c>
      <c r="AT304" s="49">
        <f t="shared" si="223"/>
        <v>105.21372293489887</v>
      </c>
      <c r="AU304" s="61">
        <f t="shared" si="224"/>
        <v>89.044891230849572</v>
      </c>
      <c r="AV304" s="58" t="str">
        <f t="shared" si="225"/>
        <v>776695.836005808+131195.817319094i</v>
      </c>
      <c r="AW304" s="64">
        <f t="shared" si="226"/>
        <v>117.92719922984779</v>
      </c>
      <c r="AX304" s="61">
        <f t="shared" si="227"/>
        <v>9.5876319425429486</v>
      </c>
      <c r="AY304" s="310"/>
      <c r="BA304" s="31">
        <f t="shared" si="228"/>
        <v>0</v>
      </c>
      <c r="BB304" s="31">
        <f t="shared" si="229"/>
        <v>0</v>
      </c>
    </row>
    <row r="305" spans="14:54" x14ac:dyDescent="0.45">
      <c r="N305" s="10">
        <v>87</v>
      </c>
      <c r="O305" s="50">
        <f t="shared" si="230"/>
        <v>7413.1024130091773</v>
      </c>
      <c r="P305" s="48" t="str">
        <f t="shared" si="196"/>
        <v>17.4002386318441</v>
      </c>
      <c r="Q305" s="17" t="str">
        <f t="shared" si="197"/>
        <v>1+3.98903896601826i</v>
      </c>
      <c r="R305" s="17">
        <f t="shared" si="205"/>
        <v>4.1124727199596149</v>
      </c>
      <c r="S305" s="17">
        <f t="shared" si="206"/>
        <v>1.3251712298570424</v>
      </c>
      <c r="T305" s="17" t="str">
        <f t="shared" si="198"/>
        <v>1+0.0139733688486111i</v>
      </c>
      <c r="U305" s="17">
        <f t="shared" si="207"/>
        <v>1.0000976227533886</v>
      </c>
      <c r="V305" s="17">
        <f t="shared" si="208"/>
        <v>1.3972459498258111E-2</v>
      </c>
      <c r="W305" s="31" t="str">
        <f t="shared" si="199"/>
        <v>1-0.0344739802886368i</v>
      </c>
      <c r="X305" s="17">
        <f t="shared" si="209"/>
        <v>1.0005940512100506</v>
      </c>
      <c r="Y305" s="17">
        <f t="shared" si="210"/>
        <v>-3.4460333090376993E-2</v>
      </c>
      <c r="Z305" s="31" t="str">
        <f t="shared" si="200"/>
        <v>0.999950155022779+0.0482139250225123i</v>
      </c>
      <c r="AA305" s="17">
        <f t="shared" si="211"/>
        <v>1.0011118294656978</v>
      </c>
      <c r="AB305" s="17">
        <f t="shared" si="212"/>
        <v>4.8179015727232932E-2</v>
      </c>
      <c r="AC305" s="66" t="str">
        <f t="shared" si="213"/>
        <v>0.744511884781576-4.1632674532188i</v>
      </c>
      <c r="AD305" s="64">
        <f t="shared" si="214"/>
        <v>12.525397852542744</v>
      </c>
      <c r="AE305" s="61">
        <f t="shared" si="215"/>
        <v>-79.861041553260051</v>
      </c>
      <c r="AF305" s="31" t="str">
        <f t="shared" si="201"/>
        <v>-9090.90909090909</v>
      </c>
      <c r="AG305" s="31" t="str">
        <f t="shared" si="202"/>
        <v>2.27623467397318E-08i</v>
      </c>
      <c r="AH305" s="31">
        <f t="shared" si="216"/>
        <v>2.27623467397318E-8</v>
      </c>
      <c r="AI305" s="31">
        <f t="shared" si="217"/>
        <v>1.5707963267948966</v>
      </c>
      <c r="AJ305" s="31" t="str">
        <f t="shared" si="203"/>
        <v>1+134522165.280961i</v>
      </c>
      <c r="AK305" s="31">
        <f t="shared" si="218"/>
        <v>134522165.28096101</v>
      </c>
      <c r="AL305" s="31">
        <f t="shared" si="219"/>
        <v>1.5707963193611774</v>
      </c>
      <c r="AM305" s="31" t="str">
        <f t="shared" si="204"/>
        <v>1+61.3803515623321i</v>
      </c>
      <c r="AN305" s="31">
        <f t="shared" si="220"/>
        <v>61.388496951102212</v>
      </c>
      <c r="AO305" s="31">
        <f t="shared" si="221"/>
        <v>1.5545059095236968</v>
      </c>
      <c r="AS305" s="58" t="str">
        <f t="shared" si="222"/>
        <v>2968.90453333447+182232.487182964i</v>
      </c>
      <c r="AT305" s="49">
        <f t="shared" si="223"/>
        <v>105.21366862341658</v>
      </c>
      <c r="AU305" s="61">
        <f t="shared" si="224"/>
        <v>89.066628269773972</v>
      </c>
      <c r="AV305" s="58" t="str">
        <f t="shared" si="225"/>
        <v>760892.967517795+123313.908885678i</v>
      </c>
      <c r="AW305" s="64">
        <f t="shared" si="226"/>
        <v>117.73906647595931</v>
      </c>
      <c r="AX305" s="61">
        <f t="shared" si="227"/>
        <v>9.2055867165139507</v>
      </c>
      <c r="AY305" s="310"/>
      <c r="BA305" s="31">
        <f t="shared" si="228"/>
        <v>0</v>
      </c>
      <c r="BB305" s="31">
        <f t="shared" si="229"/>
        <v>0</v>
      </c>
    </row>
    <row r="306" spans="14:54" x14ac:dyDescent="0.45">
      <c r="N306" s="10">
        <v>88</v>
      </c>
      <c r="O306" s="50">
        <f t="shared" si="230"/>
        <v>7585.7757502918394</v>
      </c>
      <c r="P306" s="48" t="str">
        <f t="shared" si="196"/>
        <v>17.4002386318441</v>
      </c>
      <c r="Q306" s="17" t="str">
        <f t="shared" si="197"/>
        <v>1+4.08195561986135i</v>
      </c>
      <c r="R306" s="17">
        <f t="shared" si="205"/>
        <v>4.2026612619288812</v>
      </c>
      <c r="S306" s="17">
        <f t="shared" si="206"/>
        <v>1.3305473409743462</v>
      </c>
      <c r="T306" s="17" t="str">
        <f t="shared" si="198"/>
        <v>1+0.0142988504213379i</v>
      </c>
      <c r="U306" s="17">
        <f t="shared" si="207"/>
        <v>1.0001022233368806</v>
      </c>
      <c r="V306" s="17">
        <f t="shared" si="208"/>
        <v>1.4297876040258376E-2</v>
      </c>
      <c r="W306" s="31" t="str">
        <f t="shared" si="199"/>
        <v>1-0.0352769824453869i</v>
      </c>
      <c r="X306" s="17">
        <f t="shared" si="209"/>
        <v>1.0006220392787939</v>
      </c>
      <c r="Y306" s="17">
        <f t="shared" si="210"/>
        <v>-3.5262359699916083E-2</v>
      </c>
      <c r="Z306" s="31" t="str">
        <f t="shared" si="200"/>
        <v>0.999947805901375+0.0493369716058865i</v>
      </c>
      <c r="AA306" s="17">
        <f t="shared" si="211"/>
        <v>1.0011641979686519</v>
      </c>
      <c r="AB306" s="17">
        <f t="shared" si="212"/>
        <v>4.9299567969697582E-2</v>
      </c>
      <c r="AC306" s="66" t="str">
        <f t="shared" si="213"/>
        <v>0.700094871218903-4.07882497015837i</v>
      </c>
      <c r="AD306" s="64">
        <f t="shared" si="214"/>
        <v>12.336799275651437</v>
      </c>
      <c r="AE306" s="61">
        <f t="shared" si="215"/>
        <v>-80.260580690035496</v>
      </c>
      <c r="AF306" s="31" t="str">
        <f t="shared" si="201"/>
        <v>-9090.90909090909</v>
      </c>
      <c r="AG306" s="31" t="str">
        <f t="shared" si="202"/>
        <v>2.27623467397318E-08i</v>
      </c>
      <c r="AH306" s="31">
        <f t="shared" si="216"/>
        <v>2.27623467397318E-8</v>
      </c>
      <c r="AI306" s="31">
        <f t="shared" si="217"/>
        <v>1.5707963267948966</v>
      </c>
      <c r="AJ306" s="31" t="str">
        <f t="shared" si="203"/>
        <v>1+137655589.03844i</v>
      </c>
      <c r="AK306" s="31">
        <f t="shared" si="218"/>
        <v>137655589.03843999</v>
      </c>
      <c r="AL306" s="31">
        <f t="shared" si="219"/>
        <v>1.5707963195303896</v>
      </c>
      <c r="AM306" s="31" t="str">
        <f t="shared" si="204"/>
        <v>1+62.8100836174635i</v>
      </c>
      <c r="AN306" s="31">
        <f t="shared" si="220"/>
        <v>62.818043618316835</v>
      </c>
      <c r="AO306" s="31">
        <f t="shared" si="221"/>
        <v>1.5548766613144382</v>
      </c>
      <c r="AS306" s="58" t="str">
        <f t="shared" si="222"/>
        <v>2901.3240154389+182232.487181972i</v>
      </c>
      <c r="AT306" s="49">
        <f t="shared" si="223"/>
        <v>105.21361675571973</v>
      </c>
      <c r="AU306" s="61">
        <f t="shared" si="224"/>
        <v>89.087870772935233</v>
      </c>
      <c r="AV306" s="58" t="str">
        <f t="shared" si="225"/>
        <v>745325.621154845+115746.036804871i</v>
      </c>
      <c r="AW306" s="64">
        <f t="shared" si="226"/>
        <v>117.55041603137116</v>
      </c>
      <c r="AX306" s="61">
        <f t="shared" si="227"/>
        <v>8.8272900828997649</v>
      </c>
      <c r="AY306" s="310"/>
      <c r="BA306" s="31">
        <f t="shared" si="228"/>
        <v>0</v>
      </c>
      <c r="BB306" s="31">
        <f t="shared" si="229"/>
        <v>0</v>
      </c>
    </row>
    <row r="307" spans="14:54" x14ac:dyDescent="0.45">
      <c r="N307" s="10">
        <v>89</v>
      </c>
      <c r="O307" s="50">
        <f t="shared" si="230"/>
        <v>7762.4711662869322</v>
      </c>
      <c r="P307" s="48" t="str">
        <f t="shared" si="196"/>
        <v>17.4002386318441</v>
      </c>
      <c r="Q307" s="17" t="str">
        <f t="shared" si="197"/>
        <v>1+4.17703658060517i</v>
      </c>
      <c r="R307" s="17">
        <f t="shared" si="205"/>
        <v>4.2950709651545607</v>
      </c>
      <c r="S307" s="17">
        <f t="shared" si="206"/>
        <v>1.3358147960334004</v>
      </c>
      <c r="T307" s="17" t="str">
        <f t="shared" si="198"/>
        <v>1+0.0146319134338258i</v>
      </c>
      <c r="U307" s="17">
        <f t="shared" si="207"/>
        <v>1.00010704071651</v>
      </c>
      <c r="V307" s="17">
        <f t="shared" si="208"/>
        <v>1.4630869371723606E-2</v>
      </c>
      <c r="W307" s="31" t="str">
        <f t="shared" si="199"/>
        <v>1-0.0360986889251756i</v>
      </c>
      <c r="X307" s="17">
        <f t="shared" si="209"/>
        <v>1.0006513455455484</v>
      </c>
      <c r="Y307" s="17">
        <f t="shared" si="210"/>
        <v>-3.6083020921892112E-2</v>
      </c>
      <c r="Z307" s="31" t="str">
        <f t="shared" si="200"/>
        <v>0.99994534606929+0.0504861773046582i</v>
      </c>
      <c r="AA307" s="17">
        <f t="shared" si="211"/>
        <v>1.0012190315932221</v>
      </c>
      <c r="AB307" s="17">
        <f t="shared" si="212"/>
        <v>5.044610122008289E-2</v>
      </c>
      <c r="AC307" s="66" t="str">
        <f t="shared" si="213"/>
        <v>0.657457465793186-3.99561806282766i</v>
      </c>
      <c r="AD307" s="64">
        <f t="shared" si="214"/>
        <v>12.14770065298951</v>
      </c>
      <c r="AE307" s="61">
        <f t="shared" si="215"/>
        <v>-80.656016461942926</v>
      </c>
      <c r="AF307" s="31" t="str">
        <f t="shared" si="201"/>
        <v>-9090.90909090909</v>
      </c>
      <c r="AG307" s="31" t="str">
        <f t="shared" si="202"/>
        <v>2.27623467397318E-08i</v>
      </c>
      <c r="AH307" s="31">
        <f t="shared" si="216"/>
        <v>2.27623467397318E-8</v>
      </c>
      <c r="AI307" s="31">
        <f t="shared" si="217"/>
        <v>1.5707963267948966</v>
      </c>
      <c r="AJ307" s="31" t="str">
        <f t="shared" si="203"/>
        <v>1+140861999.611316i</v>
      </c>
      <c r="AK307" s="31">
        <f t="shared" si="218"/>
        <v>140861999.611316</v>
      </c>
      <c r="AL307" s="31">
        <f t="shared" si="219"/>
        <v>1.57079631969575</v>
      </c>
      <c r="AM307" s="31" t="str">
        <f t="shared" si="204"/>
        <v>1+64.2731184103186i</v>
      </c>
      <c r="AN307" s="31">
        <f t="shared" si="220"/>
        <v>64.280897241613204</v>
      </c>
      <c r="AO307" s="31">
        <f t="shared" si="221"/>
        <v>1.5552389779934765</v>
      </c>
      <c r="AS307" s="58" t="str">
        <f t="shared" si="222"/>
        <v>2835.28181793985+182232.487181022i</v>
      </c>
      <c r="AT307" s="49">
        <f t="shared" si="223"/>
        <v>105.21356722187537</v>
      </c>
      <c r="AU307" s="61">
        <f t="shared" si="224"/>
        <v>89.108629980016858</v>
      </c>
      <c r="AV307" s="58" t="str">
        <f t="shared" si="225"/>
        <v>729995.494613334+108481.405962257i</v>
      </c>
      <c r="AW307" s="64">
        <f t="shared" si="226"/>
        <v>117.36126787486486</v>
      </c>
      <c r="AX307" s="61">
        <f t="shared" si="227"/>
        <v>8.4526135180739654</v>
      </c>
      <c r="AY307" s="310"/>
      <c r="BA307" s="31">
        <f t="shared" si="228"/>
        <v>0</v>
      </c>
      <c r="BB307" s="31">
        <f t="shared" si="229"/>
        <v>0</v>
      </c>
    </row>
    <row r="308" spans="14:54" x14ac:dyDescent="0.45">
      <c r="N308" s="10">
        <v>90</v>
      </c>
      <c r="O308" s="50">
        <f t="shared" si="230"/>
        <v>7943.2823472428154</v>
      </c>
      <c r="P308" s="48" t="str">
        <f t="shared" si="196"/>
        <v>17.4002386318441</v>
      </c>
      <c r="Q308" s="17" t="str">
        <f t="shared" si="197"/>
        <v>1+4.27433226143363i</v>
      </c>
      <c r="R308" s="17">
        <f t="shared" si="205"/>
        <v>4.3897512778211398</v>
      </c>
      <c r="S308" s="17">
        <f t="shared" si="206"/>
        <v>1.3409752181892636</v>
      </c>
      <c r="T308" s="17" t="str">
        <f t="shared" si="198"/>
        <v>1+0.0149727344804925i</v>
      </c>
      <c r="U308" s="17">
        <f t="shared" si="207"/>
        <v>1.0001120851073759</v>
      </c>
      <c r="V308" s="17">
        <f t="shared" si="208"/>
        <v>1.4971615754565614E-2</v>
      </c>
      <c r="W308" s="31" t="str">
        <f t="shared" si="199"/>
        <v>1-0.036939535407655i</v>
      </c>
      <c r="X308" s="17">
        <f t="shared" si="209"/>
        <v>1.0006820320542054</v>
      </c>
      <c r="Y308" s="17">
        <f t="shared" si="210"/>
        <v>-3.692274745759918E-2</v>
      </c>
      <c r="Z308" s="31" t="str">
        <f t="shared" si="200"/>
        <v>0.999942770308891+0.0516621514429003i</v>
      </c>
      <c r="AA308" s="17">
        <f t="shared" si="211"/>
        <v>1.0012764462348691</v>
      </c>
      <c r="AB308" s="17">
        <f t="shared" si="212"/>
        <v>5.1619212099172015E-2</v>
      </c>
      <c r="AC308" s="66" t="str">
        <f t="shared" si="213"/>
        <v>0.616537664182695-3.91365785600114i</v>
      </c>
      <c r="AD308" s="64">
        <f t="shared" si="214"/>
        <v>11.958121347804028</v>
      </c>
      <c r="AE308" s="61">
        <f t="shared" si="215"/>
        <v>-81.047490631072336</v>
      </c>
      <c r="AF308" s="31" t="str">
        <f t="shared" si="201"/>
        <v>-9090.90909090909</v>
      </c>
      <c r="AG308" s="31" t="str">
        <f t="shared" si="202"/>
        <v>2.27623467397318E-08i</v>
      </c>
      <c r="AH308" s="31">
        <f t="shared" si="216"/>
        <v>2.27623467397318E-8</v>
      </c>
      <c r="AI308" s="31">
        <f t="shared" si="217"/>
        <v>1.5707963267948966</v>
      </c>
      <c r="AJ308" s="31" t="str">
        <f t="shared" si="203"/>
        <v>1+144143097.080913i</v>
      </c>
      <c r="AK308" s="31">
        <f t="shared" si="218"/>
        <v>144143097.08091301</v>
      </c>
      <c r="AL308" s="31">
        <f t="shared" si="219"/>
        <v>1.5707963198573462</v>
      </c>
      <c r="AM308" s="31" t="str">
        <f t="shared" si="204"/>
        <v>1+65.77023166131i</v>
      </c>
      <c r="AN308" s="31">
        <f t="shared" si="220"/>
        <v>65.777833445488199</v>
      </c>
      <c r="AO308" s="31">
        <f t="shared" si="221"/>
        <v>1.5555930512851919</v>
      </c>
      <c r="AS308" s="58" t="str">
        <f t="shared" si="222"/>
        <v>2770.7429243901+182232.487180117i</v>
      </c>
      <c r="AT308" s="49">
        <f t="shared" si="223"/>
        <v>105.21351991689397</v>
      </c>
      <c r="AU308" s="61">
        <f t="shared" si="224"/>
        <v>89.128916876011687</v>
      </c>
      <c r="AV308" s="58" t="str">
        <f t="shared" si="225"/>
        <v>714903.872441746+101509.452171233i</v>
      </c>
      <c r="AW308" s="64">
        <f t="shared" si="226"/>
        <v>117.17164126469798</v>
      </c>
      <c r="AX308" s="61">
        <f t="shared" si="227"/>
        <v>8.081426244939319</v>
      </c>
      <c r="AY308" s="310"/>
      <c r="BA308" s="31">
        <f t="shared" si="228"/>
        <v>0</v>
      </c>
      <c r="BB308" s="31">
        <f t="shared" si="229"/>
        <v>0</v>
      </c>
    </row>
    <row r="309" spans="14:54" x14ac:dyDescent="0.45">
      <c r="N309" s="10">
        <v>91</v>
      </c>
      <c r="O309" s="50">
        <f t="shared" si="230"/>
        <v>8128.3051616410066</v>
      </c>
      <c r="P309" s="48" t="str">
        <f t="shared" si="196"/>
        <v>17.4002386318441</v>
      </c>
      <c r="Q309" s="17" t="str">
        <f t="shared" si="197"/>
        <v>1+4.37389424980459i</v>
      </c>
      <c r="R309" s="17">
        <f t="shared" si="205"/>
        <v>4.4867528245350963</v>
      </c>
      <c r="S309" s="17">
        <f t="shared" si="206"/>
        <v>1.3460302437064213</v>
      </c>
      <c r="T309" s="17" t="str">
        <f t="shared" si="198"/>
        <v>1+0.0153214942691685i</v>
      </c>
      <c r="U309" s="17">
        <f t="shared" si="207"/>
        <v>1.0001173672057897</v>
      </c>
      <c r="V309" s="17">
        <f t="shared" si="208"/>
        <v>1.5320295540338187E-2</v>
      </c>
      <c r="W309" s="31" t="str">
        <f t="shared" si="199"/>
        <v>1-0.0377999677207603i</v>
      </c>
      <c r="X309" s="17">
        <f t="shared" si="209"/>
        <v>1.0007141637649037</v>
      </c>
      <c r="Y309" s="17">
        <f t="shared" si="210"/>
        <v>-3.7781979801454604E-2</v>
      </c>
      <c r="Z309" s="31" t="str">
        <f t="shared" si="200"/>
        <v>0.999940073156643+0.0528655175376671i</v>
      </c>
      <c r="AA309" s="17">
        <f t="shared" si="211"/>
        <v>1.0013365632238933</v>
      </c>
      <c r="AB309" s="17">
        <f t="shared" si="212"/>
        <v>5.2819510516437233E-2</v>
      </c>
      <c r="AC309" s="66" t="str">
        <f t="shared" si="213"/>
        <v>0.577274863746547-3.832953113405i</v>
      </c>
      <c r="AD309" s="64">
        <f t="shared" si="214"/>
        <v>11.768080012671032</v>
      </c>
      <c r="AE309" s="61">
        <f t="shared" si="215"/>
        <v>-81.435146798799707</v>
      </c>
      <c r="AF309" s="31" t="str">
        <f t="shared" si="201"/>
        <v>-9090.90909090909</v>
      </c>
      <c r="AG309" s="31" t="str">
        <f t="shared" si="202"/>
        <v>2.27623467397318E-08i</v>
      </c>
      <c r="AH309" s="31">
        <f t="shared" si="216"/>
        <v>2.27623467397318E-8</v>
      </c>
      <c r="AI309" s="31">
        <f t="shared" si="217"/>
        <v>1.5707963267948966</v>
      </c>
      <c r="AJ309" s="31" t="str">
        <f t="shared" si="203"/>
        <v>1+147500621.128543i</v>
      </c>
      <c r="AK309" s="31">
        <f t="shared" si="218"/>
        <v>147500621.12854299</v>
      </c>
      <c r="AL309" s="31">
        <f t="shared" si="219"/>
        <v>1.5707963200152641</v>
      </c>
      <c r="AM309" s="31" t="str">
        <f t="shared" si="204"/>
        <v>1+67.3022171597005i</v>
      </c>
      <c r="AN309" s="31">
        <f t="shared" si="220"/>
        <v>67.309645925465134</v>
      </c>
      <c r="AO309" s="31">
        <f t="shared" si="221"/>
        <v>1.5559390685686114</v>
      </c>
      <c r="AS309" s="58" t="str">
        <f t="shared" si="222"/>
        <v>2707.67311541395+182232.487179252i</v>
      </c>
      <c r="AT309" s="49">
        <f t="shared" si="223"/>
        <v>105.2134747405064</v>
      </c>
      <c r="AU309" s="61">
        <f t="shared" si="224"/>
        <v>89.148742196942166</v>
      </c>
      <c r="AV309" s="58" t="str">
        <f t="shared" si="225"/>
        <v>700051.650726022+94819.8501087882i</v>
      </c>
      <c r="AW309" s="64">
        <f t="shared" si="226"/>
        <v>116.98155475317745</v>
      </c>
      <c r="AX309" s="61">
        <f t="shared" si="227"/>
        <v>7.7135953981424628</v>
      </c>
      <c r="AY309" s="310"/>
      <c r="BA309" s="31">
        <f t="shared" si="228"/>
        <v>0</v>
      </c>
      <c r="BB309" s="31">
        <f t="shared" si="229"/>
        <v>0</v>
      </c>
    </row>
    <row r="310" spans="14:54" x14ac:dyDescent="0.45">
      <c r="N310" s="10">
        <v>92</v>
      </c>
      <c r="O310" s="50">
        <f t="shared" si="230"/>
        <v>8317.6377110267094</v>
      </c>
      <c r="P310" s="48" t="str">
        <f t="shared" si="196"/>
        <v>17.4002386318441</v>
      </c>
      <c r="Q310" s="17" t="str">
        <f t="shared" si="197"/>
        <v>1+4.47577533480212i</v>
      </c>
      <c r="R310" s="17">
        <f t="shared" si="205"/>
        <v>4.5861274347343457</v>
      </c>
      <c r="S310" s="17">
        <f t="shared" si="206"/>
        <v>1.3509815189847898</v>
      </c>
      <c r="T310" s="17" t="str">
        <f t="shared" si="198"/>
        <v>1+0.0156783777169098i</v>
      </c>
      <c r="U310" s="17">
        <f t="shared" si="207"/>
        <v>1.0001228982119319</v>
      </c>
      <c r="V310" s="17">
        <f t="shared" si="208"/>
        <v>1.5677093264350909E-2</v>
      </c>
      <c r="W310" s="31" t="str">
        <f t="shared" si="199"/>
        <v>1-0.0386804420770926i</v>
      </c>
      <c r="X310" s="17">
        <f t="shared" si="209"/>
        <v>1.0007478086907207</v>
      </c>
      <c r="Y310" s="17">
        <f t="shared" si="210"/>
        <v>-3.8661168452089209E-2</v>
      </c>
      <c r="Z310" s="31" t="str">
        <f t="shared" si="200"/>
        <v>0.999937248891527+0.05409691362959i</v>
      </c>
      <c r="AA310" s="17">
        <f t="shared" si="211"/>
        <v>1.0013995095789707</v>
      </c>
      <c r="AB310" s="17">
        <f t="shared" si="212"/>
        <v>5.4047619936475881E-2</v>
      </c>
      <c r="AC310" s="66" t="str">
        <f t="shared" si="213"/>
        <v>0.539609901369407-3.75351038020343i</v>
      </c>
      <c r="AD310" s="64">
        <f t="shared" si="214"/>
        <v>11.577594604734436</v>
      </c>
      <c r="AE310" s="61">
        <f t="shared" si="215"/>
        <v>-81.8191302573575</v>
      </c>
      <c r="AF310" s="31" t="str">
        <f t="shared" si="201"/>
        <v>-9090.90909090909</v>
      </c>
      <c r="AG310" s="31" t="str">
        <f t="shared" si="202"/>
        <v>2.27623467397318E-08i</v>
      </c>
      <c r="AH310" s="31">
        <f t="shared" si="216"/>
        <v>2.27623467397318E-8</v>
      </c>
      <c r="AI310" s="31">
        <f t="shared" si="217"/>
        <v>1.5707963267948966</v>
      </c>
      <c r="AJ310" s="31" t="str">
        <f t="shared" si="203"/>
        <v>1+150936351.957897i</v>
      </c>
      <c r="AK310" s="31">
        <f t="shared" si="218"/>
        <v>150936351.95789701</v>
      </c>
      <c r="AL310" s="31">
        <f t="shared" si="219"/>
        <v>1.5707963201695874</v>
      </c>
      <c r="AM310" s="31" t="str">
        <f t="shared" si="204"/>
        <v>1+68.869887184479i</v>
      </c>
      <c r="AN310" s="31">
        <f t="shared" si="220"/>
        <v>68.877146868920633</v>
      </c>
      <c r="AO310" s="31">
        <f t="shared" si="221"/>
        <v>1.5562772129750648</v>
      </c>
      <c r="AS310" s="58" t="str">
        <f t="shared" si="222"/>
        <v>2646.03895056388+182232.487178425i</v>
      </c>
      <c r="AT310" s="49">
        <f t="shared" si="223"/>
        <v>105.21343159695247</v>
      </c>
      <c r="AU310" s="61">
        <f t="shared" si="224"/>
        <v>89.168116435455843</v>
      </c>
      <c r="AV310" s="58" t="str">
        <f t="shared" si="225"/>
        <v>685439.36105164+88402.5197652875i</v>
      </c>
      <c r="AW310" s="64">
        <f t="shared" si="226"/>
        <v>116.79102620168692</v>
      </c>
      <c r="AX310" s="61">
        <f t="shared" si="227"/>
        <v>7.3489861780983325</v>
      </c>
      <c r="AY310" s="310"/>
      <c r="BA310" s="31">
        <f t="shared" si="228"/>
        <v>0</v>
      </c>
      <c r="BB310" s="31">
        <f t="shared" si="229"/>
        <v>0</v>
      </c>
    </row>
    <row r="311" spans="14:54" x14ac:dyDescent="0.45">
      <c r="N311" s="10">
        <v>93</v>
      </c>
      <c r="O311" s="50">
        <f t="shared" si="230"/>
        <v>8511.3803820237772</v>
      </c>
      <c r="P311" s="48" t="str">
        <f t="shared" si="196"/>
        <v>17.4002386318441</v>
      </c>
      <c r="Q311" s="17" t="str">
        <f t="shared" si="197"/>
        <v>1+4.58002953512606i</v>
      </c>
      <c r="R311" s="17">
        <f t="shared" si="205"/>
        <v>4.6879281716582462</v>
      </c>
      <c r="S311" s="17">
        <f t="shared" si="206"/>
        <v>1.3558306977681798</v>
      </c>
      <c r="T311" s="17" t="str">
        <f t="shared" si="198"/>
        <v>1+0.0160435740480445i</v>
      </c>
      <c r="U311" s="17">
        <f t="shared" si="207"/>
        <v>1.0001286898535784</v>
      </c>
      <c r="V311" s="17">
        <f t="shared" si="208"/>
        <v>1.6042197741895515E-2</v>
      </c>
      <c r="W311" s="31" t="str">
        <f t="shared" si="199"/>
        <v>1-0.0395814253158105i</v>
      </c>
      <c r="X311" s="17">
        <f t="shared" si="209"/>
        <v>1.000783038040729</v>
      </c>
      <c r="Y311" s="17">
        <f t="shared" si="210"/>
        <v>-3.9560774127150547E-2</v>
      </c>
      <c r="Z311" s="31" t="str">
        <f t="shared" si="200"/>
        <v>0.999934291522896+0.0553569926211767i</v>
      </c>
      <c r="AA311" s="17">
        <f t="shared" si="211"/>
        <v>1.0014654182723719</v>
      </c>
      <c r="AB311" s="17">
        <f t="shared" si="212"/>
        <v>5.530417764862449E-2</v>
      </c>
      <c r="AC311" s="66" t="str">
        <f t="shared" si="213"/>
        <v>0.503485083259197-3.67533412095157i</v>
      </c>
      <c r="AD311" s="64">
        <f t="shared" si="214"/>
        <v>11.386682401290589</v>
      </c>
      <c r="AE311" s="61">
        <f t="shared" si="215"/>
        <v>-82.199587852133277</v>
      </c>
      <c r="AF311" s="31" t="str">
        <f t="shared" si="201"/>
        <v>-9090.90909090909</v>
      </c>
      <c r="AG311" s="31" t="str">
        <f t="shared" si="202"/>
        <v>2.27623467397318E-08i</v>
      </c>
      <c r="AH311" s="31">
        <f t="shared" si="216"/>
        <v>2.27623467397318E-8</v>
      </c>
      <c r="AI311" s="31">
        <f t="shared" si="217"/>
        <v>1.5707963267948966</v>
      </c>
      <c r="AJ311" s="31" t="str">
        <f t="shared" si="203"/>
        <v>1+154452111.238938i</v>
      </c>
      <c r="AK311" s="31">
        <f t="shared" si="218"/>
        <v>154452111.238938</v>
      </c>
      <c r="AL311" s="31">
        <f t="shared" si="219"/>
        <v>1.5707963203203978</v>
      </c>
      <c r="AM311" s="31" t="str">
        <f t="shared" si="204"/>
        <v>1+70.4740729350435i</v>
      </c>
      <c r="AN311" s="31">
        <f t="shared" si="220"/>
        <v>70.481167385719644</v>
      </c>
      <c r="AO311" s="31">
        <f t="shared" si="221"/>
        <v>1.5566076634837032</v>
      </c>
      <c r="AS311" s="58" t="str">
        <f t="shared" si="222"/>
        <v>2585.80775058987+182232.487177635i</v>
      </c>
      <c r="AT311" s="49">
        <f t="shared" si="223"/>
        <v>105.21339039477823</v>
      </c>
      <c r="AU311" s="61">
        <f t="shared" si="224"/>
        <v>89.187049846297953</v>
      </c>
      <c r="AV311" s="58" t="str">
        <f t="shared" si="225"/>
        <v>671067.193700429+82247.6315231981i</v>
      </c>
      <c r="AW311" s="64">
        <f t="shared" si="226"/>
        <v>116.60007279606882</v>
      </c>
      <c r="AX311" s="61">
        <f t="shared" si="227"/>
        <v>6.9874619941646818</v>
      </c>
      <c r="AY311" s="310"/>
      <c r="BA311" s="31">
        <f t="shared" si="228"/>
        <v>0</v>
      </c>
      <c r="BB311" s="31">
        <f t="shared" si="229"/>
        <v>0</v>
      </c>
    </row>
    <row r="312" spans="14:54" x14ac:dyDescent="0.45">
      <c r="N312" s="10">
        <v>94</v>
      </c>
      <c r="O312" s="50">
        <f t="shared" si="230"/>
        <v>8709.6358995608189</v>
      </c>
      <c r="P312" s="48" t="str">
        <f t="shared" si="196"/>
        <v>17.4002386318441</v>
      </c>
      <c r="Q312" s="17" t="str">
        <f t="shared" si="197"/>
        <v>1+4.68671212773337i</v>
      </c>
      <c r="R312" s="17">
        <f t="shared" si="205"/>
        <v>4.792209361895936</v>
      </c>
      <c r="S312" s="17">
        <f t="shared" si="206"/>
        <v>1.3605794385291703</v>
      </c>
      <c r="T312" s="17" t="str">
        <f t="shared" si="198"/>
        <v>1+0.0164172768945013i</v>
      </c>
      <c r="U312" s="17">
        <f t="shared" si="207"/>
        <v>1.0001347544109398</v>
      </c>
      <c r="V312" s="17">
        <f t="shared" si="208"/>
        <v>1.6415802166624142E-2</v>
      </c>
      <c r="W312" s="31" t="str">
        <f t="shared" si="199"/>
        <v>1-0.0405033951501529i</v>
      </c>
      <c r="X312" s="17">
        <f t="shared" si="209"/>
        <v>1.0008199263697188</v>
      </c>
      <c r="Y312" s="17">
        <f t="shared" si="210"/>
        <v>-4.0481267981814853E-2</v>
      </c>
      <c r="Z312" s="31" t="str">
        <f t="shared" si="200"/>
        <v>0.999931194777775+0.0566464226229875i</v>
      </c>
      <c r="AA312" s="17">
        <f t="shared" si="211"/>
        <v>1.001534428507423</v>
      </c>
      <c r="AB312" s="17">
        <f t="shared" si="212"/>
        <v>5.6589835039606774E-2</v>
      </c>
      <c r="AC312" s="66" t="str">
        <f t="shared" si="213"/>
        <v>0.468844207347685-3.59842685282545i</v>
      </c>
      <c r="AD312" s="64">
        <f t="shared" si="214"/>
        <v>11.195360015630133</v>
      </c>
      <c r="AE312" s="61">
        <f t="shared" si="215"/>
        <v>-82.576667854338467</v>
      </c>
      <c r="AF312" s="31" t="str">
        <f t="shared" si="201"/>
        <v>-9090.90909090909</v>
      </c>
      <c r="AG312" s="31" t="str">
        <f t="shared" si="202"/>
        <v>2.27623467397318E-08i</v>
      </c>
      <c r="AH312" s="31">
        <f t="shared" si="216"/>
        <v>2.27623467397318E-8</v>
      </c>
      <c r="AI312" s="31">
        <f t="shared" si="217"/>
        <v>1.5707963267948966</v>
      </c>
      <c r="AJ312" s="31" t="str">
        <f t="shared" si="203"/>
        <v>1+158049763.073772i</v>
      </c>
      <c r="AK312" s="31">
        <f t="shared" si="218"/>
        <v>158049763.07377201</v>
      </c>
      <c r="AL312" s="31">
        <f t="shared" si="219"/>
        <v>1.5707963204677755</v>
      </c>
      <c r="AM312" s="31" t="str">
        <f t="shared" si="204"/>
        <v>1+72.1156249719128i</v>
      </c>
      <c r="AN312" s="31">
        <f t="shared" si="220"/>
        <v>72.122557948880129</v>
      </c>
      <c r="AO312" s="31">
        <f t="shared" si="221"/>
        <v>1.5569305950149193</v>
      </c>
      <c r="AS312" s="58" t="str">
        <f t="shared" si="222"/>
        <v>2526.94758011245+182232.487176883i</v>
      </c>
      <c r="AT312" s="49">
        <f t="shared" si="223"/>
        <v>105.21335104664253</v>
      </c>
      <c r="AU312" s="61">
        <f t="shared" si="224"/>
        <v>89.205552451664232</v>
      </c>
      <c r="AV312" s="58" t="str">
        <f t="shared" si="225"/>
        <v>656935.020049672+76345.609975484i</v>
      </c>
      <c r="AW312" s="64">
        <f t="shared" si="226"/>
        <v>116.40871106227266</v>
      </c>
      <c r="AX312" s="61">
        <f t="shared" si="227"/>
        <v>6.6288845973257695</v>
      </c>
      <c r="AY312" s="310"/>
      <c r="BA312" s="31">
        <f t="shared" si="228"/>
        <v>0</v>
      </c>
      <c r="BB312" s="31">
        <f t="shared" si="229"/>
        <v>0</v>
      </c>
    </row>
    <row r="313" spans="14:54" x14ac:dyDescent="0.45">
      <c r="N313" s="10">
        <v>95</v>
      </c>
      <c r="O313" s="50">
        <f t="shared" si="230"/>
        <v>8912.5093813374679</v>
      </c>
      <c r="P313" s="48" t="str">
        <f t="shared" si="196"/>
        <v>17.4002386318441</v>
      </c>
      <c r="Q313" s="17" t="str">
        <f t="shared" si="197"/>
        <v>1+4.79587967714678i</v>
      </c>
      <c r="R313" s="17">
        <f t="shared" si="205"/>
        <v>4.8990266255317998</v>
      </c>
      <c r="S313" s="17">
        <f t="shared" si="206"/>
        <v>1.3652294020241689</v>
      </c>
      <c r="T313" s="17" t="str">
        <f t="shared" si="198"/>
        <v>1+0.016799684398476i</v>
      </c>
      <c r="U313" s="17">
        <f t="shared" si="207"/>
        <v>1.00014110474267</v>
      </c>
      <c r="V313" s="17">
        <f t="shared" si="208"/>
        <v>1.6798104211126264E-2</v>
      </c>
      <c r="W313" s="31" t="str">
        <f t="shared" si="199"/>
        <v>1-0.0414468404207298i</v>
      </c>
      <c r="X313" s="17">
        <f t="shared" si="209"/>
        <v>1.00085855173489</v>
      </c>
      <c r="Y313" s="17">
        <f t="shared" si="210"/>
        <v>-4.1423131831008625E-2</v>
      </c>
      <c r="Z313" s="31" t="str">
        <f t="shared" si="200"/>
        <v>0.999927952087553+0.0579658873078771i</v>
      </c>
      <c r="AA313" s="17">
        <f t="shared" si="211"/>
        <v>1.0016066860087334</v>
      </c>
      <c r="AB313" s="17">
        <f t="shared" si="212"/>
        <v>5.790525786906759E-2</v>
      </c>
      <c r="AC313" s="66" t="str">
        <f t="shared" si="213"/>
        <v>0.435632578916531-3.52278927398881i</v>
      </c>
      <c r="AD313" s="64">
        <f t="shared" si="214"/>
        <v>11.00364341305629</v>
      </c>
      <c r="AE313" s="61">
        <f t="shared" si="215"/>
        <v>-82.95051984368061</v>
      </c>
      <c r="AF313" s="31" t="str">
        <f t="shared" si="201"/>
        <v>-9090.90909090909</v>
      </c>
      <c r="AG313" s="31" t="str">
        <f t="shared" si="202"/>
        <v>2.27623467397318E-08i</v>
      </c>
      <c r="AH313" s="31">
        <f t="shared" si="216"/>
        <v>2.27623467397318E-8</v>
      </c>
      <c r="AI313" s="31">
        <f t="shared" si="217"/>
        <v>1.5707963267948966</v>
      </c>
      <c r="AJ313" s="31" t="str">
        <f t="shared" si="203"/>
        <v>1+161731214.985025i</v>
      </c>
      <c r="AK313" s="31">
        <f t="shared" si="218"/>
        <v>161731214.98502499</v>
      </c>
      <c r="AL313" s="31">
        <f t="shared" si="219"/>
        <v>1.5707963206117983</v>
      </c>
      <c r="AM313" s="31" t="str">
        <f t="shared" si="204"/>
        <v>1+73.7954136677053i</v>
      </c>
      <c r="AN313" s="31">
        <f t="shared" si="220"/>
        <v>73.802188845506123</v>
      </c>
      <c r="AO313" s="31">
        <f t="shared" si="221"/>
        <v>1.557246178521716</v>
      </c>
      <c r="AS313" s="58" t="str">
        <f t="shared" si="222"/>
        <v>2469.42723069009+182232.487176163i</v>
      </c>
      <c r="AT313" s="49">
        <f t="shared" si="223"/>
        <v>105.21331346913178</v>
      </c>
      <c r="AU313" s="61">
        <f t="shared" si="224"/>
        <v>89.22363404643572</v>
      </c>
      <c r="AV313" s="58" t="str">
        <f t="shared" si="225"/>
        <v>643042.414149443+70687.1365897546i</v>
      </c>
      <c r="AW313" s="64">
        <f t="shared" si="226"/>
        <v>116.21695688218807</v>
      </c>
      <c r="AX313" s="61">
        <f t="shared" si="227"/>
        <v>6.2731142027551003</v>
      </c>
      <c r="AY313" s="310"/>
      <c r="BA313" s="31">
        <f t="shared" si="228"/>
        <v>0</v>
      </c>
      <c r="BB313" s="31">
        <f t="shared" si="229"/>
        <v>0</v>
      </c>
    </row>
    <row r="314" spans="14:54" x14ac:dyDescent="0.45">
      <c r="N314" s="10">
        <v>96</v>
      </c>
      <c r="O314" s="50">
        <f t="shared" si="230"/>
        <v>9120.1083935591087</v>
      </c>
      <c r="P314" s="48" t="str">
        <f t="shared" si="196"/>
        <v>17.4002386318441</v>
      </c>
      <c r="Q314" s="17" t="str">
        <f t="shared" si="197"/>
        <v>1+4.90759006544599i</v>
      </c>
      <c r="R314" s="17">
        <f t="shared" si="205"/>
        <v>5.0084369069066019</v>
      </c>
      <c r="S314" s="17">
        <f t="shared" si="206"/>
        <v>1.3697822490122487</v>
      </c>
      <c r="T314" s="17" t="str">
        <f t="shared" si="198"/>
        <v>1+0.0171909993174888i</v>
      </c>
      <c r="U314" s="17">
        <f t="shared" si="207"/>
        <v>1.0001477543130983</v>
      </c>
      <c r="V314" s="17">
        <f t="shared" si="208"/>
        <v>1.7189306129747204E-2</v>
      </c>
      <c r="W314" s="31" t="str">
        <f t="shared" si="199"/>
        <v>1-0.0424122613547115i</v>
      </c>
      <c r="X314" s="17">
        <f t="shared" si="209"/>
        <v>1.0008989958598322</v>
      </c>
      <c r="Y314" s="17">
        <f t="shared" si="210"/>
        <v>-4.2386858375325208E-2</v>
      </c>
      <c r="Z314" s="31" t="str">
        <f t="shared" si="200"/>
        <v>0.99992455657405+0.0593160862734865i</v>
      </c>
      <c r="AA314" s="17">
        <f t="shared" si="211"/>
        <v>1.0016823433257742</v>
      </c>
      <c r="AB314" s="17">
        <f t="shared" si="212"/>
        <v>5.9251126547815516E-2</v>
      </c>
      <c r="AC314" s="66" t="str">
        <f t="shared" si="213"/>
        <v>0.403797020043141-3.4484203870003i</v>
      </c>
      <c r="AD314" s="64">
        <f t="shared" si="214"/>
        <v>10.811547927004067</v>
      </c>
      <c r="AE314" s="61">
        <f t="shared" si="215"/>
        <v>-83.321294600657211</v>
      </c>
      <c r="AF314" s="31" t="str">
        <f t="shared" si="201"/>
        <v>-9090.90909090909</v>
      </c>
      <c r="AG314" s="31" t="str">
        <f t="shared" si="202"/>
        <v>2.27623467397318E-08i</v>
      </c>
      <c r="AH314" s="31">
        <f t="shared" si="216"/>
        <v>2.27623467397318E-8</v>
      </c>
      <c r="AI314" s="31">
        <f t="shared" si="217"/>
        <v>1.5707963267948966</v>
      </c>
      <c r="AJ314" s="31" t="str">
        <f t="shared" si="203"/>
        <v>1+165498418.927228i</v>
      </c>
      <c r="AK314" s="31">
        <f t="shared" si="218"/>
        <v>165498418.927228</v>
      </c>
      <c r="AL314" s="31">
        <f t="shared" si="219"/>
        <v>1.5707963207525428</v>
      </c>
      <c r="AM314" s="31" t="str">
        <f t="shared" si="204"/>
        <v>1+75.5143296686222i</v>
      </c>
      <c r="AN314" s="31">
        <f t="shared" si="220"/>
        <v>75.520950638225912</v>
      </c>
      <c r="AO314" s="31">
        <f t="shared" si="221"/>
        <v>1.5575545810790625</v>
      </c>
      <c r="AS314" s="58" t="str">
        <f t="shared" si="222"/>
        <v>2413.21620427219+182232.487175475i</v>
      </c>
      <c r="AT314" s="49">
        <f t="shared" si="223"/>
        <v>105.21327758258406</v>
      </c>
      <c r="AU314" s="61">
        <f t="shared" si="224"/>
        <v>89.241304203298654</v>
      </c>
      <c r="AV314" s="58" t="str">
        <f t="shared" si="225"/>
        <v>629388.673461684+65263.151319455i</v>
      </c>
      <c r="AW314" s="64">
        <f t="shared" si="226"/>
        <v>116.02482550958811</v>
      </c>
      <c r="AX314" s="61">
        <f t="shared" si="227"/>
        <v>5.9200096026414268</v>
      </c>
      <c r="AY314" s="310"/>
      <c r="BA314" s="31">
        <f t="shared" si="228"/>
        <v>0</v>
      </c>
      <c r="BB314" s="31">
        <f t="shared" si="229"/>
        <v>0</v>
      </c>
    </row>
    <row r="315" spans="14:54" x14ac:dyDescent="0.45">
      <c r="N315" s="10">
        <v>97</v>
      </c>
      <c r="O315" s="50">
        <f t="shared" si="230"/>
        <v>9332.5430079699217</v>
      </c>
      <c r="P315" s="48" t="str">
        <f t="shared" si="196"/>
        <v>17.4002386318441</v>
      </c>
      <c r="Q315" s="17" t="str">
        <f t="shared" si="197"/>
        <v>1+5.02190252295752i</v>
      </c>
      <c r="R315" s="17">
        <f t="shared" si="205"/>
        <v>5.1204985060135604</v>
      </c>
      <c r="S315" s="17">
        <f t="shared" si="206"/>
        <v>1.3742396381312776</v>
      </c>
      <c r="T315" s="17" t="str">
        <f t="shared" si="198"/>
        <v>1+0.0175914291318894i</v>
      </c>
      <c r="U315" s="17">
        <f t="shared" si="207"/>
        <v>1.0001547172207419</v>
      </c>
      <c r="V315" s="17">
        <f t="shared" si="208"/>
        <v>1.7589614863694543E-2</v>
      </c>
      <c r="W315" s="31" t="str">
        <f t="shared" si="199"/>
        <v>1-0.043400169831056i</v>
      </c>
      <c r="X315" s="17">
        <f t="shared" si="209"/>
        <v>1.000941344306131</v>
      </c>
      <c r="Y315" s="17">
        <f t="shared" si="210"/>
        <v>-4.3372951430620671E-2</v>
      </c>
      <c r="Z315" s="31" t="str">
        <f t="shared" si="200"/>
        <v>0.999921001034925+0.0606977354131793i</v>
      </c>
      <c r="AA315" s="17">
        <f t="shared" si="211"/>
        <v>1.0017615601504055</v>
      </c>
      <c r="AB315" s="17">
        <f t="shared" si="212"/>
        <v>6.0628136418583299E-2</v>
      </c>
      <c r="AC315" s="66" t="str">
        <f t="shared" si="213"/>
        <v>0.373285873431116-3.37531761720486i</v>
      </c>
      <c r="AD315" s="64">
        <f t="shared" si="214"/>
        <v>10.619088275192873</v>
      </c>
      <c r="AE315" s="61">
        <f t="shared" si="215"/>
        <v>-83.689144008086132</v>
      </c>
      <c r="AF315" s="31" t="str">
        <f t="shared" si="201"/>
        <v>-9090.90909090909</v>
      </c>
      <c r="AG315" s="31" t="str">
        <f t="shared" si="202"/>
        <v>2.27623467397318E-08i</v>
      </c>
      <c r="AH315" s="31">
        <f t="shared" si="216"/>
        <v>2.27623467397318E-8</v>
      </c>
      <c r="AI315" s="31">
        <f t="shared" si="217"/>
        <v>1.5707963267948966</v>
      </c>
      <c r="AJ315" s="31" t="str">
        <f t="shared" si="203"/>
        <v>1+169353372.321776i</v>
      </c>
      <c r="AK315" s="31">
        <f t="shared" si="218"/>
        <v>169353372.321776</v>
      </c>
      <c r="AL315" s="31">
        <f t="shared" si="219"/>
        <v>1.5707963208900837</v>
      </c>
      <c r="AM315" s="31" t="str">
        <f t="shared" si="204"/>
        <v>1+77.2732843666796i</v>
      </c>
      <c r="AN315" s="31">
        <f t="shared" si="220"/>
        <v>77.279754637380478</v>
      </c>
      <c r="AO315" s="31">
        <f t="shared" si="221"/>
        <v>1.5578559659712798</v>
      </c>
      <c r="AS315" s="58" t="str">
        <f t="shared" si="222"/>
        <v>2358.28469702851+182232.48717482i</v>
      </c>
      <c r="AT315" s="49">
        <f t="shared" si="223"/>
        <v>105.2132433109203</v>
      </c>
      <c r="AU315" s="61">
        <f t="shared" si="224"/>
        <v>89.258572277751185</v>
      </c>
      <c r="AV315" s="58" t="str">
        <f t="shared" si="225"/>
        <v>615972.838751158+60064.8532583124i</v>
      </c>
      <c r="AW315" s="64">
        <f t="shared" si="226"/>
        <v>115.83233158611318</v>
      </c>
      <c r="AX315" s="61">
        <f t="shared" si="227"/>
        <v>5.5694282696650514</v>
      </c>
      <c r="AY315" s="310"/>
      <c r="BA315" s="31">
        <f t="shared" si="228"/>
        <v>0</v>
      </c>
      <c r="BB315" s="31">
        <f t="shared" si="229"/>
        <v>0</v>
      </c>
    </row>
    <row r="316" spans="14:54" x14ac:dyDescent="0.45">
      <c r="N316" s="10">
        <v>98</v>
      </c>
      <c r="O316" s="50">
        <f t="shared" si="230"/>
        <v>9549.9258602143691</v>
      </c>
      <c r="P316" s="48" t="str">
        <f t="shared" si="196"/>
        <v>17.4002386318441</v>
      </c>
      <c r="Q316" s="17" t="str">
        <f t="shared" si="197"/>
        <v>1+5.13887765965947i</v>
      </c>
      <c r="R316" s="17">
        <f t="shared" si="205"/>
        <v>5.2352711105488314</v>
      </c>
      <c r="S316" s="17">
        <f t="shared" si="206"/>
        <v>1.3786032239247945</v>
      </c>
      <c r="T316" s="17" t="str">
        <f t="shared" si="198"/>
        <v>1+0.018001186154866i</v>
      </c>
      <c r="U316" s="17">
        <f t="shared" si="207"/>
        <v>1.0001620082281579</v>
      </c>
      <c r="V316" s="17">
        <f t="shared" si="208"/>
        <v>1.7999242148477153E-2</v>
      </c>
      <c r="W316" s="31" t="str">
        <f t="shared" si="199"/>
        <v>1-0.0444110896519143i</v>
      </c>
      <c r="X316" s="17">
        <f t="shared" si="209"/>
        <v>1.0009856866529463</v>
      </c>
      <c r="Y316" s="17">
        <f t="shared" si="210"/>
        <v>-4.4381926161262665E-2</v>
      </c>
      <c r="Z316" s="31" t="str">
        <f t="shared" si="200"/>
        <v>0.999917277928403+0.0621115672956178i</v>
      </c>
      <c r="AA316" s="17">
        <f t="shared" si="211"/>
        <v>1.0018445036489771</v>
      </c>
      <c r="AB316" s="17">
        <f t="shared" si="212"/>
        <v>6.2036998039088811E-2</v>
      </c>
      <c r="AC316" s="66" t="str">
        <f t="shared" si="213"/>
        <v>0.344049001160239-3.30347692608785i</v>
      </c>
      <c r="AD316" s="64">
        <f t="shared" si="214"/>
        <v>10.426278575750443</v>
      </c>
      <c r="AE316" s="61">
        <f t="shared" si="215"/>
        <v>-84.054220961480524</v>
      </c>
      <c r="AF316" s="31" t="str">
        <f t="shared" si="201"/>
        <v>-9090.90909090909</v>
      </c>
      <c r="AG316" s="31" t="str">
        <f t="shared" si="202"/>
        <v>2.27623467397318E-08i</v>
      </c>
      <c r="AH316" s="31">
        <f t="shared" si="216"/>
        <v>2.27623467397318E-8</v>
      </c>
      <c r="AI316" s="31">
        <f t="shared" si="217"/>
        <v>1.5707963267948966</v>
      </c>
      <c r="AJ316" s="31" t="str">
        <f t="shared" si="203"/>
        <v>1+173298119.115987i</v>
      </c>
      <c r="AK316" s="31">
        <f t="shared" si="218"/>
        <v>173298119.115987</v>
      </c>
      <c r="AL316" s="31">
        <f t="shared" si="219"/>
        <v>1.5707963210244935</v>
      </c>
      <c r="AM316" s="31" t="str">
        <f t="shared" si="204"/>
        <v>1+79.0732103829413i</v>
      </c>
      <c r="AN316" s="31">
        <f t="shared" si="220"/>
        <v>79.079533384213235</v>
      </c>
      <c r="AO316" s="31">
        <f t="shared" si="221"/>
        <v>1.5581504927774958</v>
      </c>
      <c r="AS316" s="58" t="str">
        <f t="shared" si="222"/>
        <v>2304.60358354675+182232.487174194i</v>
      </c>
      <c r="AT316" s="49">
        <f t="shared" si="223"/>
        <v>105.21321058148304</v>
      </c>
      <c r="AU316" s="61">
        <f t="shared" si="224"/>
        <v>89.275447412999711</v>
      </c>
      <c r="AV316" s="58" t="str">
        <f t="shared" si="225"/>
        <v>602793.713124539+55083.7004292014i</v>
      </c>
      <c r="AW316" s="64">
        <f t="shared" si="226"/>
        <v>115.63948915723347</v>
      </c>
      <c r="AX316" s="61">
        <f t="shared" si="227"/>
        <v>5.2212264515191924</v>
      </c>
      <c r="AY316" s="310"/>
      <c r="BA316" s="31">
        <f t="shared" si="228"/>
        <v>0</v>
      </c>
      <c r="BB316" s="31">
        <f t="shared" si="229"/>
        <v>0</v>
      </c>
    </row>
    <row r="317" spans="14:54" x14ac:dyDescent="0.45">
      <c r="N317" s="10">
        <v>99</v>
      </c>
      <c r="O317" s="50">
        <f t="shared" si="230"/>
        <v>9772.3722095581161</v>
      </c>
      <c r="P317" s="48" t="str">
        <f t="shared" si="196"/>
        <v>17.4002386318441</v>
      </c>
      <c r="Q317" s="17" t="str">
        <f t="shared" si="197"/>
        <v>1+5.25857749731767i</v>
      </c>
      <c r="R317" s="17">
        <f t="shared" si="205"/>
        <v>5.3528158286359693</v>
      </c>
      <c r="S317" s="17">
        <f t="shared" si="206"/>
        <v>1.3828746550130713</v>
      </c>
      <c r="T317" s="17" t="str">
        <f t="shared" si="198"/>
        <v>1+0.0184204876450157i</v>
      </c>
      <c r="U317" s="17">
        <f t="shared" si="207"/>
        <v>1.0001696427932014</v>
      </c>
      <c r="V317" s="17">
        <f t="shared" si="208"/>
        <v>1.8418404623722108E-2</v>
      </c>
      <c r="W317" s="31" t="str">
        <f t="shared" si="199"/>
        <v>1-0.0454455568203562i</v>
      </c>
      <c r="X317" s="17">
        <f t="shared" si="209"/>
        <v>1.0010321166849305</v>
      </c>
      <c r="Y317" s="17">
        <f t="shared" si="210"/>
        <v>-4.541430931699697E-2</v>
      </c>
      <c r="Z317" s="31" t="str">
        <f t="shared" si="200"/>
        <v>0.999913379357277+0.0635583315531802i</v>
      </c>
      <c r="AA317" s="17">
        <f t="shared" si="211"/>
        <v>1.0019313488096444</v>
      </c>
      <c r="AB317" s="17">
        <f t="shared" si="212"/>
        <v>6.347843746715863E-2</v>
      </c>
      <c r="AC317" s="66" t="str">
        <f t="shared" si="213"/>
        <v>0.316037778860754-3.23289291960163i</v>
      </c>
      <c r="AD317" s="64">
        <f t="shared" si="214"/>
        <v>10.233132363252357</v>
      </c>
      <c r="AE317" s="61">
        <f t="shared" si="215"/>
        <v>-84.416679287874061</v>
      </c>
      <c r="AF317" s="31" t="str">
        <f t="shared" si="201"/>
        <v>-9090.90909090909</v>
      </c>
      <c r="AG317" s="31" t="str">
        <f t="shared" si="202"/>
        <v>2.27623467397318E-08i</v>
      </c>
      <c r="AH317" s="31">
        <f t="shared" si="216"/>
        <v>2.27623467397318E-8</v>
      </c>
      <c r="AI317" s="31">
        <f t="shared" si="217"/>
        <v>1.5707963267948966</v>
      </c>
      <c r="AJ317" s="31" t="str">
        <f t="shared" si="203"/>
        <v>1+177334750.866825i</v>
      </c>
      <c r="AK317" s="31">
        <f t="shared" si="218"/>
        <v>177334750.86682501</v>
      </c>
      <c r="AL317" s="31">
        <f t="shared" si="219"/>
        <v>1.570796321155844</v>
      </c>
      <c r="AM317" s="31" t="str">
        <f t="shared" si="204"/>
        <v>1+80.9150620620056i</v>
      </c>
      <c r="AN317" s="31">
        <f t="shared" si="220"/>
        <v>80.92124114531498</v>
      </c>
      <c r="AO317" s="31">
        <f t="shared" si="221"/>
        <v>1.5584383174552121</v>
      </c>
      <c r="AS317" s="58" t="str">
        <f t="shared" si="222"/>
        <v>2252.14440139002+182232.487173595i</v>
      </c>
      <c r="AT317" s="49">
        <f t="shared" si="223"/>
        <v>105.21317932488279</v>
      </c>
      <c r="AU317" s="61">
        <f t="shared" si="224"/>
        <v>89.291938544746756</v>
      </c>
      <c r="AV317" s="58" t="str">
        <f t="shared" si="225"/>
        <v>589849.880219199+50311.4087934396i</v>
      </c>
      <c r="AW317" s="64">
        <f t="shared" si="226"/>
        <v>115.44631168813515</v>
      </c>
      <c r="AX317" s="61">
        <f t="shared" si="227"/>
        <v>4.8752592568726927</v>
      </c>
      <c r="AY317" s="310"/>
      <c r="BA317" s="31">
        <f t="shared" si="228"/>
        <v>0</v>
      </c>
      <c r="BB317" s="31">
        <f t="shared" si="229"/>
        <v>0</v>
      </c>
    </row>
    <row r="318" spans="14:54" x14ac:dyDescent="0.45">
      <c r="N318" s="10">
        <v>100</v>
      </c>
      <c r="O318" s="50">
        <f t="shared" si="230"/>
        <v>10000</v>
      </c>
      <c r="P318" s="48" t="str">
        <f t="shared" si="196"/>
        <v>17.4002386318441</v>
      </c>
      <c r="Q318" s="17" t="str">
        <f t="shared" si="197"/>
        <v>1+5.38106550237043i</v>
      </c>
      <c r="R318" s="17">
        <f t="shared" si="205"/>
        <v>5.473195222244601</v>
      </c>
      <c r="S318" s="17">
        <f t="shared" si="206"/>
        <v>1.3870555724018487</v>
      </c>
      <c r="T318" s="17" t="str">
        <f t="shared" si="198"/>
        <v>1+0.0188495559215388i</v>
      </c>
      <c r="U318" s="17">
        <f t="shared" si="207"/>
        <v>1.0001776371017497</v>
      </c>
      <c r="V318" s="17">
        <f t="shared" si="208"/>
        <v>1.8847323945418881E-2</v>
      </c>
      <c r="W318" s="31" t="str">
        <f t="shared" si="199"/>
        <v>1-0.0465041198245673i</v>
      </c>
      <c r="X318" s="17">
        <f t="shared" si="209"/>
        <v>1.0010807325888644</v>
      </c>
      <c r="Y318" s="17">
        <f t="shared" si="210"/>
        <v>-4.6470639473392431E-2</v>
      </c>
      <c r="Z318" s="31" t="str">
        <f t="shared" si="200"/>
        <v>0.999909297052154+0.065038795279426i</v>
      </c>
      <c r="AA318" s="17">
        <f t="shared" si="211"/>
        <v>1.0020222788055821</v>
      </c>
      <c r="AB318" s="17">
        <f t="shared" si="212"/>
        <v>6.495319654765111E-2</v>
      </c>
      <c r="AC318" s="66" t="str">
        <f t="shared" si="213"/>
        <v>0.289205085786494-3.16355895150097i</v>
      </c>
      <c r="AD318" s="64">
        <f t="shared" si="214"/>
        <v>10.039662604625711</v>
      </c>
      <c r="AE318" s="61">
        <f t="shared" si="215"/>
        <v>-84.776673672703708</v>
      </c>
      <c r="AF318" s="31" t="str">
        <f t="shared" si="201"/>
        <v>-9090.90909090909</v>
      </c>
      <c r="AG318" s="31" t="str">
        <f t="shared" si="202"/>
        <v>2.27623467397318E-08i</v>
      </c>
      <c r="AH318" s="31">
        <f t="shared" si="216"/>
        <v>2.27623467397318E-8</v>
      </c>
      <c r="AI318" s="31">
        <f t="shared" si="217"/>
        <v>1.5707963267948966</v>
      </c>
      <c r="AJ318" s="31" t="str">
        <f t="shared" si="203"/>
        <v>1+181465407.849876i</v>
      </c>
      <c r="AK318" s="31">
        <f t="shared" si="218"/>
        <v>181465407.84987599</v>
      </c>
      <c r="AL318" s="31">
        <f t="shared" si="219"/>
        <v>1.5707963212842044</v>
      </c>
      <c r="AM318" s="31" t="str">
        <f t="shared" si="204"/>
        <v>1+82.7998159780126i</v>
      </c>
      <c r="AN318" s="31">
        <f t="shared" si="220"/>
        <v>82.805854418590187</v>
      </c>
      <c r="AO318" s="31">
        <f t="shared" si="221"/>
        <v>1.5587195924220192</v>
      </c>
      <c r="AS318" s="58" t="str">
        <f t="shared" si="222"/>
        <v>2200.87933600556+182232.487173022i</v>
      </c>
      <c r="AT318" s="49">
        <f t="shared" si="223"/>
        <v>105.21314947485125</v>
      </c>
      <c r="AU318" s="61">
        <f t="shared" si="224"/>
        <v>89.308054405872952</v>
      </c>
      <c r="AV318" s="58" t="str">
        <f t="shared" si="225"/>
        <v>577139.721547675+45739.9505613661i</v>
      </c>
      <c r="AW318" s="64">
        <f t="shared" si="226"/>
        <v>115.25281207947697</v>
      </c>
      <c r="AX318" s="61">
        <f t="shared" si="227"/>
        <v>4.5313807331692475</v>
      </c>
      <c r="AY318" s="310"/>
      <c r="BA318" s="31">
        <f t="shared" si="228"/>
        <v>0</v>
      </c>
      <c r="BB318" s="31">
        <f t="shared" si="229"/>
        <v>0</v>
      </c>
    </row>
    <row r="319" spans="14:54" x14ac:dyDescent="0.45">
      <c r="N319" s="10">
        <v>1</v>
      </c>
      <c r="O319" s="50">
        <f>10^(4+(N319/100))</f>
        <v>10232.929922807549</v>
      </c>
      <c r="P319" s="48" t="str">
        <f t="shared" si="196"/>
        <v>17.4002386318441</v>
      </c>
      <c r="Q319" s="17" t="str">
        <f t="shared" si="197"/>
        <v>1+5.50640661957937i</v>
      </c>
      <c r="R319" s="17">
        <f t="shared" si="205"/>
        <v>5.5964733413237573</v>
      </c>
      <c r="S319" s="17">
        <f t="shared" si="206"/>
        <v>1.3911476079222851</v>
      </c>
      <c r="T319" s="17" t="str">
        <f t="shared" si="198"/>
        <v>1+0.0192886184821148i</v>
      </c>
      <c r="U319" s="17">
        <f t="shared" si="207"/>
        <v>1.0001860081019673</v>
      </c>
      <c r="V319" s="17">
        <f t="shared" si="208"/>
        <v>1.9286226900634643E-2</v>
      </c>
      <c r="W319" s="31" t="str">
        <f t="shared" si="199"/>
        <v>1-0.0475873399286642i</v>
      </c>
      <c r="X319" s="17">
        <f t="shared" si="209"/>
        <v>1.0011316371594128</v>
      </c>
      <c r="Y319" s="17">
        <f t="shared" si="210"/>
        <v>-4.7551467275807793E-2</v>
      </c>
      <c r="Z319" s="31" t="str">
        <f t="shared" si="200"/>
        <v>0.999905022353918+0.0665537434358192i</v>
      </c>
      <c r="AA319" s="17">
        <f t="shared" si="211"/>
        <v>1.0021174853747987</v>
      </c>
      <c r="AB319" s="17">
        <f t="shared" si="212"/>
        <v>6.6462033200886825E-2</v>
      </c>
      <c r="AC319" s="66" t="str">
        <f t="shared" si="213"/>
        <v>0.263505291231835-3.09546722174778i</v>
      </c>
      <c r="AD319" s="64">
        <f t="shared" si="214"/>
        <v>9.8458817148726236</v>
      </c>
      <c r="AE319" s="61">
        <f t="shared" si="215"/>
        <v>-85.134359594356511</v>
      </c>
      <c r="AF319" s="31" t="str">
        <f t="shared" si="201"/>
        <v>-9090.90909090909</v>
      </c>
      <c r="AG319" s="31" t="str">
        <f t="shared" si="202"/>
        <v>2.27623467397318E-08i</v>
      </c>
      <c r="AH319" s="31">
        <f t="shared" si="216"/>
        <v>2.27623467397318E-8</v>
      </c>
      <c r="AI319" s="31">
        <f t="shared" si="217"/>
        <v>1.5707963267948966</v>
      </c>
      <c r="AJ319" s="31" t="str">
        <f t="shared" si="203"/>
        <v>1+185692280.194147i</v>
      </c>
      <c r="AK319" s="31">
        <f t="shared" si="218"/>
        <v>185692280.19414699</v>
      </c>
      <c r="AL319" s="31">
        <f t="shared" si="219"/>
        <v>1.5707963214096432</v>
      </c>
      <c r="AM319" s="31" t="str">
        <f t="shared" si="204"/>
        <v>1+84.7284714524363i</v>
      </c>
      <c r="AN319" s="31">
        <f t="shared" si="220"/>
        <v>84.73437245100898</v>
      </c>
      <c r="AO319" s="31">
        <f t="shared" si="221"/>
        <v>1.5589944666354993</v>
      </c>
      <c r="AS319" s="58" t="str">
        <f t="shared" si="222"/>
        <v>2150.78120597715+182232.487172476i</v>
      </c>
      <c r="AT319" s="49">
        <f t="shared" si="223"/>
        <v>105.21312096810095</v>
      </c>
      <c r="AU319" s="61">
        <f t="shared" si="224"/>
        <v>89.32380353101523</v>
      </c>
      <c r="AV319" s="58" t="str">
        <f t="shared" si="225"/>
        <v>564661.433008029+41361.5518800315i</v>
      </c>
      <c r="AW319" s="64">
        <f t="shared" si="226"/>
        <v>115.05900268297358</v>
      </c>
      <c r="AX319" s="61">
        <f t="shared" si="227"/>
        <v>4.1894439366587353</v>
      </c>
      <c r="AY319" s="310"/>
      <c r="BA319" s="31">
        <f t="shared" si="228"/>
        <v>0</v>
      </c>
      <c r="BB319" s="31">
        <f t="shared" si="229"/>
        <v>0</v>
      </c>
    </row>
    <row r="320" spans="14:54" x14ac:dyDescent="0.45">
      <c r="N320" s="10">
        <v>2</v>
      </c>
      <c r="O320" s="50">
        <f t="shared" ref="O320:O383" si="231">10^(4+(N320/100))</f>
        <v>10471.285480509003</v>
      </c>
      <c r="P320" s="48" t="str">
        <f t="shared" si="196"/>
        <v>17.4002386318441</v>
      </c>
      <c r="Q320" s="17" t="str">
        <f t="shared" si="197"/>
        <v>1+5.63466730646393i</v>
      </c>
      <c r="R320" s="17">
        <f t="shared" si="205"/>
        <v>5.7227157586703079</v>
      </c>
      <c r="S320" s="17">
        <f t="shared" si="206"/>
        <v>1.3951523827957435</v>
      </c>
      <c r="T320" s="17" t="str">
        <f t="shared" si="198"/>
        <v>1+0.0197379081235251i</v>
      </c>
      <c r="U320" s="17">
        <f t="shared" si="207"/>
        <v>1.0001947735401804</v>
      </c>
      <c r="V320" s="17">
        <f t="shared" si="208"/>
        <v>1.9735345524750592E-2</v>
      </c>
      <c r="W320" s="31" t="str">
        <f t="shared" si="199"/>
        <v>1-0.0486957914702842i</v>
      </c>
      <c r="X320" s="17">
        <f t="shared" si="209"/>
        <v>1.0011849380144098</v>
      </c>
      <c r="Y320" s="17">
        <f t="shared" si="210"/>
        <v>-4.8657355686819462E-2</v>
      </c>
      <c r="Z320" s="31" t="str">
        <f t="shared" si="200"/>
        <v>0.999900546195361+0.0681039792679251i</v>
      </c>
      <c r="AA320" s="17">
        <f t="shared" si="211"/>
        <v>1.0022171692172845</v>
      </c>
      <c r="AB320" s="17">
        <f t="shared" si="212"/>
        <v>6.8005721712266515E-2</v>
      </c>
      <c r="AC320" s="66" t="str">
        <f t="shared" si="213"/>
        <v>0.238894237708134-3.02860887006516i</v>
      </c>
      <c r="AD320" s="64">
        <f t="shared" si="214"/>
        <v>9.651801572572122</v>
      </c>
      <c r="AE320" s="61">
        <f t="shared" si="215"/>
        <v>-85.489893265991412</v>
      </c>
      <c r="AF320" s="31" t="str">
        <f t="shared" si="201"/>
        <v>-9090.90909090909</v>
      </c>
      <c r="AG320" s="31" t="str">
        <f t="shared" si="202"/>
        <v>2.27623467397318E-08i</v>
      </c>
      <c r="AH320" s="31">
        <f t="shared" si="216"/>
        <v>2.27623467397318E-8</v>
      </c>
      <c r="AI320" s="31">
        <f t="shared" si="217"/>
        <v>1.5707963267948966</v>
      </c>
      <c r="AJ320" s="31" t="str">
        <f t="shared" si="203"/>
        <v>1+190017609.043305i</v>
      </c>
      <c r="AK320" s="31">
        <f t="shared" si="218"/>
        <v>190017609.04330501</v>
      </c>
      <c r="AL320" s="31">
        <f t="shared" si="219"/>
        <v>1.5707963215322265</v>
      </c>
      <c r="AM320" s="31" t="str">
        <f t="shared" si="204"/>
        <v>1+86.702051083938i</v>
      </c>
      <c r="AN320" s="31">
        <f t="shared" si="220"/>
        <v>86.707817768421521</v>
      </c>
      <c r="AO320" s="31">
        <f t="shared" si="221"/>
        <v>1.5592630856713565</v>
      </c>
      <c r="AS320" s="58" t="str">
        <f t="shared" si="222"/>
        <v>2101.8234486131+182232.487171955i</v>
      </c>
      <c r="AT320" s="49">
        <f t="shared" si="223"/>
        <v>105.21309374419113</v>
      </c>
      <c r="AU320" s="61">
        <f t="shared" si="224"/>
        <v>89.339194261043232</v>
      </c>
      <c r="AV320" s="58" t="str">
        <f t="shared" si="225"/>
        <v>552413.040573572+37168.6899688209i</v>
      </c>
      <c r="AW320" s="64">
        <f t="shared" si="226"/>
        <v>114.86489531676327</v>
      </c>
      <c r="AX320" s="61">
        <f t="shared" si="227"/>
        <v>3.8493009950518129</v>
      </c>
      <c r="AY320" s="310"/>
      <c r="BA320" s="31">
        <f t="shared" si="228"/>
        <v>0</v>
      </c>
      <c r="BB320" s="31">
        <f t="shared" si="229"/>
        <v>0</v>
      </c>
    </row>
    <row r="321" spans="14:54" x14ac:dyDescent="0.45">
      <c r="N321" s="10">
        <v>3</v>
      </c>
      <c r="O321" s="50">
        <f t="shared" si="231"/>
        <v>10715.193052376071</v>
      </c>
      <c r="P321" s="48" t="str">
        <f t="shared" si="196"/>
        <v>17.4002386318441</v>
      </c>
      <c r="Q321" s="17" t="str">
        <f t="shared" si="197"/>
        <v>1+5.76591556853801i</v>
      </c>
      <c r="R321" s="17">
        <f t="shared" si="205"/>
        <v>5.8519896055537384</v>
      </c>
      <c r="S321" s="17">
        <f t="shared" si="206"/>
        <v>1.3990715063171697</v>
      </c>
      <c r="T321" s="17" t="str">
        <f t="shared" si="198"/>
        <v>1+0.0201976630650847i</v>
      </c>
      <c r="U321" s="17">
        <f t="shared" si="207"/>
        <v>1.0002039519984365</v>
      </c>
      <c r="V321" s="17">
        <f t="shared" si="208"/>
        <v>2.0194917221265579E-2</v>
      </c>
      <c r="W321" s="31" t="str">
        <f t="shared" si="199"/>
        <v>1-0.0498300621651068i</v>
      </c>
      <c r="X321" s="17">
        <f t="shared" si="209"/>
        <v>1.0012407478201126</v>
      </c>
      <c r="Y321" s="17">
        <f t="shared" si="210"/>
        <v>-4.9788880237034851E-2</v>
      </c>
      <c r="Z321" s="31" t="str">
        <f t="shared" si="200"/>
        <v>0.99989585908195+0.0696903247313015i</v>
      </c>
      <c r="AA321" s="17">
        <f t="shared" si="211"/>
        <v>1.0023215404102543</v>
      </c>
      <c r="AB321" s="17">
        <f t="shared" si="212"/>
        <v>6.9585053022726231E-2</v>
      </c>
      <c r="AC321" s="66" t="str">
        <f t="shared" si="213"/>
        <v>0.215329221266935-2.96297406473839i</v>
      </c>
      <c r="AD321" s="64">
        <f t="shared" si="214"/>
        <v>9.4574335351250429</v>
      </c>
      <c r="AE321" s="61">
        <f t="shared" si="215"/>
        <v>-85.843431584250609</v>
      </c>
      <c r="AF321" s="31" t="str">
        <f t="shared" si="201"/>
        <v>-9090.90909090909</v>
      </c>
      <c r="AG321" s="31" t="str">
        <f t="shared" si="202"/>
        <v>2.27623467397318E-08i</v>
      </c>
      <c r="AH321" s="31">
        <f t="shared" si="216"/>
        <v>2.27623467397318E-8</v>
      </c>
      <c r="AI321" s="31">
        <f t="shared" si="217"/>
        <v>1.5707963267948966</v>
      </c>
      <c r="AJ321" s="31" t="str">
        <f t="shared" si="203"/>
        <v>1+194443687.743958i</v>
      </c>
      <c r="AK321" s="31">
        <f t="shared" si="218"/>
        <v>194443687.743958</v>
      </c>
      <c r="AL321" s="31">
        <f t="shared" si="219"/>
        <v>1.5707963216520195</v>
      </c>
      <c r="AM321" s="31" t="str">
        <f t="shared" si="204"/>
        <v>1+88.7216012905617i</v>
      </c>
      <c r="AN321" s="31">
        <f t="shared" si="220"/>
        <v>88.727236717714817</v>
      </c>
      <c r="AO321" s="31">
        <f t="shared" si="221"/>
        <v>1.5595255917998103</v>
      </c>
      <c r="AS321" s="58" t="str">
        <f t="shared" si="222"/>
        <v>2053.98010586243+182232.487171457i</v>
      </c>
      <c r="AT321" s="49">
        <f t="shared" si="223"/>
        <v>105.21306774539977</v>
      </c>
      <c r="AU321" s="61">
        <f t="shared" si="224"/>
        <v>89.354234747436308</v>
      </c>
      <c r="AV321" s="58" t="str">
        <f t="shared" si="225"/>
        <v>540392.415178492+33154.0897690076i</v>
      </c>
      <c r="AW321" s="64">
        <f t="shared" si="226"/>
        <v>114.6705012805248</v>
      </c>
      <c r="AX321" s="61">
        <f t="shared" si="227"/>
        <v>3.5108031631856913</v>
      </c>
      <c r="AY321" s="310"/>
      <c r="BA321" s="31">
        <f t="shared" si="228"/>
        <v>0</v>
      </c>
      <c r="BB321" s="31">
        <f t="shared" si="229"/>
        <v>0</v>
      </c>
    </row>
    <row r="322" spans="14:54" x14ac:dyDescent="0.45">
      <c r="N322" s="10">
        <v>4</v>
      </c>
      <c r="O322" s="50">
        <f t="shared" si="231"/>
        <v>10964.781961431856</v>
      </c>
      <c r="P322" s="48" t="str">
        <f t="shared" si="196"/>
        <v>17.4002386318441</v>
      </c>
      <c r="Q322" s="17" t="str">
        <f t="shared" si="197"/>
        <v>1+5.90022099536745i</v>
      </c>
      <c r="R322" s="17">
        <f t="shared" si="205"/>
        <v>5.9843636081186489</v>
      </c>
      <c r="S322" s="17">
        <f t="shared" si="206"/>
        <v>1.4029065746509479</v>
      </c>
      <c r="T322" s="17" t="str">
        <f t="shared" si="198"/>
        <v>1+0.0206681270749489i</v>
      </c>
      <c r="U322" s="17">
        <f t="shared" si="207"/>
        <v>1.0002135629338298</v>
      </c>
      <c r="V322" s="17">
        <f t="shared" si="208"/>
        <v>2.0665184884215732E-2</v>
      </c>
      <c r="W322" s="31" t="str">
        <f t="shared" si="199"/>
        <v>1-0.0509907534184681i</v>
      </c>
      <c r="X322" s="17">
        <f t="shared" si="209"/>
        <v>1.0012991845268742</v>
      </c>
      <c r="Y322" s="17">
        <f t="shared" si="210"/>
        <v>-5.0946629279203834E-2</v>
      </c>
      <c r="Z322" s="31" t="str">
        <f t="shared" si="200"/>
        <v>0.99989095107169+0.0713136209273109i</v>
      </c>
      <c r="AA322" s="17">
        <f t="shared" si="211"/>
        <v>1.0024308188422846</v>
      </c>
      <c r="AB322" s="17">
        <f t="shared" si="212"/>
        <v>7.120083501964547E-2</v>
      </c>
      <c r="AC322" s="66" t="str">
        <f t="shared" si="213"/>
        <v>0.19276896932959-2.89855208677441i</v>
      </c>
      <c r="AD322" s="64">
        <f t="shared" si="214"/>
        <v>9.2627884537094083</v>
      </c>
      <c r="AE322" s="61">
        <f t="shared" si="215"/>
        <v>-86.195132084480122</v>
      </c>
      <c r="AF322" s="31" t="str">
        <f t="shared" si="201"/>
        <v>-9090.90909090909</v>
      </c>
      <c r="AG322" s="31" t="str">
        <f t="shared" si="202"/>
        <v>2.27623467397318E-08i</v>
      </c>
      <c r="AH322" s="31">
        <f t="shared" si="216"/>
        <v>2.27623467397318E-8</v>
      </c>
      <c r="AI322" s="31">
        <f t="shared" si="217"/>
        <v>1.5707963267948966</v>
      </c>
      <c r="AJ322" s="31" t="str">
        <f t="shared" si="203"/>
        <v>1+198972863.061619i</v>
      </c>
      <c r="AK322" s="31">
        <f t="shared" si="218"/>
        <v>198972863.06161901</v>
      </c>
      <c r="AL322" s="31">
        <f t="shared" si="219"/>
        <v>1.5707963217690857</v>
      </c>
      <c r="AM322" s="31" t="str">
        <f t="shared" si="204"/>
        <v>1+90.7881928645589i</v>
      </c>
      <c r="AN322" s="31">
        <f t="shared" si="220"/>
        <v>90.793700021600301</v>
      </c>
      <c r="AO322" s="31">
        <f t="shared" si="221"/>
        <v>1.559782124060288</v>
      </c>
      <c r="AS322" s="58" t="str">
        <f t="shared" si="222"/>
        <v>2007.22581055152+182232.487170982i</v>
      </c>
      <c r="AT322" s="49">
        <f t="shared" si="223"/>
        <v>105.21304291660149</v>
      </c>
      <c r="AU322" s="61">
        <f t="shared" si="224"/>
        <v>89.368932956563228</v>
      </c>
      <c r="AV322" s="58" t="str">
        <f t="shared" si="225"/>
        <v>528597.286818253+29310.7201685164i</v>
      </c>
      <c r="AW322" s="64">
        <f t="shared" si="226"/>
        <v>114.4758313703109</v>
      </c>
      <c r="AX322" s="61">
        <f t="shared" si="227"/>
        <v>3.173800872083119</v>
      </c>
      <c r="AY322" s="310"/>
      <c r="BA322" s="31">
        <f t="shared" si="228"/>
        <v>0</v>
      </c>
      <c r="BB322" s="31">
        <f t="shared" si="229"/>
        <v>0</v>
      </c>
    </row>
    <row r="323" spans="14:54" x14ac:dyDescent="0.45">
      <c r="N323" s="10">
        <v>5</v>
      </c>
      <c r="O323" s="50">
        <f t="shared" si="231"/>
        <v>11220.184543019639</v>
      </c>
      <c r="P323" s="48" t="str">
        <f t="shared" si="196"/>
        <v>17.4002386318441</v>
      </c>
      <c r="Q323" s="17" t="str">
        <f t="shared" si="197"/>
        <v>1+6.03765479746728i</v>
      </c>
      <c r="R323" s="17">
        <f t="shared" si="205"/>
        <v>6.1199081245864839</v>
      </c>
      <c r="S323" s="17">
        <f t="shared" si="206"/>
        <v>1.4066591697332607</v>
      </c>
      <c r="T323" s="17" t="str">
        <f t="shared" si="198"/>
        <v>1+0.0211495495993634i</v>
      </c>
      <c r="U323" s="17">
        <f t="shared" si="207"/>
        <v>1.0002236267196731</v>
      </c>
      <c r="V323" s="17">
        <f t="shared" si="208"/>
        <v>2.1146397023260103E-2</v>
      </c>
      <c r="W323" s="31" t="str">
        <f t="shared" si="199"/>
        <v>1-0.0521784806442343i</v>
      </c>
      <c r="X323" s="17">
        <f t="shared" si="209"/>
        <v>1.001360371615704</v>
      </c>
      <c r="Y323" s="17">
        <f t="shared" si="210"/>
        <v>-5.2131204245528674E-2</v>
      </c>
      <c r="Z323" s="31" t="str">
        <f t="shared" si="200"/>
        <v>0.999885811754032+0.0729747285490834i</v>
      </c>
      <c r="AA323" s="17">
        <f t="shared" si="211"/>
        <v>1.0025452346671606</v>
      </c>
      <c r="AB323" s="17">
        <f t="shared" si="212"/>
        <v>7.2853892827788341E-2</v>
      </c>
      <c r="AC323" s="66" t="str">
        <f t="shared" si="213"/>
        <v>0.171173616356389-2.83533140954365i</v>
      </c>
      <c r="AD323" s="64">
        <f t="shared" si="214"/>
        <v>9.0678766879190249</v>
      </c>
      <c r="AE323" s="61">
        <f t="shared" si="215"/>
        <v>-86.545152902085491</v>
      </c>
      <c r="AF323" s="31" t="str">
        <f t="shared" si="201"/>
        <v>-9090.90909090909</v>
      </c>
      <c r="AG323" s="31" t="str">
        <f t="shared" si="202"/>
        <v>2.27623467397318E-08i</v>
      </c>
      <c r="AH323" s="31">
        <f t="shared" si="216"/>
        <v>2.27623467397318E-8</v>
      </c>
      <c r="AI323" s="31">
        <f t="shared" si="217"/>
        <v>1.5707963267948966</v>
      </c>
      <c r="AJ323" s="31" t="str">
        <f t="shared" si="203"/>
        <v>1+203607536.424993i</v>
      </c>
      <c r="AK323" s="31">
        <f t="shared" si="218"/>
        <v>203607536.42499301</v>
      </c>
      <c r="AL323" s="31">
        <f t="shared" si="219"/>
        <v>1.5707963218834871</v>
      </c>
      <c r="AM323" s="31" t="str">
        <f t="shared" si="204"/>
        <v>1+92.9029215401367i</v>
      </c>
      <c r="AN323" s="31">
        <f t="shared" si="220"/>
        <v>92.908303346325283</v>
      </c>
      <c r="AO323" s="31">
        <f t="shared" si="221"/>
        <v>1.5600328183344556</v>
      </c>
      <c r="AS323" s="58" t="str">
        <f t="shared" si="222"/>
        <v>1961.53577293415+182232.487170528i</v>
      </c>
      <c r="AT323" s="49">
        <f t="shared" si="223"/>
        <v>105.21301920515069</v>
      </c>
      <c r="AU323" s="61">
        <f t="shared" si="224"/>
        <v>89.383296673866411</v>
      </c>
      <c r="AV323" s="58" t="str">
        <f t="shared" si="225"/>
        <v>517025.257885724+25631.7898586549i</v>
      </c>
      <c r="AW323" s="64">
        <f t="shared" si="226"/>
        <v>114.28089589306971</v>
      </c>
      <c r="AX323" s="61">
        <f t="shared" si="227"/>
        <v>2.8381437717809344</v>
      </c>
      <c r="AY323" s="310"/>
      <c r="BA323" s="31">
        <f t="shared" si="228"/>
        <v>0</v>
      </c>
      <c r="BB323" s="31">
        <f t="shared" si="229"/>
        <v>0</v>
      </c>
    </row>
    <row r="324" spans="14:54" x14ac:dyDescent="0.45">
      <c r="N324" s="10">
        <v>6</v>
      </c>
      <c r="O324" s="50">
        <f t="shared" si="231"/>
        <v>11481.536214968832</v>
      </c>
      <c r="P324" s="48" t="str">
        <f t="shared" si="196"/>
        <v>17.4002386318441</v>
      </c>
      <c r="Q324" s="17" t="str">
        <f t="shared" si="197"/>
        <v>1+6.17828984405855i</v>
      </c>
      <c r="R324" s="17">
        <f t="shared" si="205"/>
        <v>6.2586951832787818</v>
      </c>
      <c r="S324" s="17">
        <f t="shared" si="206"/>
        <v>1.4103308582751659</v>
      </c>
      <c r="T324" s="17" t="str">
        <f t="shared" si="198"/>
        <v>1+0.0216421858949228i</v>
      </c>
      <c r="U324" s="17">
        <f t="shared" si="207"/>
        <v>1.0002341646886046</v>
      </c>
      <c r="V324" s="17">
        <f t="shared" si="208"/>
        <v>2.1638807891477485E-2</v>
      </c>
      <c r="W324" s="31" t="str">
        <f t="shared" si="199"/>
        <v>1-0.053393873591102i</v>
      </c>
      <c r="X324" s="17">
        <f t="shared" si="209"/>
        <v>1.0014244383562159</v>
      </c>
      <c r="Y324" s="17">
        <f t="shared" si="210"/>
        <v>-5.3343219908056211E-2</v>
      </c>
      <c r="Z324" s="31" t="str">
        <f t="shared" si="200"/>
        <v>0.999880430227795+0.0746745283378673i</v>
      </c>
      <c r="AA324" s="17">
        <f t="shared" si="211"/>
        <v>1.002665028778307</v>
      </c>
      <c r="AB324" s="17">
        <f t="shared" si="212"/>
        <v>7.4545069099819131E-2</v>
      </c>
      <c r="AC324" s="66" t="str">
        <f t="shared" si="213"/>
        <v>0.150504677662762-2.77329977403725i</v>
      </c>
      <c r="AD324" s="64">
        <f t="shared" si="214"/>
        <v>8.8727081200605582</v>
      </c>
      <c r="AE324" s="61">
        <f t="shared" si="215"/>
        <v>-86.893652739654613</v>
      </c>
      <c r="AF324" s="31" t="str">
        <f t="shared" si="201"/>
        <v>-9090.90909090909</v>
      </c>
      <c r="AG324" s="31" t="str">
        <f t="shared" si="202"/>
        <v>2.27623467397318E-08i</v>
      </c>
      <c r="AH324" s="31">
        <f t="shared" si="216"/>
        <v>2.27623467397318E-8</v>
      </c>
      <c r="AI324" s="31">
        <f t="shared" si="217"/>
        <v>1.5707963267948966</v>
      </c>
      <c r="AJ324" s="31" t="str">
        <f t="shared" si="203"/>
        <v>1+208350165.199244i</v>
      </c>
      <c r="AK324" s="31">
        <f t="shared" si="218"/>
        <v>208350165.19924399</v>
      </c>
      <c r="AL324" s="31">
        <f t="shared" si="219"/>
        <v>1.5707963219952843</v>
      </c>
      <c r="AM324" s="31" t="str">
        <f t="shared" si="204"/>
        <v>1+95.0669085744306i</v>
      </c>
      <c r="AN324" s="31">
        <f t="shared" si="220"/>
        <v>95.072167882609818</v>
      </c>
      <c r="AO324" s="31">
        <f t="shared" si="221"/>
        <v>1.5602778074176191</v>
      </c>
      <c r="AS324" s="58" t="str">
        <f t="shared" si="222"/>
        <v>1916.88576754756+182232.487170095i</v>
      </c>
      <c r="AT324" s="49">
        <f t="shared" si="223"/>
        <v>105.21299656077016</v>
      </c>
      <c r="AU324" s="61">
        <f t="shared" si="224"/>
        <v>89.397333507952951</v>
      </c>
      <c r="AV324" s="58" t="str">
        <f t="shared" si="225"/>
        <v>505673.815765632+22110.7428752237i</v>
      </c>
      <c r="AW324" s="64">
        <f t="shared" si="226"/>
        <v>114.08570468083072</v>
      </c>
      <c r="AX324" s="61">
        <f t="shared" si="227"/>
        <v>2.5036807682983495</v>
      </c>
      <c r="AY324" s="310"/>
      <c r="BA324" s="31">
        <f t="shared" si="228"/>
        <v>0</v>
      </c>
      <c r="BB324" s="31">
        <f t="shared" si="229"/>
        <v>0</v>
      </c>
    </row>
    <row r="325" spans="14:54" x14ac:dyDescent="0.45">
      <c r="N325" s="10">
        <v>7</v>
      </c>
      <c r="O325" s="50">
        <f t="shared" si="231"/>
        <v>11748.975549395318</v>
      </c>
      <c r="P325" s="48" t="str">
        <f t="shared" si="196"/>
        <v>17.4002386318441</v>
      </c>
      <c r="Q325" s="17" t="str">
        <f t="shared" si="197"/>
        <v>1+6.32220070170448i</v>
      </c>
      <c r="R325" s="17">
        <f t="shared" si="205"/>
        <v>6.4007985214840675</v>
      </c>
      <c r="S325" s="17">
        <f t="shared" si="206"/>
        <v>1.4139231908607632</v>
      </c>
      <c r="T325" s="17" t="str">
        <f t="shared" si="198"/>
        <v>1+0.0221462971639119i</v>
      </c>
      <c r="U325" s="17">
        <f t="shared" si="207"/>
        <v>1.0002451991777177</v>
      </c>
      <c r="V325" s="17">
        <f t="shared" si="208"/>
        <v>2.2142677615927694E-2</v>
      </c>
      <c r="W325" s="31" t="str">
        <f t="shared" si="199"/>
        <v>1-0.0546375766764991i</v>
      </c>
      <c r="X325" s="17">
        <f t="shared" si="209"/>
        <v>1.0014915200764709</v>
      </c>
      <c r="Y325" s="17">
        <f t="shared" si="210"/>
        <v>-5.4583304642022067E-2</v>
      </c>
      <c r="Z325" s="31" t="str">
        <f t="shared" si="200"/>
        <v>0.999874795078041+0.0764139215500104i</v>
      </c>
      <c r="AA325" s="17">
        <f t="shared" si="211"/>
        <v>1.0027904533046801</v>
      </c>
      <c r="AB325" s="17">
        <f t="shared" si="212"/>
        <v>7.627522430589645E-2</v>
      </c>
      <c r="AC325" s="66" t="str">
        <f t="shared" si="213"/>
        <v>0.130725021665701-2.71244425988033i</v>
      </c>
      <c r="AD325" s="64">
        <f t="shared" si="214"/>
        <v>8.6772921690876856</v>
      </c>
      <c r="AE325" s="61">
        <f t="shared" si="215"/>
        <v>-87.240790839486877</v>
      </c>
      <c r="AF325" s="31" t="str">
        <f t="shared" si="201"/>
        <v>-9090.90909090909</v>
      </c>
      <c r="AG325" s="31" t="str">
        <f t="shared" si="202"/>
        <v>2.27623467397318E-08i</v>
      </c>
      <c r="AH325" s="31">
        <f t="shared" si="216"/>
        <v>2.27623467397318E-8</v>
      </c>
      <c r="AI325" s="31">
        <f t="shared" si="217"/>
        <v>1.5707963267948966</v>
      </c>
      <c r="AJ325" s="31" t="str">
        <f t="shared" si="203"/>
        <v>1+213203263.988924i</v>
      </c>
      <c r="AK325" s="31">
        <f t="shared" si="218"/>
        <v>213203263.988924</v>
      </c>
      <c r="AL325" s="31">
        <f t="shared" si="219"/>
        <v>1.5707963221045369</v>
      </c>
      <c r="AM325" s="31" t="str">
        <f t="shared" si="204"/>
        <v>1+97.2813013420102i</v>
      </c>
      <c r="AN325" s="31">
        <f t="shared" si="220"/>
        <v>97.286440940117629</v>
      </c>
      <c r="AO325" s="31">
        <f t="shared" si="221"/>
        <v>1.5605172210885323</v>
      </c>
      <c r="AS325" s="58" t="str">
        <f t="shared" si="222"/>
        <v>1873.25212036793+182232.487169681i</v>
      </c>
      <c r="AT325" s="49">
        <f t="shared" si="223"/>
        <v>105.21297493544438</v>
      </c>
      <c r="AU325" s="61">
        <f t="shared" si="224"/>
        <v>89.411050894594311</v>
      </c>
      <c r="AV325" s="58" t="str">
        <f t="shared" si="225"/>
        <v>494540.344711138+18741.2538722505i</v>
      </c>
      <c r="AW325" s="64">
        <f t="shared" si="226"/>
        <v>113.89026710453207</v>
      </c>
      <c r="AX325" s="61">
        <f t="shared" si="227"/>
        <v>2.1702600551074291</v>
      </c>
      <c r="AY325" s="310"/>
      <c r="BA325" s="31">
        <f t="shared" si="228"/>
        <v>0</v>
      </c>
      <c r="BB325" s="31">
        <f t="shared" si="229"/>
        <v>0</v>
      </c>
    </row>
    <row r="326" spans="14:54" x14ac:dyDescent="0.45">
      <c r="N326" s="10">
        <v>8</v>
      </c>
      <c r="O326" s="50">
        <f t="shared" si="231"/>
        <v>12022.644346174151</v>
      </c>
      <c r="P326" s="48" t="str">
        <f t="shared" si="196"/>
        <v>17.4002386318441</v>
      </c>
      <c r="Q326" s="17" t="str">
        <f t="shared" si="197"/>
        <v>1+6.46946367384665i</v>
      </c>
      <c r="R326" s="17">
        <f t="shared" si="205"/>
        <v>6.546293625191387</v>
      </c>
      <c r="S326" s="17">
        <f t="shared" si="206"/>
        <v>1.4174377011350221</v>
      </c>
      <c r="T326" s="17" t="str">
        <f t="shared" si="198"/>
        <v>1+0.0226621506927982i</v>
      </c>
      <c r="U326" s="17">
        <f t="shared" si="207"/>
        <v>1.0002567535758122</v>
      </c>
      <c r="V326" s="17">
        <f t="shared" si="208"/>
        <v>2.2658272331022956E-2</v>
      </c>
      <c r="W326" s="31" t="str">
        <f t="shared" si="199"/>
        <v>1-0.0559102493282639i</v>
      </c>
      <c r="X326" s="17">
        <f t="shared" si="209"/>
        <v>1.0015617584452536</v>
      </c>
      <c r="Y326" s="17">
        <f t="shared" si="210"/>
        <v>-5.5852100692000362E-2</v>
      </c>
      <c r="Z326" s="31" t="str">
        <f t="shared" si="200"/>
        <v>0.99986889435186+0.0781938304348168i</v>
      </c>
      <c r="AA326" s="17">
        <f t="shared" si="211"/>
        <v>1.0029217721290529</v>
      </c>
      <c r="AB326" s="17">
        <f t="shared" si="212"/>
        <v>7.804523702180044E-2</v>
      </c>
      <c r="AC326" s="66" t="str">
        <f t="shared" si="213"/>
        <v>0.111798840820372-2.6527513522482i</v>
      </c>
      <c r="AD326" s="64">
        <f t="shared" si="214"/>
        <v>8.4816378041557314</v>
      </c>
      <c r="AE326" s="61">
        <f t="shared" si="215"/>
        <v>-87.586726961175472</v>
      </c>
      <c r="AF326" s="31" t="str">
        <f t="shared" si="201"/>
        <v>-9090.90909090909</v>
      </c>
      <c r="AG326" s="31" t="str">
        <f t="shared" si="202"/>
        <v>2.27623467397318E-08i</v>
      </c>
      <c r="AH326" s="31">
        <f t="shared" si="216"/>
        <v>2.27623467397318E-8</v>
      </c>
      <c r="AI326" s="31">
        <f t="shared" si="217"/>
        <v>1.5707963267948966</v>
      </c>
      <c r="AJ326" s="31" t="str">
        <f t="shared" si="203"/>
        <v>1+218169405.971249i</v>
      </c>
      <c r="AK326" s="31">
        <f t="shared" si="218"/>
        <v>218169405.97124901</v>
      </c>
      <c r="AL326" s="31">
        <f t="shared" si="219"/>
        <v>1.5707963222113026</v>
      </c>
      <c r="AM326" s="31" t="str">
        <f t="shared" si="204"/>
        <v>1+99.5472739432312i</v>
      </c>
      <c r="AN326" s="31">
        <f t="shared" si="220"/>
        <v>99.552296555773722</v>
      </c>
      <c r="AO326" s="31">
        <f t="shared" si="221"/>
        <v>1.560751186177646</v>
      </c>
      <c r="AS326" s="58" t="str">
        <f t="shared" si="222"/>
        <v>1830.61169625794+182232.487169285i</v>
      </c>
      <c r="AT326" s="49">
        <f t="shared" si="223"/>
        <v>105.21295428331804</v>
      </c>
      <c r="AU326" s="61">
        <f t="shared" si="224"/>
        <v>89.424456100636704</v>
      </c>
      <c r="AV326" s="58" t="str">
        <f t="shared" si="225"/>
        <v>483622.137027507+15517.2231726498i</v>
      </c>
      <c r="AW326" s="64">
        <f t="shared" si="226"/>
        <v>113.69459208747378</v>
      </c>
      <c r="AX326" s="61">
        <f t="shared" si="227"/>
        <v>1.8377291394612307</v>
      </c>
      <c r="AY326" s="310"/>
      <c r="BA326" s="31">
        <f t="shared" si="228"/>
        <v>0</v>
      </c>
      <c r="BB326" s="31">
        <f t="shared" si="229"/>
        <v>0</v>
      </c>
    </row>
    <row r="327" spans="14:54" x14ac:dyDescent="0.45">
      <c r="N327" s="10">
        <v>9</v>
      </c>
      <c r="O327" s="50">
        <f t="shared" si="231"/>
        <v>12302.687708123816</v>
      </c>
      <c r="P327" s="48" t="str">
        <f t="shared" si="196"/>
        <v>17.4002386318441</v>
      </c>
      <c r="Q327" s="17" t="str">
        <f t="shared" si="197"/>
        <v>1+6.62015684126218i</v>
      </c>
      <c r="R327" s="17">
        <f t="shared" si="205"/>
        <v>6.6952577697136082</v>
      </c>
      <c r="S327" s="17">
        <f t="shared" si="206"/>
        <v>1.4208759050760305</v>
      </c>
      <c r="T327" s="17" t="str">
        <f t="shared" si="198"/>
        <v>1+0.0231900199939508i</v>
      </c>
      <c r="U327" s="17">
        <f t="shared" si="207"/>
        <v>1.0002688523728607</v>
      </c>
      <c r="V327" s="17">
        <f t="shared" si="208"/>
        <v>2.3185864314760413E-2</v>
      </c>
      <c r="W327" s="31" t="str">
        <f t="shared" si="199"/>
        <v>1-0.0572125663342821i</v>
      </c>
      <c r="X327" s="17">
        <f t="shared" si="209"/>
        <v>1.0016353017673423</v>
      </c>
      <c r="Y327" s="17">
        <f t="shared" si="210"/>
        <v>-5.7150264440691455E-2</v>
      </c>
      <c r="Z327" s="31" t="str">
        <f t="shared" si="200"/>
        <v>0.999862715533022+0.0800151987235376i</v>
      </c>
      <c r="AA327" s="17">
        <f t="shared" si="211"/>
        <v>1.0030592614296705</v>
      </c>
      <c r="AB327" s="17">
        <f t="shared" si="212"/>
        <v>7.9856004215009949E-2</v>
      </c>
      <c r="AC327" s="66" t="str">
        <f t="shared" si="213"/>
        <v>0.0936916214848475-2.59420700483557i</v>
      </c>
      <c r="AD327" s="64">
        <f t="shared" si="214"/>
        <v>8.2857535577800174</v>
      </c>
      <c r="AE327" s="61">
        <f t="shared" si="215"/>
        <v>-87.931621363895943</v>
      </c>
      <c r="AF327" s="31" t="str">
        <f t="shared" si="201"/>
        <v>-9090.90909090909</v>
      </c>
      <c r="AG327" s="31" t="str">
        <f t="shared" si="202"/>
        <v>2.27623467397318E-08i</v>
      </c>
      <c r="AH327" s="31">
        <f t="shared" si="216"/>
        <v>2.27623467397318E-8</v>
      </c>
      <c r="AI327" s="31">
        <f t="shared" si="217"/>
        <v>1.5707963267948966</v>
      </c>
      <c r="AJ327" s="31" t="str">
        <f t="shared" si="203"/>
        <v>1+223251224.260434i</v>
      </c>
      <c r="AK327" s="31">
        <f t="shared" si="218"/>
        <v>223251224.260434</v>
      </c>
      <c r="AL327" s="31">
        <f t="shared" si="219"/>
        <v>1.5707963223156378</v>
      </c>
      <c r="AM327" s="31" t="str">
        <f t="shared" si="204"/>
        <v>1+101.866027826761i</v>
      </c>
      <c r="AN327" s="31">
        <f t="shared" si="220"/>
        <v>101.87093611625666</v>
      </c>
      <c r="AO327" s="31">
        <f t="shared" si="221"/>
        <v>1.5609798266338311</v>
      </c>
      <c r="AS327" s="58" t="str">
        <f t="shared" si="222"/>
        <v>1788.94188670031+182232.487168907i</v>
      </c>
      <c r="AT327" s="49">
        <f t="shared" si="223"/>
        <v>105.21293456059885</v>
      </c>
      <c r="AU327" s="61">
        <f t="shared" si="224"/>
        <v>89.437556227824075</v>
      </c>
      <c r="AV327" s="58" t="str">
        <f t="shared" si="225"/>
        <v>472916.403588294+12432.7716363499i</v>
      </c>
      <c r="AW327" s="64">
        <f t="shared" si="226"/>
        <v>113.49868811837887</v>
      </c>
      <c r="AX327" s="61">
        <f t="shared" si="227"/>
        <v>1.505934863928128</v>
      </c>
      <c r="AY327" s="310"/>
      <c r="BA327" s="31">
        <f t="shared" si="228"/>
        <v>0</v>
      </c>
      <c r="BB327" s="31">
        <f t="shared" si="229"/>
        <v>0</v>
      </c>
    </row>
    <row r="328" spans="14:54" x14ac:dyDescent="0.45">
      <c r="N328" s="10">
        <v>10</v>
      </c>
      <c r="O328" s="50">
        <f t="shared" si="231"/>
        <v>12589.254117941671</v>
      </c>
      <c r="P328" s="48" t="str">
        <f t="shared" si="196"/>
        <v>17.4002386318441</v>
      </c>
      <c r="Q328" s="17" t="str">
        <f t="shared" si="197"/>
        <v>1+6.77436010346307i</v>
      </c>
      <c r="R328" s="17">
        <f t="shared" si="205"/>
        <v>6.8477700612237395</v>
      </c>
      <c r="S328" s="17">
        <f t="shared" si="206"/>
        <v>1.4242393003466169</v>
      </c>
      <c r="T328" s="17" t="str">
        <f t="shared" si="198"/>
        <v>1+0.0237301849506604i</v>
      </c>
      <c r="U328" s="17">
        <f t="shared" si="207"/>
        <v>1.0002815212117999</v>
      </c>
      <c r="V328" s="17">
        <f t="shared" si="208"/>
        <v>2.3725732127864316E-2</v>
      </c>
      <c r="W328" s="31" t="str">
        <f t="shared" si="199"/>
        <v>1-0.0585452182002687i</v>
      </c>
      <c r="X328" s="17">
        <f t="shared" si="209"/>
        <v>1.0017123052923513</v>
      </c>
      <c r="Y328" s="17">
        <f t="shared" si="210"/>
        <v>-5.8478466680164411E-2</v>
      </c>
      <c r="Z328" s="31" t="str">
        <f t="shared" si="200"/>
        <v>0.999856245515423+0.0818789921297479i</v>
      </c>
      <c r="AA328" s="17">
        <f t="shared" si="211"/>
        <v>1.0032032102462496</v>
      </c>
      <c r="AB328" s="17">
        <f t="shared" si="212"/>
        <v>8.1708441528086609E-2</v>
      </c>
      <c r="AC328" s="66" t="str">
        <f t="shared" si="213"/>
        <v>0.0763701129301039-2.53679669903237i</v>
      </c>
      <c r="AD328" s="64">
        <f t="shared" si="214"/>
        <v>8.0896475385863713</v>
      </c>
      <c r="AE328" s="61">
        <f t="shared" si="215"/>
        <v>-88.27563479306248</v>
      </c>
      <c r="AF328" s="31" t="str">
        <f t="shared" si="201"/>
        <v>-9090.90909090909</v>
      </c>
      <c r="AG328" s="31" t="str">
        <f t="shared" si="202"/>
        <v>2.27623467397318E-08i</v>
      </c>
      <c r="AH328" s="31">
        <f t="shared" si="216"/>
        <v>2.27623467397318E-8</v>
      </c>
      <c r="AI328" s="31">
        <f t="shared" si="217"/>
        <v>1.5707963267948966</v>
      </c>
      <c r="AJ328" s="31" t="str">
        <f t="shared" si="203"/>
        <v>1+228451413.303801i</v>
      </c>
      <c r="AK328" s="31">
        <f t="shared" si="218"/>
        <v>228451413.303801</v>
      </c>
      <c r="AL328" s="31">
        <f t="shared" si="219"/>
        <v>1.5707963224175983</v>
      </c>
      <c r="AM328" s="31" t="str">
        <f t="shared" si="204"/>
        <v>1+104.238792426601i</v>
      </c>
      <c r="AN328" s="31">
        <f t="shared" si="220"/>
        <v>104.24358899498812</v>
      </c>
      <c r="AO328" s="31">
        <f t="shared" si="221"/>
        <v>1.5612032635896089</v>
      </c>
      <c r="AS328" s="58" t="str">
        <f t="shared" si="222"/>
        <v>1748.22059781045+182232.487168547i</v>
      </c>
      <c r="AT328" s="49">
        <f t="shared" si="223"/>
        <v>105.21291572546467</v>
      </c>
      <c r="AU328" s="61">
        <f t="shared" si="224"/>
        <v>89.450358216535506</v>
      </c>
      <c r="AV328" s="58" t="str">
        <f t="shared" si="225"/>
        <v>462420.28371011+9482.2353828897i</v>
      </c>
      <c r="AW328" s="64">
        <f t="shared" si="226"/>
        <v>113.30256326405103</v>
      </c>
      <c r="AX328" s="61">
        <f t="shared" si="227"/>
        <v>1.1747234234730226</v>
      </c>
      <c r="AY328" s="310"/>
      <c r="BA328" s="31">
        <f t="shared" si="228"/>
        <v>0</v>
      </c>
      <c r="BB328" s="31">
        <f t="shared" si="229"/>
        <v>0</v>
      </c>
    </row>
    <row r="329" spans="14:54" x14ac:dyDescent="0.45">
      <c r="N329" s="10">
        <v>11</v>
      </c>
      <c r="O329" s="50">
        <f t="shared" si="231"/>
        <v>12882.49551693136</v>
      </c>
      <c r="P329" s="48" t="str">
        <f t="shared" si="196"/>
        <v>17.4002386318441</v>
      </c>
      <c r="Q329" s="17" t="str">
        <f t="shared" si="197"/>
        <v>1+6.9321552210601i</v>
      </c>
      <c r="R329" s="17">
        <f t="shared" si="205"/>
        <v>7.0039114792286465</v>
      </c>
      <c r="S329" s="17">
        <f t="shared" si="206"/>
        <v>1.4275293657205084</v>
      </c>
      <c r="T329" s="17" t="str">
        <f t="shared" si="198"/>
        <v>1+0.024282931965537i</v>
      </c>
      <c r="U329" s="17">
        <f t="shared" si="207"/>
        <v>1.0002947869427505</v>
      </c>
      <c r="V329" s="17">
        <f t="shared" si="208"/>
        <v>2.4278160755886721E-2</v>
      </c>
      <c r="W329" s="31" t="str">
        <f t="shared" si="199"/>
        <v>1-0.0599089115158827i</v>
      </c>
      <c r="X329" s="17">
        <f t="shared" si="209"/>
        <v>1.0017929315377594</v>
      </c>
      <c r="Y329" s="17">
        <f t="shared" si="210"/>
        <v>-5.983739288534614E-2</v>
      </c>
      <c r="Z329" s="31" t="str">
        <f t="shared" si="200"/>
        <v>0.999849470575289+0.0837861988613822i</v>
      </c>
      <c r="AA329" s="17">
        <f t="shared" si="211"/>
        <v>1.003353921071386</v>
      </c>
      <c r="AB329" s="17">
        <f t="shared" si="212"/>
        <v>8.3603483558681066E-2</v>
      </c>
      <c r="AC329" s="66" t="str">
        <f t="shared" si="213"/>
        <v>0.0598022956928019-2.48050549946089i</v>
      </c>
      <c r="AD329" s="64">
        <f t="shared" si="214"/>
        <v>7.8933274436438019</v>
      </c>
      <c r="AE329" s="61">
        <f t="shared" si="215"/>
        <v>-88.618928471020311</v>
      </c>
      <c r="AF329" s="31" t="str">
        <f t="shared" si="201"/>
        <v>-9090.90909090909</v>
      </c>
      <c r="AG329" s="31" t="str">
        <f t="shared" si="202"/>
        <v>2.27623467397318E-08i</v>
      </c>
      <c r="AH329" s="31">
        <f t="shared" si="216"/>
        <v>2.27623467397318E-8</v>
      </c>
      <c r="AI329" s="31">
        <f t="shared" si="217"/>
        <v>1.5707963267948966</v>
      </c>
      <c r="AJ329" s="31" t="str">
        <f t="shared" si="203"/>
        <v>1+233772730.310414i</v>
      </c>
      <c r="AK329" s="31">
        <f t="shared" si="218"/>
        <v>233772730.31041399</v>
      </c>
      <c r="AL329" s="31">
        <f t="shared" si="219"/>
        <v>1.5707963225172377</v>
      </c>
      <c r="AM329" s="31" t="str">
        <f t="shared" si="204"/>
        <v>1+106.666825813949i</v>
      </c>
      <c r="AN329" s="31">
        <f t="shared" si="220"/>
        <v>106.6715132039634</v>
      </c>
      <c r="AO329" s="31">
        <f t="shared" si="221"/>
        <v>1.5614216154249208</v>
      </c>
      <c r="AS329" s="58" t="str">
        <f t="shared" si="222"/>
        <v>1708.426238622+182232.487168203i</v>
      </c>
      <c r="AT329" s="49">
        <f t="shared" si="223"/>
        <v>105.2128977379749</v>
      </c>
      <c r="AU329" s="61">
        <f t="shared" si="224"/>
        <v>89.462868849438877</v>
      </c>
      <c r="AV329" s="58" t="str">
        <f t="shared" si="225"/>
        <v>452130.854412255+6660.16040214245i</v>
      </c>
      <c r="AW329" s="64">
        <f t="shared" si="226"/>
        <v>113.1062251816187</v>
      </c>
      <c r="AX329" s="61">
        <f t="shared" si="227"/>
        <v>0.84394037841856584</v>
      </c>
      <c r="AY329" s="310"/>
      <c r="BA329" s="31">
        <f t="shared" si="228"/>
        <v>0</v>
      </c>
      <c r="BB329" s="31">
        <f t="shared" si="229"/>
        <v>0</v>
      </c>
    </row>
    <row r="330" spans="14:54" x14ac:dyDescent="0.45">
      <c r="N330" s="10">
        <v>12</v>
      </c>
      <c r="O330" s="50">
        <f t="shared" si="231"/>
        <v>13182.567385564091</v>
      </c>
      <c r="P330" s="48" t="str">
        <f t="shared" si="196"/>
        <v>17.4002386318441</v>
      </c>
      <c r="Q330" s="17" t="str">
        <f t="shared" si="197"/>
        <v>1+7.09362585911324i</v>
      </c>
      <c r="R330" s="17">
        <f t="shared" si="205"/>
        <v>7.1637649200040094</v>
      </c>
      <c r="S330" s="17">
        <f t="shared" si="206"/>
        <v>1.4307475605783726</v>
      </c>
      <c r="T330" s="17" t="str">
        <f t="shared" si="198"/>
        <v>1+0.0248485541123644i</v>
      </c>
      <c r="U330" s="17">
        <f t="shared" si="207"/>
        <v>1.0003086776797825</v>
      </c>
      <c r="V330" s="17">
        <f t="shared" si="208"/>
        <v>2.4843441754315909E-2</v>
      </c>
      <c r="W330" s="31" t="str">
        <f t="shared" si="199"/>
        <v>1-0.0613043693293705i</v>
      </c>
      <c r="X330" s="17">
        <f t="shared" si="209"/>
        <v>1.0018773506267482</v>
      </c>
      <c r="Y330" s="17">
        <f t="shared" si="210"/>
        <v>-6.1227743489530369E-2</v>
      </c>
      <c r="Z330" s="31" t="str">
        <f t="shared" si="200"/>
        <v>0.999842376342064+0.0857378301446941i</v>
      </c>
      <c r="AA330" s="17">
        <f t="shared" si="211"/>
        <v>1.0035117104684259</v>
      </c>
      <c r="AB330" s="17">
        <f t="shared" si="212"/>
        <v>8.5542084135411187E-2</v>
      </c>
      <c r="AC330" s="66" t="str">
        <f t="shared" si="213"/>
        <v>0.0439573494499946-2.42531810602909i</v>
      </c>
      <c r="AD330" s="64">
        <f t="shared" si="214"/>
        <v>7.6968005703707334</v>
      </c>
      <c r="AE330" s="61">
        <f t="shared" si="215"/>
        <v>-88.961664091449194</v>
      </c>
      <c r="AF330" s="31" t="str">
        <f t="shared" si="201"/>
        <v>-9090.90909090909</v>
      </c>
      <c r="AG330" s="31" t="str">
        <f t="shared" si="202"/>
        <v>2.27623467397318E-08i</v>
      </c>
      <c r="AH330" s="31">
        <f t="shared" si="216"/>
        <v>2.27623467397318E-8</v>
      </c>
      <c r="AI330" s="31">
        <f t="shared" si="217"/>
        <v>1.5707963267948966</v>
      </c>
      <c r="AJ330" s="31" t="str">
        <f t="shared" si="203"/>
        <v>1+239217996.712986i</v>
      </c>
      <c r="AK330" s="31">
        <f t="shared" si="218"/>
        <v>239217996.71298599</v>
      </c>
      <c r="AL330" s="31">
        <f t="shared" si="219"/>
        <v>1.5707963226146091</v>
      </c>
      <c r="AM330" s="31" t="str">
        <f t="shared" si="204"/>
        <v>1+109.151415364246i</v>
      </c>
      <c r="AN330" s="31">
        <f t="shared" si="220"/>
        <v>109.1559960607669</v>
      </c>
      <c r="AO330" s="31">
        <f t="shared" si="221"/>
        <v>1.5616349978294681</v>
      </c>
      <c r="AS330" s="58" t="str">
        <f t="shared" si="222"/>
        <v>1669.53770963895+182232.487167874i</v>
      </c>
      <c r="AT330" s="49">
        <f t="shared" si="223"/>
        <v>105.21288055998596</v>
      </c>
      <c r="AU330" s="61">
        <f t="shared" si="224"/>
        <v>89.475094755062827</v>
      </c>
      <c r="AV330" s="58" t="str">
        <f t="shared" si="225"/>
        <v>442045.139087481+3961.29708369421i</v>
      </c>
      <c r="AW330" s="64">
        <f t="shared" si="226"/>
        <v>112.90968113035669</v>
      </c>
      <c r="AX330" s="61">
        <f t="shared" si="227"/>
        <v>0.51343066361363277</v>
      </c>
      <c r="AY330" s="310"/>
      <c r="BA330" s="31">
        <f t="shared" si="228"/>
        <v>0</v>
      </c>
      <c r="BB330" s="31">
        <f t="shared" si="229"/>
        <v>0</v>
      </c>
    </row>
    <row r="331" spans="14:54" x14ac:dyDescent="0.45">
      <c r="N331" s="10">
        <v>13</v>
      </c>
      <c r="O331" s="50">
        <f t="shared" si="231"/>
        <v>13489.628825916556</v>
      </c>
      <c r="P331" s="48" t="str">
        <f t="shared" si="196"/>
        <v>17.4002386318441</v>
      </c>
      <c r="Q331" s="17" t="str">
        <f t="shared" si="197"/>
        <v>1+7.25885763149212i</v>
      </c>
      <c r="R331" s="17">
        <f t="shared" si="205"/>
        <v>7.3274152410158511</v>
      </c>
      <c r="S331" s="17">
        <f t="shared" si="206"/>
        <v>1.4338953244693142</v>
      </c>
      <c r="T331" s="17" t="str">
        <f t="shared" si="198"/>
        <v>1+0.0254273512914916i</v>
      </c>
      <c r="U331" s="17">
        <f t="shared" si="207"/>
        <v>1.0003232228603418</v>
      </c>
      <c r="V331" s="17">
        <f t="shared" si="208"/>
        <v>2.5421873396740704E-2</v>
      </c>
      <c r="W331" s="31" t="str">
        <f t="shared" si="199"/>
        <v>1-0.0627323315309361i</v>
      </c>
      <c r="X331" s="17">
        <f t="shared" si="209"/>
        <v>1.0019657406415188</v>
      </c>
      <c r="Y331" s="17">
        <f t="shared" si="210"/>
        <v>-6.2650234161652857E-2</v>
      </c>
      <c r="Z331" s="31" t="str">
        <f t="shared" si="200"/>
        <v>0.999834947767927+0.087734920760423i</v>
      </c>
      <c r="AA331" s="17">
        <f t="shared" si="211"/>
        <v>1.0036769097169322</v>
      </c>
      <c r="AB331" s="17">
        <f t="shared" si="212"/>
        <v>8.7525216588810836E-2</v>
      </c>
      <c r="AC331" s="66" t="str">
        <f t="shared" si="213"/>
        <v>0.0288056205776076-2.37121890265455i</v>
      </c>
      <c r="AD331" s="64">
        <f t="shared" si="214"/>
        <v>7.5000738280089987</v>
      </c>
      <c r="AE331" s="61">
        <f t="shared" si="215"/>
        <v>-89.304003817160634</v>
      </c>
      <c r="AF331" s="31" t="str">
        <f t="shared" si="201"/>
        <v>-9090.90909090909</v>
      </c>
      <c r="AG331" s="31" t="str">
        <f t="shared" si="202"/>
        <v>2.27623467397318E-08i</v>
      </c>
      <c r="AH331" s="31">
        <f t="shared" si="216"/>
        <v>2.27623467397318E-8</v>
      </c>
      <c r="AI331" s="31">
        <f t="shared" si="217"/>
        <v>1.5707963267948966</v>
      </c>
      <c r="AJ331" s="31" t="str">
        <f t="shared" si="203"/>
        <v>1+244790099.663839i</v>
      </c>
      <c r="AK331" s="31">
        <f t="shared" si="218"/>
        <v>244790099.66383901</v>
      </c>
      <c r="AL331" s="31">
        <f t="shared" si="219"/>
        <v>1.5707963227097641</v>
      </c>
      <c r="AM331" s="31" t="str">
        <f t="shared" si="204"/>
        <v>1+111.693878439758i</v>
      </c>
      <c r="AN331" s="31">
        <f t="shared" si="220"/>
        <v>111.69835487112348</v>
      </c>
      <c r="AO331" s="31">
        <f t="shared" si="221"/>
        <v>1.5618435238636557</v>
      </c>
      <c r="AS331" s="58" t="str">
        <f t="shared" si="222"/>
        <v>1631.53439164849+182232.487167558i</v>
      </c>
      <c r="AT331" s="49">
        <f t="shared" si="223"/>
        <v>105.21286415507036</v>
      </c>
      <c r="AU331" s="61">
        <f t="shared" si="224"/>
        <v>89.4870424112884</v>
      </c>
      <c r="AV331" s="58" t="str">
        <f t="shared" si="225"/>
        <v>432160.115610111+1380.59469245453i</v>
      </c>
      <c r="AW331" s="64">
        <f t="shared" si="226"/>
        <v>112.71293798307937</v>
      </c>
      <c r="AX331" s="61">
        <f t="shared" si="227"/>
        <v>0.18303859412776588</v>
      </c>
      <c r="AY331" s="310"/>
      <c r="BA331" s="31">
        <f t="shared" si="228"/>
        <v>0</v>
      </c>
      <c r="BB331" s="31">
        <f t="shared" si="229"/>
        <v>0</v>
      </c>
    </row>
    <row r="332" spans="14:54" x14ac:dyDescent="0.45">
      <c r="N332" s="10">
        <v>14</v>
      </c>
      <c r="O332" s="50">
        <f t="shared" si="231"/>
        <v>13803.842646028841</v>
      </c>
      <c r="P332" s="48" t="str">
        <f t="shared" si="196"/>
        <v>17.4002386318441</v>
      </c>
      <c r="Q332" s="17" t="str">
        <f t="shared" si="197"/>
        <v>1+7.42793814626955i</v>
      </c>
      <c r="R332" s="17">
        <f t="shared" si="205"/>
        <v>7.494949306353333</v>
      </c>
      <c r="S332" s="17">
        <f t="shared" si="206"/>
        <v>1.4369740767335684</v>
      </c>
      <c r="T332" s="17" t="str">
        <f t="shared" si="198"/>
        <v>1+0.0260196303888442i</v>
      </c>
      <c r="U332" s="17">
        <f t="shared" si="207"/>
        <v>1.0003384533074653</v>
      </c>
      <c r="V332" s="17">
        <f t="shared" si="208"/>
        <v>2.6013760826119496E-2</v>
      </c>
      <c r="W332" s="31" t="str">
        <f t="shared" si="199"/>
        <v>1-0.0641935552450397i</v>
      </c>
      <c r="X332" s="17">
        <f t="shared" si="209"/>
        <v>1.0020582879927684</v>
      </c>
      <c r="Y332" s="17">
        <f t="shared" si="210"/>
        <v>-6.4105596085052438E-2</v>
      </c>
      <c r="Z332" s="31" t="str">
        <f t="shared" si="200"/>
        <v>0.999827169095876+0.089778529592448i</v>
      </c>
      <c r="AA332" s="17">
        <f t="shared" si="211"/>
        <v>1.0038498654868941</v>
      </c>
      <c r="AB332" s="17">
        <f t="shared" si="212"/>
        <v>8.9553874016476173E-2</v>
      </c>
      <c r="AC332" s="66" t="str">
        <f t="shared" si="213"/>
        <v>0.0143185895385128-2.31819200281214i</v>
      </c>
      <c r="AD332" s="64">
        <f t="shared" si="214"/>
        <v>7.3031537486619218</v>
      </c>
      <c r="AE332" s="61">
        <f t="shared" si="215"/>
        <v>-89.646110280976416</v>
      </c>
      <c r="AF332" s="31" t="str">
        <f t="shared" si="201"/>
        <v>-9090.90909090909</v>
      </c>
      <c r="AG332" s="31" t="str">
        <f t="shared" si="202"/>
        <v>2.27623467397318E-08i</v>
      </c>
      <c r="AH332" s="31">
        <f t="shared" si="216"/>
        <v>2.27623467397318E-8</v>
      </c>
      <c r="AI332" s="31">
        <f t="shared" si="217"/>
        <v>1.5707963267948966</v>
      </c>
      <c r="AJ332" s="31" t="str">
        <f t="shared" si="203"/>
        <v>1+250491993.565713i</v>
      </c>
      <c r="AK332" s="31">
        <f t="shared" si="218"/>
        <v>250491993.56571299</v>
      </c>
      <c r="AL332" s="31">
        <f t="shared" si="219"/>
        <v>1.5707963228027531</v>
      </c>
      <c r="AM332" s="31" t="str">
        <f t="shared" si="204"/>
        <v>1+114.295563088063i</v>
      </c>
      <c r="AN332" s="31">
        <f t="shared" si="220"/>
        <v>114.29993762735563</v>
      </c>
      <c r="AO332" s="31">
        <f t="shared" si="221"/>
        <v>1.5620473040181668</v>
      </c>
      <c r="AS332" s="58" t="str">
        <f t="shared" si="222"/>
        <v>1594.3961347884+182232.487167259i</v>
      </c>
      <c r="AT332" s="49">
        <f t="shared" si="223"/>
        <v>105.2128484884399</v>
      </c>
      <c r="AU332" s="61">
        <f t="shared" si="224"/>
        <v>89.498718148762549</v>
      </c>
      <c r="AV332" s="58" t="str">
        <f t="shared" si="225"/>
        <v>422472.723907522-1086.80418465077i</v>
      </c>
      <c r="AW332" s="64">
        <f t="shared" si="226"/>
        <v>112.51600223710183</v>
      </c>
      <c r="AX332" s="61">
        <f t="shared" si="227"/>
        <v>-0.14739213221387604</v>
      </c>
      <c r="AY332" s="310"/>
      <c r="BA332" s="31">
        <f t="shared" si="228"/>
        <v>0</v>
      </c>
      <c r="BB332" s="31">
        <f t="shared" si="229"/>
        <v>0</v>
      </c>
    </row>
    <row r="333" spans="14:54" x14ac:dyDescent="0.45">
      <c r="N333" s="10">
        <v>15</v>
      </c>
      <c r="O333" s="50">
        <f t="shared" si="231"/>
        <v>14125.375446227561</v>
      </c>
      <c r="P333" s="48" t="str">
        <f t="shared" si="196"/>
        <v>17.4002386318441</v>
      </c>
      <c r="Q333" s="17" t="str">
        <f t="shared" si="197"/>
        <v>1+7.60095705217254i</v>
      </c>
      <c r="R333" s="17">
        <f t="shared" si="205"/>
        <v>7.6664560331988785</v>
      </c>
      <c r="S333" s="17">
        <f t="shared" si="206"/>
        <v>1.4399852161823539</v>
      </c>
      <c r="T333" s="17" t="str">
        <f t="shared" si="198"/>
        <v>1+0.0266257054386397i</v>
      </c>
      <c r="U333" s="17">
        <f t="shared" si="207"/>
        <v>1.0003544012949137</v>
      </c>
      <c r="V333" s="17">
        <f t="shared" si="208"/>
        <v>2.6619416209201299E-2</v>
      </c>
      <c r="W333" s="31" t="str">
        <f t="shared" si="199"/>
        <v>1-0.0656888152318367i</v>
      </c>
      <c r="X333" s="17">
        <f t="shared" si="209"/>
        <v>1.0021551878060415</v>
      </c>
      <c r="Y333" s="17">
        <f t="shared" si="210"/>
        <v>-6.5594576237414923E-2</v>
      </c>
      <c r="Z333" s="31" t="str">
        <f t="shared" si="200"/>
        <v>0.999819023826307+0.0918697401892225i</v>
      </c>
      <c r="AA333" s="17">
        <f t="shared" si="211"/>
        <v>1.0040309405428824</v>
      </c>
      <c r="AB333" s="17">
        <f t="shared" si="212"/>
        <v>9.1629069541476205E-2</v>
      </c>
      <c r="AC333" s="66" t="str">
        <f t="shared" si="213"/>
        <v>0.000468838230924422-2.26622129205602i</v>
      </c>
      <c r="AD333" s="64">
        <f t="shared" si="214"/>
        <v>7.1060464978931579</v>
      </c>
      <c r="AE333" s="61">
        <f t="shared" si="215"/>
        <v>-89.988146589383277</v>
      </c>
      <c r="AF333" s="31" t="str">
        <f t="shared" si="201"/>
        <v>-9090.90909090909</v>
      </c>
      <c r="AG333" s="31" t="str">
        <f t="shared" si="202"/>
        <v>2.27623467397318E-08i</v>
      </c>
      <c r="AH333" s="31">
        <f t="shared" si="216"/>
        <v>2.27623467397318E-8</v>
      </c>
      <c r="AI333" s="31">
        <f t="shared" si="217"/>
        <v>1.5707963267948966</v>
      </c>
      <c r="AJ333" s="31" t="str">
        <f t="shared" si="203"/>
        <v>1+256326701.63823i</v>
      </c>
      <c r="AK333" s="31">
        <f t="shared" si="218"/>
        <v>256326701.63823</v>
      </c>
      <c r="AL333" s="31">
        <f t="shared" si="219"/>
        <v>1.5707963228936253</v>
      </c>
      <c r="AM333" s="31" t="str">
        <f t="shared" si="204"/>
        <v>1+116.957848756798i</v>
      </c>
      <c r="AN333" s="31">
        <f t="shared" si="220"/>
        <v>116.96212372310121</v>
      </c>
      <c r="AO333" s="31">
        <f t="shared" si="221"/>
        <v>1.5622464462721999</v>
      </c>
      <c r="AS333" s="58" t="str">
        <f t="shared" si="222"/>
        <v>1558.10324786331+182232.487166974i</v>
      </c>
      <c r="AT333" s="49">
        <f t="shared" si="223"/>
        <v>105.21283352687121</v>
      </c>
      <c r="AU333" s="61">
        <f t="shared" si="224"/>
        <v>89.510128154234749</v>
      </c>
      <c r="AV333" s="58" t="str">
        <f t="shared" si="225"/>
        <v>412979.873020492-3445.56919862915i</v>
      </c>
      <c r="AW333" s="64">
        <f t="shared" si="226"/>
        <v>112.31888002476437</v>
      </c>
      <c r="AX333" s="61">
        <f t="shared" si="227"/>
        <v>-0.47801843514852455</v>
      </c>
      <c r="AY333" s="310"/>
      <c r="BA333" s="31">
        <f t="shared" si="228"/>
        <v>0</v>
      </c>
      <c r="BB333" s="31">
        <f t="shared" si="229"/>
        <v>0</v>
      </c>
    </row>
    <row r="334" spans="14:54" x14ac:dyDescent="0.45">
      <c r="N334" s="10">
        <v>16</v>
      </c>
      <c r="O334" s="50">
        <f t="shared" si="231"/>
        <v>14454.397707459291</v>
      </c>
      <c r="P334" s="48" t="str">
        <f t="shared" si="196"/>
        <v>17.4002386318441</v>
      </c>
      <c r="Q334" s="17" t="str">
        <f t="shared" si="197"/>
        <v>1+7.77800608611513i</v>
      </c>
      <c r="R334" s="17">
        <f t="shared" si="205"/>
        <v>7.8420264393614492</v>
      </c>
      <c r="S334" s="17">
        <f t="shared" si="206"/>
        <v>1.4429301208310275</v>
      </c>
      <c r="T334" s="17" t="str">
        <f t="shared" si="198"/>
        <v>1+0.0272458977898916i</v>
      </c>
      <c r="U334" s="17">
        <f t="shared" si="207"/>
        <v>1.0003711006153553</v>
      </c>
      <c r="V334" s="17">
        <f t="shared" si="208"/>
        <v>2.7239158894144432E-2</v>
      </c>
      <c r="W334" s="31" t="str">
        <f t="shared" si="199"/>
        <v>1-0.0672189042979638i</v>
      </c>
      <c r="X334" s="17">
        <f t="shared" si="209"/>
        <v>1.002256644325703</v>
      </c>
      <c r="Y334" s="17">
        <f t="shared" si="210"/>
        <v>-6.7117937671557229E-2</v>
      </c>
      <c r="Z334" s="31" t="str">
        <f t="shared" si="200"/>
        <v>0.999810494682009+0.0940096613382849i</v>
      </c>
      <c r="AA334" s="17">
        <f t="shared" si="211"/>
        <v>1.0042205144793759</v>
      </c>
      <c r="AB334" s="17">
        <f t="shared" si="212"/>
        <v>9.3751836563018512E-2</v>
      </c>
      <c r="AC334" s="66" t="str">
        <f t="shared" si="213"/>
        <v>-0.0127699825860215-2.21529046766425i</v>
      </c>
      <c r="AD334" s="64">
        <f t="shared" si="214"/>
        <v>6.9087578848860529</v>
      </c>
      <c r="AE334" s="61">
        <f t="shared" si="215"/>
        <v>-90.330276328662649</v>
      </c>
      <c r="AF334" s="31" t="str">
        <f t="shared" si="201"/>
        <v>-9090.90909090909</v>
      </c>
      <c r="AG334" s="31" t="str">
        <f t="shared" si="202"/>
        <v>2.27623467397318E-08i</v>
      </c>
      <c r="AH334" s="31">
        <f t="shared" si="216"/>
        <v>2.27623467397318E-8</v>
      </c>
      <c r="AI334" s="31">
        <f t="shared" si="217"/>
        <v>1.5707963267948966</v>
      </c>
      <c r="AJ334" s="31" t="str">
        <f t="shared" si="203"/>
        <v>1+262297317.520841i</v>
      </c>
      <c r="AK334" s="31">
        <f t="shared" si="218"/>
        <v>262297317.520841</v>
      </c>
      <c r="AL334" s="31">
        <f t="shared" si="219"/>
        <v>1.5707963229824291</v>
      </c>
      <c r="AM334" s="31" t="str">
        <f t="shared" si="204"/>
        <v>1+119.682147025064i</v>
      </c>
      <c r="AN334" s="31">
        <f t="shared" si="220"/>
        <v>119.68632468469001</v>
      </c>
      <c r="AO334" s="31">
        <f t="shared" si="221"/>
        <v>1.5624410561503972</v>
      </c>
      <c r="AS334" s="58" t="str">
        <f t="shared" si="222"/>
        <v>1522.63648790415+182232.4871667i</v>
      </c>
      <c r="AT334" s="49">
        <f t="shared" si="223"/>
        <v>105.21281923863584</v>
      </c>
      <c r="AU334" s="61">
        <f t="shared" si="224"/>
        <v>89.521278473818924</v>
      </c>
      <c r="AV334" s="58" t="str">
        <f t="shared" si="225"/>
        <v>403678.447677703-5700.18778509798i</v>
      </c>
      <c r="AW334" s="64">
        <f t="shared" si="226"/>
        <v>112.12157712352189</v>
      </c>
      <c r="AX334" s="61">
        <f t="shared" si="227"/>
        <v>-0.80899785484371856</v>
      </c>
      <c r="AY334" s="310"/>
      <c r="BA334" s="31">
        <f t="shared" si="228"/>
        <v>0</v>
      </c>
      <c r="BB334" s="31">
        <f t="shared" si="229"/>
        <v>0</v>
      </c>
    </row>
    <row r="335" spans="14:54" x14ac:dyDescent="0.45">
      <c r="N335" s="10">
        <v>17</v>
      </c>
      <c r="O335" s="50">
        <f t="shared" si="231"/>
        <v>14791.083881682089</v>
      </c>
      <c r="P335" s="48" t="str">
        <f t="shared" si="196"/>
        <v>17.4002386318441</v>
      </c>
      <c r="Q335" s="17" t="str">
        <f t="shared" si="197"/>
        <v>1+7.95917912183867i</v>
      </c>
      <c r="R335" s="17">
        <f t="shared" si="205"/>
        <v>8.0217536919000807</v>
      </c>
      <c r="S335" s="17">
        <f t="shared" si="206"/>
        <v>1.4458101476818797</v>
      </c>
      <c r="T335" s="17" t="str">
        <f t="shared" si="198"/>
        <v>1+0.0278805362767937i</v>
      </c>
      <c r="U335" s="17">
        <f t="shared" si="207"/>
        <v>1.0003885866517479</v>
      </c>
      <c r="V335" s="17">
        <f t="shared" si="208"/>
        <v>2.7873315571382222E-2</v>
      </c>
      <c r="W335" s="31" t="str">
        <f t="shared" si="199"/>
        <v>1-0.068784633716897i</v>
      </c>
      <c r="X335" s="17">
        <f t="shared" si="209"/>
        <v>1.0023628713373056</v>
      </c>
      <c r="Y335" s="17">
        <f t="shared" si="210"/>
        <v>-6.8676459796689932E-2</v>
      </c>
      <c r="Z335" s="31" t="str">
        <f t="shared" si="200"/>
        <v>0.999801563571524+0.0961994276541539i</v>
      </c>
      <c r="AA335" s="17">
        <f t="shared" si="211"/>
        <v>1.0044189844885705</v>
      </c>
      <c r="AB335" s="17">
        <f t="shared" si="212"/>
        <v>9.5923228998288548E-2</v>
      </c>
      <c r="AC335" s="66" t="str">
        <f t="shared" si="213"/>
        <v>-0.0254231856856407-2.16538307555065i</v>
      </c>
      <c r="AD335" s="64">
        <f t="shared" si="214"/>
        <v>6.7112933721629773</v>
      </c>
      <c r="AE335" s="61">
        <f t="shared" si="215"/>
        <v>-90.672663573200524</v>
      </c>
      <c r="AF335" s="31" t="str">
        <f t="shared" si="201"/>
        <v>-9090.90909090909</v>
      </c>
      <c r="AG335" s="31" t="str">
        <f t="shared" si="202"/>
        <v>2.27623467397318E-08i</v>
      </c>
      <c r="AH335" s="31">
        <f t="shared" si="216"/>
        <v>2.27623467397318E-8</v>
      </c>
      <c r="AI335" s="31">
        <f t="shared" si="217"/>
        <v>1.5707963267948966</v>
      </c>
      <c r="AJ335" s="31" t="str">
        <f t="shared" si="203"/>
        <v>1+268407006.913116i</v>
      </c>
      <c r="AK335" s="31">
        <f t="shared" si="218"/>
        <v>268407006.91311601</v>
      </c>
      <c r="AL335" s="31">
        <f t="shared" si="219"/>
        <v>1.5707963230692115</v>
      </c>
      <c r="AM335" s="31" t="str">
        <f t="shared" si="204"/>
        <v>1+122.469902351862i</v>
      </c>
      <c r="AN335" s="31">
        <f t="shared" si="220"/>
        <v>122.47398491955185</v>
      </c>
      <c r="AO335" s="31">
        <f t="shared" si="221"/>
        <v>1.5626312367784947</v>
      </c>
      <c r="AS335" s="58" t="str">
        <f t="shared" si="222"/>
        <v>1487.97704996537+182232.487166437i</v>
      </c>
      <c r="AT335" s="49">
        <f t="shared" si="223"/>
        <v>105.21280559343305</v>
      </c>
      <c r="AU335" s="61">
        <f t="shared" si="224"/>
        <v>89.53217501618181</v>
      </c>
      <c r="AV335" s="58" t="str">
        <f t="shared" si="225"/>
        <v>394565.314408866-7854.97067999126i</v>
      </c>
      <c r="AW335" s="64">
        <f t="shared" si="226"/>
        <v>111.92409896559602</v>
      </c>
      <c r="AX335" s="61">
        <f t="shared" si="227"/>
        <v>-1.1404885570187309</v>
      </c>
      <c r="AY335" s="310"/>
      <c r="BA335" s="31">
        <f t="shared" si="228"/>
        <v>0</v>
      </c>
      <c r="BB335" s="31">
        <f t="shared" si="229"/>
        <v>0</v>
      </c>
    </row>
    <row r="336" spans="14:54" x14ac:dyDescent="0.45">
      <c r="N336" s="10">
        <v>18</v>
      </c>
      <c r="O336" s="50">
        <f t="shared" si="231"/>
        <v>15135.612484362096</v>
      </c>
      <c r="P336" s="48" t="str">
        <f t="shared" si="196"/>
        <v>17.4002386318441</v>
      </c>
      <c r="Q336" s="17" t="str">
        <f t="shared" si="197"/>
        <v>1+8.1445722196848i</v>
      </c>
      <c r="R336" s="17">
        <f t="shared" si="205"/>
        <v>8.2057331568642535</v>
      </c>
      <c r="S336" s="17">
        <f t="shared" si="206"/>
        <v>1.4486266325530879</v>
      </c>
      <c r="T336" s="17" t="str">
        <f t="shared" si="198"/>
        <v>1+0.0285299573930724i</v>
      </c>
      <c r="U336" s="17">
        <f t="shared" si="207"/>
        <v>1.0004068964520638</v>
      </c>
      <c r="V336" s="17">
        <f t="shared" si="208"/>
        <v>2.8522220437778543E-2</v>
      </c>
      <c r="W336" s="31" t="str">
        <f t="shared" si="199"/>
        <v>1-0.0703868336590991i</v>
      </c>
      <c r="X336" s="17">
        <f t="shared" si="209"/>
        <v>1.0024740926091575</v>
      </c>
      <c r="Y336" s="17">
        <f t="shared" si="210"/>
        <v>-7.0270938659750162E-2</v>
      </c>
      <c r="Z336" s="31" t="str">
        <f t="shared" si="200"/>
        <v>0.999792211550769+0.098440200179915i</v>
      </c>
      <c r="AA336" s="17">
        <f t="shared" si="211"/>
        <v>1.004626766161961</v>
      </c>
      <c r="AB336" s="17">
        <f t="shared" si="212"/>
        <v>9.814432151429614E-2</v>
      </c>
      <c r="AC336" s="66" t="str">
        <f t="shared" si="213"/>
        <v>-0.0375150794940402-2.11648254458536i</v>
      </c>
      <c r="AD336" s="64">
        <f t="shared" si="214"/>
        <v>6.5136580848670897</v>
      </c>
      <c r="AE336" s="61">
        <f t="shared" si="215"/>
        <v>-91.015472895684695</v>
      </c>
      <c r="AF336" s="31" t="str">
        <f t="shared" si="201"/>
        <v>-9090.90909090909</v>
      </c>
      <c r="AG336" s="31" t="str">
        <f t="shared" si="202"/>
        <v>2.27623467397318E-08i</v>
      </c>
      <c r="AH336" s="31">
        <f t="shared" si="216"/>
        <v>2.27623467397318E-8</v>
      </c>
      <c r="AI336" s="31">
        <f t="shared" si="217"/>
        <v>1.5707963267948966</v>
      </c>
      <c r="AJ336" s="31" t="str">
        <f t="shared" si="203"/>
        <v>1+274659009.253244i</v>
      </c>
      <c r="AK336" s="31">
        <f t="shared" si="218"/>
        <v>274659009.25324398</v>
      </c>
      <c r="AL336" s="31">
        <f t="shared" si="219"/>
        <v>1.5707963231540185</v>
      </c>
      <c r="AM336" s="31" t="str">
        <f t="shared" si="204"/>
        <v>1+125.322592841969i</v>
      </c>
      <c r="AN336" s="31">
        <f t="shared" si="220"/>
        <v>125.32658248206539</v>
      </c>
      <c r="AO336" s="31">
        <f t="shared" si="221"/>
        <v>1.5628170889377189</v>
      </c>
      <c r="AS336" s="58" t="str">
        <f t="shared" si="222"/>
        <v>1454.10655715419+182232.487166188i</v>
      </c>
      <c r="AT336" s="49">
        <f t="shared" si="223"/>
        <v>105.21279256232563</v>
      </c>
      <c r="AU336" s="61">
        <f t="shared" si="224"/>
        <v>89.542823555659652</v>
      </c>
      <c r="AV336" s="58" t="str">
        <f t="shared" si="225"/>
        <v>385637.327220528-9914.05738862016i</v>
      </c>
      <c r="AW336" s="64">
        <f t="shared" si="226"/>
        <v>111.72645064719273</v>
      </c>
      <c r="AX336" s="61">
        <f t="shared" si="227"/>
        <v>-1.4726493400250449</v>
      </c>
      <c r="AY336" s="310"/>
      <c r="BA336" s="31">
        <f t="shared" si="228"/>
        <v>0</v>
      </c>
      <c r="BB336" s="31">
        <f t="shared" si="229"/>
        <v>0</v>
      </c>
    </row>
    <row r="337" spans="14:54" x14ac:dyDescent="0.45">
      <c r="N337" s="10">
        <v>19</v>
      </c>
      <c r="O337" s="50">
        <f t="shared" si="231"/>
        <v>15488.166189124853</v>
      </c>
      <c r="P337" s="48" t="str">
        <f t="shared" si="196"/>
        <v>17.4002386318441</v>
      </c>
      <c r="Q337" s="17" t="str">
        <f t="shared" si="197"/>
        <v>1+8.33428367752797i</v>
      </c>
      <c r="R337" s="17">
        <f t="shared" si="205"/>
        <v>8.3940624501792431</v>
      </c>
      <c r="S337" s="17">
        <f t="shared" si="206"/>
        <v>1.4513808899505318</v>
      </c>
      <c r="T337" s="17" t="str">
        <f t="shared" si="198"/>
        <v>1+0.0291945054703995i</v>
      </c>
      <c r="U337" s="17">
        <f t="shared" si="207"/>
        <v>1.0004260688075162</v>
      </c>
      <c r="V337" s="17">
        <f t="shared" si="208"/>
        <v>2.9186215364117418E-2</v>
      </c>
      <c r="W337" s="31" t="str">
        <f t="shared" si="199"/>
        <v>1-0.0720263536321874i</v>
      </c>
      <c r="X337" s="17">
        <f t="shared" si="209"/>
        <v>1.0025905423539307</v>
      </c>
      <c r="Y337" s="17">
        <f t="shared" si="210"/>
        <v>-7.1902187226367806E-2</v>
      </c>
      <c r="Z337" s="31" t="str">
        <f t="shared" si="200"/>
        <v>0.999782418782855+0.100733167002822i</v>
      </c>
      <c r="AA337" s="17">
        <f t="shared" si="211"/>
        <v>1.0048442943270934</v>
      </c>
      <c r="AB337" s="17">
        <f t="shared" si="212"/>
        <v>0.10041620974848395</v>
      </c>
      <c r="AC337" s="66" t="str">
        <f t="shared" si="213"/>
        <v>-0.0490689998565467-2.06857221846126i</v>
      </c>
      <c r="AD337" s="64">
        <f t="shared" si="214"/>
        <v>6.3158568196088058</v>
      </c>
      <c r="AE337" s="61">
        <f t="shared" si="215"/>
        <v>-91.358869378901971</v>
      </c>
      <c r="AF337" s="31" t="str">
        <f t="shared" si="201"/>
        <v>-9090.90909090909</v>
      </c>
      <c r="AG337" s="31" t="str">
        <f t="shared" si="202"/>
        <v>2.27623467397318E-08i</v>
      </c>
      <c r="AH337" s="31">
        <f t="shared" si="216"/>
        <v>2.27623467397318E-8</v>
      </c>
      <c r="AI337" s="31">
        <f t="shared" si="217"/>
        <v>1.5707963267948966</v>
      </c>
      <c r="AJ337" s="31" t="str">
        <f t="shared" si="203"/>
        <v>1+281056639.435619i</v>
      </c>
      <c r="AK337" s="31">
        <f t="shared" si="218"/>
        <v>281056639.435619</v>
      </c>
      <c r="AL337" s="31">
        <f t="shared" si="219"/>
        <v>1.5707963232368949</v>
      </c>
      <c r="AM337" s="31" t="str">
        <f t="shared" si="204"/>
        <v>1+128.241731029641i</v>
      </c>
      <c r="AN337" s="31">
        <f t="shared" si="220"/>
        <v>128.24562985723443</v>
      </c>
      <c r="AO337" s="31">
        <f t="shared" si="221"/>
        <v>1.5629987111179584</v>
      </c>
      <c r="AS337" s="58" t="str">
        <f t="shared" si="222"/>
        <v>1421.00705088698+182232.48716595i</v>
      </c>
      <c r="AT337" s="49">
        <f t="shared" si="223"/>
        <v>105.21278011767814</v>
      </c>
      <c r="AU337" s="61">
        <f t="shared" si="224"/>
        <v>89.553229735304882</v>
      </c>
      <c r="AV337" s="58" t="str">
        <f t="shared" si="225"/>
        <v>376891.332857806-11881.4215943065i</v>
      </c>
      <c r="AW337" s="64">
        <f t="shared" si="226"/>
        <v>111.52863693728696</v>
      </c>
      <c r="AX337" s="61">
        <f t="shared" si="227"/>
        <v>-1.8056396435970961</v>
      </c>
      <c r="AY337" s="310"/>
      <c r="BA337" s="31">
        <f t="shared" si="228"/>
        <v>0</v>
      </c>
      <c r="BB337" s="31">
        <f t="shared" si="229"/>
        <v>0</v>
      </c>
    </row>
    <row r="338" spans="14:54" x14ac:dyDescent="0.45">
      <c r="N338" s="10">
        <v>20</v>
      </c>
      <c r="O338" s="50">
        <f t="shared" si="231"/>
        <v>15848.931924611146</v>
      </c>
      <c r="P338" s="48" t="str">
        <f t="shared" si="196"/>
        <v>17.4002386318441</v>
      </c>
      <c r="Q338" s="17" t="str">
        <f t="shared" si="197"/>
        <v>1+8.52841408289423i</v>
      </c>
      <c r="R338" s="17">
        <f t="shared" si="205"/>
        <v>8.586841489704387</v>
      </c>
      <c r="S338" s="17">
        <f t="shared" si="206"/>
        <v>1.4540742129793438</v>
      </c>
      <c r="T338" s="17" t="str">
        <f t="shared" si="198"/>
        <v>1+0.0298745328609619i</v>
      </c>
      <c r="U338" s="17">
        <f t="shared" si="207"/>
        <v>1.0004461443344468</v>
      </c>
      <c r="V338" s="17">
        <f t="shared" si="208"/>
        <v>2.9865650065971597E-2</v>
      </c>
      <c r="W338" s="31" t="str">
        <f t="shared" si="199"/>
        <v>1-0.0737040629313526i</v>
      </c>
      <c r="X338" s="17">
        <f t="shared" si="209"/>
        <v>1.0027124657111772</v>
      </c>
      <c r="Y338" s="17">
        <f t="shared" si="210"/>
        <v>-7.357103566098426E-2</v>
      </c>
      <c r="Z338" s="31" t="str">
        <f t="shared" si="200"/>
        <v>0.999772164496008+0.103079543884234i</v>
      </c>
      <c r="AA338" s="17">
        <f t="shared" si="211"/>
        <v>1.0050720239208804</v>
      </c>
      <c r="AB338" s="17">
        <f t="shared" si="212"/>
        <v>0.10274001051675459</v>
      </c>
      <c r="AC338" s="66" t="str">
        <f t="shared" si="213"/>
        <v>-0.0601073413794354-2.02163538523942i</v>
      </c>
      <c r="AD338" s="64">
        <f t="shared" si="214"/>
        <v>6.1178940528810504</v>
      </c>
      <c r="AE338" s="61">
        <f t="shared" si="215"/>
        <v>-91.703018628848994</v>
      </c>
      <c r="AF338" s="31" t="str">
        <f t="shared" si="201"/>
        <v>-9090.90909090909</v>
      </c>
      <c r="AG338" s="31" t="str">
        <f t="shared" si="202"/>
        <v>2.27623467397318E-08i</v>
      </c>
      <c r="AH338" s="31">
        <f t="shared" si="216"/>
        <v>2.27623467397318E-8</v>
      </c>
      <c r="AI338" s="31">
        <f t="shared" si="217"/>
        <v>1.5707963267948966</v>
      </c>
      <c r="AJ338" s="31" t="str">
        <f t="shared" si="203"/>
        <v>1+287603289.568447i</v>
      </c>
      <c r="AK338" s="31">
        <f t="shared" si="218"/>
        <v>287603289.56844699</v>
      </c>
      <c r="AL338" s="31">
        <f t="shared" si="219"/>
        <v>1.570796323317885</v>
      </c>
      <c r="AM338" s="31" t="str">
        <f t="shared" si="204"/>
        <v>1+131.228864680585i</v>
      </c>
      <c r="AN338" s="31">
        <f t="shared" si="220"/>
        <v>131.23267476263405</v>
      </c>
      <c r="AO338" s="31">
        <f t="shared" si="221"/>
        <v>1.5631761995697413</v>
      </c>
      <c r="AS338" s="58" t="str">
        <f t="shared" si="222"/>
        <v>1388.66098136741+182232.487165723i</v>
      </c>
      <c r="AT338" s="49">
        <f t="shared" si="223"/>
        <v>105.21276823309879</v>
      </c>
      <c r="AU338" s="61">
        <f t="shared" si="224"/>
        <v>89.563399069863962</v>
      </c>
      <c r="AV338" s="58" t="str">
        <f t="shared" si="225"/>
        <v>368324.175674747-13760.8764945273i</v>
      </c>
      <c r="AW338" s="64">
        <f t="shared" si="226"/>
        <v>111.33066228597984</v>
      </c>
      <c r="AX338" s="61">
        <f t="shared" si="227"/>
        <v>-2.1396195589850451</v>
      </c>
      <c r="AY338" s="310"/>
      <c r="BA338" s="31">
        <f t="shared" si="228"/>
        <v>0</v>
      </c>
      <c r="BB338" s="31">
        <f t="shared" si="229"/>
        <v>0</v>
      </c>
    </row>
    <row r="339" spans="14:54" x14ac:dyDescent="0.45">
      <c r="N339" s="10">
        <v>21</v>
      </c>
      <c r="O339" s="50">
        <f t="shared" si="231"/>
        <v>16218.100973589309</v>
      </c>
      <c r="P339" s="48" t="str">
        <f t="shared" ref="P339:P402" si="232">COMPLEX(Adc,0)</f>
        <v>17.4002386318441</v>
      </c>
      <c r="Q339" s="17" t="str">
        <f t="shared" ref="Q339:Q402" si="233">IMSUM(COMPLEX(1,0),IMDIV(COMPLEX(0,2*PI()*O339),COMPLEX(wp_lf,0)))</f>
        <v>1+8.72706636629414i</v>
      </c>
      <c r="R339" s="17">
        <f t="shared" si="205"/>
        <v>8.7841725484932507</v>
      </c>
      <c r="S339" s="17">
        <f t="shared" si="206"/>
        <v>1.4567078732922407</v>
      </c>
      <c r="T339" s="17" t="str">
        <f t="shared" ref="T339:T402" si="234">IMSUM(COMPLEX(1,0),IMDIV(COMPLEX(0,2*PI()*O339),COMPLEX(wz_esr,0)))</f>
        <v>1+0.0305704001242833i</v>
      </c>
      <c r="U339" s="17">
        <f t="shared" si="207"/>
        <v>1.000467165560049</v>
      </c>
      <c r="V339" s="17">
        <f t="shared" si="208"/>
        <v>3.0560882277989875E-2</v>
      </c>
      <c r="W339" s="31" t="str">
        <f t="shared" ref="W339:W402" si="235">IMSUB(COMPLEX(1,0),IMDIV(COMPLEX(0,2*PI()*O339),COMPLEX(wz_rhp,0)))</f>
        <v>1-0.0754208511002727i</v>
      </c>
      <c r="X339" s="17">
        <f t="shared" si="209"/>
        <v>1.0028401192516629</v>
      </c>
      <c r="Y339" s="17">
        <f t="shared" si="210"/>
        <v>-7.5278331605607804E-2</v>
      </c>
      <c r="Z339" s="31" t="str">
        <f t="shared" ref="Z339:Z402" si="236">IMSUM(COMPLEX(1,0),IMDIV(COMPLEX(0,2*PI()*O339),COMPLEX(Q*(wsl/2),0)),IMDIV(IMPOWER(COMPLEX(0,2*PI()*O339),2),IMPOWER(COMPLEX(wsl/2,0),2)))</f>
        <v>0.999761426939511+0.105480574904233i</v>
      </c>
      <c r="AA339" s="17">
        <f t="shared" si="211"/>
        <v>1.0053104309009504</v>
      </c>
      <c r="AB339" s="17">
        <f t="shared" si="212"/>
        <v>0.1051168620074934</v>
      </c>
      <c r="AC339" s="66" t="str">
        <f t="shared" si="213"/>
        <v>-0.0706515882855828-1.97565530470202i</v>
      </c>
      <c r="AD339" s="64">
        <f t="shared" si="214"/>
        <v>5.9197739490470944</v>
      </c>
      <c r="AE339" s="61">
        <f t="shared" si="215"/>
        <v>-92.048086788874357</v>
      </c>
      <c r="AF339" s="31" t="str">
        <f t="shared" ref="AF339:AF402" si="237">COMPLEX(Adc_ea,0)</f>
        <v>-9090.90909090909</v>
      </c>
      <c r="AG339" s="31" t="str">
        <f t="shared" ref="AG339:AG402" si="238">COMPLEX(0,2*PI()*wp0_ea)</f>
        <v>2.27623467397318E-08i</v>
      </c>
      <c r="AH339" s="31">
        <f t="shared" si="216"/>
        <v>2.27623467397318E-8</v>
      </c>
      <c r="AI339" s="31">
        <f t="shared" si="217"/>
        <v>1.5707963267948966</v>
      </c>
      <c r="AJ339" s="31" t="str">
        <f t="shared" ref="AJ339:AJ402" si="239">IMSUM(COMPLEX(1,0),IMDIV(COMPLEX(0,2*PI()*O339),COMPLEX(wp1_ea,0)))</f>
        <v>1+294302430.772284i</v>
      </c>
      <c r="AK339" s="31">
        <f t="shared" si="218"/>
        <v>294302430.77228397</v>
      </c>
      <c r="AL339" s="31">
        <f t="shared" si="219"/>
        <v>1.5707963233970315</v>
      </c>
      <c r="AM339" s="31" t="str">
        <f t="shared" ref="AM339:AM402" si="240">IMSUM(COMPLEX(1,0),IMDIV(COMPLEX(0,2*PI()*O339),COMPLEX(wz_ea,0)))</f>
        <v>1+134.285577612602i</v>
      </c>
      <c r="AN339" s="31">
        <f t="shared" si="220"/>
        <v>134.28930096902786</v>
      </c>
      <c r="AO339" s="31">
        <f t="shared" si="221"/>
        <v>1.563349648355038</v>
      </c>
      <c r="AS339" s="58" t="str">
        <f t="shared" si="222"/>
        <v>1357.05119828125+182232.487165505i</v>
      </c>
      <c r="AT339" s="49">
        <f t="shared" si="223"/>
        <v>105.21275688338319</v>
      </c>
      <c r="AU339" s="61">
        <f t="shared" si="224"/>
        <v>89.573336948688365</v>
      </c>
      <c r="AV339" s="58" t="str">
        <f t="shared" si="225"/>
        <v>359932.702135029-15556.0800541116i</v>
      </c>
      <c r="AW339" s="64">
        <f t="shared" si="226"/>
        <v>111.13253083243029</v>
      </c>
      <c r="AX339" s="61">
        <f t="shared" si="227"/>
        <v>-2.4747498401859938</v>
      </c>
      <c r="AY339" s="310"/>
      <c r="BA339" s="31">
        <f t="shared" si="228"/>
        <v>0</v>
      </c>
      <c r="BB339" s="31">
        <f t="shared" si="229"/>
        <v>0</v>
      </c>
    </row>
    <row r="340" spans="14:54" x14ac:dyDescent="0.45">
      <c r="N340" s="10">
        <v>22</v>
      </c>
      <c r="O340" s="50">
        <f t="shared" si="231"/>
        <v>16595.869074375616</v>
      </c>
      <c r="P340" s="48" t="str">
        <f t="shared" si="232"/>
        <v>17.4002386318441</v>
      </c>
      <c r="Q340" s="17" t="str">
        <f t="shared" si="233"/>
        <v>1+8.93034585579788i</v>
      </c>
      <c r="R340" s="17">
        <f t="shared" ref="R340:R403" si="241">IMABS(Q340)</f>
        <v>8.9861603092848483</v>
      </c>
      <c r="S340" s="17">
        <f t="shared" ref="S340:S403" si="242">IMARGUMENT(Q340)</f>
        <v>1.459283121071842</v>
      </c>
      <c r="T340" s="17" t="str">
        <f t="shared" si="234"/>
        <v>1+0.0312824762183979i</v>
      </c>
      <c r="U340" s="17">
        <f t="shared" ref="U340:U403" si="243">IMABS(T340)</f>
        <v>1.0004891770121027</v>
      </c>
      <c r="V340" s="17">
        <f t="shared" ref="V340:V403" si="244">IMARGUMENT(T340)</f>
        <v>3.1272277931644069E-2</v>
      </c>
      <c r="W340" s="31" t="str">
        <f t="shared" si="235"/>
        <v>1-0.0771776284027595i</v>
      </c>
      <c r="X340" s="17">
        <f t="shared" ref="X340:X403" si="245">IMABS(W340)</f>
        <v>1.0029737715044569</v>
      </c>
      <c r="Y340" s="17">
        <f t="shared" ref="Y340:Y403" si="246">IMARGUMENT(W340)</f>
        <v>-7.7024940456634175E-2</v>
      </c>
      <c r="Z340" s="31" t="str">
        <f t="shared" si="236"/>
        <v>0.999750183337566+0.107937533121247i</v>
      </c>
      <c r="AA340" s="17">
        <f t="shared" ref="AA340:AA403" si="247">IMABS(Z340)</f>
        <v>1.0055600131965259</v>
      </c>
      <c r="AB340" s="17">
        <f t="shared" ref="AB340:AB403" si="248">IMARGUMENT(Z340)</f>
        <v>0.10754792396003701</v>
      </c>
      <c r="AC340" s="66" t="str">
        <f t="shared" ref="AC340:AC403" si="249">(IMDIV(IMPRODUCT(P340,T340,W340),IMPRODUCT(Q340,Z340)))</f>
        <v>-0.0807223447311061-1.93061523363733i</v>
      </c>
      <c r="AD340" s="64">
        <f t="shared" ref="AD340:AD403" si="250">20*LOG(IMABS(AC340))</f>
        <v>5.7215003679083809</v>
      </c>
      <c r="AE340" s="61">
        <f t="shared" ref="AE340:AE403" si="251">(180/PI())*IMARGUMENT(AC340)</f>
        <v>-92.394240554567205</v>
      </c>
      <c r="AF340" s="31" t="str">
        <f t="shared" si="237"/>
        <v>-9090.90909090909</v>
      </c>
      <c r="AG340" s="31" t="str">
        <f t="shared" si="238"/>
        <v>2.27623467397318E-08i</v>
      </c>
      <c r="AH340" s="31">
        <f t="shared" ref="AH340:AH403" si="252">IMABS(AG340)</f>
        <v>2.27623467397318E-8</v>
      </c>
      <c r="AI340" s="31">
        <f t="shared" ref="AI340:AI403" si="253">IMARGUMENT(AG340)</f>
        <v>1.5707963267948966</v>
      </c>
      <c r="AJ340" s="31" t="str">
        <f t="shared" si="239"/>
        <v>1+301157615.020471i</v>
      </c>
      <c r="AK340" s="31">
        <f t="shared" ref="AK340:AK403" si="254">IMABS(AJ340)</f>
        <v>301157615.02047098</v>
      </c>
      <c r="AL340" s="31">
        <f t="shared" ref="AL340:AL403" si="255">IMARGUMENT(AJ340)</f>
        <v>1.5707963234743763</v>
      </c>
      <c r="AM340" s="31" t="str">
        <f t="shared" si="240"/>
        <v>1+137.413490535349i</v>
      </c>
      <c r="AN340" s="31">
        <f t="shared" ref="AN340:AN403" si="256">IMABS(AM340)</f>
        <v>137.41712914010557</v>
      </c>
      <c r="AO340" s="31">
        <f t="shared" ref="AO340:AO403" si="257">IMARGUMENT(AM340)</f>
        <v>1.5635191493969214</v>
      </c>
      <c r="AS340" s="58" t="str">
        <f t="shared" ref="AS340:AS403" si="258">IMPRODUCT(AF340,IMDIV(AM340,IMPRODUCT(AG340,AJ340)))</f>
        <v>1326.16094170313+182232.487165297i</v>
      </c>
      <c r="AT340" s="49">
        <f t="shared" ref="AT340:AT403" si="259">20*LOG(IMABS(AS340))</f>
        <v>105.21274604446127</v>
      </c>
      <c r="AU340" s="61">
        <f t="shared" ref="AU340:AU403" si="260">(180/PI())*IMARGUMENT(AS340)</f>
        <v>89.583048638579825</v>
      </c>
      <c r="AV340" s="58" t="str">
        <f t="shared" ref="AV340:AV403" si="261">IMPRODUCT(AC340,AS340)</f>
        <v>351713.764964237-17270.5401664709i</v>
      </c>
      <c r="AW340" s="64">
        <f t="shared" ref="AW340:AW403" si="262">20*LOG(IMABS(AV340))</f>
        <v>110.93424641236966</v>
      </c>
      <c r="AX340" s="61">
        <f t="shared" ref="AX340:AX403" si="263">(180/PI())*IMARGUMENT(AV340)</f>
        <v>-2.8111919159873735</v>
      </c>
      <c r="AY340" s="310"/>
      <c r="BA340" s="31">
        <f t="shared" ref="BA340:BA403" si="264">SUM((AW341&lt;0)*(AW340&gt;0))*O340</f>
        <v>0</v>
      </c>
      <c r="BB340" s="31">
        <f t="shared" ref="BB340:BB403" si="265">IF(BA340&gt;0,AX340,0)</f>
        <v>0</v>
      </c>
    </row>
    <row r="341" spans="14:54" x14ac:dyDescent="0.45">
      <c r="N341" s="10">
        <v>23</v>
      </c>
      <c r="O341" s="50">
        <f t="shared" si="231"/>
        <v>16982.436524617482</v>
      </c>
      <c r="P341" s="48" t="str">
        <f t="shared" si="232"/>
        <v>17.4002386318441</v>
      </c>
      <c r="Q341" s="17" t="str">
        <f t="shared" si="233"/>
        <v>1+9.1383603328815i</v>
      </c>
      <c r="R341" s="17">
        <f t="shared" si="241"/>
        <v>9.1929119202558489</v>
      </c>
      <c r="S341" s="17">
        <f t="shared" si="242"/>
        <v>1.4618011850443389</v>
      </c>
      <c r="T341" s="17" t="str">
        <f t="shared" si="234"/>
        <v>1+0.0320111386954761i</v>
      </c>
      <c r="U341" s="17">
        <f t="shared" si="243"/>
        <v>1.0005122253129048</v>
      </c>
      <c r="V341" s="17">
        <f t="shared" si="244"/>
        <v>3.2000211336472267E-2</v>
      </c>
      <c r="W341" s="31" t="str">
        <f t="shared" si="235"/>
        <v>1-0.0789753263053923i</v>
      </c>
      <c r="X341" s="17">
        <f t="shared" si="245"/>
        <v>1.0031137035077544</v>
      </c>
      <c r="Y341" s="17">
        <f t="shared" si="246"/>
        <v>-7.8811745639123756E-2</v>
      </c>
      <c r="Z341" s="31" t="str">
        <f t="shared" si="236"/>
        <v>0.999738409840986+0.110451721247045i</v>
      </c>
      <c r="AA341" s="17">
        <f t="shared" si="247"/>
        <v>1.0058212917003788</v>
      </c>
      <c r="AB341" s="17">
        <f t="shared" si="248"/>
        <v>0.11003437782596495</v>
      </c>
      <c r="AC341" s="66" t="str">
        <f t="shared" si="249"/>
        <v>-0.0903393645380041-1.8864984491759i</v>
      </c>
      <c r="AD341" s="64">
        <f t="shared" si="250"/>
        <v>5.5230768718572154</v>
      </c>
      <c r="AE341" s="61">
        <f t="shared" si="251"/>
        <v>-92.741647189112371</v>
      </c>
      <c r="AF341" s="31" t="str">
        <f t="shared" si="237"/>
        <v>-9090.90909090909</v>
      </c>
      <c r="AG341" s="31" t="str">
        <f t="shared" si="238"/>
        <v>2.27623467397318E-08i</v>
      </c>
      <c r="AH341" s="31">
        <f t="shared" si="252"/>
        <v>2.27623467397318E-8</v>
      </c>
      <c r="AI341" s="31">
        <f t="shared" si="253"/>
        <v>1.5707963267948966</v>
      </c>
      <c r="AJ341" s="31" t="str">
        <f t="shared" si="239"/>
        <v>1+308172477.022435i</v>
      </c>
      <c r="AK341" s="31">
        <f t="shared" si="254"/>
        <v>308172477.02243501</v>
      </c>
      <c r="AL341" s="31">
        <f t="shared" si="255"/>
        <v>1.5707963235499605</v>
      </c>
      <c r="AM341" s="31" t="str">
        <f t="shared" si="240"/>
        <v>1+140.614261909661i</v>
      </c>
      <c r="AN341" s="31">
        <f t="shared" si="256"/>
        <v>140.6178176917802</v>
      </c>
      <c r="AO341" s="31">
        <f t="shared" si="257"/>
        <v>1.5636847925281065</v>
      </c>
      <c r="AS341" s="58" t="str">
        <f t="shared" si="258"/>
        <v>1295.97383321009+182232.487165099i</v>
      </c>
      <c r="AT341" s="49">
        <f t="shared" si="259"/>
        <v>105.21273569334598</v>
      </c>
      <c r="AU341" s="61">
        <f t="shared" si="260"/>
        <v>89.592539286571409</v>
      </c>
      <c r="AV341" s="58" t="str">
        <f t="shared" si="261"/>
        <v>343664.226973876-18907.6197151984i</v>
      </c>
      <c r="AW341" s="64">
        <f t="shared" si="262"/>
        <v>110.73581256520319</v>
      </c>
      <c r="AX341" s="61">
        <f t="shared" si="263"/>
        <v>-3.1491079025409614</v>
      </c>
      <c r="AY341" s="310"/>
      <c r="BA341" s="31">
        <f t="shared" si="264"/>
        <v>0</v>
      </c>
      <c r="BB341" s="31">
        <f t="shared" si="265"/>
        <v>0</v>
      </c>
    </row>
    <row r="342" spans="14:54" x14ac:dyDescent="0.45">
      <c r="N342" s="10">
        <v>24</v>
      </c>
      <c r="O342" s="50">
        <f t="shared" si="231"/>
        <v>17378.008287493791</v>
      </c>
      <c r="P342" s="48" t="str">
        <f t="shared" si="232"/>
        <v>17.4002386318441</v>
      </c>
      <c r="Q342" s="17" t="str">
        <f t="shared" si="233"/>
        <v>1+9.35122008957401i</v>
      </c>
      <c r="R342" s="17">
        <f t="shared" si="241"/>
        <v>9.4045370520644216</v>
      </c>
      <c r="S342" s="17">
        <f t="shared" si="242"/>
        <v>1.464263272522029</v>
      </c>
      <c r="T342" s="17" t="str">
        <f t="shared" si="234"/>
        <v>1+0.0327567739020078i</v>
      </c>
      <c r="U342" s="17">
        <f t="shared" si="243"/>
        <v>1.0005363592775962</v>
      </c>
      <c r="V342" s="17">
        <f t="shared" si="244"/>
        <v>3.2745065364856156E-2</v>
      </c>
      <c r="W342" s="31" t="str">
        <f t="shared" si="235"/>
        <v>1-0.0808148979713934i</v>
      </c>
      <c r="X342" s="17">
        <f t="shared" si="245"/>
        <v>1.003260209384448</v>
      </c>
      <c r="Y342" s="17">
        <f t="shared" si="246"/>
        <v>-8.0639648877870965E-2</v>
      </c>
      <c r="Z342" s="31" t="str">
        <f t="shared" si="236"/>
        <v>0.999726081476608+0.113024472337448i</v>
      </c>
      <c r="AA342" s="17">
        <f t="shared" si="247"/>
        <v>1.0060948113034536</v>
      </c>
      <c r="AB342" s="17">
        <f t="shared" si="248"/>
        <v>0.11257742691145027</v>
      </c>
      <c r="AC342" s="66" t="str">
        <f t="shared" si="249"/>
        <v>-0.0995215803048516-1.843288270293i</v>
      </c>
      <c r="AD342" s="64">
        <f t="shared" si="250"/>
        <v>5.324506732622325</v>
      </c>
      <c r="AE342" s="61">
        <f t="shared" si="251"/>
        <v>-93.090474538827749</v>
      </c>
      <c r="AF342" s="31" t="str">
        <f t="shared" si="237"/>
        <v>-9090.90909090909</v>
      </c>
      <c r="AG342" s="31" t="str">
        <f t="shared" si="238"/>
        <v>2.27623467397318E-08i</v>
      </c>
      <c r="AH342" s="31">
        <f t="shared" si="252"/>
        <v>2.27623467397318E-8</v>
      </c>
      <c r="AI342" s="31">
        <f t="shared" si="253"/>
        <v>1.5707963267948966</v>
      </c>
      <c r="AJ342" s="31" t="str">
        <f t="shared" si="239"/>
        <v>1+315350736.150858i</v>
      </c>
      <c r="AK342" s="31">
        <f t="shared" si="254"/>
        <v>315350736.15085799</v>
      </c>
      <c r="AL342" s="31">
        <f t="shared" si="255"/>
        <v>1.5707963236238243</v>
      </c>
      <c r="AM342" s="31" t="str">
        <f t="shared" si="240"/>
        <v>1+143.889588826886i</v>
      </c>
      <c r="AN342" s="31">
        <f t="shared" si="256"/>
        <v>143.89306367149987</v>
      </c>
      <c r="AO342" s="31">
        <f t="shared" si="257"/>
        <v>1.563846665538394</v>
      </c>
      <c r="AS342" s="58" t="str">
        <f t="shared" si="258"/>
        <v>1266.47386719769+182232.48716491i</v>
      </c>
      <c r="AT342" s="49">
        <f t="shared" si="259"/>
        <v>105.21272580808457</v>
      </c>
      <c r="AU342" s="61">
        <f t="shared" si="260"/>
        <v>89.601813922645874</v>
      </c>
      <c r="AV342" s="58" t="str">
        <f t="shared" si="261"/>
        <v>335780.96457672-20470.5415295735i</v>
      </c>
      <c r="AW342" s="64">
        <f t="shared" si="262"/>
        <v>110.5372325407069</v>
      </c>
      <c r="AX342" s="61">
        <f t="shared" si="263"/>
        <v>-3.4886606161818627</v>
      </c>
      <c r="AY342" s="310"/>
      <c r="BA342" s="31">
        <f t="shared" si="264"/>
        <v>0</v>
      </c>
      <c r="BB342" s="31">
        <f t="shared" si="265"/>
        <v>0</v>
      </c>
    </row>
    <row r="343" spans="14:54" x14ac:dyDescent="0.45">
      <c r="N343" s="10">
        <v>25</v>
      </c>
      <c r="O343" s="50">
        <f t="shared" si="231"/>
        <v>17782.794100389234</v>
      </c>
      <c r="P343" s="48" t="str">
        <f t="shared" si="232"/>
        <v>17.4002386318441</v>
      </c>
      <c r="Q343" s="17" t="str">
        <f t="shared" si="233"/>
        <v>1+9.56903798693604i</v>
      </c>
      <c r="R343" s="17">
        <f t="shared" si="241"/>
        <v>9.6211479562173317</v>
      </c>
      <c r="S343" s="17">
        <f t="shared" si="242"/>
        <v>1.4666705694723843</v>
      </c>
      <c r="T343" s="17" t="str">
        <f t="shared" si="234"/>
        <v>1+0.0335197771836495i</v>
      </c>
      <c r="U343" s="17">
        <f t="shared" si="243"/>
        <v>1.0005616300170828</v>
      </c>
      <c r="V343" s="17">
        <f t="shared" si="244"/>
        <v>3.3507231640366175E-2</v>
      </c>
      <c r="W343" s="31" t="str">
        <f t="shared" si="235"/>
        <v>1-0.0826973187660106i</v>
      </c>
      <c r="X343" s="17">
        <f t="shared" si="245"/>
        <v>1.0034135969434972</v>
      </c>
      <c r="Y343" s="17">
        <f t="shared" si="246"/>
        <v>-8.2509570464551249E-2</v>
      </c>
      <c r="Z343" s="31" t="str">
        <f t="shared" si="236"/>
        <v>0.999713172094316+0.115657150499139i</v>
      </c>
      <c r="AA343" s="17">
        <f t="shared" si="247"/>
        <v>1.0063811419737851</v>
      </c>
      <c r="AB343" s="17">
        <f t="shared" si="248"/>
        <v>0.1151782964988196</v>
      </c>
      <c r="AC343" s="66" t="str">
        <f t="shared" si="249"/>
        <v>-0.108287131864197-1.80096807758752i</v>
      </c>
      <c r="AD343" s="64">
        <f t="shared" si="250"/>
        <v>5.1257929376154179</v>
      </c>
      <c r="AE343" s="61">
        <f t="shared" si="251"/>
        <v>-93.440891048601273</v>
      </c>
      <c r="AF343" s="31" t="str">
        <f t="shared" si="237"/>
        <v>-9090.90909090909</v>
      </c>
      <c r="AG343" s="31" t="str">
        <f t="shared" si="238"/>
        <v>2.27623467397318E-08i</v>
      </c>
      <c r="AH343" s="31">
        <f t="shared" si="252"/>
        <v>2.27623467397318E-8</v>
      </c>
      <c r="AI343" s="31">
        <f t="shared" si="253"/>
        <v>1.5707963267948966</v>
      </c>
      <c r="AJ343" s="31" t="str">
        <f t="shared" si="239"/>
        <v>1+322696198.413748i</v>
      </c>
      <c r="AK343" s="31">
        <f t="shared" si="254"/>
        <v>322696198.41374803</v>
      </c>
      <c r="AL343" s="31">
        <f t="shared" si="255"/>
        <v>1.5707963236960067</v>
      </c>
      <c r="AM343" s="31" t="str">
        <f t="shared" si="240"/>
        <v>1+147.241207908711i</v>
      </c>
      <c r="AN343" s="31">
        <f t="shared" si="256"/>
        <v>147.2446036580501</v>
      </c>
      <c r="AO343" s="31">
        <f t="shared" si="257"/>
        <v>1.564004854221045</v>
      </c>
      <c r="AS343" s="58" t="str">
        <f t="shared" si="258"/>
        <v>1237.64540239344+182232.48716473i</v>
      </c>
      <c r="AT343" s="49">
        <f t="shared" si="259"/>
        <v>105.21271636771226</v>
      </c>
      <c r="AU343" s="61">
        <f t="shared" si="260"/>
        <v>89.610877462392764</v>
      </c>
      <c r="AV343" s="58" t="str">
        <f t="shared" si="261"/>
        <v>328060.871012166-21962.3932286313i</v>
      </c>
      <c r="AW343" s="64">
        <f t="shared" si="262"/>
        <v>110.33850930532766</v>
      </c>
      <c r="AX343" s="61">
        <f t="shared" si="263"/>
        <v>-3.8300135862085223</v>
      </c>
      <c r="AY343" s="310"/>
      <c r="BA343" s="31">
        <f t="shared" si="264"/>
        <v>0</v>
      </c>
      <c r="BB343" s="31">
        <f t="shared" si="265"/>
        <v>0</v>
      </c>
    </row>
    <row r="344" spans="14:54" x14ac:dyDescent="0.45">
      <c r="N344" s="10">
        <v>26</v>
      </c>
      <c r="O344" s="50">
        <f t="shared" si="231"/>
        <v>18197.008586099837</v>
      </c>
      <c r="P344" s="48" t="str">
        <f t="shared" si="232"/>
        <v>17.4002386318441</v>
      </c>
      <c r="Q344" s="17" t="str">
        <f t="shared" si="233"/>
        <v>1+9.7919295149i</v>
      </c>
      <c r="R344" s="17">
        <f t="shared" si="241"/>
        <v>9.8428595247910415</v>
      </c>
      <c r="S344" s="17">
        <f t="shared" si="242"/>
        <v>1.4690242406114318</v>
      </c>
      <c r="T344" s="17" t="str">
        <f t="shared" si="234"/>
        <v>1+0.0343005530948409i</v>
      </c>
      <c r="U344" s="17">
        <f t="shared" si="243"/>
        <v>1.000588091045767</v>
      </c>
      <c r="V344" s="17">
        <f t="shared" si="244"/>
        <v>3.4287110729702287E-2</v>
      </c>
      <c r="W344" s="31" t="str">
        <f t="shared" si="235"/>
        <v>1-0.0846235867736665i</v>
      </c>
      <c r="X344" s="17">
        <f t="shared" si="245"/>
        <v>1.003574188308189</v>
      </c>
      <c r="Y344" s="17">
        <f t="shared" si="246"/>
        <v>-8.4422449520163145E-2</v>
      </c>
      <c r="Z344" s="31" t="str">
        <f t="shared" si="236"/>
        <v>0.99969965431158+0.11835115161293i</v>
      </c>
      <c r="AA344" s="17">
        <f t="shared" si="247"/>
        <v>1.0066808798814049</v>
      </c>
      <c r="AB344" s="17">
        <f t="shared" si="248"/>
        <v>0.11783823394531362</v>
      </c>
      <c r="AC344" s="66" t="str">
        <f t="shared" si="249"/>
        <v>-0.116653394061106-1.7595213314428i</v>
      </c>
      <c r="AD344" s="64">
        <f t="shared" si="250"/>
        <v>4.9269381958871996</v>
      </c>
      <c r="AE344" s="61">
        <f t="shared" si="251"/>
        <v>-93.7930657769394</v>
      </c>
      <c r="AF344" s="31" t="str">
        <f t="shared" si="237"/>
        <v>-9090.90909090909</v>
      </c>
      <c r="AG344" s="31" t="str">
        <f t="shared" si="238"/>
        <v>2.27623467397318E-08i</v>
      </c>
      <c r="AH344" s="31">
        <f t="shared" si="252"/>
        <v>2.27623467397318E-8</v>
      </c>
      <c r="AI344" s="31">
        <f t="shared" si="253"/>
        <v>1.5707963267948966</v>
      </c>
      <c r="AJ344" s="31" t="str">
        <f t="shared" si="239"/>
        <v>1+330212758.472429i</v>
      </c>
      <c r="AK344" s="31">
        <f t="shared" si="254"/>
        <v>330212758.47242898</v>
      </c>
      <c r="AL344" s="31">
        <f t="shared" si="255"/>
        <v>1.5707963237665461</v>
      </c>
      <c r="AM344" s="31" t="str">
        <f t="shared" si="240"/>
        <v>1+150.670896227938i</v>
      </c>
      <c r="AN344" s="31">
        <f t="shared" si="256"/>
        <v>150.67421468230739</v>
      </c>
      <c r="AO344" s="31">
        <f t="shared" si="257"/>
        <v>1.5641594424181067</v>
      </c>
      <c r="AS344" s="58" t="str">
        <f t="shared" si="258"/>
        <v>1209.47315356369+182232.487164557i</v>
      </c>
      <c r="AT344" s="49">
        <f t="shared" si="259"/>
        <v>105.21270735220747</v>
      </c>
      <c r="AU344" s="61">
        <f t="shared" si="260"/>
        <v>89.619734709605339</v>
      </c>
      <c r="AV344" s="58" t="str">
        <f t="shared" si="261"/>
        <v>320500.859299525-23386.1319494452i</v>
      </c>
      <c r="AW344" s="64">
        <f t="shared" si="262"/>
        <v>110.13964554809465</v>
      </c>
      <c r="AX344" s="61">
        <f t="shared" si="263"/>
        <v>-4.1733310673340718</v>
      </c>
      <c r="AY344" s="310"/>
      <c r="BA344" s="31">
        <f t="shared" si="264"/>
        <v>0</v>
      </c>
      <c r="BB344" s="31">
        <f t="shared" si="265"/>
        <v>0</v>
      </c>
    </row>
    <row r="345" spans="14:54" x14ac:dyDescent="0.45">
      <c r="N345" s="10">
        <v>27</v>
      </c>
      <c r="O345" s="50">
        <f t="shared" si="231"/>
        <v>18620.871366628675</v>
      </c>
      <c r="P345" s="48" t="str">
        <f t="shared" si="232"/>
        <v>17.4002386318441</v>
      </c>
      <c r="Q345" s="17" t="str">
        <f t="shared" si="233"/>
        <v>1+10.0200128535042i</v>
      </c>
      <c r="R345" s="17">
        <f t="shared" si="241"/>
        <v>10.069789351540049</v>
      </c>
      <c r="S345" s="17">
        <f t="shared" si="242"/>
        <v>1.4713254295193952</v>
      </c>
      <c r="T345" s="17" t="str">
        <f t="shared" si="234"/>
        <v>1+0.0350995156133046i</v>
      </c>
      <c r="U345" s="17">
        <f t="shared" si="243"/>
        <v>1.0006157983943131</v>
      </c>
      <c r="V345" s="17">
        <f t="shared" si="244"/>
        <v>3.5085112338261004E-2</v>
      </c>
      <c r="W345" s="31" t="str">
        <f t="shared" si="235"/>
        <v>1-0.0865947233271552i</v>
      </c>
      <c r="X345" s="17">
        <f t="shared" si="245"/>
        <v>1.0037423205724199</v>
      </c>
      <c r="Y345" s="17">
        <f t="shared" si="246"/>
        <v>-8.6379244251934856E-2</v>
      </c>
      <c r="Z345" s="31" t="str">
        <f t="shared" si="236"/>
        <v>0.999685499455372+0.121107904073868i</v>
      </c>
      <c r="AA345" s="17">
        <f t="shared" si="247"/>
        <v>1.0069946485709356</v>
      </c>
      <c r="AB345" s="17">
        <f t="shared" si="248"/>
        <v>0.12055850875693012</v>
      </c>
      <c r="AC345" s="66" t="str">
        <f t="shared" si="249"/>
        <v>-0.124637003832752-1.71893158867039i</v>
      </c>
      <c r="AD345" s="64">
        <f t="shared" si="250"/>
        <v>4.7279449437026999</v>
      </c>
      <c r="AE345" s="61">
        <f t="shared" si="251"/>
        <v>-94.14716841033831</v>
      </c>
      <c r="AF345" s="31" t="str">
        <f t="shared" si="237"/>
        <v>-9090.90909090909</v>
      </c>
      <c r="AG345" s="31" t="str">
        <f t="shared" si="238"/>
        <v>2.27623467397318E-08i</v>
      </c>
      <c r="AH345" s="31">
        <f t="shared" si="252"/>
        <v>2.27623467397318E-8</v>
      </c>
      <c r="AI345" s="31">
        <f t="shared" si="253"/>
        <v>1.5707963267948966</v>
      </c>
      <c r="AJ345" s="31" t="str">
        <f t="shared" si="239"/>
        <v>1+337904401.706533i</v>
      </c>
      <c r="AK345" s="31">
        <f t="shared" si="254"/>
        <v>337904401.70653301</v>
      </c>
      <c r="AL345" s="31">
        <f t="shared" si="255"/>
        <v>1.5707963238354796</v>
      </c>
      <c r="AM345" s="31" t="str">
        <f t="shared" si="240"/>
        <v>1+154.180472250709i</v>
      </c>
      <c r="AN345" s="31">
        <f t="shared" si="256"/>
        <v>154.18371516944208</v>
      </c>
      <c r="AO345" s="31">
        <f t="shared" si="257"/>
        <v>1.5643105120647165</v>
      </c>
      <c r="AS345" s="58" t="str">
        <f t="shared" si="258"/>
        <v>1181.94218340925+182232.487164392i</v>
      </c>
      <c r="AT345" s="49">
        <f t="shared" si="259"/>
        <v>105.21269874244977</v>
      </c>
      <c r="AU345" s="61">
        <f t="shared" si="260"/>
        <v>89.628390358819004</v>
      </c>
      <c r="AV345" s="58" t="str">
        <f t="shared" si="261"/>
        <v>313097.864936401-24744.5889562045i</v>
      </c>
      <c r="AW345" s="64">
        <f t="shared" si="262"/>
        <v>109.94064368615247</v>
      </c>
      <c r="AX345" s="61">
        <f t="shared" si="263"/>
        <v>-4.5187780515193277</v>
      </c>
      <c r="AY345" s="310"/>
      <c r="BA345" s="31">
        <f t="shared" si="264"/>
        <v>0</v>
      </c>
      <c r="BB345" s="31">
        <f t="shared" si="265"/>
        <v>0</v>
      </c>
    </row>
    <row r="346" spans="14:54" x14ac:dyDescent="0.45">
      <c r="N346" s="10">
        <v>28</v>
      </c>
      <c r="O346" s="50">
        <f t="shared" si="231"/>
        <v>19054.607179632505</v>
      </c>
      <c r="P346" s="48" t="str">
        <f t="shared" si="232"/>
        <v>17.4002386318441</v>
      </c>
      <c r="Q346" s="17" t="str">
        <f t="shared" si="233"/>
        <v>1+10.2534089355541i</v>
      </c>
      <c r="R346" s="17">
        <f t="shared" si="241"/>
        <v>10.302057794426348</v>
      </c>
      <c r="S346" s="17">
        <f t="shared" si="242"/>
        <v>1.4735752587766509</v>
      </c>
      <c r="T346" s="17" t="str">
        <f t="shared" si="234"/>
        <v>1+0.0359170883595438i</v>
      </c>
      <c r="U346" s="17">
        <f t="shared" si="243"/>
        <v>1.0006448107276764</v>
      </c>
      <c r="V346" s="17">
        <f t="shared" si="244"/>
        <v>3.5901655509354438E-2</v>
      </c>
      <c r="W346" s="31" t="str">
        <f t="shared" si="235"/>
        <v>1-0.0886117735491693i</v>
      </c>
      <c r="X346" s="17">
        <f t="shared" si="245"/>
        <v>1.0039183464861718</v>
      </c>
      <c r="Y346" s="17">
        <f t="shared" si="246"/>
        <v>-8.83809322037971E-2</v>
      </c>
      <c r="Z346" s="31" t="str">
        <f t="shared" si="236"/>
        <v>0.999670677501342+0.1239288695486i</v>
      </c>
      <c r="AA346" s="17">
        <f t="shared" si="247"/>
        <v>1.0073231001836433</v>
      </c>
      <c r="AB346" s="17">
        <f t="shared" si="248"/>
        <v>0.12334041263512249</v>
      </c>
      <c r="AC346" s="66" t="str">
        <f t="shared" si="249"/>
        <v>-0.132253886573806-1.67918251773306i</v>
      </c>
      <c r="AD346" s="64">
        <f t="shared" si="250"/>
        <v>4.5288153497458534</v>
      </c>
      <c r="AE346" s="61">
        <f t="shared" si="251"/>
        <v>-94.503369276685618</v>
      </c>
      <c r="AF346" s="31" t="str">
        <f t="shared" si="237"/>
        <v>-9090.90909090909</v>
      </c>
      <c r="AG346" s="31" t="str">
        <f t="shared" si="238"/>
        <v>2.27623467397318E-08i</v>
      </c>
      <c r="AH346" s="31">
        <f t="shared" si="252"/>
        <v>2.27623467397318E-8</v>
      </c>
      <c r="AI346" s="31">
        <f t="shared" si="253"/>
        <v>1.5707963267948966</v>
      </c>
      <c r="AJ346" s="31" t="str">
        <f t="shared" si="239"/>
        <v>1+345775206.327119i</v>
      </c>
      <c r="AK346" s="31">
        <f t="shared" si="254"/>
        <v>345775206.32711899</v>
      </c>
      <c r="AL346" s="31">
        <f t="shared" si="255"/>
        <v>1.5707963239028442</v>
      </c>
      <c r="AM346" s="31" t="str">
        <f t="shared" si="240"/>
        <v>1+157.771796800689i</v>
      </c>
      <c r="AN346" s="31">
        <f t="shared" si="256"/>
        <v>157.7749659030795</v>
      </c>
      <c r="AO346" s="31">
        <f t="shared" si="257"/>
        <v>1.5644581432324032</v>
      </c>
      <c r="AS346" s="58" t="str">
        <f t="shared" si="258"/>
        <v>1155.03789464528+182232.487164235i</v>
      </c>
      <c r="AT346" s="49">
        <f t="shared" si="259"/>
        <v>105.21269052017911</v>
      </c>
      <c r="AU346" s="61">
        <f t="shared" si="260"/>
        <v>89.636848997792328</v>
      </c>
      <c r="AV346" s="58" t="str">
        <f t="shared" si="261"/>
        <v>305848.848358491-26040.4741274888i</v>
      </c>
      <c r="AW346" s="64">
        <f t="shared" si="262"/>
        <v>109.74150586992496</v>
      </c>
      <c r="AX346" s="61">
        <f t="shared" si="263"/>
        <v>-4.8665202788932662</v>
      </c>
      <c r="AY346" s="310"/>
      <c r="BA346" s="31">
        <f t="shared" si="264"/>
        <v>0</v>
      </c>
      <c r="BB346" s="31">
        <f t="shared" si="265"/>
        <v>0</v>
      </c>
    </row>
    <row r="347" spans="14:54" x14ac:dyDescent="0.45">
      <c r="N347" s="10">
        <v>29</v>
      </c>
      <c r="O347" s="50">
        <f t="shared" si="231"/>
        <v>19498.445997580486</v>
      </c>
      <c r="P347" s="48" t="str">
        <f t="shared" si="232"/>
        <v>17.4002386318441</v>
      </c>
      <c r="Q347" s="17" t="str">
        <f t="shared" si="233"/>
        <v>1+10.4922415107413i</v>
      </c>
      <c r="R347" s="17">
        <f t="shared" si="241"/>
        <v>10.539788039601312</v>
      </c>
      <c r="S347" s="17">
        <f t="shared" si="242"/>
        <v>1.4757748301181588</v>
      </c>
      <c r="T347" s="17" t="str">
        <f t="shared" si="234"/>
        <v>1+0.0367537048214496i</v>
      </c>
      <c r="U347" s="17">
        <f t="shared" si="243"/>
        <v>1.0006751894686419</v>
      </c>
      <c r="V347" s="17">
        <f t="shared" si="244"/>
        <v>3.6737168827097745E-2</v>
      </c>
      <c r="W347" s="31" t="str">
        <f t="shared" si="235"/>
        <v>1-0.0906758069064335i</v>
      </c>
      <c r="X347" s="17">
        <f t="shared" si="245"/>
        <v>1.0041026351713915</v>
      </c>
      <c r="Y347" s="17">
        <f t="shared" si="246"/>
        <v>-9.0428510499440673E-2</v>
      </c>
      <c r="Z347" s="31" t="str">
        <f t="shared" si="236"/>
        <v>0.99965515701014+0.126815543750358i</v>
      </c>
      <c r="AA347" s="17">
        <f t="shared" si="247"/>
        <v>1.0076669167307553</v>
      </c>
      <c r="AB347" s="17">
        <f t="shared" si="248"/>
        <v>0.12618525949391715</v>
      </c>
      <c r="AC347" s="66" t="str">
        <f t="shared" si="249"/>
        <v>-0.139519281776641-1.6402579126391i</v>
      </c>
      <c r="AD347" s="64">
        <f t="shared" si="250"/>
        <v>4.329551319964831</v>
      </c>
      <c r="AE347" s="61">
        <f t="shared" si="251"/>
        <v>-94.86183935739119</v>
      </c>
      <c r="AF347" s="31" t="str">
        <f t="shared" si="237"/>
        <v>-9090.90909090909</v>
      </c>
      <c r="AG347" s="31" t="str">
        <f t="shared" si="238"/>
        <v>2.27623467397318E-08i</v>
      </c>
      <c r="AH347" s="31">
        <f t="shared" si="252"/>
        <v>2.27623467397318E-8</v>
      </c>
      <c r="AI347" s="31">
        <f t="shared" si="253"/>
        <v>1.5707963267948966</v>
      </c>
      <c r="AJ347" s="31" t="str">
        <f t="shared" si="239"/>
        <v>1+353829345.538971i</v>
      </c>
      <c r="AK347" s="31">
        <f t="shared" si="254"/>
        <v>353829345.53897101</v>
      </c>
      <c r="AL347" s="31">
        <f t="shared" si="255"/>
        <v>1.5707963239686755</v>
      </c>
      <c r="AM347" s="31" t="str">
        <f t="shared" si="240"/>
        <v>1+161.446774045688i</v>
      </c>
      <c r="AN347" s="31">
        <f t="shared" si="256"/>
        <v>161.44987101190085</v>
      </c>
      <c r="AO347" s="31">
        <f t="shared" si="257"/>
        <v>1.5646024141714101</v>
      </c>
      <c r="AS347" s="58" t="str">
        <f t="shared" si="258"/>
        <v>1128.74602226182+182232.487164085i</v>
      </c>
      <c r="AT347" s="49">
        <f t="shared" si="259"/>
        <v>105.21268266795704</v>
      </c>
      <c r="AU347" s="61">
        <f t="shared" si="260"/>
        <v>89.645115109931979</v>
      </c>
      <c r="AV347" s="58" t="str">
        <f t="shared" si="261"/>
        <v>298750.797176459-27276.380319879i</v>
      </c>
      <c r="AW347" s="64">
        <f t="shared" si="262"/>
        <v>109.54223398792186</v>
      </c>
      <c r="AX347" s="61">
        <f t="shared" si="263"/>
        <v>-5.2167242474592506</v>
      </c>
      <c r="AY347" s="310"/>
      <c r="BA347" s="31">
        <f t="shared" si="264"/>
        <v>0</v>
      </c>
      <c r="BB347" s="31">
        <f t="shared" si="265"/>
        <v>0</v>
      </c>
    </row>
    <row r="348" spans="14:54" x14ac:dyDescent="0.45">
      <c r="N348" s="10">
        <v>30</v>
      </c>
      <c r="O348" s="50">
        <f t="shared" si="231"/>
        <v>19952.623149688792</v>
      </c>
      <c r="P348" s="48" t="str">
        <f t="shared" si="232"/>
        <v>17.4002386318441</v>
      </c>
      <c r="Q348" s="17" t="str">
        <f t="shared" si="233"/>
        <v>1+10.7366372112588i</v>
      </c>
      <c r="R348" s="17">
        <f t="shared" si="241"/>
        <v>10.783106166879149</v>
      </c>
      <c r="S348" s="17">
        <f t="shared" si="242"/>
        <v>1.4779252246046966</v>
      </c>
      <c r="T348" s="17" t="str">
        <f t="shared" si="234"/>
        <v>1+0.0376098085841448i</v>
      </c>
      <c r="U348" s="17">
        <f t="shared" si="243"/>
        <v>1.0007069989271267</v>
      </c>
      <c r="V348" s="17">
        <f t="shared" si="244"/>
        <v>3.7592090622989884E-2</v>
      </c>
      <c r="W348" s="31" t="str">
        <f t="shared" si="235"/>
        <v>1-0.0927879177767564i</v>
      </c>
      <c r="X348" s="17">
        <f t="shared" si="245"/>
        <v>1.0042955728695344</v>
      </c>
      <c r="Y348" s="17">
        <f t="shared" si="246"/>
        <v>-9.252299607693322E-2</v>
      </c>
      <c r="Z348" s="31" t="str">
        <f t="shared" si="236"/>
        <v>0.999638905060723+0.129769457232015i</v>
      </c>
      <c r="AA348" s="17">
        <f t="shared" si="247"/>
        <v>1.0080268114198612</v>
      </c>
      <c r="AB348" s="17">
        <f t="shared" si="248"/>
        <v>0.12909438544495036</v>
      </c>
      <c r="AC348" s="66" t="str">
        <f t="shared" si="249"/>
        <v>-0.146447767939484-1.60214170559516i</v>
      </c>
      <c r="AD348" s="64">
        <f t="shared" si="250"/>
        <v>4.1301545020681445</v>
      </c>
      <c r="AE348" s="61">
        <f t="shared" si="251"/>
        <v>-95.222750297947186</v>
      </c>
      <c r="AF348" s="31" t="str">
        <f t="shared" si="237"/>
        <v>-9090.90909090909</v>
      </c>
      <c r="AG348" s="31" t="str">
        <f t="shared" si="238"/>
        <v>2.27623467397318E-08i</v>
      </c>
      <c r="AH348" s="31">
        <f t="shared" si="252"/>
        <v>2.27623467397318E-8</v>
      </c>
      <c r="AI348" s="31">
        <f t="shared" si="253"/>
        <v>1.5707963267948966</v>
      </c>
      <c r="AJ348" s="31" t="str">
        <f t="shared" si="239"/>
        <v>1+362071089.753315i</v>
      </c>
      <c r="AK348" s="31">
        <f t="shared" si="254"/>
        <v>362071089.75331497</v>
      </c>
      <c r="AL348" s="31">
        <f t="shared" si="255"/>
        <v>1.5707963240330081</v>
      </c>
      <c r="AM348" s="31" t="str">
        <f t="shared" si="240"/>
        <v>1+165.207352507287i</v>
      </c>
      <c r="AN348" s="31">
        <f t="shared" si="256"/>
        <v>165.21037897924873</v>
      </c>
      <c r="AO348" s="31">
        <f t="shared" si="257"/>
        <v>1.564743401352062</v>
      </c>
      <c r="AS348" s="58" t="str">
        <f t="shared" si="258"/>
        <v>1103.05262596006+182232.487163941i</v>
      </c>
      <c r="AT348" s="49">
        <f t="shared" si="259"/>
        <v>105.21267516912991</v>
      </c>
      <c r="AU348" s="61">
        <f t="shared" si="260"/>
        <v>89.653193076662774</v>
      </c>
      <c r="AV348" s="58" t="str">
        <f t="shared" si="261"/>
        <v>291800.728204693-28454.7876067367i</v>
      </c>
      <c r="AW348" s="64">
        <f t="shared" si="262"/>
        <v>109.34282967119805</v>
      </c>
      <c r="AX348" s="61">
        <f t="shared" si="263"/>
        <v>-5.5695572212844082</v>
      </c>
      <c r="AY348" s="310"/>
      <c r="BA348" s="31">
        <f t="shared" si="264"/>
        <v>0</v>
      </c>
      <c r="BB348" s="31">
        <f t="shared" si="265"/>
        <v>0</v>
      </c>
    </row>
    <row r="349" spans="14:54" x14ac:dyDescent="0.45">
      <c r="N349" s="10">
        <v>31</v>
      </c>
      <c r="O349" s="50">
        <f t="shared" si="231"/>
        <v>20417.379446695286</v>
      </c>
      <c r="P349" s="48" t="str">
        <f t="shared" si="232"/>
        <v>17.4002386318441</v>
      </c>
      <c r="Q349" s="17" t="str">
        <f t="shared" si="233"/>
        <v>1+10.9867256189419i</v>
      </c>
      <c r="R349" s="17">
        <f t="shared" si="241"/>
        <v>11.032141216731876</v>
      </c>
      <c r="S349" s="17">
        <f t="shared" si="242"/>
        <v>1.4800275028092504</v>
      </c>
      <c r="T349" s="17" t="str">
        <f t="shared" si="234"/>
        <v>1+0.0384858535651758i</v>
      </c>
      <c r="U349" s="17">
        <f t="shared" si="243"/>
        <v>1.0007403064355109</v>
      </c>
      <c r="V349" s="17">
        <f t="shared" si="244"/>
        <v>3.8466869186190203E-2</v>
      </c>
      <c r="W349" s="31" t="str">
        <f t="shared" si="235"/>
        <v>1-0.0949492260292773i</v>
      </c>
      <c r="X349" s="17">
        <f t="shared" si="245"/>
        <v>1.0044975637220623</v>
      </c>
      <c r="Y349" s="17">
        <f t="shared" si="246"/>
        <v>-9.4665425913750087E-2</v>
      </c>
      <c r="Z349" s="31" t="str">
        <f t="shared" si="236"/>
        <v>0.999621887180526+0.132792176197597i</v>
      </c>
      <c r="AA349" s="17">
        <f t="shared" si="247"/>
        <v>1.0084035300362897</v>
      </c>
      <c r="AB349" s="17">
        <f t="shared" si="248"/>
        <v>0.13206914874769218</v>
      </c>
      <c r="AC349" s="66" t="str">
        <f t="shared" si="249"/>
        <v>-0.153053286738992-1.56481797850155i</v>
      </c>
      <c r="AD349" s="64">
        <f t="shared" si="250"/>
        <v>3.930626289686975</v>
      </c>
      <c r="AE349" s="61">
        <f t="shared" si="251"/>
        <v>-95.586274416600617</v>
      </c>
      <c r="AF349" s="31" t="str">
        <f t="shared" si="237"/>
        <v>-9090.90909090909</v>
      </c>
      <c r="AG349" s="31" t="str">
        <f t="shared" si="238"/>
        <v>2.27623467397318E-08i</v>
      </c>
      <c r="AH349" s="31">
        <f t="shared" si="252"/>
        <v>2.27623467397318E-8</v>
      </c>
      <c r="AI349" s="31">
        <f t="shared" si="253"/>
        <v>1.5707963267948966</v>
      </c>
      <c r="AJ349" s="31" t="str">
        <f t="shared" si="239"/>
        <v>1+370504808.852022i</v>
      </c>
      <c r="AK349" s="31">
        <f t="shared" si="254"/>
        <v>370504808.85202199</v>
      </c>
      <c r="AL349" s="31">
        <f t="shared" si="255"/>
        <v>1.5707963240958762</v>
      </c>
      <c r="AM349" s="31" t="str">
        <f t="shared" si="240"/>
        <v>1+169.055526093962i</v>
      </c>
      <c r="AN349" s="31">
        <f t="shared" si="256"/>
        <v>169.0584836762304</v>
      </c>
      <c r="AO349" s="31">
        <f t="shared" si="257"/>
        <v>1.5648811795051958</v>
      </c>
      <c r="AS349" s="58" t="str">
        <f t="shared" si="258"/>
        <v>1077.94408276122+182232.487163804i</v>
      </c>
      <c r="AT349" s="49">
        <f t="shared" si="259"/>
        <v>105.21266800779351</v>
      </c>
      <c r="AU349" s="61">
        <f t="shared" si="260"/>
        <v>89.661087179744371</v>
      </c>
      <c r="AV349" s="58" t="str">
        <f t="shared" si="261"/>
        <v>284995.689296186-29578.0673915655i</v>
      </c>
      <c r="AW349" s="64">
        <f t="shared" si="262"/>
        <v>109.14329429748049</v>
      </c>
      <c r="AX349" s="61">
        <f t="shared" si="263"/>
        <v>-5.9251872368562521</v>
      </c>
      <c r="AY349" s="310"/>
      <c r="BA349" s="31">
        <f t="shared" si="264"/>
        <v>0</v>
      </c>
      <c r="BB349" s="31">
        <f t="shared" si="265"/>
        <v>0</v>
      </c>
    </row>
    <row r="350" spans="14:54" x14ac:dyDescent="0.45">
      <c r="N350" s="10">
        <v>32</v>
      </c>
      <c r="O350" s="50">
        <f t="shared" si="231"/>
        <v>20892.961308540423</v>
      </c>
      <c r="P350" s="48" t="str">
        <f t="shared" si="232"/>
        <v>17.4002386318441</v>
      </c>
      <c r="Q350" s="17" t="str">
        <f t="shared" si="233"/>
        <v>1+11.2426393339747i</v>
      </c>
      <c r="R350" s="17">
        <f t="shared" si="241"/>
        <v>11.287025258846333</v>
      </c>
      <c r="S350" s="17">
        <f t="shared" si="242"/>
        <v>1.4820827050171068</v>
      </c>
      <c r="T350" s="17" t="str">
        <f t="shared" si="234"/>
        <v>1+0.0393823042551879i</v>
      </c>
      <c r="U350" s="17">
        <f t="shared" si="243"/>
        <v>1.0007751824902775</v>
      </c>
      <c r="V350" s="17">
        <f t="shared" si="244"/>
        <v>3.936196297750922E-2</v>
      </c>
      <c r="W350" s="31" t="str">
        <f t="shared" si="235"/>
        <v>1-0.0971608776182414i</v>
      </c>
      <c r="X350" s="17">
        <f t="shared" si="245"/>
        <v>1.0047090305852471</v>
      </c>
      <c r="Y350" s="17">
        <f t="shared" si="246"/>
        <v>-9.6856857241041872E-2</v>
      </c>
      <c r="Z350" s="31" t="str">
        <f t="shared" si="236"/>
        <v>0.999604067272345+0.135885303332713i</v>
      </c>
      <c r="AA350" s="17">
        <f t="shared" si="247"/>
        <v>1.008797852381357</v>
      </c>
      <c r="AB350" s="17">
        <f t="shared" si="248"/>
        <v>0.13511092972203423</v>
      </c>
      <c r="AC350" s="66" t="str">
        <f t="shared" si="249"/>
        <v>-0.159349166467108-1.52827097336861i</v>
      </c>
      <c r="AD350" s="64">
        <f t="shared" si="250"/>
        <v>3.730967826213897</v>
      </c>
      <c r="AE350" s="61">
        <f t="shared" si="251"/>
        <v>-95.95258471082532</v>
      </c>
      <c r="AF350" s="31" t="str">
        <f t="shared" si="237"/>
        <v>-9090.90909090909</v>
      </c>
      <c r="AG350" s="31" t="str">
        <f t="shared" si="238"/>
        <v>2.27623467397318E-08i</v>
      </c>
      <c r="AH350" s="31">
        <f t="shared" si="252"/>
        <v>2.27623467397318E-8</v>
      </c>
      <c r="AI350" s="31">
        <f t="shared" si="253"/>
        <v>1.5707963267948966</v>
      </c>
      <c r="AJ350" s="31" t="str">
        <f t="shared" si="239"/>
        <v>1+379134974.504596i</v>
      </c>
      <c r="AK350" s="31">
        <f t="shared" si="254"/>
        <v>379134974.50459599</v>
      </c>
      <c r="AL350" s="31">
        <f t="shared" si="255"/>
        <v>1.5707963241573135</v>
      </c>
      <c r="AM350" s="31" t="str">
        <f t="shared" si="240"/>
        <v>1+172.993335158289i</v>
      </c>
      <c r="AN350" s="31">
        <f t="shared" si="256"/>
        <v>172.99622541890361</v>
      </c>
      <c r="AO350" s="31">
        <f t="shared" si="257"/>
        <v>1.5650158216616767</v>
      </c>
      <c r="AS350" s="58" t="str">
        <f t="shared" si="258"/>
        <v>1053.40707978334+182232.487163674i</v>
      </c>
      <c r="AT350" s="49">
        <f t="shared" si="259"/>
        <v>105.21266116875937</v>
      </c>
      <c r="AU350" s="61">
        <f t="shared" si="260"/>
        <v>89.668801603535172</v>
      </c>
      <c r="AV350" s="58" t="str">
        <f t="shared" si="261"/>
        <v>278332.760996897-30648.4863959333i</v>
      </c>
      <c r="AW350" s="64">
        <f t="shared" si="262"/>
        <v>108.94362899497327</v>
      </c>
      <c r="AX350" s="61">
        <f t="shared" si="263"/>
        <v>-6.2837831072901569</v>
      </c>
      <c r="AY350" s="310"/>
      <c r="BA350" s="31">
        <f t="shared" si="264"/>
        <v>0</v>
      </c>
      <c r="BB350" s="31">
        <f t="shared" si="265"/>
        <v>0</v>
      </c>
    </row>
    <row r="351" spans="14:54" x14ac:dyDescent="0.45">
      <c r="N351" s="10">
        <v>33</v>
      </c>
      <c r="O351" s="50">
        <f t="shared" si="231"/>
        <v>21379.620895022348</v>
      </c>
      <c r="P351" s="48" t="str">
        <f t="shared" si="232"/>
        <v>17.4002386318441</v>
      </c>
      <c r="Q351" s="17" t="str">
        <f t="shared" si="233"/>
        <v>1+11.5045140451963i</v>
      </c>
      <c r="R351" s="17">
        <f t="shared" si="241"/>
        <v>11.547893462277825</v>
      </c>
      <c r="S351" s="17">
        <f t="shared" si="242"/>
        <v>1.4840918514382226</v>
      </c>
      <c r="T351" s="17" t="str">
        <f t="shared" si="234"/>
        <v>1+0.0402996359642022i</v>
      </c>
      <c r="U351" s="17">
        <f t="shared" si="243"/>
        <v>1.0008117009002477</v>
      </c>
      <c r="V351" s="17">
        <f t="shared" si="244"/>
        <v>4.0277840847107116E-2</v>
      </c>
      <c r="W351" s="31" t="str">
        <f t="shared" si="235"/>
        <v>1-0.0994240451905941i</v>
      </c>
      <c r="X351" s="17">
        <f t="shared" si="245"/>
        <v>1.0049304158806525</v>
      </c>
      <c r="Y351" s="17">
        <f t="shared" si="246"/>
        <v>-9.9098367745823576E-2</v>
      </c>
      <c r="Z351" s="31" t="str">
        <f t="shared" si="236"/>
        <v>0.999585407537764+0.13905047865431i</v>
      </c>
      <c r="AA351" s="17">
        <f t="shared" si="247"/>
        <v>1.0092105937694225</v>
      </c>
      <c r="AB351" s="17">
        <f t="shared" si="248"/>
        <v>0.13822113062019023</v>
      </c>
      <c r="AC351" s="66" t="str">
        <f t="shared" si="249"/>
        <v>-0.165348144734721-1.4924851017298i</v>
      </c>
      <c r="AD351" s="64">
        <f t="shared" si="250"/>
        <v>3.5311800083341844</v>
      </c>
      <c r="AE351" s="61">
        <f t="shared" si="251"/>
        <v>-96.321854861262082</v>
      </c>
      <c r="AF351" s="31" t="str">
        <f t="shared" si="237"/>
        <v>-9090.90909090909</v>
      </c>
      <c r="AG351" s="31" t="str">
        <f t="shared" si="238"/>
        <v>2.27623467397318E-08i</v>
      </c>
      <c r="AH351" s="31">
        <f t="shared" si="252"/>
        <v>2.27623467397318E-8</v>
      </c>
      <c r="AI351" s="31">
        <f t="shared" si="253"/>
        <v>1.5707963267948966</v>
      </c>
      <c r="AJ351" s="31" t="str">
        <f t="shared" si="239"/>
        <v>1+387966162.539095i</v>
      </c>
      <c r="AK351" s="31">
        <f t="shared" si="254"/>
        <v>387966162.53909498</v>
      </c>
      <c r="AL351" s="31">
        <f t="shared" si="255"/>
        <v>1.5707963242173522</v>
      </c>
      <c r="AM351" s="31" t="str">
        <f t="shared" si="240"/>
        <v>1+177.022867578752i</v>
      </c>
      <c r="AN351" s="31">
        <f t="shared" si="256"/>
        <v>177.02569205006478</v>
      </c>
      <c r="AO351" s="31">
        <f t="shared" si="257"/>
        <v>1.5651473991910199</v>
      </c>
      <c r="AS351" s="58" t="str">
        <f t="shared" si="258"/>
        <v>1029.42860718265+182232.487163547i</v>
      </c>
      <c r="AT351" s="49">
        <f t="shared" si="259"/>
        <v>105.21265463752228</v>
      </c>
      <c r="AU351" s="61">
        <f t="shared" si="260"/>
        <v>89.676340437205326</v>
      </c>
      <c r="AV351" s="58" t="str">
        <f t="shared" si="261"/>
        <v>271809.058032426-31668.2105224009i</v>
      </c>
      <c r="AW351" s="64">
        <f t="shared" si="262"/>
        <v>108.74383464585645</v>
      </c>
      <c r="AX351" s="61">
        <f t="shared" si="263"/>
        <v>-6.6455144240567661</v>
      </c>
      <c r="AY351" s="310"/>
      <c r="BA351" s="31">
        <f t="shared" si="264"/>
        <v>0</v>
      </c>
      <c r="BB351" s="31">
        <f t="shared" si="265"/>
        <v>0</v>
      </c>
    </row>
    <row r="352" spans="14:54" x14ac:dyDescent="0.45">
      <c r="N352" s="10">
        <v>34</v>
      </c>
      <c r="O352" s="50">
        <f t="shared" si="231"/>
        <v>21877.61623949555</v>
      </c>
      <c r="P352" s="48" t="str">
        <f t="shared" si="232"/>
        <v>17.4002386318441</v>
      </c>
      <c r="Q352" s="17" t="str">
        <f t="shared" si="233"/>
        <v>1+11.7724886020449i</v>
      </c>
      <c r="R352" s="17">
        <f t="shared" si="241"/>
        <v>11.814884167239097</v>
      </c>
      <c r="S352" s="17">
        <f t="shared" si="242"/>
        <v>1.4860559424305824</v>
      </c>
      <c r="T352" s="17" t="str">
        <f t="shared" si="234"/>
        <v>1+0.0412383350736336i</v>
      </c>
      <c r="U352" s="17">
        <f t="shared" si="243"/>
        <v>1.0008499389417203</v>
      </c>
      <c r="V352" s="17">
        <f t="shared" si="244"/>
        <v>4.1214982255905398E-2</v>
      </c>
      <c r="W352" s="31" t="str">
        <f t="shared" si="235"/>
        <v>1-0.10173992870774i</v>
      </c>
      <c r="X352" s="17">
        <f t="shared" si="245"/>
        <v>1.0051621824827355</v>
      </c>
      <c r="Y352" s="17">
        <f t="shared" si="246"/>
        <v>-0.10139105575972686</v>
      </c>
      <c r="Z352" s="31" t="str">
        <f t="shared" si="236"/>
        <v>0.999565868396986+0.14228938038024i</v>
      </c>
      <c r="AA352" s="17">
        <f t="shared" si="247"/>
        <v>1.0096426065857231</v>
      </c>
      <c r="AB352" s="17">
        <f t="shared" si="248"/>
        <v>0.14140117545475125</v>
      </c>
      <c r="AC352" s="66" t="str">
        <f t="shared" si="249"/>
        <v>-0.171062390447302-1.45744495312263i</v>
      </c>
      <c r="AD352" s="64">
        <f t="shared" si="250"/>
        <v>3.3312634892633879</v>
      </c>
      <c r="AE352" s="61">
        <f t="shared" si="251"/>
        <v>-96.69425923279249</v>
      </c>
      <c r="AF352" s="31" t="str">
        <f t="shared" si="237"/>
        <v>-9090.90909090909</v>
      </c>
      <c r="AG352" s="31" t="str">
        <f t="shared" si="238"/>
        <v>2.27623467397318E-08i</v>
      </c>
      <c r="AH352" s="31">
        <f t="shared" si="252"/>
        <v>2.27623467397318E-8</v>
      </c>
      <c r="AI352" s="31">
        <f t="shared" si="253"/>
        <v>1.5707963267948966</v>
      </c>
      <c r="AJ352" s="31" t="str">
        <f t="shared" si="239"/>
        <v>1+397003055.368312i</v>
      </c>
      <c r="AK352" s="31">
        <f t="shared" si="254"/>
        <v>397003055.368312</v>
      </c>
      <c r="AL352" s="31">
        <f t="shared" si="255"/>
        <v>1.5707963242760243</v>
      </c>
      <c r="AM352" s="31" t="str">
        <f t="shared" si="240"/>
        <v>1+181.146259866781i</v>
      </c>
      <c r="AN352" s="31">
        <f t="shared" si="256"/>
        <v>181.14902004626839</v>
      </c>
      <c r="AO352" s="31">
        <f t="shared" si="257"/>
        <v>1.5652759818391393</v>
      </c>
      <c r="AS352" s="58" t="str">
        <f t="shared" si="258"/>
        <v>1005.99595125557+182232.487163428i</v>
      </c>
      <c r="AT352" s="49">
        <f t="shared" si="259"/>
        <v>105.21264840023022</v>
      </c>
      <c r="AU352" s="61">
        <f t="shared" si="260"/>
        <v>89.68370767689953</v>
      </c>
      <c r="AV352" s="58" t="str">
        <f t="shared" si="261"/>
        <v>265421.730639121-32639.3085933525i</v>
      </c>
      <c r="AW352" s="64">
        <f t="shared" si="262"/>
        <v>108.54391188949363</v>
      </c>
      <c r="AX352" s="61">
        <f t="shared" si="263"/>
        <v>-7.0105515558929543</v>
      </c>
      <c r="AY352" s="310"/>
      <c r="BA352" s="31">
        <f t="shared" si="264"/>
        <v>0</v>
      </c>
      <c r="BB352" s="31">
        <f t="shared" si="265"/>
        <v>0</v>
      </c>
    </row>
    <row r="353" spans="14:54" x14ac:dyDescent="0.45">
      <c r="N353" s="10">
        <v>35</v>
      </c>
      <c r="O353" s="50">
        <f t="shared" si="231"/>
        <v>22387.211385683382</v>
      </c>
      <c r="P353" s="48" t="str">
        <f t="shared" si="232"/>
        <v>17.4002386318441</v>
      </c>
      <c r="Q353" s="17" t="str">
        <f t="shared" si="233"/>
        <v>1+12.0467050881775i</v>
      </c>
      <c r="R353" s="17">
        <f t="shared" si="241"/>
        <v>12.088138958562714</v>
      </c>
      <c r="S353" s="17">
        <f t="shared" si="242"/>
        <v>1.4879759587333159</v>
      </c>
      <c r="T353" s="17" t="str">
        <f t="shared" si="234"/>
        <v>1+0.0421988992941747i</v>
      </c>
      <c r="U353" s="17">
        <f t="shared" si="243"/>
        <v>1.0008899775208262</v>
      </c>
      <c r="V353" s="17">
        <f t="shared" si="244"/>
        <v>4.21738775006937E-2</v>
      </c>
      <c r="W353" s="31" t="str">
        <f t="shared" si="235"/>
        <v>1-0.104109756081773i</v>
      </c>
      <c r="X353" s="17">
        <f t="shared" si="245"/>
        <v>1.0054048146450296</v>
      </c>
      <c r="Y353" s="17">
        <f t="shared" si="246"/>
        <v>-0.10373604043281243</v>
      </c>
      <c r="Z353" s="31" t="str">
        <f t="shared" si="236"/>
        <v>0.999545408404873+0.145603725819069i</v>
      </c>
      <c r="AA353" s="17">
        <f t="shared" si="247"/>
        <v>1.0100947819069552</v>
      </c>
      <c r="AB353" s="17">
        <f t="shared" si="248"/>
        <v>0.14465250977950006</v>
      </c>
      <c r="AC353" s="66" t="str">
        <f t="shared" si="249"/>
        <v>-0.176503525059902-1.42313530270531i</v>
      </c>
      <c r="AD353" s="64">
        <f t="shared" si="250"/>
        <v>3.1312186817082042</v>
      </c>
      <c r="AE353" s="61">
        <f t="shared" si="251"/>
        <v>-97.069972872398722</v>
      </c>
      <c r="AF353" s="31" t="str">
        <f t="shared" si="237"/>
        <v>-9090.90909090909</v>
      </c>
      <c r="AG353" s="31" t="str">
        <f t="shared" si="238"/>
        <v>2.27623467397318E-08i</v>
      </c>
      <c r="AH353" s="31">
        <f t="shared" si="252"/>
        <v>2.27623467397318E-8</v>
      </c>
      <c r="AI353" s="31">
        <f t="shared" si="253"/>
        <v>1.5707963267948966</v>
      </c>
      <c r="AJ353" s="31" t="str">
        <f t="shared" si="239"/>
        <v>1+406250444.47244i</v>
      </c>
      <c r="AK353" s="31">
        <f t="shared" si="254"/>
        <v>406250444.47244</v>
      </c>
      <c r="AL353" s="31">
        <f t="shared" si="255"/>
        <v>1.5707963243333609</v>
      </c>
      <c r="AM353" s="31" t="str">
        <f t="shared" si="240"/>
        <v>1+185.365698299545i</v>
      </c>
      <c r="AN353" s="31">
        <f t="shared" si="256"/>
        <v>185.36839565060149</v>
      </c>
      <c r="AO353" s="31">
        <f t="shared" si="257"/>
        <v>1.5654016377652396</v>
      </c>
      <c r="AS353" s="58" t="str">
        <f t="shared" si="258"/>
        <v>983.0966876978+182232.487163315i</v>
      </c>
      <c r="AT353" s="49">
        <f t="shared" si="259"/>
        <v>105.21264244365423</v>
      </c>
      <c r="AU353" s="61">
        <f t="shared" si="260"/>
        <v>89.690907227850744</v>
      </c>
      <c r="AV353" s="58" t="str">
        <f t="shared" si="261"/>
        <v>259167.965751052-33563.7559669938i</v>
      </c>
      <c r="AW353" s="64">
        <f t="shared" si="262"/>
        <v>108.34386112536239</v>
      </c>
      <c r="AX353" s="61">
        <f t="shared" si="263"/>
        <v>-7.3790656445480058</v>
      </c>
      <c r="AY353" s="310"/>
      <c r="BA353" s="31">
        <f t="shared" si="264"/>
        <v>0</v>
      </c>
      <c r="BB353" s="31">
        <f t="shared" si="265"/>
        <v>0</v>
      </c>
    </row>
    <row r="354" spans="14:54" x14ac:dyDescent="0.45">
      <c r="N354" s="10">
        <v>36</v>
      </c>
      <c r="O354" s="50">
        <f t="shared" si="231"/>
        <v>22908.676527677751</v>
      </c>
      <c r="P354" s="48" t="str">
        <f t="shared" si="232"/>
        <v>17.4002386318441</v>
      </c>
      <c r="Q354" s="17" t="str">
        <f t="shared" si="233"/>
        <v>1+12.327308896805i</v>
      </c>
      <c r="R354" s="17">
        <f t="shared" si="241"/>
        <v>12.367802740877126</v>
      </c>
      <c r="S354" s="17">
        <f t="shared" si="242"/>
        <v>1.4898528617084501</v>
      </c>
      <c r="T354" s="17" t="str">
        <f t="shared" si="234"/>
        <v>1+0.0431818379296905i</v>
      </c>
      <c r="U354" s="17">
        <f t="shared" si="243"/>
        <v>1.0009319013434361</v>
      </c>
      <c r="V354" s="17">
        <f t="shared" si="244"/>
        <v>4.3155027942923523E-2</v>
      </c>
      <c r="W354" s="31" t="str">
        <f t="shared" si="235"/>
        <v>1-0.106534783826538i</v>
      </c>
      <c r="X354" s="17">
        <f t="shared" si="245"/>
        <v>1.0056588189664362</v>
      </c>
      <c r="Y354" s="17">
        <f t="shared" si="246"/>
        <v>-0.10613446189088344</v>
      </c>
      <c r="Z354" s="31" t="str">
        <f t="shared" si="236"/>
        <v>0.999523984163039+0.148995272280623i</v>
      </c>
      <c r="AA354" s="17">
        <f t="shared" si="247"/>
        <v>1.0105680511866244</v>
      </c>
      <c r="AB354" s="17">
        <f t="shared" si="248"/>
        <v>0.14797660041945501</v>
      </c>
      <c r="AC354" s="66" t="str">
        <f t="shared" si="249"/>
        <v>-0.181682643120895-1.38954111807301i</v>
      </c>
      <c r="AD354" s="64">
        <f t="shared" si="250"/>
        <v>2.9310457605664637</v>
      </c>
      <c r="AE354" s="61">
        <f t="shared" si="251"/>
        <v>-97.449171503451737</v>
      </c>
      <c r="AF354" s="31" t="str">
        <f t="shared" si="237"/>
        <v>-9090.90909090909</v>
      </c>
      <c r="AG354" s="31" t="str">
        <f t="shared" si="238"/>
        <v>2.27623467397318E-08i</v>
      </c>
      <c r="AH354" s="31">
        <f t="shared" si="252"/>
        <v>2.27623467397318E-8</v>
      </c>
      <c r="AI354" s="31">
        <f t="shared" si="253"/>
        <v>1.5707963267948966</v>
      </c>
      <c r="AJ354" s="31" t="str">
        <f t="shared" si="239"/>
        <v>1+415713232.939592i</v>
      </c>
      <c r="AK354" s="31">
        <f t="shared" si="254"/>
        <v>415713232.939592</v>
      </c>
      <c r="AL354" s="31">
        <f t="shared" si="255"/>
        <v>1.5707963243893923</v>
      </c>
      <c r="AM354" s="31" t="str">
        <f t="shared" si="240"/>
        <v>1+189.683420079154i</v>
      </c>
      <c r="AN354" s="31">
        <f t="shared" si="256"/>
        <v>189.68605603186754</v>
      </c>
      <c r="AO354" s="31">
        <f t="shared" si="257"/>
        <v>1.5655244335778746</v>
      </c>
      <c r="AS354" s="58" t="str">
        <f t="shared" si="258"/>
        <v>960.718675016654+182232.487163205i</v>
      </c>
      <c r="AT354" s="49">
        <f t="shared" si="259"/>
        <v>105.21263675516056</v>
      </c>
      <c r="AU354" s="61">
        <f t="shared" si="260"/>
        <v>89.697942906446244</v>
      </c>
      <c r="AV354" s="58" t="str">
        <f t="shared" si="261"/>
        <v>253044.988053813-34443.4380321419i</v>
      </c>
      <c r="AW354" s="64">
        <f t="shared" si="262"/>
        <v>108.14368251572704</v>
      </c>
      <c r="AX354" s="61">
        <f t="shared" si="263"/>
        <v>-7.7512285970054853</v>
      </c>
      <c r="AY354" s="310"/>
      <c r="BA354" s="31">
        <f t="shared" si="264"/>
        <v>0</v>
      </c>
      <c r="BB354" s="31">
        <f t="shared" si="265"/>
        <v>0</v>
      </c>
    </row>
    <row r="355" spans="14:54" x14ac:dyDescent="0.45">
      <c r="N355" s="10">
        <v>37</v>
      </c>
      <c r="O355" s="50">
        <f t="shared" si="231"/>
        <v>23442.288153199243</v>
      </c>
      <c r="P355" s="48" t="str">
        <f t="shared" si="232"/>
        <v>17.4002386318441</v>
      </c>
      <c r="Q355" s="17" t="str">
        <f t="shared" si="233"/>
        <v>1+12.6144488077808i</v>
      </c>
      <c r="R355" s="17">
        <f t="shared" si="241"/>
        <v>12.654023815534821</v>
      </c>
      <c r="S355" s="17">
        <f t="shared" si="242"/>
        <v>1.4916875935902281</v>
      </c>
      <c r="T355" s="17" t="str">
        <f t="shared" si="234"/>
        <v>1+0.0441876721472556i</v>
      </c>
      <c r="U355" s="17">
        <f t="shared" si="243"/>
        <v>1.0009757990929617</v>
      </c>
      <c r="V355" s="17">
        <f t="shared" si="244"/>
        <v>4.4158946241156738E-2</v>
      </c>
      <c r="W355" s="31" t="str">
        <f t="shared" si="235"/>
        <v>1-0.109016297723842i</v>
      </c>
      <c r="X355" s="17">
        <f t="shared" si="245"/>
        <v>1.0059247253991788</v>
      </c>
      <c r="Y355" s="17">
        <f t="shared" si="246"/>
        <v>-0.10858748137458306</v>
      </c>
      <c r="Z355" s="31" t="str">
        <f t="shared" si="236"/>
        <v>0.999501550227794+0.152465818007724i</v>
      </c>
      <c r="AA355" s="17">
        <f t="shared" si="247"/>
        <v>1.0110633880071653</v>
      </c>
      <c r="AB355" s="17">
        <f t="shared" si="248"/>
        <v>0.1513749351463794</v>
      </c>
      <c r="AC355" s="66" t="str">
        <f t="shared" si="249"/>
        <v>-0.186610332115628-1.35664756533469i</v>
      </c>
      <c r="AD355" s="64">
        <f t="shared" si="250"/>
        <v>2.7307446653860108</v>
      </c>
      <c r="AE355" s="61">
        <f t="shared" si="251"/>
        <v>-97.832031516055793</v>
      </c>
      <c r="AF355" s="31" t="str">
        <f t="shared" si="237"/>
        <v>-9090.90909090909</v>
      </c>
      <c r="AG355" s="31" t="str">
        <f t="shared" si="238"/>
        <v>2.27623467397318E-08i</v>
      </c>
      <c r="AH355" s="31">
        <f t="shared" si="252"/>
        <v>2.27623467397318E-8</v>
      </c>
      <c r="AI355" s="31">
        <f t="shared" si="253"/>
        <v>1.5707963267948966</v>
      </c>
      <c r="AJ355" s="31" t="str">
        <f t="shared" si="239"/>
        <v>1+425396438.065462i</v>
      </c>
      <c r="AK355" s="31">
        <f t="shared" si="254"/>
        <v>425396438.06546199</v>
      </c>
      <c r="AL355" s="31">
        <f t="shared" si="255"/>
        <v>1.5707963244441483</v>
      </c>
      <c r="AM355" s="31" t="str">
        <f t="shared" si="240"/>
        <v>1+194.101714518845i</v>
      </c>
      <c r="AN355" s="31">
        <f t="shared" si="256"/>
        <v>194.10429047075496</v>
      </c>
      <c r="AO355" s="31">
        <f t="shared" si="257"/>
        <v>1.5656444343701885</v>
      </c>
      <c r="AS355" s="58" t="str">
        <f t="shared" si="258"/>
        <v>938.850048093627+182232.487163102i</v>
      </c>
      <c r="AT355" s="49">
        <f t="shared" si="259"/>
        <v>105.21263132268446</v>
      </c>
      <c r="AU355" s="61">
        <f t="shared" si="260"/>
        <v>89.704818442246776</v>
      </c>
      <c r="AV355" s="58" t="str">
        <f t="shared" si="261"/>
        <v>247050.060915426-35280.153583724i</v>
      </c>
      <c r="AW355" s="64">
        <f t="shared" si="262"/>
        <v>107.94337598807047</v>
      </c>
      <c r="AX355" s="61">
        <f t="shared" si="263"/>
        <v>-8.1272130738090489</v>
      </c>
      <c r="AY355" s="310"/>
      <c r="BA355" s="31">
        <f t="shared" si="264"/>
        <v>0</v>
      </c>
      <c r="BB355" s="31">
        <f t="shared" si="265"/>
        <v>0</v>
      </c>
    </row>
    <row r="356" spans="14:54" x14ac:dyDescent="0.45">
      <c r="N356" s="10">
        <v>38</v>
      </c>
      <c r="O356" s="50">
        <f t="shared" si="231"/>
        <v>23988.329190194923</v>
      </c>
      <c r="P356" s="48" t="str">
        <f t="shared" si="232"/>
        <v>17.4002386318441</v>
      </c>
      <c r="Q356" s="17" t="str">
        <f t="shared" si="233"/>
        <v>1+12.9082770664863i</v>
      </c>
      <c r="R356" s="17">
        <f t="shared" si="241"/>
        <v>12.946953959336389</v>
      </c>
      <c r="S356" s="17">
        <f t="shared" si="242"/>
        <v>1.4934810777410259</v>
      </c>
      <c r="T356" s="17" t="str">
        <f t="shared" si="234"/>
        <v>1+0.045216935253486i</v>
      </c>
      <c r="U356" s="17">
        <f t="shared" si="243"/>
        <v>1.0010217636164152</v>
      </c>
      <c r="V356" s="17">
        <f t="shared" si="244"/>
        <v>4.5186156587146024E-2</v>
      </c>
      <c r="W356" s="31" t="str">
        <f t="shared" si="235"/>
        <v>1-0.111555613505199i</v>
      </c>
      <c r="X356" s="17">
        <f t="shared" si="245"/>
        <v>1.0062030883000317</v>
      </c>
      <c r="Y356" s="17">
        <f t="shared" si="246"/>
        <v>-0.111096281358503</v>
      </c>
      <c r="Z356" s="31" t="str">
        <f t="shared" si="236"/>
        <v>0.999478059013753+0.156017203129657i</v>
      </c>
      <c r="AA356" s="17">
        <f t="shared" si="247"/>
        <v>1.01158180990086</v>
      </c>
      <c r="AB356" s="17">
        <f t="shared" si="248"/>
        <v>0.15484902229587369</v>
      </c>
      <c r="AC356" s="66" t="str">
        <f t="shared" si="249"/>
        <v>-0.191296691622772-1.32444001450758i</v>
      </c>
      <c r="AD356" s="64">
        <f t="shared" si="250"/>
        <v>2.5303151026000608</v>
      </c>
      <c r="AE356" s="61">
        <f t="shared" si="251"/>
        <v>-98.218729953070564</v>
      </c>
      <c r="AF356" s="31" t="str">
        <f t="shared" si="237"/>
        <v>-9090.90909090909</v>
      </c>
      <c r="AG356" s="31" t="str">
        <f t="shared" si="238"/>
        <v>2.27623467397318E-08i</v>
      </c>
      <c r="AH356" s="31">
        <f t="shared" si="252"/>
        <v>2.27623467397318E-8</v>
      </c>
      <c r="AI356" s="31">
        <f t="shared" si="253"/>
        <v>1.5707963267948966</v>
      </c>
      <c r="AJ356" s="31" t="str">
        <f t="shared" si="239"/>
        <v>1+435305194.01358i</v>
      </c>
      <c r="AK356" s="31">
        <f t="shared" si="254"/>
        <v>435305194.01358002</v>
      </c>
      <c r="AL356" s="31">
        <f t="shared" si="255"/>
        <v>1.5707963244976577</v>
      </c>
      <c r="AM356" s="31" t="str">
        <f t="shared" si="240"/>
        <v>1+198.622924256813i</v>
      </c>
      <c r="AN356" s="31">
        <f t="shared" si="256"/>
        <v>198.62544157365056</v>
      </c>
      <c r="AO356" s="31">
        <f t="shared" si="257"/>
        <v>1.5657617037543572</v>
      </c>
      <c r="AS356" s="58" t="str">
        <f t="shared" si="258"/>
        <v>917.479211893245+182232.487163002i</v>
      </c>
      <c r="AT356" s="49">
        <f t="shared" si="259"/>
        <v>105.21262613470363</v>
      </c>
      <c r="AU356" s="61">
        <f t="shared" si="260"/>
        <v>89.711537479959858</v>
      </c>
      <c r="AV356" s="58" t="str">
        <f t="shared" si="261"/>
        <v>241180.487204051-36075.6180811818i</v>
      </c>
      <c r="AW356" s="64">
        <f t="shared" si="262"/>
        <v>107.74294123730368</v>
      </c>
      <c r="AX356" s="61">
        <f t="shared" si="263"/>
        <v>-8.50719247311069</v>
      </c>
      <c r="AY356" s="310"/>
      <c r="BA356" s="31">
        <f t="shared" si="264"/>
        <v>0</v>
      </c>
      <c r="BB356" s="31">
        <f t="shared" si="265"/>
        <v>0</v>
      </c>
    </row>
    <row r="357" spans="14:54" x14ac:dyDescent="0.45">
      <c r="N357" s="10">
        <v>39</v>
      </c>
      <c r="O357" s="50">
        <f t="shared" si="231"/>
        <v>24547.089156850321</v>
      </c>
      <c r="P357" s="48" t="str">
        <f t="shared" si="232"/>
        <v>17.4002386318441</v>
      </c>
      <c r="Q357" s="17" t="str">
        <f t="shared" si="233"/>
        <v>1+13.2089494645538i</v>
      </c>
      <c r="R357" s="17">
        <f t="shared" si="241"/>
        <v>13.246748505091206</v>
      </c>
      <c r="S357" s="17">
        <f t="shared" si="242"/>
        <v>1.4952342189129511</v>
      </c>
      <c r="T357" s="17" t="str">
        <f t="shared" si="234"/>
        <v>1+0.0462701729773047i</v>
      </c>
      <c r="U357" s="17">
        <f t="shared" si="243"/>
        <v>1.0010698921191017</v>
      </c>
      <c r="V357" s="17">
        <f t="shared" si="244"/>
        <v>4.6237194945498855E-2</v>
      </c>
      <c r="W357" s="31" t="str">
        <f t="shared" si="235"/>
        <v>1-0.11415407754945i</v>
      </c>
      <c r="X357" s="17">
        <f t="shared" si="245"/>
        <v>1.0064944875264672</v>
      </c>
      <c r="Y357" s="17">
        <f t="shared" si="246"/>
        <v>-0.1136620656483603</v>
      </c>
      <c r="Z357" s="31" t="str">
        <f t="shared" si="236"/>
        <v>0.999453460692903+0.15965131063782i</v>
      </c>
      <c r="AA357" s="17">
        <f t="shared" si="247"/>
        <v>1.0121243802415758</v>
      </c>
      <c r="AB357" s="17">
        <f t="shared" si="248"/>
        <v>0.15840039032187603</v>
      </c>
      <c r="AC357" s="66" t="str">
        <f t="shared" si="249"/>
        <v>-0.195751351797407-1.29290404428366i</v>
      </c>
      <c r="AD357" s="64">
        <f t="shared" si="250"/>
        <v>2.3297565475602409</v>
      </c>
      <c r="AE357" s="61">
        <f t="shared" si="251"/>
        <v>-98.609444491409917</v>
      </c>
      <c r="AF357" s="31" t="str">
        <f t="shared" si="237"/>
        <v>-9090.90909090909</v>
      </c>
      <c r="AG357" s="31" t="str">
        <f t="shared" si="238"/>
        <v>2.27623467397318E-08i</v>
      </c>
      <c r="AH357" s="31">
        <f t="shared" si="252"/>
        <v>2.27623467397318E-8</v>
      </c>
      <c r="AI357" s="31">
        <f t="shared" si="253"/>
        <v>1.5707963267948966</v>
      </c>
      <c r="AJ357" s="31" t="str">
        <f t="shared" si="239"/>
        <v>1+445444754.537509i</v>
      </c>
      <c r="AK357" s="31">
        <f t="shared" si="254"/>
        <v>445444754.53750902</v>
      </c>
      <c r="AL357" s="31">
        <f t="shared" si="255"/>
        <v>1.5707963245499492</v>
      </c>
      <c r="AM357" s="31" t="str">
        <f t="shared" si="240"/>
        <v>1+203.249446498307i</v>
      </c>
      <c r="AN357" s="31">
        <f t="shared" si="256"/>
        <v>203.25190651471922</v>
      </c>
      <c r="AO357" s="31">
        <f t="shared" si="257"/>
        <v>1.5658763038952515</v>
      </c>
      <c r="AS357" s="58" t="str">
        <f t="shared" si="258"/>
        <v>896.594835315284+182232.487162907i</v>
      </c>
      <c r="AT357" s="49">
        <f t="shared" si="259"/>
        <v>105.21262118021463</v>
      </c>
      <c r="AU357" s="61">
        <f t="shared" si="260"/>
        <v>89.718103581368624</v>
      </c>
      <c r="AV357" s="58" t="str">
        <f t="shared" si="261"/>
        <v>235433.610001765-36831.4667922056i</v>
      </c>
      <c r="AW357" s="64">
        <f t="shared" si="262"/>
        <v>107.54237772777486</v>
      </c>
      <c r="AX357" s="61">
        <f t="shared" si="263"/>
        <v>-8.8913409100412952</v>
      </c>
      <c r="AY357" s="310"/>
      <c r="BA357" s="31">
        <f t="shared" si="264"/>
        <v>0</v>
      </c>
      <c r="BB357" s="31">
        <f t="shared" si="265"/>
        <v>0</v>
      </c>
    </row>
    <row r="358" spans="14:54" x14ac:dyDescent="0.45">
      <c r="N358" s="10">
        <v>40</v>
      </c>
      <c r="O358" s="50">
        <f t="shared" si="231"/>
        <v>25118.86431509586</v>
      </c>
      <c r="P358" s="48" t="str">
        <f t="shared" si="232"/>
        <v>17.4002386318441</v>
      </c>
      <c r="Q358" s="17" t="str">
        <f t="shared" si="233"/>
        <v>1+13.5166254224686i</v>
      </c>
      <c r="R358" s="17">
        <f t="shared" si="241"/>
        <v>13.553566424056971</v>
      </c>
      <c r="S358" s="17">
        <f t="shared" si="242"/>
        <v>1.4969479035142659</v>
      </c>
      <c r="T358" s="17" t="str">
        <f t="shared" si="234"/>
        <v>1+0.0473479437592944i</v>
      </c>
      <c r="U358" s="17">
        <f t="shared" si="243"/>
        <v>1.001120286368343</v>
      </c>
      <c r="V358" s="17">
        <f t="shared" si="244"/>
        <v>4.7312609296878187E-2</v>
      </c>
      <c r="W358" s="31" t="str">
        <f t="shared" si="235"/>
        <v>1-0.116813067596627i</v>
      </c>
      <c r="X358" s="17">
        <f t="shared" si="245"/>
        <v>1.0067995295794163</v>
      </c>
      <c r="Y358" s="17">
        <f t="shared" si="246"/>
        <v>-0.11628605945419297</v>
      </c>
      <c r="Z358" s="31" t="str">
        <f t="shared" si="236"/>
        <v>0.999427703088907+0.16337006738412i</v>
      </c>
      <c r="AA358" s="17">
        <f t="shared" si="247"/>
        <v>1.0126922102093312</v>
      </c>
      <c r="AB358" s="17">
        <f t="shared" si="248"/>
        <v>0.16203058728429673</v>
      </c>
      <c r="AC358" s="66" t="str">
        <f t="shared" si="249"/>
        <v>-0.199983491196282-1.26202544621949i</v>
      </c>
      <c r="AD358" s="64">
        <f t="shared" si="250"/>
        <v>2.1290682463903403</v>
      </c>
      <c r="AE358" s="61">
        <f t="shared" si="251"/>
        <v>-99.004353418210584</v>
      </c>
      <c r="AF358" s="31" t="str">
        <f t="shared" si="237"/>
        <v>-9090.90909090909</v>
      </c>
      <c r="AG358" s="31" t="str">
        <f t="shared" si="238"/>
        <v>2.27623467397318E-08i</v>
      </c>
      <c r="AH358" s="31">
        <f t="shared" si="252"/>
        <v>2.27623467397318E-8</v>
      </c>
      <c r="AI358" s="31">
        <f t="shared" si="253"/>
        <v>1.5707963267948966</v>
      </c>
      <c r="AJ358" s="31" t="str">
        <f t="shared" si="239"/>
        <v>1+455820495.766456i</v>
      </c>
      <c r="AK358" s="31">
        <f t="shared" si="254"/>
        <v>455820495.76645601</v>
      </c>
      <c r="AL358" s="31">
        <f t="shared" si="255"/>
        <v>1.5707963246010506</v>
      </c>
      <c r="AM358" s="31" t="str">
        <f t="shared" si="240"/>
        <v>1+207.98373428666i</v>
      </c>
      <c r="AN358" s="31">
        <f t="shared" si="256"/>
        <v>207.98613830691693</v>
      </c>
      <c r="AO358" s="31">
        <f t="shared" si="257"/>
        <v>1.5659882955433355</v>
      </c>
      <c r="AS358" s="58" t="str">
        <f t="shared" si="258"/>
        <v>876.185845186838+182232.487162816i</v>
      </c>
      <c r="AT358" s="49">
        <f t="shared" si="259"/>
        <v>105.21261644870907</v>
      </c>
      <c r="AU358" s="61">
        <f t="shared" si="260"/>
        <v>89.724520227216672</v>
      </c>
      <c r="AV358" s="58" t="str">
        <f t="shared" si="261"/>
        <v>229806.813223083-37549.2578244447i</v>
      </c>
      <c r="AW358" s="64">
        <f t="shared" si="262"/>
        <v>107.3416846950994</v>
      </c>
      <c r="AX358" s="61">
        <f t="shared" si="263"/>
        <v>-9.2798331909939211</v>
      </c>
      <c r="AY358" s="310"/>
      <c r="BA358" s="31">
        <f t="shared" si="264"/>
        <v>0</v>
      </c>
      <c r="BB358" s="31">
        <f t="shared" si="265"/>
        <v>0</v>
      </c>
    </row>
    <row r="359" spans="14:54" x14ac:dyDescent="0.45">
      <c r="N359" s="10">
        <v>41</v>
      </c>
      <c r="O359" s="50">
        <f t="shared" si="231"/>
        <v>25703.95782768865</v>
      </c>
      <c r="P359" s="48" t="str">
        <f t="shared" si="232"/>
        <v>17.4002386318441</v>
      </c>
      <c r="Q359" s="17" t="str">
        <f t="shared" si="233"/>
        <v>1+13.831468074096i</v>
      </c>
      <c r="R359" s="17">
        <f t="shared" si="241"/>
        <v>13.867570410303923</v>
      </c>
      <c r="S359" s="17">
        <f t="shared" si="242"/>
        <v>1.4986229998798652</v>
      </c>
      <c r="T359" s="17" t="str">
        <f t="shared" si="234"/>
        <v>1+0.0484508190477891i</v>
      </c>
      <c r="U359" s="17">
        <f t="shared" si="243"/>
        <v>1.0011730529066398</v>
      </c>
      <c r="V359" s="17">
        <f t="shared" si="244"/>
        <v>4.8412959884677219E-2</v>
      </c>
      <c r="W359" s="31" t="str">
        <f t="shared" si="235"/>
        <v>1-0.119533993478446i</v>
      </c>
      <c r="X359" s="17">
        <f t="shared" si="245"/>
        <v>1.0071188487943741</v>
      </c>
      <c r="Y359" s="17">
        <f t="shared" si="246"/>
        <v>-0.11896950943740088</v>
      </c>
      <c r="Z359" s="31" t="str">
        <f t="shared" si="236"/>
        <v>0.999400731566433+0.167175445102604i</v>
      </c>
      <c r="AA359" s="17">
        <f t="shared" si="247"/>
        <v>1.0132864608296981</v>
      </c>
      <c r="AB359" s="17">
        <f t="shared" si="248"/>
        <v>0.16574118026522663</v>
      </c>
      <c r="AC359" s="66" t="str">
        <f t="shared" si="249"/>
        <v>-0.204001853961569-1.23179022839753i</v>
      </c>
      <c r="AD359" s="64">
        <f t="shared" si="250"/>
        <v>1.9282492176830881</v>
      </c>
      <c r="AE359" s="61">
        <f t="shared" si="251"/>
        <v>-99.403635601441934</v>
      </c>
      <c r="AF359" s="31" t="str">
        <f t="shared" si="237"/>
        <v>-9090.90909090909</v>
      </c>
      <c r="AG359" s="31" t="str">
        <f t="shared" si="238"/>
        <v>2.27623467397318E-08i</v>
      </c>
      <c r="AH359" s="31">
        <f t="shared" si="252"/>
        <v>2.27623467397318E-8</v>
      </c>
      <c r="AI359" s="31">
        <f t="shared" si="253"/>
        <v>1.5707963267948966</v>
      </c>
      <c r="AJ359" s="31" t="str">
        <f t="shared" si="239"/>
        <v>1+466437919.055752i</v>
      </c>
      <c r="AK359" s="31">
        <f t="shared" si="254"/>
        <v>466437919.05575198</v>
      </c>
      <c r="AL359" s="31">
        <f t="shared" si="255"/>
        <v>1.5707963246509886</v>
      </c>
      <c r="AM359" s="31" t="str">
        <f t="shared" si="240"/>
        <v>1+212.828297803921i</v>
      </c>
      <c r="AN359" s="31">
        <f t="shared" si="256"/>
        <v>212.83064710260712</v>
      </c>
      <c r="AO359" s="31">
        <f t="shared" si="257"/>
        <v>1.5660977380668204</v>
      </c>
      <c r="AS359" s="58" t="str">
        <f t="shared" si="258"/>
        <v>856.241420391204+182232.487162729i</v>
      </c>
      <c r="AT359" s="49">
        <f t="shared" si="259"/>
        <v>105.21261193015152</v>
      </c>
      <c r="AU359" s="61">
        <f t="shared" si="260"/>
        <v>89.73079081905037</v>
      </c>
      <c r="AV359" s="58" t="str">
        <f t="shared" si="261"/>
        <v>224297.522146429-38230.4750480116i</v>
      </c>
      <c r="AW359" s="64">
        <f t="shared" si="262"/>
        <v>107.14086114783461</v>
      </c>
      <c r="AX359" s="61">
        <f t="shared" si="263"/>
        <v>-9.6728447823915733</v>
      </c>
      <c r="AY359" s="310"/>
      <c r="BA359" s="31">
        <f t="shared" si="264"/>
        <v>0</v>
      </c>
      <c r="BB359" s="31">
        <f t="shared" si="265"/>
        <v>0</v>
      </c>
    </row>
    <row r="360" spans="14:54" x14ac:dyDescent="0.45">
      <c r="N360" s="10">
        <v>42</v>
      </c>
      <c r="O360" s="50">
        <f t="shared" si="231"/>
        <v>26302.679918953829</v>
      </c>
      <c r="P360" s="48" t="str">
        <f t="shared" si="232"/>
        <v>17.4002386318441</v>
      </c>
      <c r="Q360" s="17" t="str">
        <f t="shared" si="233"/>
        <v>1+14.1536443531774i</v>
      </c>
      <c r="R360" s="17">
        <f t="shared" si="241"/>
        <v>14.188926967048301</v>
      </c>
      <c r="S360" s="17">
        <f t="shared" si="242"/>
        <v>1.5002603585450764</v>
      </c>
      <c r="T360" s="17" t="str">
        <f t="shared" si="234"/>
        <v>1+0.0495793836018654i</v>
      </c>
      <c r="U360" s="17">
        <f t="shared" si="243"/>
        <v>1.0012283032747031</v>
      </c>
      <c r="V360" s="17">
        <f t="shared" si="244"/>
        <v>4.9538819465099942E-2</v>
      </c>
      <c r="W360" s="31" t="str">
        <f t="shared" si="235"/>
        <v>1-0.122318297865827i</v>
      </c>
      <c r="X360" s="17">
        <f t="shared" si="245"/>
        <v>1.0074531085826244</v>
      </c>
      <c r="Y360" s="17">
        <f t="shared" si="246"/>
        <v>-0.12171368372932548</v>
      </c>
      <c r="Z360" s="31" t="str">
        <f t="shared" si="236"/>
        <v>0.999372488915266+0.17106946145491i</v>
      </c>
      <c r="AA360" s="17">
        <f t="shared" si="247"/>
        <v>1.0139083450900117</v>
      </c>
      <c r="AB360" s="17">
        <f t="shared" si="248"/>
        <v>0.16953375470904228</v>
      </c>
      <c r="AC360" s="66" t="str">
        <f t="shared" si="249"/>
        <v>-0.207814766380564-1.20218461860459i</v>
      </c>
      <c r="AD360" s="64">
        <f t="shared" si="250"/>
        <v>1.7272982540657846</v>
      </c>
      <c r="AE360" s="61">
        <f t="shared" si="251"/>
        <v>-99.807470454520555</v>
      </c>
      <c r="AF360" s="31" t="str">
        <f t="shared" si="237"/>
        <v>-9090.90909090909</v>
      </c>
      <c r="AG360" s="31" t="str">
        <f t="shared" si="238"/>
        <v>2.27623467397318E-08i</v>
      </c>
      <c r="AH360" s="31">
        <f t="shared" si="252"/>
        <v>2.27623467397318E-8</v>
      </c>
      <c r="AI360" s="31">
        <f t="shared" si="253"/>
        <v>1.5707963267948966</v>
      </c>
      <c r="AJ360" s="31" t="str">
        <f t="shared" si="239"/>
        <v>1+477302653.903768i</v>
      </c>
      <c r="AK360" s="31">
        <f t="shared" si="254"/>
        <v>477302653.903768</v>
      </c>
      <c r="AL360" s="31">
        <f t="shared" si="255"/>
        <v>1.5707963246997898</v>
      </c>
      <c r="AM360" s="31" t="str">
        <f t="shared" si="240"/>
        <v>1+217.785705701794i</v>
      </c>
      <c r="AN360" s="31">
        <f t="shared" si="256"/>
        <v>217.78800152448349</v>
      </c>
      <c r="AO360" s="31">
        <f t="shared" si="257"/>
        <v>1.5662046894830874</v>
      </c>
      <c r="AS360" s="58" t="str">
        <f t="shared" si="258"/>
        <v>836.750986130355+182232.487162647i</v>
      </c>
      <c r="AT360" s="49">
        <f t="shared" si="259"/>
        <v>105.21260761495824</v>
      </c>
      <c r="AU360" s="61">
        <f t="shared" si="260"/>
        <v>89.736918681019318</v>
      </c>
      <c r="AV360" s="58" t="str">
        <f t="shared" si="261"/>
        <v>218903.203866291-38876.5309117828i</v>
      </c>
      <c r="AW360" s="64">
        <f t="shared" si="262"/>
        <v>106.93990586902403</v>
      </c>
      <c r="AX360" s="61">
        <f t="shared" si="263"/>
        <v>-10.070551773501274</v>
      </c>
      <c r="AY360" s="310"/>
      <c r="BA360" s="31">
        <f t="shared" si="264"/>
        <v>0</v>
      </c>
      <c r="BB360" s="31">
        <f t="shared" si="265"/>
        <v>0</v>
      </c>
    </row>
    <row r="361" spans="14:54" x14ac:dyDescent="0.45">
      <c r="N361" s="10">
        <v>43</v>
      </c>
      <c r="O361" s="50">
        <f t="shared" si="231"/>
        <v>26915.348039269167</v>
      </c>
      <c r="P361" s="48" t="str">
        <f t="shared" si="232"/>
        <v>17.4002386318441</v>
      </c>
      <c r="Q361" s="17" t="str">
        <f t="shared" si="233"/>
        <v>1+14.4833250818405i</v>
      </c>
      <c r="R361" s="17">
        <f t="shared" si="241"/>
        <v>14.517806495000206</v>
      </c>
      <c r="S361" s="17">
        <f t="shared" si="242"/>
        <v>1.5018608125221058</v>
      </c>
      <c r="T361" s="17" t="str">
        <f t="shared" si="234"/>
        <v>1+0.0507342358013883i</v>
      </c>
      <c r="U361" s="17">
        <f t="shared" si="243"/>
        <v>1.0012861542448048</v>
      </c>
      <c r="V361" s="17">
        <f t="shared" si="244"/>
        <v>5.0690773560557248E-2</v>
      </c>
      <c r="W361" s="31" t="str">
        <f t="shared" si="235"/>
        <v>1-0.125167457033811i</v>
      </c>
      <c r="X361" s="17">
        <f t="shared" si="245"/>
        <v>1.0078030027243969</v>
      </c>
      <c r="Y361" s="17">
        <f t="shared" si="246"/>
        <v>-0.12451987191888118</v>
      </c>
      <c r="Z361" s="31" t="str">
        <f t="shared" si="236"/>
        <v>0.999342915228957+0.175054181100053i</v>
      </c>
      <c r="AA361" s="17">
        <f t="shared" si="247"/>
        <v>1.0145591301343262</v>
      </c>
      <c r="AB361" s="17">
        <f t="shared" si="248"/>
        <v>0.17340991368144967</v>
      </c>
      <c r="AC361" s="66" t="str">
        <f t="shared" si="249"/>
        <v>-0.211430152839411-1.17319506707036i</v>
      </c>
      <c r="AD361" s="64">
        <f t="shared" si="250"/>
        <v>1.5262139236618701</v>
      </c>
      <c r="AE361" s="61">
        <f t="shared" si="251"/>
        <v>-100.21603789446837</v>
      </c>
      <c r="AF361" s="31" t="str">
        <f t="shared" si="237"/>
        <v>-9090.90909090909</v>
      </c>
      <c r="AG361" s="31" t="str">
        <f t="shared" si="238"/>
        <v>2.27623467397318E-08i</v>
      </c>
      <c r="AH361" s="31">
        <f t="shared" si="252"/>
        <v>2.27623467397318E-8</v>
      </c>
      <c r="AI361" s="31">
        <f t="shared" si="253"/>
        <v>1.5707963267948966</v>
      </c>
      <c r="AJ361" s="31" t="str">
        <f t="shared" si="239"/>
        <v>1+488420460.936733i</v>
      </c>
      <c r="AK361" s="31">
        <f t="shared" si="254"/>
        <v>488420460.93673301</v>
      </c>
      <c r="AL361" s="31">
        <f t="shared" si="255"/>
        <v>1.5707963247474803</v>
      </c>
      <c r="AM361" s="31" t="str">
        <f t="shared" si="240"/>
        <v>1+222.858586463565i</v>
      </c>
      <c r="AN361" s="31">
        <f t="shared" si="256"/>
        <v>222.86083002748214</v>
      </c>
      <c r="AO361" s="31">
        <f t="shared" si="257"/>
        <v>1.5663092064894006</v>
      </c>
      <c r="AS361" s="58" t="str">
        <f t="shared" si="258"/>
        <v>817.704208318067+182232.487162569i</v>
      </c>
      <c r="AT361" s="49">
        <f t="shared" si="259"/>
        <v>105.21260349397666</v>
      </c>
      <c r="AU361" s="61">
        <f t="shared" si="260"/>
        <v>89.742907061635947</v>
      </c>
      <c r="AV361" s="58" t="str">
        <f t="shared" si="261"/>
        <v>213621.367673347-39488.7691566094i</v>
      </c>
      <c r="AW361" s="64">
        <f t="shared" si="262"/>
        <v>106.73881741763856</v>
      </c>
      <c r="AX361" s="61">
        <f t="shared" si="263"/>
        <v>-10.473130832832416</v>
      </c>
      <c r="AY361" s="310"/>
      <c r="BA361" s="31">
        <f t="shared" si="264"/>
        <v>0</v>
      </c>
      <c r="BB361" s="31">
        <f t="shared" si="265"/>
        <v>0</v>
      </c>
    </row>
    <row r="362" spans="14:54" x14ac:dyDescent="0.45">
      <c r="N362" s="10">
        <v>44</v>
      </c>
      <c r="O362" s="50">
        <f t="shared" si="231"/>
        <v>27542.287033381719</v>
      </c>
      <c r="P362" s="48" t="str">
        <f t="shared" si="232"/>
        <v>17.4002386318441</v>
      </c>
      <c r="Q362" s="17" t="str">
        <f t="shared" si="233"/>
        <v>1+14.8206850611715i</v>
      </c>
      <c r="R362" s="17">
        <f t="shared" si="241"/>
        <v>14.854383382773991</v>
      </c>
      <c r="S362" s="17">
        <f t="shared" si="242"/>
        <v>1.5034251775785157</v>
      </c>
      <c r="T362" s="17" t="str">
        <f t="shared" si="234"/>
        <v>1+0.0519159879642802i</v>
      </c>
      <c r="U362" s="17">
        <f t="shared" si="243"/>
        <v>1.0013467280649131</v>
      </c>
      <c r="V362" s="17">
        <f t="shared" si="244"/>
        <v>5.1869420716285537E-2</v>
      </c>
      <c r="W362" s="31" t="str">
        <f t="shared" si="235"/>
        <v>1-0.128082981644301i</v>
      </c>
      <c r="X362" s="17">
        <f t="shared" si="245"/>
        <v>1.0081692567158027</v>
      </c>
      <c r="Y362" s="17">
        <f t="shared" si="246"/>
        <v>-0.12738938500664904</v>
      </c>
      <c r="Z362" s="31" t="str">
        <f t="shared" si="236"/>
        <v>0.999311947777751+0.17913171678913i</v>
      </c>
      <c r="AA362" s="17">
        <f t="shared" si="247"/>
        <v>1.0152401395390076</v>
      </c>
      <c r="AB362" s="17">
        <f t="shared" si="248"/>
        <v>0.17737127704236533</v>
      </c>
      <c r="AC362" s="66" t="str">
        <f t="shared" si="249"/>
        <v>-0.21485555118981-1.14480824880634i</v>
      </c>
      <c r="AD362" s="64">
        <f t="shared" si="250"/>
        <v>1.3249945714769695</v>
      </c>
      <c r="AE362" s="61">
        <f t="shared" si="251"/>
        <v>-100.62951829314498</v>
      </c>
      <c r="AF362" s="31" t="str">
        <f t="shared" si="237"/>
        <v>-9090.90909090909</v>
      </c>
      <c r="AG362" s="31" t="str">
        <f t="shared" si="238"/>
        <v>2.27623467397318E-08i</v>
      </c>
      <c r="AH362" s="31">
        <f t="shared" si="252"/>
        <v>2.27623467397318E-8</v>
      </c>
      <c r="AI362" s="31">
        <f t="shared" si="253"/>
        <v>1.5707963267948966</v>
      </c>
      <c r="AJ362" s="31" t="str">
        <f t="shared" si="239"/>
        <v>1+499797234.963096i</v>
      </c>
      <c r="AK362" s="31">
        <f t="shared" si="254"/>
        <v>499797234.96309602</v>
      </c>
      <c r="AL362" s="31">
        <f t="shared" si="255"/>
        <v>1.5707963247940853</v>
      </c>
      <c r="AM362" s="31" t="str">
        <f t="shared" si="240"/>
        <v>1+228.049629797761i</v>
      </c>
      <c r="AN362" s="31">
        <f t="shared" si="256"/>
        <v>228.05182229242513</v>
      </c>
      <c r="AO362" s="31">
        <f t="shared" si="257"/>
        <v>1.5664113444929213</v>
      </c>
      <c r="AS362" s="58" t="str">
        <f t="shared" si="258"/>
        <v>799.090988100614+182232.487162493i</v>
      </c>
      <c r="AT362" s="49">
        <f t="shared" si="259"/>
        <v>105.2125995584661</v>
      </c>
      <c r="AU362" s="61">
        <f t="shared" si="260"/>
        <v>89.748759135495305</v>
      </c>
      <c r="AV362" s="58" t="str">
        <f t="shared" si="261"/>
        <v>208449.565369418-40068.4674287118i</v>
      </c>
      <c r="AW362" s="64">
        <f t="shared" si="262"/>
        <v>106.53759412994305</v>
      </c>
      <c r="AX362" s="61">
        <f t="shared" si="263"/>
        <v>-10.880759157649697</v>
      </c>
      <c r="AY362" s="310"/>
      <c r="BA362" s="31">
        <f t="shared" si="264"/>
        <v>0</v>
      </c>
      <c r="BB362" s="31">
        <f t="shared" si="265"/>
        <v>0</v>
      </c>
    </row>
    <row r="363" spans="14:54" x14ac:dyDescent="0.45">
      <c r="N363" s="10">
        <v>45</v>
      </c>
      <c r="O363" s="50">
        <f t="shared" si="231"/>
        <v>28183.829312644593</v>
      </c>
      <c r="P363" s="48" t="str">
        <f t="shared" si="232"/>
        <v>17.4002386318441</v>
      </c>
      <c r="Q363" s="17" t="str">
        <f t="shared" si="233"/>
        <v>1+15.1659031638968i</v>
      </c>
      <c r="R363" s="17">
        <f t="shared" si="241"/>
        <v>15.198836099408894</v>
      </c>
      <c r="S363" s="17">
        <f t="shared" si="242"/>
        <v>1.5049542525171555</v>
      </c>
      <c r="T363" s="17" t="str">
        <f t="shared" si="234"/>
        <v>1+0.0531252666711798i</v>
      </c>
      <c r="U363" s="17">
        <f t="shared" si="243"/>
        <v>1.0014101527141035</v>
      </c>
      <c r="V363" s="17">
        <f t="shared" si="244"/>
        <v>5.307537276007418E-2</v>
      </c>
      <c r="W363" s="31" t="str">
        <f t="shared" si="235"/>
        <v>1-0.131066417547038i</v>
      </c>
      <c r="X363" s="17">
        <f t="shared" si="245"/>
        <v>1.0085526291714351</v>
      </c>
      <c r="Y363" s="17">
        <f t="shared" si="246"/>
        <v>-0.13032355532266177</v>
      </c>
      <c r="Z363" s="31" t="str">
        <f t="shared" si="236"/>
        <v>0.999279520875534+0.183304230485538i</v>
      </c>
      <c r="AA363" s="17">
        <f t="shared" si="247"/>
        <v>1.0159527556708197</v>
      </c>
      <c r="AB363" s="17">
        <f t="shared" si="248"/>
        <v>0.18141948052733145</v>
      </c>
      <c r="AC363" s="66" t="str">
        <f t="shared" si="249"/>
        <v>-0.218098127548233-1.1170110655834i</v>
      </c>
      <c r="AD363" s="64">
        <f t="shared" si="250"/>
        <v>1.123638320742256</v>
      </c>
      <c r="AE363" s="61">
        <f t="shared" si="251"/>
        <v>-101.04809242106279</v>
      </c>
      <c r="AF363" s="31" t="str">
        <f t="shared" si="237"/>
        <v>-9090.90909090909</v>
      </c>
      <c r="AG363" s="31" t="str">
        <f t="shared" si="238"/>
        <v>2.27623467397318E-08i</v>
      </c>
      <c r="AH363" s="31">
        <f t="shared" si="252"/>
        <v>2.27623467397318E-8</v>
      </c>
      <c r="AI363" s="31">
        <f t="shared" si="253"/>
        <v>1.5707963267948966</v>
      </c>
      <c r="AJ363" s="31" t="str">
        <f t="shared" si="239"/>
        <v>1+511439008.099033i</v>
      </c>
      <c r="AK363" s="31">
        <f t="shared" si="254"/>
        <v>511439008.099033</v>
      </c>
      <c r="AL363" s="31">
        <f t="shared" si="255"/>
        <v>1.5707963248396293</v>
      </c>
      <c r="AM363" s="31" t="str">
        <f t="shared" si="240"/>
        <v>1+233.361588064269i</v>
      </c>
      <c r="AN363" s="31">
        <f t="shared" si="256"/>
        <v>233.36373065212507</v>
      </c>
      <c r="AO363" s="31">
        <f t="shared" si="257"/>
        <v>1.5665111576400419</v>
      </c>
      <c r="AS363" s="58" t="str">
        <f t="shared" si="258"/>
        <v>780.901456502276+182232.487162421i</v>
      </c>
      <c r="AT363" s="49">
        <f t="shared" si="259"/>
        <v>105.21259580007936</v>
      </c>
      <c r="AU363" s="61">
        <f t="shared" si="260"/>
        <v>89.754478004955743</v>
      </c>
      <c r="AV363" s="58" t="str">
        <f t="shared" si="261"/>
        <v>203385.391523746-40616.8397966247i</v>
      </c>
      <c r="AW363" s="64">
        <f t="shared" si="262"/>
        <v>106.3362341208216</v>
      </c>
      <c r="AX363" s="61">
        <f t="shared" si="263"/>
        <v>-11.293614416107081</v>
      </c>
      <c r="AY363" s="310"/>
      <c r="BA363" s="31">
        <f t="shared" si="264"/>
        <v>0</v>
      </c>
      <c r="BB363" s="31">
        <f t="shared" si="265"/>
        <v>0</v>
      </c>
    </row>
    <row r="364" spans="14:54" x14ac:dyDescent="0.45">
      <c r="N364" s="10">
        <v>46</v>
      </c>
      <c r="O364" s="50">
        <f t="shared" si="231"/>
        <v>28840.315031266062</v>
      </c>
      <c r="P364" s="48" t="str">
        <f t="shared" si="232"/>
        <v>17.4002386318441</v>
      </c>
      <c r="Q364" s="17" t="str">
        <f t="shared" si="233"/>
        <v>1+15.5191624292241i</v>
      </c>
      <c r="R364" s="17">
        <f t="shared" si="241"/>
        <v>15.551347289049938</v>
      </c>
      <c r="S364" s="17">
        <f t="shared" si="242"/>
        <v>1.5064488194570256</v>
      </c>
      <c r="T364" s="17" t="str">
        <f t="shared" si="234"/>
        <v>1+0.0543627130976644i</v>
      </c>
      <c r="U364" s="17">
        <f t="shared" si="243"/>
        <v>1.001476562169749</v>
      </c>
      <c r="V364" s="17">
        <f t="shared" si="244"/>
        <v>5.4309255064976504E-2</v>
      </c>
      <c r="W364" s="31" t="str">
        <f t="shared" si="235"/>
        <v>1-0.134119346599226i</v>
      </c>
      <c r="X364" s="17">
        <f t="shared" si="245"/>
        <v>1.0089539132845482</v>
      </c>
      <c r="Y364" s="17">
        <f t="shared" si="246"/>
        <v>-0.13332373640494138</v>
      </c>
      <c r="Z364" s="31" t="str">
        <f t="shared" si="236"/>
        <v>0.999245565740496+0.187573934511266i</v>
      </c>
      <c r="AA364" s="17">
        <f t="shared" si="247"/>
        <v>1.0166984221292372</v>
      </c>
      <c r="AB364" s="17">
        <f t="shared" si="248"/>
        <v>0.1855561747319347</v>
      </c>
      <c r="AC364" s="66" t="str">
        <f t="shared" si="249"/>
        <v>-0.221164690547678-1.08979064758322i</v>
      </c>
      <c r="AD364" s="64">
        <f t="shared" si="250"/>
        <v>0.92214307424547326</v>
      </c>
      <c r="AE364" s="61">
        <f t="shared" si="251"/>
        <v>-101.47194138328004</v>
      </c>
      <c r="AF364" s="31" t="str">
        <f t="shared" si="237"/>
        <v>-9090.90909090909</v>
      </c>
      <c r="AG364" s="31" t="str">
        <f t="shared" si="238"/>
        <v>2.27623467397318E-08i</v>
      </c>
      <c r="AH364" s="31">
        <f t="shared" si="252"/>
        <v>2.27623467397318E-8</v>
      </c>
      <c r="AI364" s="31">
        <f t="shared" si="253"/>
        <v>1.5707963267948966</v>
      </c>
      <c r="AJ364" s="31" t="str">
        <f t="shared" si="239"/>
        <v>1+523351952.966758i</v>
      </c>
      <c r="AK364" s="31">
        <f t="shared" si="254"/>
        <v>523351952.96675801</v>
      </c>
      <c r="AL364" s="31">
        <f t="shared" si="255"/>
        <v>1.5707963248841366</v>
      </c>
      <c r="AM364" s="31" t="str">
        <f t="shared" si="240"/>
        <v>1+238.797277733673i</v>
      </c>
      <c r="AN364" s="31">
        <f t="shared" si="256"/>
        <v>238.79937155070775</v>
      </c>
      <c r="AO364" s="31">
        <f t="shared" si="257"/>
        <v>1.5666086988450538</v>
      </c>
      <c r="AS364" s="58" t="str">
        <f t="shared" si="258"/>
        <v>763.125969192631+182232.487162352i</v>
      </c>
      <c r="AT364" s="49">
        <f t="shared" si="259"/>
        <v>105.21259221084485</v>
      </c>
      <c r="AU364" s="61">
        <f t="shared" si="260"/>
        <v>89.760066701781483</v>
      </c>
      <c r="AV364" s="58" t="str">
        <f t="shared" si="261"/>
        <v>198426.483676535-41135.0391751493i</v>
      </c>
      <c r="AW364" s="64">
        <f t="shared" si="262"/>
        <v>106.13473528509033</v>
      </c>
      <c r="AX364" s="61">
        <f t="shared" si="263"/>
        <v>-11.711874681498582</v>
      </c>
      <c r="AY364" s="310"/>
      <c r="BA364" s="31">
        <f t="shared" si="264"/>
        <v>0</v>
      </c>
      <c r="BB364" s="31">
        <f t="shared" si="265"/>
        <v>0</v>
      </c>
    </row>
    <row r="365" spans="14:54" x14ac:dyDescent="0.45">
      <c r="N365" s="10">
        <v>47</v>
      </c>
      <c r="O365" s="50">
        <f t="shared" si="231"/>
        <v>29512.092266663854</v>
      </c>
      <c r="P365" s="48" t="str">
        <f t="shared" si="232"/>
        <v>17.4002386318441</v>
      </c>
      <c r="Q365" s="17" t="str">
        <f t="shared" si="233"/>
        <v>1+15.8806501598918i</v>
      </c>
      <c r="R365" s="17">
        <f t="shared" si="241"/>
        <v>15.9121038678382</v>
      </c>
      <c r="S365" s="17">
        <f t="shared" si="242"/>
        <v>1.5079096441145792</v>
      </c>
      <c r="T365" s="17" t="str">
        <f t="shared" si="234"/>
        <v>1+0.0556289833542093i</v>
      </c>
      <c r="U365" s="17">
        <f t="shared" si="243"/>
        <v>1.0015460966870287</v>
      </c>
      <c r="V365" s="17">
        <f t="shared" si="244"/>
        <v>5.5571706814857694E-2</v>
      </c>
      <c r="W365" s="31" t="str">
        <f t="shared" si="235"/>
        <v>1-0.137243387504262i</v>
      </c>
      <c r="X365" s="17">
        <f t="shared" si="245"/>
        <v>1.0093739383467581</v>
      </c>
      <c r="Y365" s="17">
        <f t="shared" si="246"/>
        <v>-0.13639130283571338</v>
      </c>
      <c r="Z365" s="31" t="str">
        <f t="shared" si="236"/>
        <v>0.999210010349246+0.191943092719909i</v>
      </c>
      <c r="AA365" s="17">
        <f t="shared" si="247"/>
        <v>1.0174786462747136</v>
      </c>
      <c r="AB365" s="17">
        <f t="shared" si="248"/>
        <v>0.18978302399357538</v>
      </c>
      <c r="AC365" s="66" t="str">
        <f t="shared" si="249"/>
        <v>-0.224061705062589-1.06313435475747i</v>
      </c>
      <c r="AD365" s="64">
        <f t="shared" si="250"/>
        <v>0.7205065156884245</v>
      </c>
      <c r="AE365" s="61">
        <f t="shared" si="251"/>
        <v>-101.90124654684863</v>
      </c>
      <c r="AF365" s="31" t="str">
        <f t="shared" si="237"/>
        <v>-9090.90909090909</v>
      </c>
      <c r="AG365" s="31" t="str">
        <f t="shared" si="238"/>
        <v>2.27623467397318E-08i</v>
      </c>
      <c r="AH365" s="31">
        <f t="shared" si="252"/>
        <v>2.27623467397318E-8</v>
      </c>
      <c r="AI365" s="31">
        <f t="shared" si="253"/>
        <v>1.5707963267948966</v>
      </c>
      <c r="AJ365" s="31" t="str">
        <f t="shared" si="239"/>
        <v>1+535542385.967333i</v>
      </c>
      <c r="AK365" s="31">
        <f t="shared" si="254"/>
        <v>535542385.96733302</v>
      </c>
      <c r="AL365" s="31">
        <f t="shared" si="255"/>
        <v>1.5707963249276309</v>
      </c>
      <c r="AM365" s="31" t="str">
        <f t="shared" si="240"/>
        <v>1+244.35958088059i</v>
      </c>
      <c r="AN365" s="31">
        <f t="shared" si="256"/>
        <v>244.36162703693392</v>
      </c>
      <c r="AO365" s="31">
        <f t="shared" si="257"/>
        <v>1.5667040198181672</v>
      </c>
      <c r="AS365" s="58" t="str">
        <f t="shared" si="258"/>
        <v>745.755101373016+182232.487162287i</v>
      </c>
      <c r="AT365" s="49">
        <f t="shared" si="259"/>
        <v>105.21258878314978</v>
      </c>
      <c r="AU365" s="61">
        <f t="shared" si="260"/>
        <v>89.765528188747922</v>
      </c>
      <c r="AV365" s="58" t="str">
        <f t="shared" si="261"/>
        <v>193570.522495554-41624.1596598837i</v>
      </c>
      <c r="AW365" s="64">
        <f t="shared" si="262"/>
        <v>105.9330952988382</v>
      </c>
      <c r="AX365" s="61">
        <f t="shared" si="263"/>
        <v>-12.135718358100741</v>
      </c>
      <c r="AY365" s="310"/>
      <c r="BA365" s="31">
        <f t="shared" si="264"/>
        <v>0</v>
      </c>
      <c r="BB365" s="31">
        <f t="shared" si="265"/>
        <v>0</v>
      </c>
    </row>
    <row r="366" spans="14:54" x14ac:dyDescent="0.45">
      <c r="N366" s="10">
        <v>48</v>
      </c>
      <c r="O366" s="50">
        <f t="shared" si="231"/>
        <v>30199.517204020212</v>
      </c>
      <c r="P366" s="48" t="str">
        <f t="shared" si="232"/>
        <v>17.4002386318441</v>
      </c>
      <c r="Q366" s="17" t="str">
        <f t="shared" si="233"/>
        <v>1+16.2505580214795i</v>
      </c>
      <c r="R366" s="17">
        <f t="shared" si="241"/>
        <v>16.281297123063375</v>
      </c>
      <c r="S366" s="17">
        <f t="shared" si="242"/>
        <v>1.5093374760850242</v>
      </c>
      <c r="T366" s="17" t="str">
        <f t="shared" si="234"/>
        <v>1+0.0569247488340652i</v>
      </c>
      <c r="U366" s="17">
        <f t="shared" si="243"/>
        <v>1.0016189030913012</v>
      </c>
      <c r="V366" s="17">
        <f t="shared" si="244"/>
        <v>5.6863381272619064E-2</v>
      </c>
      <c r="W366" s="31" t="str">
        <f t="shared" si="235"/>
        <v>1-0.140440196669984i</v>
      </c>
      <c r="X366" s="17">
        <f t="shared" si="245"/>
        <v>1.0098135713292349</v>
      </c>
      <c r="Y366" s="17">
        <f t="shared" si="246"/>
        <v>-0.13952765003199671</v>
      </c>
      <c r="Z366" s="31" t="str">
        <f t="shared" si="236"/>
        <v>0.999172779284031+0.196414021696977i</v>
      </c>
      <c r="AA366" s="17">
        <f t="shared" si="247"/>
        <v>1.0182950018444339</v>
      </c>
      <c r="AB366" s="17">
        <f t="shared" si="248"/>
        <v>0.19410170516468786</v>
      </c>
      <c r="AC366" s="66" t="str">
        <f t="shared" si="249"/>
        <v>-0.226795305427881-1.03702977792584i</v>
      </c>
      <c r="AD366" s="64">
        <f t="shared" si="250"/>
        <v>0.51872611110779732</v>
      </c>
      <c r="AE366" s="61">
        <f t="shared" si="251"/>
        <v>-102.33618945927647</v>
      </c>
      <c r="AF366" s="31" t="str">
        <f t="shared" si="237"/>
        <v>-9090.90909090909</v>
      </c>
      <c r="AG366" s="31" t="str">
        <f t="shared" si="238"/>
        <v>2.27623467397318E-08i</v>
      </c>
      <c r="AH366" s="31">
        <f t="shared" si="252"/>
        <v>2.27623467397318E-8</v>
      </c>
      <c r="AI366" s="31">
        <f t="shared" si="253"/>
        <v>1.5707963267948966</v>
      </c>
      <c r="AJ366" s="31" t="str">
        <f t="shared" si="239"/>
        <v>1+548016770.629686i</v>
      </c>
      <c r="AK366" s="31">
        <f t="shared" si="254"/>
        <v>548016770.629686</v>
      </c>
      <c r="AL366" s="31">
        <f t="shared" si="255"/>
        <v>1.5707963249701349</v>
      </c>
      <c r="AM366" s="31" t="str">
        <f t="shared" si="240"/>
        <v>1+250.05144671177i</v>
      </c>
      <c r="AN366" s="31">
        <f t="shared" si="256"/>
        <v>250.05344629228603</v>
      </c>
      <c r="AO366" s="31">
        <f t="shared" si="257"/>
        <v>1.5667971710928907</v>
      </c>
      <c r="AS366" s="58" t="str">
        <f t="shared" si="258"/>
        <v>728.779642779384+182232.487162224i</v>
      </c>
      <c r="AT366" s="49">
        <f t="shared" si="259"/>
        <v>105.21258550972384</v>
      </c>
      <c r="AU366" s="61">
        <f t="shared" si="260"/>
        <v>89.770865361210525</v>
      </c>
      <c r="AV366" s="58" t="str">
        <f t="shared" si="261"/>
        <v>188815.231891041-42085.2387759474i</v>
      </c>
      <c r="AW366" s="64">
        <f t="shared" si="262"/>
        <v>105.73131162083165</v>
      </c>
      <c r="AX366" s="61">
        <f t="shared" si="263"/>
        <v>-12.565324098065943</v>
      </c>
      <c r="AY366" s="310"/>
      <c r="BA366" s="31">
        <f t="shared" si="264"/>
        <v>0</v>
      </c>
      <c r="BB366" s="31">
        <f t="shared" si="265"/>
        <v>0</v>
      </c>
    </row>
    <row r="367" spans="14:54" x14ac:dyDescent="0.45">
      <c r="N367" s="10">
        <v>49</v>
      </c>
      <c r="O367" s="50">
        <f t="shared" si="231"/>
        <v>30902.954325135954</v>
      </c>
      <c r="P367" s="48" t="str">
        <f t="shared" si="232"/>
        <v>17.4002386318441</v>
      </c>
      <c r="Q367" s="17" t="str">
        <f t="shared" si="233"/>
        <v>1+16.6290821440318i</v>
      </c>
      <c r="R367" s="17">
        <f t="shared" si="241"/>
        <v>16.659122814630944</v>
      </c>
      <c r="S367" s="17">
        <f t="shared" si="242"/>
        <v>1.5107330491232149</v>
      </c>
      <c r="T367" s="17" t="str">
        <f t="shared" si="234"/>
        <v>1+0.0582506965692409i</v>
      </c>
      <c r="U367" s="17">
        <f t="shared" si="243"/>
        <v>1.0016951350839245</v>
      </c>
      <c r="V367" s="17">
        <f t="shared" si="244"/>
        <v>5.8184946050920595E-2</v>
      </c>
      <c r="W367" s="31" t="str">
        <f t="shared" si="235"/>
        <v>1-0.143711469086925i</v>
      </c>
      <c r="X367" s="17">
        <f t="shared" si="245"/>
        <v>1.0102737185273711</v>
      </c>
      <c r="Y367" s="17">
        <f t="shared" si="246"/>
        <v>-0.14273419398715195</v>
      </c>
      <c r="Z367" s="31" t="str">
        <f t="shared" si="236"/>
        <v>0.99913379357277+0.200989091988197i</v>
      </c>
      <c r="AA367" s="17">
        <f t="shared" si="247"/>
        <v>1.0191491316570676</v>
      </c>
      <c r="AB367" s="17">
        <f t="shared" si="248"/>
        <v>0.19851390627144597</v>
      </c>
      <c r="AC367" s="66" t="str">
        <f t="shared" si="249"/>
        <v>-0.229371308173473-1.01146473964218i</v>
      </c>
      <c r="AD367" s="64">
        <f t="shared" si="250"/>
        <v>0.31679911040059006</v>
      </c>
      <c r="AE367" s="61">
        <f t="shared" si="251"/>
        <v>-102.77695175745099</v>
      </c>
      <c r="AF367" s="31" t="str">
        <f t="shared" si="237"/>
        <v>-9090.90909090909</v>
      </c>
      <c r="AG367" s="31" t="str">
        <f t="shared" si="238"/>
        <v>2.27623467397318E-08i</v>
      </c>
      <c r="AH367" s="31">
        <f t="shared" si="252"/>
        <v>2.27623467397318E-8</v>
      </c>
      <c r="AI367" s="31">
        <f t="shared" si="253"/>
        <v>1.5707963267948966</v>
      </c>
      <c r="AJ367" s="31" t="str">
        <f t="shared" si="239"/>
        <v>1+560781721.037687i</v>
      </c>
      <c r="AK367" s="31">
        <f t="shared" si="254"/>
        <v>560781721.03768694</v>
      </c>
      <c r="AL367" s="31">
        <f t="shared" si="255"/>
        <v>1.5707963250116717</v>
      </c>
      <c r="AM367" s="31" t="str">
        <f t="shared" si="240"/>
        <v>1+255.875893129818i</v>
      </c>
      <c r="AN367" s="31">
        <f t="shared" si="256"/>
        <v>255.87784719467618</v>
      </c>
      <c r="AO367" s="31">
        <f t="shared" si="257"/>
        <v>1.566888202052793</v>
      </c>
      <c r="AS367" s="58" t="str">
        <f t="shared" si="258"/>
        <v>712.190592798894+182232.487162164i</v>
      </c>
      <c r="AT367" s="49">
        <f t="shared" si="259"/>
        <v>105.21258238362404</v>
      </c>
      <c r="AU367" s="61">
        <f t="shared" si="260"/>
        <v>89.77608104863809</v>
      </c>
      <c r="AV367" s="58" t="str">
        <f t="shared" si="261"/>
        <v>184158.379093886-42519.2596446121i</v>
      </c>
      <c r="AW367" s="64">
        <f t="shared" si="262"/>
        <v>105.52938149402462</v>
      </c>
      <c r="AX367" s="61">
        <f t="shared" si="263"/>
        <v>-13.00087070881291</v>
      </c>
      <c r="AY367" s="310"/>
      <c r="BA367" s="31">
        <f t="shared" si="264"/>
        <v>0</v>
      </c>
      <c r="BB367" s="31">
        <f t="shared" si="265"/>
        <v>0</v>
      </c>
    </row>
    <row r="368" spans="14:54" x14ac:dyDescent="0.45">
      <c r="N368" s="10">
        <v>50</v>
      </c>
      <c r="O368" s="50">
        <f t="shared" si="231"/>
        <v>31622.77660168384</v>
      </c>
      <c r="P368" s="48" t="str">
        <f t="shared" si="232"/>
        <v>17.4002386318441</v>
      </c>
      <c r="Q368" s="17" t="str">
        <f t="shared" si="233"/>
        <v>1+17.0164232260487i</v>
      </c>
      <c r="R368" s="17">
        <f t="shared" si="241"/>
        <v>17.045781278897415</v>
      </c>
      <c r="S368" s="17">
        <f t="shared" si="242"/>
        <v>1.5120970814237544</v>
      </c>
      <c r="T368" s="17" t="str">
        <f t="shared" si="234"/>
        <v>1+0.0596075295947767i</v>
      </c>
      <c r="U368" s="17">
        <f t="shared" si="243"/>
        <v>1.0017749535621223</v>
      </c>
      <c r="V368" s="17">
        <f t="shared" si="244"/>
        <v>5.9537083385197025E-2</v>
      </c>
      <c r="W368" s="31" t="str">
        <f t="shared" si="235"/>
        <v>1-0.147058939227023i</v>
      </c>
      <c r="X368" s="17">
        <f t="shared" si="245"/>
        <v>1.0107553272709362</v>
      </c>
      <c r="Y368" s="17">
        <f t="shared" si="246"/>
        <v>-0.14601237095973973</v>
      </c>
      <c r="Z368" s="31" t="str">
        <f t="shared" si="236"/>
        <v>0.999092970521542+0.205670729356393i</v>
      </c>
      <c r="AA368" s="17">
        <f t="shared" si="247"/>
        <v>1.0200427504078196</v>
      </c>
      <c r="AB368" s="17">
        <f t="shared" si="248"/>
        <v>0.20302132505172879</v>
      </c>
      <c r="AC368" s="66" t="str">
        <f t="shared" si="249"/>
        <v>-0.23179522429598-0.986427294856078i</v>
      </c>
      <c r="AD368" s="64">
        <f t="shared" si="250"/>
        <v>0.11472254899850624</v>
      </c>
      <c r="AE368" s="61">
        <f t="shared" si="251"/>
        <v>-103.2237150664498</v>
      </c>
      <c r="AF368" s="31" t="str">
        <f t="shared" si="237"/>
        <v>-9090.90909090909</v>
      </c>
      <c r="AG368" s="31" t="str">
        <f t="shared" si="238"/>
        <v>2.27623467397318E-08i</v>
      </c>
      <c r="AH368" s="31">
        <f t="shared" si="252"/>
        <v>2.27623467397318E-8</v>
      </c>
      <c r="AI368" s="31">
        <f t="shared" si="253"/>
        <v>1.5707963267948966</v>
      </c>
      <c r="AJ368" s="31" t="str">
        <f t="shared" si="239"/>
        <v>1+573844005.337005i</v>
      </c>
      <c r="AK368" s="31">
        <f t="shared" si="254"/>
        <v>573844005.33700502</v>
      </c>
      <c r="AL368" s="31">
        <f t="shared" si="255"/>
        <v>1.5707963250522627</v>
      </c>
      <c r="AM368" s="31" t="str">
        <f t="shared" si="240"/>
        <v>1+261.836008333322i</v>
      </c>
      <c r="AN368" s="31">
        <f t="shared" si="256"/>
        <v>261.83791791856174</v>
      </c>
      <c r="AO368" s="31">
        <f t="shared" si="257"/>
        <v>1.5669771609576562</v>
      </c>
      <c r="AS368" s="58" t="str">
        <f t="shared" si="258"/>
        <v>695.979155697665+182232.487162107i</v>
      </c>
      <c r="AT368" s="49">
        <f t="shared" si="259"/>
        <v>105.2125793982198</v>
      </c>
      <c r="AU368" s="61">
        <f t="shared" si="260"/>
        <v>89.781178016111141</v>
      </c>
      <c r="AV368" s="58" t="str">
        <f t="shared" si="261"/>
        <v>179597.774701712-42927.153071586i</v>
      </c>
      <c r="AW368" s="64">
        <f t="shared" si="262"/>
        <v>105.3273019472183</v>
      </c>
      <c r="AX368" s="61">
        <f t="shared" si="263"/>
        <v>-13.442537050338666</v>
      </c>
      <c r="AY368" s="310"/>
      <c r="BA368" s="31">
        <f t="shared" si="264"/>
        <v>0</v>
      </c>
      <c r="BB368" s="31">
        <f t="shared" si="265"/>
        <v>0</v>
      </c>
    </row>
    <row r="369" spans="14:54" x14ac:dyDescent="0.45">
      <c r="N369" s="10">
        <v>51</v>
      </c>
      <c r="O369" s="50">
        <f t="shared" si="231"/>
        <v>32359.365692962871</v>
      </c>
      <c r="P369" s="48" t="str">
        <f t="shared" si="232"/>
        <v>17.4002386318441</v>
      </c>
      <c r="Q369" s="17" t="str">
        <f t="shared" si="233"/>
        <v>1+17.4127866408991i</v>
      </c>
      <c r="R369" s="17">
        <f t="shared" si="241"/>
        <v>17.441477534930179</v>
      </c>
      <c r="S369" s="17">
        <f t="shared" si="242"/>
        <v>1.5134302758999743</v>
      </c>
      <c r="T369" s="17" t="str">
        <f t="shared" si="234"/>
        <v>1+0.0609959673215026i</v>
      </c>
      <c r="U369" s="17">
        <f t="shared" si="243"/>
        <v>1.0018585269535243</v>
      </c>
      <c r="V369" s="17">
        <f t="shared" si="244"/>
        <v>6.0920490408744823E-2</v>
      </c>
      <c r="W369" s="31" t="str">
        <f t="shared" si="235"/>
        <v>1-0.150484381963253i</v>
      </c>
      <c r="X369" s="17">
        <f t="shared" si="245"/>
        <v>1.0112593877017222</v>
      </c>
      <c r="Y369" s="17">
        <f t="shared" si="246"/>
        <v>-0.14936363710585612</v>
      </c>
      <c r="Z369" s="31" t="str">
        <f t="shared" si="236"/>
        <v>0.999050223539183+0.210461416067669i</v>
      </c>
      <c r="AA369" s="17">
        <f t="shared" si="247"/>
        <v>1.0209776475549797</v>
      </c>
      <c r="AB369" s="17">
        <f t="shared" si="248"/>
        <v>0.20762566736610902</v>
      </c>
      <c r="AC369" s="66" t="str">
        <f t="shared" si="249"/>
        <v>-0.234072271089597-0.961905731395212i</v>
      </c>
      <c r="AD369" s="64">
        <f t="shared" si="250"/>
        <v>-8.7506750261411637E-2</v>
      </c>
      <c r="AE369" s="61">
        <f t="shared" si="251"/>
        <v>-103.67666088765432</v>
      </c>
      <c r="AF369" s="31" t="str">
        <f t="shared" si="237"/>
        <v>-9090.90909090909</v>
      </c>
      <c r="AG369" s="31" t="str">
        <f t="shared" si="238"/>
        <v>2.27623467397318E-08i</v>
      </c>
      <c r="AH369" s="31">
        <f t="shared" si="252"/>
        <v>2.27623467397318E-8</v>
      </c>
      <c r="AI369" s="31">
        <f t="shared" si="253"/>
        <v>1.5707963267948966</v>
      </c>
      <c r="AJ369" s="31" t="str">
        <f t="shared" si="239"/>
        <v>1+587210549.323676i</v>
      </c>
      <c r="AK369" s="31">
        <f t="shared" si="254"/>
        <v>587210549.32367599</v>
      </c>
      <c r="AL369" s="31">
        <f t="shared" si="255"/>
        <v>1.5707963250919299</v>
      </c>
      <c r="AM369" s="31" t="str">
        <f t="shared" si="240"/>
        <v>1+267.934952454253i</v>
      </c>
      <c r="AN369" s="31">
        <f t="shared" si="256"/>
        <v>267.93681857233213</v>
      </c>
      <c r="AO369" s="31">
        <f t="shared" si="257"/>
        <v>1.5670640949690335</v>
      </c>
      <c r="AS369" s="58" t="str">
        <f t="shared" si="258"/>
        <v>680.136735957158+182232.487162053i</v>
      </c>
      <c r="AT369" s="49">
        <f t="shared" si="259"/>
        <v>105.212576547179</v>
      </c>
      <c r="AU369" s="61">
        <f t="shared" si="260"/>
        <v>89.786158965786441</v>
      </c>
      <c r="AV369" s="58" t="str">
        <f t="shared" si="261"/>
        <v>175131.272697146-43309.7995607772i</v>
      </c>
      <c r="AW369" s="64">
        <f t="shared" si="262"/>
        <v>105.12506979691757</v>
      </c>
      <c r="AX369" s="61">
        <f t="shared" si="263"/>
        <v>-13.890501921867903</v>
      </c>
      <c r="AY369" s="310"/>
      <c r="BA369" s="31">
        <f t="shared" si="264"/>
        <v>0</v>
      </c>
      <c r="BB369" s="31">
        <f t="shared" si="265"/>
        <v>0</v>
      </c>
    </row>
    <row r="370" spans="14:54" x14ac:dyDescent="0.45">
      <c r="N370" s="10">
        <v>52</v>
      </c>
      <c r="O370" s="50">
        <f t="shared" si="231"/>
        <v>33113.11214825909</v>
      </c>
      <c r="P370" s="48" t="str">
        <f t="shared" si="232"/>
        <v>17.4002386318441</v>
      </c>
      <c r="Q370" s="17" t="str">
        <f t="shared" si="233"/>
        <v>1+17.818382545712i</v>
      </c>
      <c r="R370" s="17">
        <f t="shared" si="241"/>
        <v>17.846421393246715</v>
      </c>
      <c r="S370" s="17">
        <f t="shared" si="242"/>
        <v>1.514733320461471</v>
      </c>
      <c r="T370" s="17" t="str">
        <f t="shared" si="234"/>
        <v>1+0.0624167459174794i</v>
      </c>
      <c r="U370" s="17">
        <f t="shared" si="243"/>
        <v>1.0019460315660356</v>
      </c>
      <c r="V370" s="17">
        <f t="shared" si="244"/>
        <v>6.2335879429633048E-2</v>
      </c>
      <c r="W370" s="31" t="str">
        <f t="shared" si="235"/>
        <v>1-0.153989613510697i</v>
      </c>
      <c r="X370" s="17">
        <f t="shared" si="245"/>
        <v>1.0117869346207105</v>
      </c>
      <c r="Y370" s="17">
        <f t="shared" si="246"/>
        <v>-0.15278946805095875</v>
      </c>
      <c r="Z370" s="31" t="str">
        <f t="shared" si="236"/>
        <v>0.999005461953612+0.215363692207529i</v>
      </c>
      <c r="AA370" s="17">
        <f t="shared" si="247"/>
        <v>1.0219556902989526</v>
      </c>
      <c r="AB370" s="17">
        <f t="shared" si="248"/>
        <v>0.21232864547542307</v>
      </c>
      <c r="AC370" s="66" t="str">
        <f t="shared" si="249"/>
        <v>-0.236207383558395-0.93788857029196i</v>
      </c>
      <c r="AD370" s="64">
        <f t="shared" si="250"/>
        <v>-0.28989217501948805</v>
      </c>
      <c r="AE370" s="61">
        <f t="shared" si="251"/>
        <v>-104.13597047556532</v>
      </c>
      <c r="AF370" s="31" t="str">
        <f t="shared" si="237"/>
        <v>-9090.90909090909</v>
      </c>
      <c r="AG370" s="31" t="str">
        <f t="shared" si="238"/>
        <v>2.27623467397318E-08i</v>
      </c>
      <c r="AH370" s="31">
        <f t="shared" si="252"/>
        <v>2.27623467397318E-8</v>
      </c>
      <c r="AI370" s="31">
        <f t="shared" si="253"/>
        <v>1.5707963267948966</v>
      </c>
      <c r="AJ370" s="31" t="str">
        <f t="shared" si="239"/>
        <v>1+600888440.116249i</v>
      </c>
      <c r="AK370" s="31">
        <f t="shared" si="254"/>
        <v>600888440.11624897</v>
      </c>
      <c r="AL370" s="31">
        <f t="shared" si="255"/>
        <v>1.5707963251306942</v>
      </c>
      <c r="AM370" s="31" t="str">
        <f t="shared" si="240"/>
        <v>1+274.175959233514i</v>
      </c>
      <c r="AN370" s="31">
        <f t="shared" si="256"/>
        <v>274.17778287384544</v>
      </c>
      <c r="AO370" s="31">
        <f t="shared" si="257"/>
        <v>1.5671490501752297</v>
      </c>
      <c r="AS370" s="58" t="str">
        <f t="shared" si="258"/>
        <v>664.654933716732+182232.487162001i</v>
      </c>
      <c r="AT370" s="49">
        <f t="shared" si="259"/>
        <v>105.21257382445441</v>
      </c>
      <c r="AU370" s="61">
        <f t="shared" si="260"/>
        <v>89.791026538328126</v>
      </c>
      <c r="AV370" s="58" t="str">
        <f t="shared" si="261"/>
        <v>170756.770442255-43668.031257396i</v>
      </c>
      <c r="AW370" s="64">
        <f t="shared" si="262"/>
        <v>104.92268164943495</v>
      </c>
      <c r="AX370" s="61">
        <f t="shared" si="263"/>
        <v>-14.344943937237135</v>
      </c>
      <c r="AY370" s="310"/>
      <c r="BA370" s="31">
        <f t="shared" si="264"/>
        <v>0</v>
      </c>
      <c r="BB370" s="31">
        <f t="shared" si="265"/>
        <v>0</v>
      </c>
    </row>
    <row r="371" spans="14:54" x14ac:dyDescent="0.45">
      <c r="N371" s="10">
        <v>53</v>
      </c>
      <c r="O371" s="50">
        <f t="shared" si="231"/>
        <v>33884.41561392029</v>
      </c>
      <c r="P371" s="48" t="str">
        <f t="shared" si="232"/>
        <v>17.4002386318441</v>
      </c>
      <c r="Q371" s="17" t="str">
        <f t="shared" si="233"/>
        <v>1+18.2334259928049i</v>
      </c>
      <c r="R371" s="17">
        <f t="shared" si="241"/>
        <v>18.260827567092718</v>
      </c>
      <c r="S371" s="17">
        <f t="shared" si="242"/>
        <v>1.5160068882899242</v>
      </c>
      <c r="T371" s="17" t="str">
        <f t="shared" si="234"/>
        <v>1+0.0638706186983254i</v>
      </c>
      <c r="U371" s="17">
        <f t="shared" si="243"/>
        <v>1.0020376519537113</v>
      </c>
      <c r="V371" s="17">
        <f t="shared" si="244"/>
        <v>6.3783978209165509E-2</v>
      </c>
      <c r="W371" s="31" t="str">
        <f t="shared" si="235"/>
        <v>1-0.157576492389519i</v>
      </c>
      <c r="X371" s="17">
        <f t="shared" si="245"/>
        <v>1.0123390494067608</v>
      </c>
      <c r="Y371" s="17">
        <f t="shared" si="246"/>
        <v>-0.1562913583969405</v>
      </c>
      <c r="Z371" s="31" t="str">
        <f t="shared" si="236"/>
        <v>0.998958590819504+0.220380157027675i</v>
      </c>
      <c r="AA371" s="17">
        <f t="shared" si="247"/>
        <v>1.0229788266546049</v>
      </c>
      <c r="AB371" s="17">
        <f t="shared" si="248"/>
        <v>0.21713197617848715</v>
      </c>
      <c r="AC371" s="66" t="str">
        <f t="shared" si="249"/>
        <v>-0.238205225432512-0.914364565975904i</v>
      </c>
      <c r="AD371" s="64">
        <f t="shared" si="250"/>
        <v>-0.4924373209756383</v>
      </c>
      <c r="AE371" s="61">
        <f t="shared" si="251"/>
        <v>-104.60182470270757</v>
      </c>
      <c r="AF371" s="31" t="str">
        <f t="shared" si="237"/>
        <v>-9090.90909090909</v>
      </c>
      <c r="AG371" s="31" t="str">
        <f t="shared" si="238"/>
        <v>2.27623467397318E-08i</v>
      </c>
      <c r="AH371" s="31">
        <f t="shared" si="252"/>
        <v>2.27623467397318E-8</v>
      </c>
      <c r="AI371" s="31">
        <f t="shared" si="253"/>
        <v>1.5707963267948966</v>
      </c>
      <c r="AJ371" s="31" t="str">
        <f t="shared" si="239"/>
        <v>1+614884929.913475i</v>
      </c>
      <c r="AK371" s="31">
        <f t="shared" si="254"/>
        <v>614884929.91347504</v>
      </c>
      <c r="AL371" s="31">
        <f t="shared" si="255"/>
        <v>1.5707963251685761</v>
      </c>
      <c r="AM371" s="31" t="str">
        <f t="shared" si="240"/>
        <v>1+280.56233773551i</v>
      </c>
      <c r="AN371" s="31">
        <f t="shared" si="256"/>
        <v>280.56411986498631</v>
      </c>
      <c r="AO371" s="31">
        <f t="shared" si="257"/>
        <v>1.5672320716157115</v>
      </c>
      <c r="AS371" s="58" t="str">
        <f t="shared" si="258"/>
        <v>649.525540319902+182232.487161951i</v>
      </c>
      <c r="AT371" s="49">
        <f t="shared" si="259"/>
        <v>105.212571224271</v>
      </c>
      <c r="AU371" s="61">
        <f t="shared" si="260"/>
        <v>89.795783314306348</v>
      </c>
      <c r="AV371" s="58" t="str">
        <f t="shared" si="261"/>
        <v>166472.208652791-44002.6338243048i</v>
      </c>
      <c r="AW371" s="64">
        <f t="shared" si="262"/>
        <v>104.72013390329538</v>
      </c>
      <c r="AX371" s="61">
        <f t="shared" si="263"/>
        <v>-14.806041388401216</v>
      </c>
      <c r="AY371" s="310"/>
      <c r="BA371" s="31">
        <f t="shared" si="264"/>
        <v>0</v>
      </c>
      <c r="BB371" s="31">
        <f t="shared" si="265"/>
        <v>0</v>
      </c>
    </row>
    <row r="372" spans="14:54" x14ac:dyDescent="0.45">
      <c r="N372" s="10">
        <v>54</v>
      </c>
      <c r="O372" s="50">
        <f t="shared" si="231"/>
        <v>34673.685045253202</v>
      </c>
      <c r="P372" s="48" t="str">
        <f t="shared" si="232"/>
        <v>17.4002386318441</v>
      </c>
      <c r="Q372" s="17" t="str">
        <f t="shared" si="233"/>
        <v>1+18.6581370437069i</v>
      </c>
      <c r="R372" s="17">
        <f t="shared" si="241"/>
        <v>18.684915786316719</v>
      </c>
      <c r="S372" s="17">
        <f t="shared" si="242"/>
        <v>1.5172516381129324</v>
      </c>
      <c r="T372" s="17" t="str">
        <f t="shared" si="234"/>
        <v>1+0.0653583565266322i</v>
      </c>
      <c r="U372" s="17">
        <f t="shared" si="243"/>
        <v>1.0021335812993508</v>
      </c>
      <c r="V372" s="17">
        <f t="shared" si="244"/>
        <v>6.5265530241590181E-2</v>
      </c>
      <c r="W372" s="31" t="str">
        <f t="shared" si="235"/>
        <v>1-0.161246920410376i</v>
      </c>
      <c r="X372" s="17">
        <f t="shared" si="245"/>
        <v>1.0129168620088373</v>
      </c>
      <c r="Y372" s="17">
        <f t="shared" si="246"/>
        <v>-0.15987082116006152</v>
      </c>
      <c r="Z372" s="31" t="str">
        <f t="shared" si="236"/>
        <v>0.9989095107169+0.225513470324151i</v>
      </c>
      <c r="AA372" s="17">
        <f t="shared" si="247"/>
        <v>1.0240490886174931</v>
      </c>
      <c r="AB372" s="17">
        <f t="shared" si="248"/>
        <v>0.22203737880339094</v>
      </c>
      <c r="AC372" s="66" t="str">
        <f t="shared" si="249"/>
        <v>-0.240070199810921-0.891322706352178i</v>
      </c>
      <c r="AD372" s="64">
        <f t="shared" si="250"/>
        <v>-0.69514598911287773</v>
      </c>
      <c r="AE372" s="61">
        <f t="shared" si="251"/>
        <v>-105.07440391199906</v>
      </c>
      <c r="AF372" s="31" t="str">
        <f t="shared" si="237"/>
        <v>-9090.90909090909</v>
      </c>
      <c r="AG372" s="31" t="str">
        <f t="shared" si="238"/>
        <v>2.27623467397318E-08i</v>
      </c>
      <c r="AH372" s="31">
        <f t="shared" si="252"/>
        <v>2.27623467397318E-8</v>
      </c>
      <c r="AI372" s="31">
        <f t="shared" si="253"/>
        <v>1.5707963267948966</v>
      </c>
      <c r="AJ372" s="31" t="str">
        <f t="shared" si="239"/>
        <v>1+629207439.839499i</v>
      </c>
      <c r="AK372" s="31">
        <f t="shared" si="254"/>
        <v>629207439.839499</v>
      </c>
      <c r="AL372" s="31">
        <f t="shared" si="255"/>
        <v>1.5707963252055956</v>
      </c>
      <c r="AM372" s="31" t="str">
        <f t="shared" si="240"/>
        <v>1+287.097474102652i</v>
      </c>
      <c r="AN372" s="31">
        <f t="shared" si="256"/>
        <v>287.0992156661577</v>
      </c>
      <c r="AO372" s="31">
        <f t="shared" si="257"/>
        <v>1.567313203304965</v>
      </c>
      <c r="AS372" s="58" t="str">
        <f t="shared" si="258"/>
        <v>634.740533962045+182232.487161903i</v>
      </c>
      <c r="AT372" s="49">
        <f t="shared" si="259"/>
        <v>105.21256874111366</v>
      </c>
      <c r="AU372" s="61">
        <f t="shared" si="260"/>
        <v>89.800431815564281</v>
      </c>
      <c r="AV372" s="58" t="str">
        <f t="shared" si="261"/>
        <v>162275.57135562-44314.3482555616i</v>
      </c>
      <c r="AW372" s="64">
        <f t="shared" si="262"/>
        <v>104.51742275200081</v>
      </c>
      <c r="AX372" s="61">
        <f t="shared" si="263"/>
        <v>-15.273972096434735</v>
      </c>
      <c r="AY372" s="310"/>
      <c r="BA372" s="31">
        <f t="shared" si="264"/>
        <v>0</v>
      </c>
      <c r="BB372" s="31">
        <f t="shared" si="265"/>
        <v>0</v>
      </c>
    </row>
    <row r="373" spans="14:54" x14ac:dyDescent="0.45">
      <c r="N373" s="10">
        <v>55</v>
      </c>
      <c r="O373" s="50">
        <f t="shared" si="231"/>
        <v>35481.33892335758</v>
      </c>
      <c r="P373" s="48" t="str">
        <f t="shared" si="232"/>
        <v>17.4002386318441</v>
      </c>
      <c r="Q373" s="17" t="str">
        <f t="shared" si="233"/>
        <v>1+19.0927408858393i</v>
      </c>
      <c r="R373" s="17">
        <f t="shared" si="241"/>
        <v>19.118910913904056</v>
      </c>
      <c r="S373" s="17">
        <f t="shared" si="242"/>
        <v>1.5184682144756401</v>
      </c>
      <c r="T373" s="17" t="str">
        <f t="shared" si="234"/>
        <v>1+0.0668807482206901i</v>
      </c>
      <c r="U373" s="17">
        <f t="shared" si="243"/>
        <v>1.0022340218145458</v>
      </c>
      <c r="V373" s="17">
        <f t="shared" si="244"/>
        <v>6.6781295034734678E-2</v>
      </c>
      <c r="W373" s="31" t="str">
        <f t="shared" si="235"/>
        <v>1-0.165002843682791i</v>
      </c>
      <c r="X373" s="17">
        <f t="shared" si="245"/>
        <v>1.0135215530137518</v>
      </c>
      <c r="Y373" s="17">
        <f t="shared" si="246"/>
        <v>-0.16352938713513279</v>
      </c>
      <c r="Z373" s="31" t="str">
        <f t="shared" si="236"/>
        <v>0.998858117540323+0.230766353847619i</v>
      </c>
      <c r="AA373" s="17">
        <f t="shared" si="247"/>
        <v>1.0251685954243441</v>
      </c>
      <c r="AB373" s="17">
        <f t="shared" si="248"/>
        <v>0.22704657304588494</v>
      </c>
      <c r="AC373" s="66" t="str">
        <f t="shared" si="249"/>
        <v>-0.24180645945363-0.868752212783607i</v>
      </c>
      <c r="AD373" s="64">
        <f t="shared" si="250"/>
        <v>-0.89802218250226162</v>
      </c>
      <c r="AE373" s="61">
        <f t="shared" si="251"/>
        <v>-105.55388775595381</v>
      </c>
      <c r="AF373" s="31" t="str">
        <f t="shared" si="237"/>
        <v>-9090.90909090909</v>
      </c>
      <c r="AG373" s="31" t="str">
        <f t="shared" si="238"/>
        <v>2.27623467397318E-08i</v>
      </c>
      <c r="AH373" s="31">
        <f t="shared" si="252"/>
        <v>2.27623467397318E-8</v>
      </c>
      <c r="AI373" s="31">
        <f t="shared" si="253"/>
        <v>1.5707963267948966</v>
      </c>
      <c r="AJ373" s="31" t="str">
        <f t="shared" si="239"/>
        <v>1+643863563.878676i</v>
      </c>
      <c r="AK373" s="31">
        <f t="shared" si="254"/>
        <v>643863563.87867606</v>
      </c>
      <c r="AL373" s="31">
        <f t="shared" si="255"/>
        <v>1.5707963252417725</v>
      </c>
      <c r="AM373" s="31" t="str">
        <f t="shared" si="240"/>
        <v>1+293.784833350751i</v>
      </c>
      <c r="AN373" s="31">
        <f t="shared" si="256"/>
        <v>293.78653527166375</v>
      </c>
      <c r="AO373" s="31">
        <f t="shared" si="257"/>
        <v>1.5673924882558112</v>
      </c>
      <c r="AS373" s="58" t="str">
        <f t="shared" si="258"/>
        <v>620.292075437073+182232.487161857i</v>
      </c>
      <c r="AT373" s="49">
        <f t="shared" si="259"/>
        <v>105.21256636971549</v>
      </c>
      <c r="AU373" s="61">
        <f t="shared" si="260"/>
        <v>89.80497450655389</v>
      </c>
      <c r="AV373" s="58" t="str">
        <f t="shared" si="261"/>
        <v>158164.885832335-44603.8726311458i</v>
      </c>
      <c r="AW373" s="64">
        <f t="shared" si="262"/>
        <v>104.31454418721322</v>
      </c>
      <c r="AX373" s="61">
        <f t="shared" si="263"/>
        <v>-15.748913249399918</v>
      </c>
      <c r="AY373" s="310"/>
      <c r="BA373" s="31">
        <f t="shared" si="264"/>
        <v>0</v>
      </c>
      <c r="BB373" s="31">
        <f t="shared" si="265"/>
        <v>0</v>
      </c>
    </row>
    <row r="374" spans="14:54" x14ac:dyDescent="0.45">
      <c r="N374" s="10">
        <v>56</v>
      </c>
      <c r="O374" s="50">
        <f t="shared" si="231"/>
        <v>36307.805477010232</v>
      </c>
      <c r="P374" s="48" t="str">
        <f t="shared" si="232"/>
        <v>17.4002386318441</v>
      </c>
      <c r="Q374" s="17" t="str">
        <f t="shared" si="233"/>
        <v>1+19.5374679519116i</v>
      </c>
      <c r="R374" s="17">
        <f t="shared" si="241"/>
        <v>19.563043065228197</v>
      </c>
      <c r="S374" s="17">
        <f t="shared" si="242"/>
        <v>1.5196572480099393</v>
      </c>
      <c r="T374" s="17" t="str">
        <f t="shared" si="234"/>
        <v>1+0.0684386009727256i</v>
      </c>
      <c r="U374" s="17">
        <f t="shared" si="243"/>
        <v>1.0023391851579504</v>
      </c>
      <c r="V374" s="17">
        <f t="shared" si="244"/>
        <v>6.8332048391192279E-2</v>
      </c>
      <c r="W374" s="31" t="str">
        <f t="shared" si="235"/>
        <v>1-0.168846253646996i</v>
      </c>
      <c r="X374" s="17">
        <f t="shared" si="245"/>
        <v>1.0141543557913784</v>
      </c>
      <c r="Y374" s="17">
        <f t="shared" si="246"/>
        <v>-0.16726860418111431</v>
      </c>
      <c r="Z374" s="31" t="str">
        <f t="shared" si="236"/>
        <v>0.998804302277953+0.236141592746449i</v>
      </c>
      <c r="AA374" s="17">
        <f t="shared" si="247"/>
        <v>1.0263395569078384</v>
      </c>
      <c r="AB374" s="17">
        <f t="shared" si="248"/>
        <v>0.23216127664828615</v>
      </c>
      <c r="AC374" s="66" t="str">
        <f t="shared" si="249"/>
        <v>-0.243417916746333-0.846642539993341i</v>
      </c>
      <c r="AD374" s="64">
        <f t="shared" si="250"/>
        <v>-1.1010701026210656</v>
      </c>
      <c r="AE374" s="61">
        <f t="shared" si="251"/>
        <v>-106.04045502207397</v>
      </c>
      <c r="AF374" s="31" t="str">
        <f t="shared" si="237"/>
        <v>-9090.90909090909</v>
      </c>
      <c r="AG374" s="31" t="str">
        <f t="shared" si="238"/>
        <v>2.27623467397318E-08i</v>
      </c>
      <c r="AH374" s="31">
        <f t="shared" si="252"/>
        <v>2.27623467397318E-8</v>
      </c>
      <c r="AI374" s="31">
        <f t="shared" si="253"/>
        <v>1.5707963267948966</v>
      </c>
      <c r="AJ374" s="31" t="str">
        <f t="shared" si="239"/>
        <v>1+658861072.90196i</v>
      </c>
      <c r="AK374" s="31">
        <f t="shared" si="254"/>
        <v>658861072.90196002</v>
      </c>
      <c r="AL374" s="31">
        <f t="shared" si="255"/>
        <v>1.570796325277126</v>
      </c>
      <c r="AM374" s="31" t="str">
        <f t="shared" si="240"/>
        <v>1+300.627961206192i</v>
      </c>
      <c r="AN374" s="31">
        <f t="shared" si="256"/>
        <v>300.62962438687197</v>
      </c>
      <c r="AO374" s="31">
        <f t="shared" si="257"/>
        <v>1.5674699685021909</v>
      </c>
      <c r="AS374" s="58" t="str">
        <f t="shared" si="258"/>
        <v>606.17250398104+182232.487161815i</v>
      </c>
      <c r="AT374" s="49">
        <f t="shared" si="259"/>
        <v>105.21256410504668</v>
      </c>
      <c r="AU374" s="61">
        <f t="shared" si="260"/>
        <v>89.809413795641476</v>
      </c>
      <c r="AV374" s="58" t="str">
        <f t="shared" si="261"/>
        <v>154138.222551875-44871.8638168765i</v>
      </c>
      <c r="AW374" s="64">
        <f t="shared" si="262"/>
        <v>104.11149400242562</v>
      </c>
      <c r="AX374" s="61">
        <f t="shared" si="263"/>
        <v>-16.231041226432509</v>
      </c>
      <c r="AY374" s="310"/>
      <c r="BA374" s="31">
        <f t="shared" si="264"/>
        <v>0</v>
      </c>
      <c r="BB374" s="31">
        <f t="shared" si="265"/>
        <v>0</v>
      </c>
    </row>
    <row r="375" spans="14:54" x14ac:dyDescent="0.45">
      <c r="N375" s="10">
        <v>57</v>
      </c>
      <c r="O375" s="50">
        <f t="shared" si="231"/>
        <v>37153.522909717351</v>
      </c>
      <c r="P375" s="48" t="str">
        <f t="shared" si="232"/>
        <v>17.4002386318441</v>
      </c>
      <c r="Q375" s="17" t="str">
        <f t="shared" si="233"/>
        <v>1+19.9925540421009i</v>
      </c>
      <c r="R375" s="17">
        <f t="shared" si="241"/>
        <v>20.01754773008734</v>
      </c>
      <c r="S375" s="17">
        <f t="shared" si="242"/>
        <v>1.5208193557010661</v>
      </c>
      <c r="T375" s="17" t="str">
        <f t="shared" si="234"/>
        <v>1+0.0700327407768889i</v>
      </c>
      <c r="U375" s="17">
        <f t="shared" si="243"/>
        <v>1.0024492928725737</v>
      </c>
      <c r="V375" s="17">
        <f t="shared" si="244"/>
        <v>6.9918582689679099E-2</v>
      </c>
      <c r="W375" s="31" t="str">
        <f t="shared" si="235"/>
        <v>1-0.17277918812983i</v>
      </c>
      <c r="X375" s="17">
        <f t="shared" si="245"/>
        <v>1.014816558719261</v>
      </c>
      <c r="Y375" s="17">
        <f t="shared" si="246"/>
        <v>-0.17109003642315393</v>
      </c>
      <c r="Z375" s="31" t="str">
        <f t="shared" si="236"/>
        <v>0.998747950780406+0.241642037043457i</v>
      </c>
      <c r="AA375" s="17">
        <f t="shared" si="247"/>
        <v>1.0275642769455211</v>
      </c>
      <c r="AB375" s="17">
        <f t="shared" si="248"/>
        <v>0.23738320291252493</v>
      </c>
      <c r="AC375" s="66" t="str">
        <f t="shared" si="249"/>
        <v>-0.244908253360653-0.824983375902286i</v>
      </c>
      <c r="AD375" s="64">
        <f t="shared" si="250"/>
        <v>-1.304294145118003</v>
      </c>
      <c r="AE375" s="61">
        <f t="shared" si="251"/>
        <v>-106.53428344379266</v>
      </c>
      <c r="AF375" s="31" t="str">
        <f t="shared" si="237"/>
        <v>-9090.90909090909</v>
      </c>
      <c r="AG375" s="31" t="str">
        <f t="shared" si="238"/>
        <v>2.27623467397318E-08i</v>
      </c>
      <c r="AH375" s="31">
        <f t="shared" si="252"/>
        <v>2.27623467397318E-8</v>
      </c>
      <c r="AI375" s="31">
        <f t="shared" si="253"/>
        <v>1.5707963267948966</v>
      </c>
      <c r="AJ375" s="31" t="str">
        <f t="shared" si="239"/>
        <v>1+674207918.787155i</v>
      </c>
      <c r="AK375" s="31">
        <f t="shared" si="254"/>
        <v>674207918.78715503</v>
      </c>
      <c r="AL375" s="31">
        <f t="shared" si="255"/>
        <v>1.5707963253116746</v>
      </c>
      <c r="AM375" s="31" t="str">
        <f t="shared" si="240"/>
        <v>1+307.630485985947i</v>
      </c>
      <c r="AN375" s="31">
        <f t="shared" si="256"/>
        <v>307.63211130821497</v>
      </c>
      <c r="AO375" s="31">
        <f t="shared" si="257"/>
        <v>1.5675456851214331</v>
      </c>
      <c r="AS375" s="58" t="str">
        <f t="shared" si="258"/>
        <v>592.374333210254+182232.487161773i</v>
      </c>
      <c r="AT375" s="49">
        <f t="shared" si="259"/>
        <v>105.21256194230358</v>
      </c>
      <c r="AU375" s="61">
        <f t="shared" si="260"/>
        <v>89.813752036383562</v>
      </c>
      <c r="AV375" s="58" t="str">
        <f t="shared" si="261"/>
        <v>150193.695094507-45118.9391135671i</v>
      </c>
      <c r="AW375" s="64">
        <f t="shared" si="262"/>
        <v>103.90826779718554</v>
      </c>
      <c r="AX375" s="61">
        <f t="shared" si="263"/>
        <v>-16.720531407409137</v>
      </c>
      <c r="AY375" s="310"/>
      <c r="BA375" s="31">
        <f t="shared" si="264"/>
        <v>0</v>
      </c>
      <c r="BB375" s="31">
        <f t="shared" si="265"/>
        <v>0</v>
      </c>
    </row>
    <row r="376" spans="14:54" x14ac:dyDescent="0.45">
      <c r="N376" s="10">
        <v>58</v>
      </c>
      <c r="O376" s="50">
        <f t="shared" si="231"/>
        <v>38018.939632056143</v>
      </c>
      <c r="P376" s="48" t="str">
        <f t="shared" si="232"/>
        <v>17.4002386318441</v>
      </c>
      <c r="Q376" s="17" t="str">
        <f t="shared" si="233"/>
        <v>1+20.4582404490761i</v>
      </c>
      <c r="R376" s="17">
        <f t="shared" si="241"/>
        <v>20.482665897587978</v>
      </c>
      <c r="S376" s="17">
        <f t="shared" si="242"/>
        <v>1.5219551411514141</v>
      </c>
      <c r="T376" s="17" t="str">
        <f t="shared" si="234"/>
        <v>1+0.071664012867205i</v>
      </c>
      <c r="U376" s="17">
        <f t="shared" si="243"/>
        <v>1.0025645768429239</v>
      </c>
      <c r="V376" s="17">
        <f t="shared" si="244"/>
        <v>7.1541707166118171E-2</v>
      </c>
      <c r="W376" s="31" t="str">
        <f t="shared" si="235"/>
        <v>1-0.176803732425213i</v>
      </c>
      <c r="X376" s="17">
        <f t="shared" si="245"/>
        <v>1.0155095074884757</v>
      </c>
      <c r="Y376" s="17">
        <f t="shared" si="246"/>
        <v>-0.17499526336582125</v>
      </c>
      <c r="Z376" s="31" t="str">
        <f t="shared" si="236"/>
        <v>0.998688943518598+0.247270603147016i</v>
      </c>
      <c r="AA376" s="17">
        <f t="shared" si="247"/>
        <v>1.028845157002249</v>
      </c>
      <c r="AB376" s="17">
        <f t="shared" si="248"/>
        <v>0.24271405804096638</v>
      </c>
      <c r="AC376" s="66" t="str">
        <f t="shared" si="249"/>
        <v>-0.246280929633197-0.803764641414553i</v>
      </c>
      <c r="AD376" s="64">
        <f t="shared" si="250"/>
        <v>-1.5076988949495151</v>
      </c>
      <c r="AE376" s="61">
        <f t="shared" si="251"/>
        <v>-107.03554949631663</v>
      </c>
      <c r="AF376" s="31" t="str">
        <f t="shared" si="237"/>
        <v>-9090.90909090909</v>
      </c>
      <c r="AG376" s="31" t="str">
        <f t="shared" si="238"/>
        <v>2.27623467397318E-08i</v>
      </c>
      <c r="AH376" s="31">
        <f t="shared" si="252"/>
        <v>2.27623467397318E-8</v>
      </c>
      <c r="AI376" s="31">
        <f t="shared" si="253"/>
        <v>1.5707963267948966</v>
      </c>
      <c r="AJ376" s="31" t="str">
        <f t="shared" si="239"/>
        <v>1+689912238.635087i</v>
      </c>
      <c r="AK376" s="31">
        <f t="shared" si="254"/>
        <v>689912238.63508701</v>
      </c>
      <c r="AL376" s="31">
        <f t="shared" si="255"/>
        <v>1.5707963253454369</v>
      </c>
      <c r="AM376" s="31" t="str">
        <f t="shared" si="240"/>
        <v>1+314.796120521342i</v>
      </c>
      <c r="AN376" s="31">
        <f t="shared" si="256"/>
        <v>314.7977088469471</v>
      </c>
      <c r="AO376" s="31">
        <f t="shared" si="257"/>
        <v>1.567619678256017</v>
      </c>
      <c r="AS376" s="58" t="str">
        <f t="shared" si="258"/>
        <v>578.890247151944+182232.487161734i</v>
      </c>
      <c r="AT376" s="49">
        <f t="shared" si="259"/>
        <v>105.21255987689898</v>
      </c>
      <c r="AU376" s="61">
        <f t="shared" si="260"/>
        <v>89.817991528773717</v>
      </c>
      <c r="AV376" s="58" t="str">
        <f t="shared" si="261"/>
        <v>146329.460069409-45345.6778594819i</v>
      </c>
      <c r="AW376" s="64">
        <f t="shared" si="262"/>
        <v>103.70486098194945</v>
      </c>
      <c r="AX376" s="61">
        <f t="shared" si="263"/>
        <v>-17.217557967542902</v>
      </c>
      <c r="AY376" s="310"/>
      <c r="BA376" s="31">
        <f t="shared" si="264"/>
        <v>0</v>
      </c>
      <c r="BB376" s="31">
        <f t="shared" si="265"/>
        <v>0</v>
      </c>
    </row>
    <row r="377" spans="14:54" x14ac:dyDescent="0.45">
      <c r="N377" s="10">
        <v>59</v>
      </c>
      <c r="O377" s="50">
        <f t="shared" si="231"/>
        <v>38904.514499428085</v>
      </c>
      <c r="P377" s="48" t="str">
        <f t="shared" si="232"/>
        <v>17.4002386318441</v>
      </c>
      <c r="Q377" s="17" t="str">
        <f t="shared" si="233"/>
        <v>1+20.9347740859343i</v>
      </c>
      <c r="R377" s="17">
        <f t="shared" si="241"/>
        <v>20.958644183942489</v>
      </c>
      <c r="S377" s="17">
        <f t="shared" si="242"/>
        <v>1.5230651948414209</v>
      </c>
      <c r="T377" s="17" t="str">
        <f t="shared" si="234"/>
        <v>1+0.0733332821657287i</v>
      </c>
      <c r="U377" s="17">
        <f t="shared" si="243"/>
        <v>1.0026852797728698</v>
      </c>
      <c r="V377" s="17">
        <f t="shared" si="244"/>
        <v>7.3202248193988365E-2</v>
      </c>
      <c r="W377" s="31" t="str">
        <f t="shared" si="235"/>
        <v>1-0.180922020399802i</v>
      </c>
      <c r="X377" s="17">
        <f t="shared" si="245"/>
        <v>1.0162346074925546</v>
      </c>
      <c r="Y377" s="17">
        <f t="shared" si="246"/>
        <v>-0.17898587891216639</v>
      </c>
      <c r="Z377" s="31" t="str">
        <f t="shared" si="236"/>
        <v>0.998627155330217+0.253030275397377i</v>
      </c>
      <c r="AA377" s="17">
        <f t="shared" si="247"/>
        <v>1.030184699765335</v>
      </c>
      <c r="AB377" s="17">
        <f t="shared" si="248"/>
        <v>0.24815553829889395</v>
      </c>
      <c r="AC377" s="66" t="str">
        <f t="shared" si="249"/>
        <v>-0.247539193686745-0.782976490161996i</v>
      </c>
      <c r="AD377" s="64">
        <f t="shared" si="250"/>
        <v>-1.7112891208106258</v>
      </c>
      <c r="AE377" s="61">
        <f t="shared" si="251"/>
        <v>-107.54442817672953</v>
      </c>
      <c r="AF377" s="31" t="str">
        <f t="shared" si="237"/>
        <v>-9090.90909090909</v>
      </c>
      <c r="AG377" s="31" t="str">
        <f t="shared" si="238"/>
        <v>2.27623467397318E-08i</v>
      </c>
      <c r="AH377" s="31">
        <f t="shared" si="252"/>
        <v>2.27623467397318E-8</v>
      </c>
      <c r="AI377" s="31">
        <f t="shared" si="253"/>
        <v>1.5707963267948966</v>
      </c>
      <c r="AJ377" s="31" t="str">
        <f t="shared" si="239"/>
        <v>1+705982359.084012i</v>
      </c>
      <c r="AK377" s="31">
        <f t="shared" si="254"/>
        <v>705982359.08401203</v>
      </c>
      <c r="AL377" s="31">
        <f t="shared" si="255"/>
        <v>1.5707963253784307</v>
      </c>
      <c r="AM377" s="31" t="str">
        <f t="shared" si="240"/>
        <v>1+322.128664126657i</v>
      </c>
      <c r="AN377" s="31">
        <f t="shared" si="256"/>
        <v>322.13021629773351</v>
      </c>
      <c r="AO377" s="31">
        <f t="shared" si="257"/>
        <v>1.5676919871348391</v>
      </c>
      <c r="AS377" s="58" t="str">
        <f t="shared" si="258"/>
        <v>565.713096365186+182232.487161695i</v>
      </c>
      <c r="AT377" s="49">
        <f t="shared" si="259"/>
        <v>105.21255790445193</v>
      </c>
      <c r="AU377" s="61">
        <f t="shared" si="260"/>
        <v>89.822134520461162</v>
      </c>
      <c r="AV377" s="58" t="str">
        <f t="shared" si="261"/>
        <v>142543.717027623-45552.6229901668i</v>
      </c>
      <c r="AW377" s="64">
        <f t="shared" si="262"/>
        <v>103.50126878364131</v>
      </c>
      <c r="AX377" s="61">
        <f t="shared" si="263"/>
        <v>-17.722293656268342</v>
      </c>
      <c r="AY377" s="310"/>
      <c r="BA377" s="31">
        <f t="shared" si="264"/>
        <v>0</v>
      </c>
      <c r="BB377" s="31">
        <f t="shared" si="265"/>
        <v>0</v>
      </c>
    </row>
    <row r="378" spans="14:54" x14ac:dyDescent="0.45">
      <c r="N378" s="10">
        <v>60</v>
      </c>
      <c r="O378" s="50">
        <f t="shared" si="231"/>
        <v>39810.717055349742</v>
      </c>
      <c r="P378" s="48" t="str">
        <f t="shared" si="232"/>
        <v>17.4002386318441</v>
      </c>
      <c r="Q378" s="17" t="str">
        <f t="shared" si="233"/>
        <v>1+21.4224076171172i</v>
      </c>
      <c r="R378" s="17">
        <f t="shared" si="241"/>
        <v>21.445734963249013</v>
      </c>
      <c r="S378" s="17">
        <f t="shared" si="242"/>
        <v>1.5241500943873907</v>
      </c>
      <c r="T378" s="17" t="str">
        <f t="shared" si="234"/>
        <v>1+0.0750414337411372i</v>
      </c>
      <c r="U378" s="17">
        <f t="shared" si="243"/>
        <v>1.002811655685117</v>
      </c>
      <c r="V378" s="17">
        <f t="shared" si="244"/>
        <v>7.4901049563423402E-2</v>
      </c>
      <c r="W378" s="31" t="str">
        <f t="shared" si="235"/>
        <v>1-0.185136235624393i</v>
      </c>
      <c r="X378" s="17">
        <f t="shared" si="245"/>
        <v>1.0169933263011959</v>
      </c>
      <c r="Y378" s="17">
        <f t="shared" si="246"/>
        <v>-0.18306349028299265</v>
      </c>
      <c r="Z378" s="31" t="str">
        <f t="shared" si="236"/>
        <v>0.99856245515423+0.258924107649004i</v>
      </c>
      <c r="AA378" s="17">
        <f t="shared" si="247"/>
        <v>1.0315855128710738</v>
      </c>
      <c r="AB378" s="17">
        <f t="shared" si="248"/>
        <v>0.25370932699275467</v>
      </c>
      <c r="AC378" s="66" t="str">
        <f t="shared" si="249"/>
        <v>-0.248686090316941-0.762609308217469i</v>
      </c>
      <c r="AD378" s="64">
        <f t="shared" si="250"/>
        <v>-1.9150697687767926</v>
      </c>
      <c r="AE378" s="61">
        <f t="shared" si="251"/>
        <v>-108.06109276771825</v>
      </c>
      <c r="AF378" s="31" t="str">
        <f t="shared" si="237"/>
        <v>-9090.90909090909</v>
      </c>
      <c r="AG378" s="31" t="str">
        <f t="shared" si="238"/>
        <v>2.27623467397318E-08i</v>
      </c>
      <c r="AH378" s="31">
        <f t="shared" si="252"/>
        <v>2.27623467397318E-8</v>
      </c>
      <c r="AI378" s="31">
        <f t="shared" si="253"/>
        <v>1.5707963267948966</v>
      </c>
      <c r="AJ378" s="31" t="str">
        <f t="shared" si="239"/>
        <v>1+722426800.724503i</v>
      </c>
      <c r="AK378" s="31">
        <f t="shared" si="254"/>
        <v>722426800.72450304</v>
      </c>
      <c r="AL378" s="31">
        <f t="shared" si="255"/>
        <v>1.5707963254106734</v>
      </c>
      <c r="AM378" s="31" t="str">
        <f t="shared" si="240"/>
        <v>1+329.632004613568i</v>
      </c>
      <c r="AN378" s="31">
        <f t="shared" si="256"/>
        <v>329.6335214530817</v>
      </c>
      <c r="AO378" s="31">
        <f t="shared" si="257"/>
        <v>1.5677626500939981</v>
      </c>
      <c r="AS378" s="58" t="str">
        <f t="shared" si="258"/>
        <v>552.835894150221+182232.487161659i</v>
      </c>
      <c r="AT378" s="49">
        <f t="shared" si="259"/>
        <v>105.21255602077881</v>
      </c>
      <c r="AU378" s="61">
        <f t="shared" si="260"/>
        <v>89.826183207941497</v>
      </c>
      <c r="AV378" s="58" t="str">
        <f t="shared" si="261"/>
        <v>138834.708371998-45740.2825597608i</v>
      </c>
      <c r="AW378" s="64">
        <f t="shared" si="262"/>
        <v>103.29748625200199</v>
      </c>
      <c r="AX378" s="61">
        <f t="shared" si="263"/>
        <v>-18.23490955977681</v>
      </c>
      <c r="AY378" s="310"/>
      <c r="BA378" s="31">
        <f t="shared" si="264"/>
        <v>0</v>
      </c>
      <c r="BB378" s="31">
        <f t="shared" si="265"/>
        <v>0</v>
      </c>
    </row>
    <row r="379" spans="14:54" x14ac:dyDescent="0.45">
      <c r="N379" s="10">
        <v>61</v>
      </c>
      <c r="O379" s="50">
        <f t="shared" si="231"/>
        <v>40738.027780411358</v>
      </c>
      <c r="P379" s="48" t="str">
        <f t="shared" si="232"/>
        <v>17.4002386318441</v>
      </c>
      <c r="Q379" s="17" t="str">
        <f t="shared" si="233"/>
        <v>1+21.9213995923779i</v>
      </c>
      <c r="R379" s="17">
        <f t="shared" si="241"/>
        <v>21.94419650132367</v>
      </c>
      <c r="S379" s="17">
        <f t="shared" si="242"/>
        <v>1.5252104047961401</v>
      </c>
      <c r="T379" s="17" t="str">
        <f t="shared" si="234"/>
        <v>1+0.0767893732780063i</v>
      </c>
      <c r="U379" s="17">
        <f t="shared" si="243"/>
        <v>1.0029439704432292</v>
      </c>
      <c r="V379" s="17">
        <f t="shared" si="244"/>
        <v>7.6638972758508464E-2</v>
      </c>
      <c r="W379" s="31" t="str">
        <f t="shared" si="235"/>
        <v>1-0.18944861253168i</v>
      </c>
      <c r="X379" s="17">
        <f t="shared" si="245"/>
        <v>1.0177871962203979</v>
      </c>
      <c r="Y379" s="17">
        <f t="shared" si="246"/>
        <v>-0.18722971683058581</v>
      </c>
      <c r="Z379" s="31" t="str">
        <f t="shared" si="236"/>
        <v>0.998494705752891+0.264955224889774i</v>
      </c>
      <c r="AA379" s="17">
        <f t="shared" si="247"/>
        <v>1.0330503127209938</v>
      </c>
      <c r="AB379" s="17">
        <f t="shared" si="248"/>
        <v>0.25937709125859132</v>
      </c>
      <c r="AC379" s="66" t="str">
        <f t="shared" si="249"/>
        <v>-0.249724469667759-0.742653713784356i</v>
      </c>
      <c r="AD379" s="64">
        <f t="shared" si="250"/>
        <v>-2.1190459550723291</v>
      </c>
      <c r="AE379" s="61">
        <f t="shared" si="251"/>
        <v>-108.58571458429701</v>
      </c>
      <c r="AF379" s="31" t="str">
        <f t="shared" si="237"/>
        <v>-9090.90909090909</v>
      </c>
      <c r="AG379" s="31" t="str">
        <f t="shared" si="238"/>
        <v>2.27623467397318E-08i</v>
      </c>
      <c r="AH379" s="31">
        <f t="shared" si="252"/>
        <v>2.27623467397318E-8</v>
      </c>
      <c r="AI379" s="31">
        <f t="shared" si="253"/>
        <v>1.5707963267948966</v>
      </c>
      <c r="AJ379" s="31" t="str">
        <f t="shared" si="239"/>
        <v>1+739254282.61719i</v>
      </c>
      <c r="AK379" s="31">
        <f t="shared" si="254"/>
        <v>739254282.61719</v>
      </c>
      <c r="AL379" s="31">
        <f t="shared" si="255"/>
        <v>1.5707963254421822</v>
      </c>
      <c r="AM379" s="31" t="str">
        <f t="shared" si="240"/>
        <v>1+337.310120352522i</v>
      </c>
      <c r="AN379" s="31">
        <f t="shared" si="256"/>
        <v>337.31160266470658</v>
      </c>
      <c r="AO379" s="31">
        <f t="shared" si="257"/>
        <v>1.5678317045971055</v>
      </c>
      <c r="AS379" s="58" t="str">
        <f t="shared" si="258"/>
        <v>540.251812843982+182232.487161625i</v>
      </c>
      <c r="AT379" s="49">
        <f t="shared" si="259"/>
        <v>105.2125542218842</v>
      </c>
      <c r="AU379" s="61">
        <f t="shared" si="260"/>
        <v>89.8301397377206</v>
      </c>
      <c r="AV379" s="58" t="str">
        <f t="shared" si="261"/>
        <v>135200.719265291-45909.1312278608i</v>
      </c>
      <c r="AW379" s="64">
        <f t="shared" si="262"/>
        <v>103.09350826681188</v>
      </c>
      <c r="AX379" s="61">
        <f t="shared" si="263"/>
        <v>-18.755574846576437</v>
      </c>
      <c r="AY379" s="310"/>
      <c r="BA379" s="31">
        <f t="shared" si="264"/>
        <v>0</v>
      </c>
      <c r="BB379" s="31">
        <f t="shared" si="265"/>
        <v>0</v>
      </c>
    </row>
    <row r="380" spans="14:54" x14ac:dyDescent="0.45">
      <c r="N380" s="10">
        <v>62</v>
      </c>
      <c r="O380" s="50">
        <f t="shared" si="231"/>
        <v>41686.938347033625</v>
      </c>
      <c r="P380" s="48" t="str">
        <f t="shared" si="232"/>
        <v>17.4002386318441</v>
      </c>
      <c r="Q380" s="17" t="str">
        <f t="shared" si="233"/>
        <v>1+22.4320145838665i</v>
      </c>
      <c r="R380" s="17">
        <f t="shared" si="241"/>
        <v>22.454293092653781</v>
      </c>
      <c r="S380" s="17">
        <f t="shared" si="242"/>
        <v>1.5262466787163564</v>
      </c>
      <c r="T380" s="17" t="str">
        <f t="shared" si="234"/>
        <v>1+0.078578027557015i</v>
      </c>
      <c r="U380" s="17">
        <f t="shared" si="243"/>
        <v>1.0030825022971694</v>
      </c>
      <c r="V380" s="17">
        <f t="shared" si="244"/>
        <v>7.841689723216852E-2</v>
      </c>
      <c r="W380" s="31" t="str">
        <f t="shared" si="235"/>
        <v>1-0.19386143760098i</v>
      </c>
      <c r="X380" s="17">
        <f t="shared" si="245"/>
        <v>1.0186178169405435</v>
      </c>
      <c r="Y380" s="17">
        <f t="shared" si="246"/>
        <v>-0.1914861887409568</v>
      </c>
      <c r="Z380" s="31" t="str">
        <f t="shared" si="236"/>
        <v>0.998423763420635+0.271126824897877i</v>
      </c>
      <c r="AA380" s="17">
        <f t="shared" si="247"/>
        <v>1.0345819283856781</v>
      </c>
      <c r="AB380" s="17">
        <f t="shared" si="248"/>
        <v>0.26516047865545639</v>
      </c>
      <c r="AC380" s="66" t="str">
        <f t="shared" si="249"/>
        <v>-0.250656995719112-0.723100556868581i</v>
      </c>
      <c r="AD380" s="64">
        <f t="shared" si="250"/>
        <v>-2.3232229578719132</v>
      </c>
      <c r="AE380" s="61">
        <f t="shared" si="251"/>
        <v>-109.11846270292095</v>
      </c>
      <c r="AF380" s="31" t="str">
        <f t="shared" si="237"/>
        <v>-9090.90909090909</v>
      </c>
      <c r="AG380" s="31" t="str">
        <f t="shared" si="238"/>
        <v>2.27623467397318E-08i</v>
      </c>
      <c r="AH380" s="31">
        <f t="shared" si="252"/>
        <v>2.27623467397318E-8</v>
      </c>
      <c r="AI380" s="31">
        <f t="shared" si="253"/>
        <v>1.5707963267948966</v>
      </c>
      <c r="AJ380" s="31" t="str">
        <f t="shared" si="239"/>
        <v>1+756473726.915708i</v>
      </c>
      <c r="AK380" s="31">
        <f t="shared" si="254"/>
        <v>756473726.91570795</v>
      </c>
      <c r="AL380" s="31">
        <f t="shared" si="255"/>
        <v>1.5707963254729735</v>
      </c>
      <c r="AM380" s="31" t="str">
        <f t="shared" si="240"/>
        <v>1+345.167082382114i</v>
      </c>
      <c r="AN380" s="31">
        <f t="shared" si="256"/>
        <v>345.16853095289713</v>
      </c>
      <c r="AO380" s="31">
        <f t="shared" si="257"/>
        <v>1.5678991872551373</v>
      </c>
      <c r="AS380" s="58" t="str">
        <f t="shared" si="258"/>
        <v>527.954180199993+182232.487161593i</v>
      </c>
      <c r="AT380" s="49">
        <f t="shared" si="259"/>
        <v>105.21255250395255</v>
      </c>
      <c r="AU380" s="61">
        <f t="shared" si="260"/>
        <v>89.834006207451935</v>
      </c>
      <c r="AV380" s="58" t="str">
        <f t="shared" si="261"/>
        <v>131640.077537408-46059.6117160503i</v>
      </c>
      <c r="AW380" s="64">
        <f t="shared" si="262"/>
        <v>102.88932954608063</v>
      </c>
      <c r="AX380" s="61">
        <f t="shared" si="263"/>
        <v>-19.284456495469062</v>
      </c>
      <c r="AY380" s="310"/>
      <c r="BA380" s="31">
        <f t="shared" si="264"/>
        <v>0</v>
      </c>
      <c r="BB380" s="31">
        <f t="shared" si="265"/>
        <v>0</v>
      </c>
    </row>
    <row r="381" spans="14:54" x14ac:dyDescent="0.45">
      <c r="N381" s="10">
        <v>63</v>
      </c>
      <c r="O381" s="50">
        <f t="shared" si="231"/>
        <v>42657.951880159271</v>
      </c>
      <c r="P381" s="48" t="str">
        <f t="shared" si="232"/>
        <v>17.4002386318441</v>
      </c>
      <c r="Q381" s="17" t="str">
        <f t="shared" si="233"/>
        <v>1+22.9545233264103i</v>
      </c>
      <c r="R381" s="17">
        <f t="shared" si="241"/>
        <v>22.976295200547771</v>
      </c>
      <c r="S381" s="17">
        <f t="shared" si="242"/>
        <v>1.5272594566865871</v>
      </c>
      <c r="T381" s="17" t="str">
        <f t="shared" si="234"/>
        <v>1+0.0804083449463374i</v>
      </c>
      <c r="U381" s="17">
        <f t="shared" si="243"/>
        <v>1.0032275424533605</v>
      </c>
      <c r="V381" s="17">
        <f t="shared" si="244"/>
        <v>8.0235720678000638E-2</v>
      </c>
      <c r="W381" s="31" t="str">
        <f t="shared" si="235"/>
        <v>1-0.198377050570556i</v>
      </c>
      <c r="X381" s="17">
        <f t="shared" si="245"/>
        <v>1.0194868582738441</v>
      </c>
      <c r="Y381" s="17">
        <f t="shared" si="246"/>
        <v>-0.1958345456185096</v>
      </c>
      <c r="Z381" s="31" t="str">
        <f t="shared" si="236"/>
        <v>0.998349477679265+0.277442179937329i</v>
      </c>
      <c r="AA381" s="17">
        <f t="shared" si="247"/>
        <v>1.0361833055935801</v>
      </c>
      <c r="AB381" s="17">
        <f t="shared" si="248"/>
        <v>0.27106111355912643</v>
      </c>
      <c r="AC381" s="66" t="str">
        <f t="shared" si="249"/>
        <v>-0.251486154609706-0.703940918937059i</v>
      </c>
      <c r="AD381" s="64">
        <f t="shared" si="250"/>
        <v>-2.5276062080424455</v>
      </c>
      <c r="AE381" s="61">
        <f t="shared" si="251"/>
        <v>-109.65950367240166</v>
      </c>
      <c r="AF381" s="31" t="str">
        <f t="shared" si="237"/>
        <v>-9090.90909090909</v>
      </c>
      <c r="AG381" s="31" t="str">
        <f t="shared" si="238"/>
        <v>2.27623467397318E-08i</v>
      </c>
      <c r="AH381" s="31">
        <f t="shared" si="252"/>
        <v>2.27623467397318E-8</v>
      </c>
      <c r="AI381" s="31">
        <f t="shared" si="253"/>
        <v>1.5707963267948966</v>
      </c>
      <c r="AJ381" s="31" t="str">
        <f t="shared" si="239"/>
        <v>1+774094263.597348i</v>
      </c>
      <c r="AK381" s="31">
        <f t="shared" si="254"/>
        <v>774094263.59734797</v>
      </c>
      <c r="AL381" s="31">
        <f t="shared" si="255"/>
        <v>1.5707963255030644</v>
      </c>
      <c r="AM381" s="31" t="str">
        <f t="shared" si="240"/>
        <v>1+353.207056567611i</v>
      </c>
      <c r="AN381" s="31">
        <f t="shared" si="256"/>
        <v>353.20847216503114</v>
      </c>
      <c r="AO381" s="31">
        <f t="shared" si="257"/>
        <v>1.567965133845832</v>
      </c>
      <c r="AS381" s="58" t="str">
        <f t="shared" si="258"/>
        <v>515.936475850643+182232.487161561i</v>
      </c>
      <c r="AT381" s="49">
        <f t="shared" si="259"/>
        <v>105.21255086333983</v>
      </c>
      <c r="AU381" s="61">
        <f t="shared" si="260"/>
        <v>89.837784667047956</v>
      </c>
      <c r="AV381" s="58" t="str">
        <f t="shared" si="261"/>
        <v>128151.153592361-46192.1362381471i</v>
      </c>
      <c r="AW381" s="64">
        <f t="shared" si="262"/>
        <v>102.68494465529741</v>
      </c>
      <c r="AX381" s="61">
        <f t="shared" si="263"/>
        <v>-19.821719005353664</v>
      </c>
      <c r="AY381" s="310"/>
      <c r="BA381" s="31">
        <f t="shared" si="264"/>
        <v>0</v>
      </c>
      <c r="BB381" s="31">
        <f t="shared" si="265"/>
        <v>0</v>
      </c>
    </row>
    <row r="382" spans="14:54" x14ac:dyDescent="0.45">
      <c r="N382" s="10">
        <v>64</v>
      </c>
      <c r="O382" s="50">
        <f t="shared" si="231"/>
        <v>43651.583224016598</v>
      </c>
      <c r="P382" s="48" t="str">
        <f t="shared" si="232"/>
        <v>17.4002386318441</v>
      </c>
      <c r="Q382" s="17" t="str">
        <f t="shared" si="233"/>
        <v>1+23.4892028610607i</v>
      </c>
      <c r="R382" s="17">
        <f t="shared" si="241"/>
        <v>23.510479600553921</v>
      </c>
      <c r="S382" s="17">
        <f t="shared" si="242"/>
        <v>1.528249267379779</v>
      </c>
      <c r="T382" s="17" t="str">
        <f t="shared" si="234"/>
        <v>1+0.0822812959044805i</v>
      </c>
      <c r="U382" s="17">
        <f t="shared" si="243"/>
        <v>1.0033793956703121</v>
      </c>
      <c r="V382" s="17">
        <f t="shared" si="244"/>
        <v>8.2096359298342803E-2</v>
      </c>
      <c r="W382" s="31" t="str">
        <f t="shared" si="235"/>
        <v>1-0.202997845678174i</v>
      </c>
      <c r="X382" s="17">
        <f t="shared" si="245"/>
        <v>1.0203960629823989</v>
      </c>
      <c r="Y382" s="17">
        <f t="shared" si="246"/>
        <v>-0.20027643494689631</v>
      </c>
      <c r="Z382" s="31" t="str">
        <f t="shared" si="236"/>
        <v>0.998271690958763+0.283904638492964i</v>
      </c>
      <c r="AA382" s="17">
        <f t="shared" si="247"/>
        <v>1.0378575108016943</v>
      </c>
      <c r="AB382" s="17">
        <f t="shared" si="248"/>
        <v>0.27708059335194785</v>
      </c>
      <c r="AC382" s="66" t="str">
        <f t="shared" si="249"/>
        <v>-0.252214262818213-0.685166112565084i</v>
      </c>
      <c r="AD382" s="64">
        <f t="shared" si="250"/>
        <v>-2.7322012787241095</v>
      </c>
      <c r="AE382" s="61">
        <f t="shared" si="251"/>
        <v>-110.20900120606755</v>
      </c>
      <c r="AF382" s="31" t="str">
        <f t="shared" si="237"/>
        <v>-9090.90909090909</v>
      </c>
      <c r="AG382" s="31" t="str">
        <f t="shared" si="238"/>
        <v>2.27623467397318E-08i</v>
      </c>
      <c r="AH382" s="31">
        <f t="shared" si="252"/>
        <v>2.27623467397318E-8</v>
      </c>
      <c r="AI382" s="31">
        <f t="shared" si="253"/>
        <v>1.5707963267948966</v>
      </c>
      <c r="AJ382" s="31" t="str">
        <f t="shared" si="239"/>
        <v>1+792125235.303896i</v>
      </c>
      <c r="AK382" s="31">
        <f t="shared" si="254"/>
        <v>792125235.30389595</v>
      </c>
      <c r="AL382" s="31">
        <f t="shared" si="255"/>
        <v>1.57079632553247</v>
      </c>
      <c r="AM382" s="31" t="str">
        <f t="shared" si="240"/>
        <v>1+361.434305809747i</v>
      </c>
      <c r="AN382" s="31">
        <f t="shared" si="256"/>
        <v>361.43568918436057</v>
      </c>
      <c r="AO382" s="31">
        <f t="shared" si="257"/>
        <v>1.5680295793326495</v>
      </c>
      <c r="AS382" s="58" t="str">
        <f t="shared" si="258"/>
        <v>504.192327850019+182232.487161531i</v>
      </c>
      <c r="AT382" s="49">
        <f t="shared" si="259"/>
        <v>105.21254929656629</v>
      </c>
      <c r="AU382" s="61">
        <f t="shared" si="260"/>
        <v>89.841477119766424</v>
      </c>
      <c r="AV382" s="58" t="str">
        <f t="shared" si="261"/>
        <v>124732.360315245-46307.0879082331i</v>
      </c>
      <c r="AW382" s="64">
        <f t="shared" si="262"/>
        <v>102.48034801784216</v>
      </c>
      <c r="AX382" s="61">
        <f t="shared" si="263"/>
        <v>-20.367524086301177</v>
      </c>
      <c r="AY382" s="310"/>
      <c r="BA382" s="31">
        <f t="shared" si="264"/>
        <v>0</v>
      </c>
      <c r="BB382" s="31">
        <f t="shared" si="265"/>
        <v>0</v>
      </c>
    </row>
    <row r="383" spans="14:54" x14ac:dyDescent="0.45">
      <c r="N383" s="10">
        <v>65</v>
      </c>
      <c r="O383" s="50">
        <f t="shared" si="231"/>
        <v>44668.359215096389</v>
      </c>
      <c r="P383" s="48" t="str">
        <f t="shared" si="232"/>
        <v>17.4002386318441</v>
      </c>
      <c r="Q383" s="17" t="str">
        <f t="shared" si="233"/>
        <v>1+24.0363366819846i</v>
      </c>
      <c r="R383" s="17">
        <f t="shared" si="241"/>
        <v>24.057129527225779</v>
      </c>
      <c r="S383" s="17">
        <f t="shared" si="242"/>
        <v>1.5292166278443049</v>
      </c>
      <c r="T383" s="17" t="str">
        <f t="shared" si="234"/>
        <v>1+0.0841978734948343i</v>
      </c>
      <c r="U383" s="17">
        <f t="shared" si="243"/>
        <v>1.0035383808808969</v>
      </c>
      <c r="V383" s="17">
        <f t="shared" si="244"/>
        <v>8.3999748067817043E-2</v>
      </c>
      <c r="W383" s="31" t="str">
        <f t="shared" si="235"/>
        <v>1-0.207726272930566i</v>
      </c>
      <c r="X383" s="17">
        <f t="shared" si="245"/>
        <v>1.0213472496979781</v>
      </c>
      <c r="Y383" s="17">
        <f t="shared" si="246"/>
        <v>-0.20481351041972162</v>
      </c>
      <c r="Z383" s="31" t="str">
        <f t="shared" si="236"/>
        <v>0.998190238263067+0.290517627045852i</v>
      </c>
      <c r="AA383" s="17">
        <f t="shared" si="247"/>
        <v>1.0396077353444573</v>
      </c>
      <c r="AB383" s="17">
        <f t="shared" si="248"/>
        <v>0.28322048440536568</v>
      </c>
      <c r="AC383" s="66" t="str">
        <f t="shared" si="249"/>
        <v>-0.252843475225454-0.666767681072943i</v>
      </c>
      <c r="AD383" s="64">
        <f t="shared" si="250"/>
        <v>-2.9370138736495441</v>
      </c>
      <c r="AE383" s="61">
        <f t="shared" si="251"/>
        <v>-110.76711585464538</v>
      </c>
      <c r="AF383" s="31" t="str">
        <f t="shared" si="237"/>
        <v>-9090.90909090909</v>
      </c>
      <c r="AG383" s="31" t="str">
        <f t="shared" si="238"/>
        <v>2.27623467397318E-08i</v>
      </c>
      <c r="AH383" s="31">
        <f t="shared" si="252"/>
        <v>2.27623467397318E-8</v>
      </c>
      <c r="AI383" s="31">
        <f t="shared" si="253"/>
        <v>1.5707963267948966</v>
      </c>
      <c r="AJ383" s="31" t="str">
        <f t="shared" si="239"/>
        <v>1+810576202.295223i</v>
      </c>
      <c r="AK383" s="31">
        <f t="shared" si="254"/>
        <v>810576202.295223</v>
      </c>
      <c r="AL383" s="31">
        <f t="shared" si="255"/>
        <v>1.5707963255612063</v>
      </c>
      <c r="AM383" s="31" t="str">
        <f t="shared" si="240"/>
        <v>1+369.853192304975i</v>
      </c>
      <c r="AN383" s="31">
        <f t="shared" si="256"/>
        <v>369.85454419025433</v>
      </c>
      <c r="AO383" s="31">
        <f t="shared" si="257"/>
        <v>1.5680925578832972</v>
      </c>
      <c r="AS383" s="58" t="str">
        <f t="shared" si="258"/>
        <v>492.71550929539+182232.487161502i</v>
      </c>
      <c r="AT383" s="49">
        <f t="shared" si="259"/>
        <v>105.21254780030866</v>
      </c>
      <c r="AU383" s="61">
        <f t="shared" si="260"/>
        <v>89.845085523271919</v>
      </c>
      <c r="AV383" s="58" t="str">
        <f t="shared" si="261"/>
        <v>121382.152979162-46404.8221304537i</v>
      </c>
      <c r="AW383" s="64">
        <f t="shared" si="262"/>
        <v>102.27553392665912</v>
      </c>
      <c r="AX383" s="61">
        <f t="shared" si="263"/>
        <v>-20.92203033137347</v>
      </c>
      <c r="AY383" s="310"/>
      <c r="BA383" s="31">
        <f t="shared" si="264"/>
        <v>0</v>
      </c>
      <c r="BB383" s="31">
        <f t="shared" si="265"/>
        <v>0</v>
      </c>
    </row>
    <row r="384" spans="14:54" x14ac:dyDescent="0.45">
      <c r="N384" s="10">
        <v>66</v>
      </c>
      <c r="O384" s="50">
        <f t="shared" ref="O384:O418" si="266">10^(4+(N384/100))</f>
        <v>45708.818961487581</v>
      </c>
      <c r="P384" s="48" t="str">
        <f t="shared" si="232"/>
        <v>17.4002386318441</v>
      </c>
      <c r="Q384" s="17" t="str">
        <f t="shared" si="233"/>
        <v>1+24.5962148867756i</v>
      </c>
      <c r="R384" s="17">
        <f t="shared" si="241"/>
        <v>24.616534824309483</v>
      </c>
      <c r="S384" s="17">
        <f t="shared" si="242"/>
        <v>1.5301620437414194</v>
      </c>
      <c r="T384" s="17" t="str">
        <f t="shared" si="234"/>
        <v>1+0.0861590939122051i</v>
      </c>
      <c r="U384" s="17">
        <f t="shared" si="243"/>
        <v>1.0037048318423958</v>
      </c>
      <c r="V384" s="17">
        <f t="shared" si="244"/>
        <v>8.5946840991522416E-2</v>
      </c>
      <c r="W384" s="31" t="str">
        <f t="shared" si="235"/>
        <v>1-0.212564839402447i</v>
      </c>
      <c r="X384" s="17">
        <f t="shared" si="245"/>
        <v>1.0223423159344369</v>
      </c>
      <c r="Y384" s="17">
        <f t="shared" si="246"/>
        <v>-0.20944743013462741</v>
      </c>
      <c r="Z384" s="31" t="str">
        <f t="shared" si="236"/>
        <v>0.998104946820087+0.297284651890053i</v>
      </c>
      <c r="AA384" s="17">
        <f t="shared" si="247"/>
        <v>1.0414372996566423</v>
      </c>
      <c r="AB384" s="17">
        <f t="shared" si="248"/>
        <v>0.28948231785241557</v>
      </c>
      <c r="AC384" s="66" t="str">
        <f t="shared" si="249"/>
        <v>-0.253375793080098-0.648737398150539i</v>
      </c>
      <c r="AD384" s="64">
        <f t="shared" si="250"/>
        <v>-3.1420498140914437</v>
      </c>
      <c r="AE384" s="61">
        <f t="shared" si="251"/>
        <v>-111.33400465938296</v>
      </c>
      <c r="AF384" s="31" t="str">
        <f t="shared" si="237"/>
        <v>-9090.90909090909</v>
      </c>
      <c r="AG384" s="31" t="str">
        <f t="shared" si="238"/>
        <v>2.27623467397318E-08i</v>
      </c>
      <c r="AH384" s="31">
        <f t="shared" si="252"/>
        <v>2.27623467397318E-8</v>
      </c>
      <c r="AI384" s="31">
        <f t="shared" si="253"/>
        <v>1.5707963267948966</v>
      </c>
      <c r="AJ384" s="31" t="str">
        <f t="shared" si="239"/>
        <v>1+829456947.518246i</v>
      </c>
      <c r="AK384" s="31">
        <f t="shared" si="254"/>
        <v>829456947.51824605</v>
      </c>
      <c r="AL384" s="31">
        <f t="shared" si="255"/>
        <v>1.5707963255892885</v>
      </c>
      <c r="AM384" s="31" t="str">
        <f t="shared" si="240"/>
        <v>1+378.468179858346i</v>
      </c>
      <c r="AN384" s="31">
        <f t="shared" si="256"/>
        <v>378.46950097106816</v>
      </c>
      <c r="AO384" s="31">
        <f t="shared" si="257"/>
        <v>1.5681541028878367</v>
      </c>
      <c r="AS384" s="58" t="str">
        <f t="shared" si="258"/>
        <v>481.499935025657+182232.487161475i</v>
      </c>
      <c r="AT384" s="49">
        <f t="shared" si="259"/>
        <v>105.21254637139324</v>
      </c>
      <c r="AU384" s="61">
        <f t="shared" si="260"/>
        <v>89.848611790673161</v>
      </c>
      <c r="AV384" s="58" t="str">
        <f t="shared" si="261"/>
        <v>118099.029151732-46485.6679745557i</v>
      </c>
      <c r="AW384" s="64">
        <f t="shared" si="262"/>
        <v>102.07049655730182</v>
      </c>
      <c r="AX384" s="61">
        <f t="shared" si="263"/>
        <v>-21.485392868709752</v>
      </c>
      <c r="AY384" s="310"/>
      <c r="BA384" s="31">
        <f t="shared" si="264"/>
        <v>0</v>
      </c>
      <c r="BB384" s="31">
        <f t="shared" si="265"/>
        <v>0</v>
      </c>
    </row>
    <row r="385" spans="14:54" x14ac:dyDescent="0.45">
      <c r="N385" s="10">
        <v>67</v>
      </c>
      <c r="O385" s="50">
        <f t="shared" si="266"/>
        <v>46773.514128719893</v>
      </c>
      <c r="P385" s="48" t="str">
        <f t="shared" si="232"/>
        <v>17.4002386318441</v>
      </c>
      <c r="Q385" s="17" t="str">
        <f t="shared" si="233"/>
        <v>1+25.1691343302691i</v>
      </c>
      <c r="R385" s="17">
        <f t="shared" si="241"/>
        <v>25.188992098437179</v>
      </c>
      <c r="S385" s="17">
        <f t="shared" si="242"/>
        <v>1.5310860095791057</v>
      </c>
      <c r="T385" s="17" t="str">
        <f t="shared" si="234"/>
        <v>1+0.0881659970216191i</v>
      </c>
      <c r="U385" s="17">
        <f t="shared" si="243"/>
        <v>1.003879097815477</v>
      </c>
      <c r="V385" s="17">
        <f t="shared" si="244"/>
        <v>8.7938611356999166E-2</v>
      </c>
      <c r="W385" s="31" t="str">
        <f t="shared" si="235"/>
        <v>1-0.217516110565808i</v>
      </c>
      <c r="X385" s="17">
        <f t="shared" si="245"/>
        <v>1.023383241193482</v>
      </c>
      <c r="Y385" s="17">
        <f t="shared" si="246"/>
        <v>-0.21417985464427516</v>
      </c>
      <c r="Z385" s="31" t="str">
        <f t="shared" si="236"/>
        <v>0.998015635715238+0.304209300991716i</v>
      </c>
      <c r="AA385" s="17">
        <f t="shared" si="247"/>
        <v>1.0433496575654584</v>
      </c>
      <c r="AB385" s="17">
        <f t="shared" si="248"/>
        <v>0.29586758514841621</v>
      </c>
      <c r="AC385" s="66" t="str">
        <f t="shared" si="249"/>
        <v>-0.253813071889795-0.631067267466328i</v>
      </c>
      <c r="AD385" s="64">
        <f t="shared" si="250"/>
        <v>-3.3473150243319227</v>
      </c>
      <c r="AE385" s="61">
        <f t="shared" si="251"/>
        <v>-111.90982078498641</v>
      </c>
      <c r="AF385" s="31" t="str">
        <f t="shared" si="237"/>
        <v>-9090.90909090909</v>
      </c>
      <c r="AG385" s="31" t="str">
        <f t="shared" si="238"/>
        <v>2.27623467397318E-08i</v>
      </c>
      <c r="AH385" s="31">
        <f t="shared" si="252"/>
        <v>2.27623467397318E-8</v>
      </c>
      <c r="AI385" s="31">
        <f t="shared" si="253"/>
        <v>1.5707963267948966</v>
      </c>
      <c r="AJ385" s="31" t="str">
        <f t="shared" si="239"/>
        <v>1+848777481.794008i</v>
      </c>
      <c r="AK385" s="31">
        <f t="shared" si="254"/>
        <v>848777481.79400802</v>
      </c>
      <c r="AL385" s="31">
        <f t="shared" si="255"/>
        <v>1.5707963256167314</v>
      </c>
      <c r="AM385" s="31" t="str">
        <f t="shared" si="240"/>
        <v>1+387.283836250298i</v>
      </c>
      <c r="AN385" s="31">
        <f t="shared" si="256"/>
        <v>387.28512729092461</v>
      </c>
      <c r="AO385" s="31">
        <f t="shared" si="257"/>
        <v>1.5682142469763782</v>
      </c>
      <c r="AS385" s="58" t="str">
        <f t="shared" si="258"/>
        <v>470.539658394875+182232.487161448i</v>
      </c>
      <c r="AT385" s="49">
        <f t="shared" si="259"/>
        <v>105.21254500678913</v>
      </c>
      <c r="AU385" s="61">
        <f t="shared" si="260"/>
        <v>89.852057791536879</v>
      </c>
      <c r="AV385" s="58" t="str">
        <f t="shared" si="261"/>
        <v>114881.528600425-46549.9295410225i</v>
      </c>
      <c r="AW385" s="64">
        <f t="shared" si="262"/>
        <v>101.86522998245722</v>
      </c>
      <c r="AX385" s="61">
        <f t="shared" si="263"/>
        <v>-22.057762993449426</v>
      </c>
      <c r="AY385" s="310"/>
      <c r="BA385" s="31">
        <f t="shared" si="264"/>
        <v>0</v>
      </c>
      <c r="BB385" s="31">
        <f t="shared" si="265"/>
        <v>0</v>
      </c>
    </row>
    <row r="386" spans="14:54" x14ac:dyDescent="0.45">
      <c r="N386" s="10">
        <v>68</v>
      </c>
      <c r="O386" s="50">
        <f t="shared" si="266"/>
        <v>47863.009232263823</v>
      </c>
      <c r="P386" s="48" t="str">
        <f t="shared" si="232"/>
        <v>17.4002386318441</v>
      </c>
      <c r="Q386" s="17" t="str">
        <f t="shared" si="233"/>
        <v>1+25.7553987819372i</v>
      </c>
      <c r="R386" s="17">
        <f t="shared" si="241"/>
        <v>25.77480487640231</v>
      </c>
      <c r="S386" s="17">
        <f t="shared" si="242"/>
        <v>1.5319890089422694</v>
      </c>
      <c r="T386" s="17" t="str">
        <f t="shared" si="234"/>
        <v>1+0.0902196469096684i</v>
      </c>
      <c r="U386" s="17">
        <f t="shared" si="243"/>
        <v>1.0040615442733105</v>
      </c>
      <c r="V386" s="17">
        <f t="shared" si="244"/>
        <v>8.997605197899558E-2</v>
      </c>
      <c r="W386" s="31" t="str">
        <f t="shared" si="235"/>
        <v>1-0.222582711650157i</v>
      </c>
      <c r="X386" s="17">
        <f t="shared" si="245"/>
        <v>1.0244720901642645</v>
      </c>
      <c r="Y386" s="17">
        <f t="shared" si="246"/>
        <v>-0.21901244485764482</v>
      </c>
      <c r="Z386" s="31" t="str">
        <f t="shared" si="236"/>
        <v>0.997922115507694+0.311295245891448i</v>
      </c>
      <c r="AA386" s="17">
        <f t="shared" si="247"/>
        <v>1.0453484006463916</v>
      </c>
      <c r="AB386" s="17">
        <f t="shared" si="248"/>
        <v>0.3023777334190233</v>
      </c>
      <c r="AC386" s="66" t="str">
        <f t="shared" si="249"/>
        <v>-0.254157029259253-0.613749522255424i</v>
      </c>
      <c r="AD386" s="64">
        <f t="shared" si="250"/>
        <v>-3.5528155155376058</v>
      </c>
      <c r="AE386" s="61">
        <f t="shared" si="251"/>
        <v>-112.49471313200229</v>
      </c>
      <c r="AF386" s="31" t="str">
        <f t="shared" si="237"/>
        <v>-9090.90909090909</v>
      </c>
      <c r="AG386" s="31" t="str">
        <f t="shared" si="238"/>
        <v>2.27623467397318E-08i</v>
      </c>
      <c r="AH386" s="31">
        <f t="shared" si="252"/>
        <v>2.27623467397318E-8</v>
      </c>
      <c r="AI386" s="31">
        <f t="shared" si="253"/>
        <v>1.5707963267948966</v>
      </c>
      <c r="AJ386" s="31" t="str">
        <f t="shared" si="239"/>
        <v>1+868548049.125512i</v>
      </c>
      <c r="AK386" s="31">
        <f t="shared" si="254"/>
        <v>868548049.125512</v>
      </c>
      <c r="AL386" s="31">
        <f t="shared" si="255"/>
        <v>1.5707963256435498</v>
      </c>
      <c r="AM386" s="31" t="str">
        <f t="shared" si="240"/>
        <v>1+396.304835658536i</v>
      </c>
      <c r="AN386" s="31">
        <f t="shared" si="256"/>
        <v>396.30609731158461</v>
      </c>
      <c r="AO386" s="31">
        <f t="shared" si="257"/>
        <v>1.5682730220363721</v>
      </c>
      <c r="AS386" s="58" t="str">
        <f t="shared" si="258"/>
        <v>459.828868119305+182232.487161424i</v>
      </c>
      <c r="AT386" s="49">
        <f t="shared" si="259"/>
        <v>105.21254370360199</v>
      </c>
      <c r="AU386" s="61">
        <f t="shared" si="260"/>
        <v>89.855425352878584</v>
      </c>
      <c r="AV386" s="58" t="str">
        <f t="shared" si="261"/>
        <v>111728.233195653-46597.8873196i</v>
      </c>
      <c r="AW386" s="64">
        <f t="shared" si="262"/>
        <v>101.65972818806439</v>
      </c>
      <c r="AX386" s="61">
        <f t="shared" si="263"/>
        <v>-22.639287779123698</v>
      </c>
      <c r="AY386" s="310"/>
      <c r="BA386" s="31">
        <f t="shared" si="264"/>
        <v>0</v>
      </c>
      <c r="BB386" s="31">
        <f t="shared" si="265"/>
        <v>0</v>
      </c>
    </row>
    <row r="387" spans="14:54" x14ac:dyDescent="0.45">
      <c r="N387" s="10">
        <v>69</v>
      </c>
      <c r="O387" s="50">
        <f t="shared" si="266"/>
        <v>48977.881936844598</v>
      </c>
      <c r="P387" s="48" t="str">
        <f t="shared" si="232"/>
        <v>17.4002386318441</v>
      </c>
      <c r="Q387" s="17" t="str">
        <f t="shared" si="233"/>
        <v>1+26.3553190869526i</v>
      </c>
      <c r="R387" s="17">
        <f t="shared" si="241"/>
        <v>26.374283766106107</v>
      </c>
      <c r="S387" s="17">
        <f t="shared" si="242"/>
        <v>1.5328715147192644</v>
      </c>
      <c r="T387" s="17" t="str">
        <f t="shared" si="234"/>
        <v>1+0.0923211324487075i</v>
      </c>
      <c r="U387" s="17">
        <f t="shared" si="243"/>
        <v>1.0042525536420666</v>
      </c>
      <c r="V387" s="17">
        <f t="shared" si="244"/>
        <v>9.2060175436026445E-2</v>
      </c>
      <c r="W387" s="31" t="str">
        <f t="shared" si="235"/>
        <v>1-0.227767329034453i</v>
      </c>
      <c r="X387" s="17">
        <f t="shared" si="245"/>
        <v>1.025611016017032</v>
      </c>
      <c r="Y387" s="17">
        <f t="shared" si="246"/>
        <v>-0.22394685978512421</v>
      </c>
      <c r="Z387" s="31" t="str">
        <f t="shared" si="236"/>
        <v>0.997824187828554+0.318546243651033i</v>
      </c>
      <c r="AA387" s="17">
        <f t="shared" si="247"/>
        <v>1.0474372626367161</v>
      </c>
      <c r="AB387" s="17">
        <f t="shared" si="248"/>
        <v>0.30901416059606812</v>
      </c>
      <c r="AC387" s="66" t="str">
        <f t="shared" si="249"/>
        <v>-0.254409252696018-0.596776624879297i</v>
      </c>
      <c r="AD387" s="64">
        <f t="shared" si="250"/>
        <v>-3.7585573679268141</v>
      </c>
      <c r="AE387" s="61">
        <f t="shared" si="251"/>
        <v>-113.08882592834938</v>
      </c>
      <c r="AF387" s="31" t="str">
        <f t="shared" si="237"/>
        <v>-9090.90909090909</v>
      </c>
      <c r="AG387" s="31" t="str">
        <f t="shared" si="238"/>
        <v>2.27623467397318E-08i</v>
      </c>
      <c r="AH387" s="31">
        <f t="shared" si="252"/>
        <v>2.27623467397318E-8</v>
      </c>
      <c r="AI387" s="31">
        <f t="shared" si="253"/>
        <v>1.5707963267948966</v>
      </c>
      <c r="AJ387" s="31" t="str">
        <f t="shared" si="239"/>
        <v>1+888779132.129255i</v>
      </c>
      <c r="AK387" s="31">
        <f t="shared" si="254"/>
        <v>888779132.12925506</v>
      </c>
      <c r="AL387" s="31">
        <f t="shared" si="255"/>
        <v>1.5707963256697577</v>
      </c>
      <c r="AM387" s="31" t="str">
        <f t="shared" si="240"/>
        <v>1+405.535961136355i</v>
      </c>
      <c r="AN387" s="31">
        <f t="shared" si="256"/>
        <v>405.53719407076244</v>
      </c>
      <c r="AO387" s="31">
        <f t="shared" si="257"/>
        <v>1.5683304592295078</v>
      </c>
      <c r="AS387" s="58" t="str">
        <f t="shared" si="258"/>
        <v>449.361885196166+182232.4871614i</v>
      </c>
      <c r="AT387" s="49">
        <f t="shared" si="259"/>
        <v>105.21254245906754</v>
      </c>
      <c r="AU387" s="61">
        <f t="shared" si="260"/>
        <v>89.858716260130748</v>
      </c>
      <c r="AV387" s="58" t="str">
        <f t="shared" si="261"/>
        <v>108637.766810137-46629.7995448652i</v>
      </c>
      <c r="AW387" s="64">
        <f t="shared" si="262"/>
        <v>101.45398509114071</v>
      </c>
      <c r="AX387" s="61">
        <f t="shared" si="263"/>
        <v>-23.230109668218681</v>
      </c>
      <c r="AY387" s="310"/>
      <c r="BA387" s="31">
        <f t="shared" si="264"/>
        <v>0</v>
      </c>
      <c r="BB387" s="31">
        <f t="shared" si="265"/>
        <v>0</v>
      </c>
    </row>
    <row r="388" spans="14:54" x14ac:dyDescent="0.45">
      <c r="N388" s="10">
        <v>70</v>
      </c>
      <c r="O388" s="50">
        <f t="shared" si="266"/>
        <v>50118.723362727294</v>
      </c>
      <c r="P388" s="48" t="str">
        <f t="shared" si="232"/>
        <v>17.4002386318441</v>
      </c>
      <c r="Q388" s="17" t="str">
        <f t="shared" si="233"/>
        <v>1+26.9692133310018i</v>
      </c>
      <c r="R388" s="17">
        <f t="shared" si="241"/>
        <v>26.98774662125545</v>
      </c>
      <c r="S388" s="17">
        <f t="shared" si="242"/>
        <v>1.5337339893247171</v>
      </c>
      <c r="T388" s="17" t="str">
        <f t="shared" si="234"/>
        <v>1+0.0944715678741859i</v>
      </c>
      <c r="U388" s="17">
        <f t="shared" si="243"/>
        <v>1.0044525260740833</v>
      </c>
      <c r="V388" s="17">
        <f t="shared" si="244"/>
        <v>9.4192014297605375E-2</v>
      </c>
      <c r="W388" s="31" t="str">
        <f t="shared" si="235"/>
        <v>1-0.233072711671461i</v>
      </c>
      <c r="X388" s="17">
        <f t="shared" si="245"/>
        <v>1.0268022637907885</v>
      </c>
      <c r="Y388" s="17">
        <f t="shared" si="246"/>
        <v>-0.22898475412087416</v>
      </c>
      <c r="Z388" s="31" t="str">
        <f t="shared" si="236"/>
        <v>0.997721644960082+0.32596613884546i</v>
      </c>
      <c r="AA388" s="17">
        <f t="shared" si="247"/>
        <v>1.0496201238999134</v>
      </c>
      <c r="AB388" s="17">
        <f t="shared" si="248"/>
        <v>0.31577821034274622</v>
      </c>
      <c r="AC388" s="66" t="str">
        <f t="shared" si="249"/>
        <v>-0.254571207403904-0.58014126634761i</v>
      </c>
      <c r="AD388" s="64">
        <f t="shared" si="250"/>
        <v>-3.9645467111116184</v>
      </c>
      <c r="AE388" s="61">
        <f t="shared" si="251"/>
        <v>-113.69229829978111</v>
      </c>
      <c r="AF388" s="31" t="str">
        <f t="shared" si="237"/>
        <v>-9090.90909090909</v>
      </c>
      <c r="AG388" s="31" t="str">
        <f t="shared" si="238"/>
        <v>2.27623467397318E-08i</v>
      </c>
      <c r="AH388" s="31">
        <f t="shared" si="252"/>
        <v>2.27623467397318E-8</v>
      </c>
      <c r="AI388" s="31">
        <f t="shared" si="253"/>
        <v>1.5707963267948966</v>
      </c>
      <c r="AJ388" s="31" t="str">
        <f t="shared" si="239"/>
        <v>1+909481457.593238i</v>
      </c>
      <c r="AK388" s="31">
        <f t="shared" si="254"/>
        <v>909481457.593238</v>
      </c>
      <c r="AL388" s="31">
        <f t="shared" si="255"/>
        <v>1.570796325695369</v>
      </c>
      <c r="AM388" s="31" t="str">
        <f t="shared" si="240"/>
        <v>1+414.982107148673i</v>
      </c>
      <c r="AN388" s="31">
        <f t="shared" si="256"/>
        <v>414.98331201814938</v>
      </c>
      <c r="AO388" s="31">
        <f t="shared" si="257"/>
        <v>1.5683865890082289</v>
      </c>
      <c r="AS388" s="58" t="str">
        <f t="shared" si="258"/>
        <v>439.133159892564+182232.487161376i</v>
      </c>
      <c r="AT388" s="49">
        <f t="shared" si="259"/>
        <v>105.21254127054596</v>
      </c>
      <c r="AU388" s="61">
        <f t="shared" si="260"/>
        <v>89.861932258089041</v>
      </c>
      <c r="AV388" s="58" t="str">
        <f t="shared" si="261"/>
        <v>105608.79521275-46645.9035523632i</v>
      </c>
      <c r="AW388" s="64">
        <f t="shared" si="262"/>
        <v>101.24799455943432</v>
      </c>
      <c r="AX388" s="61">
        <f t="shared" si="263"/>
        <v>-23.830366041692137</v>
      </c>
      <c r="AY388" s="310"/>
      <c r="BA388" s="31">
        <f t="shared" si="264"/>
        <v>0</v>
      </c>
      <c r="BB388" s="31">
        <f t="shared" si="265"/>
        <v>0</v>
      </c>
    </row>
    <row r="389" spans="14:54" x14ac:dyDescent="0.45">
      <c r="N389" s="10">
        <v>71</v>
      </c>
      <c r="O389" s="50">
        <f t="shared" si="266"/>
        <v>51286.138399136544</v>
      </c>
      <c r="P389" s="48" t="str">
        <f t="shared" si="232"/>
        <v>17.4002386318441</v>
      </c>
      <c r="Q389" s="17" t="str">
        <f t="shared" si="233"/>
        <v>1+27.5974070089389i</v>
      </c>
      <c r="R389" s="17">
        <f t="shared" si="241"/>
        <v>27.615518709903494</v>
      </c>
      <c r="S389" s="17">
        <f t="shared" si="242"/>
        <v>1.5345768849186499</v>
      </c>
      <c r="T389" s="17" t="str">
        <f t="shared" si="234"/>
        <v>1+0.0966720933754303i</v>
      </c>
      <c r="U389" s="17">
        <f t="shared" si="243"/>
        <v>1.0046618802550378</v>
      </c>
      <c r="V389" s="17">
        <f t="shared" si="244"/>
        <v>9.6372621340973991E-2</v>
      </c>
      <c r="W389" s="31" t="str">
        <f t="shared" si="235"/>
        <v>1-0.238501672545279i</v>
      </c>
      <c r="X389" s="17">
        <f t="shared" si="245"/>
        <v>1.0280481738745979</v>
      </c>
      <c r="Y389" s="17">
        <f t="shared" si="246"/>
        <v>-0.23412777565604928</v>
      </c>
      <c r="Z389" s="31" t="str">
        <f t="shared" si="236"/>
        <v>0.997614269395106+0.333558865601375i</v>
      </c>
      <c r="AA389" s="17">
        <f t="shared" si="247"/>
        <v>1.0519010159335371</v>
      </c>
      <c r="AB389" s="17">
        <f t="shared" si="248"/>
        <v>0.32267116677127394</v>
      </c>
      <c r="AC389" s="66" t="str">
        <f t="shared" si="249"/>
        <v>-0.25464424408309-0.563836365790662i</v>
      </c>
      <c r="AD389" s="64">
        <f t="shared" si="250"/>
        <v>-4.1707897024962417</v>
      </c>
      <c r="AE389" s="61">
        <f t="shared" si="251"/>
        <v>-114.30526381915475</v>
      </c>
      <c r="AF389" s="31" t="str">
        <f t="shared" si="237"/>
        <v>-9090.90909090909</v>
      </c>
      <c r="AG389" s="31" t="str">
        <f t="shared" si="238"/>
        <v>2.27623467397318E-08i</v>
      </c>
      <c r="AH389" s="31">
        <f t="shared" si="252"/>
        <v>2.27623467397318E-8</v>
      </c>
      <c r="AI389" s="31">
        <f t="shared" si="253"/>
        <v>1.5707963267948966</v>
      </c>
      <c r="AJ389" s="31" t="str">
        <f t="shared" si="239"/>
        <v>1+930666002.164449i</v>
      </c>
      <c r="AK389" s="31">
        <f t="shared" si="254"/>
        <v>930666002.16444898</v>
      </c>
      <c r="AL389" s="31">
        <f t="shared" si="255"/>
        <v>1.5707963257203972</v>
      </c>
      <c r="AM389" s="31" t="str">
        <f t="shared" si="240"/>
        <v>1+424.648282167139i</v>
      </c>
      <c r="AN389" s="31">
        <f t="shared" si="256"/>
        <v>424.64945961051455</v>
      </c>
      <c r="AO389" s="31">
        <f t="shared" si="257"/>
        <v>1.568441441131871</v>
      </c>
      <c r="AS389" s="58" t="str">
        <f t="shared" si="258"/>
        <v>429.137268802953+182232.487161355i</v>
      </c>
      <c r="AT389" s="49">
        <f t="shared" si="259"/>
        <v>105.21254013551646</v>
      </c>
      <c r="AU389" s="61">
        <f t="shared" si="260"/>
        <v>89.865075051837053</v>
      </c>
      <c r="AV389" s="58" t="str">
        <f t="shared" si="261"/>
        <v>102640.02595463-46646.4171386518i</v>
      </c>
      <c r="AW389" s="64">
        <f t="shared" si="262"/>
        <v>101.04175043302023</v>
      </c>
      <c r="AX389" s="61">
        <f t="shared" si="263"/>
        <v>-24.440188767317618</v>
      </c>
      <c r="AY389" s="310"/>
      <c r="BA389" s="31">
        <f t="shared" si="264"/>
        <v>0</v>
      </c>
      <c r="BB389" s="31">
        <f t="shared" si="265"/>
        <v>0</v>
      </c>
    </row>
    <row r="390" spans="14:54" x14ac:dyDescent="0.45">
      <c r="N390" s="10">
        <v>72</v>
      </c>
      <c r="O390" s="50">
        <f t="shared" si="266"/>
        <v>52480.746024977314</v>
      </c>
      <c r="P390" s="48" t="str">
        <f t="shared" si="232"/>
        <v>17.4002386318441</v>
      </c>
      <c r="Q390" s="17" t="str">
        <f t="shared" si="233"/>
        <v>1+28.2402331973669i</v>
      </c>
      <c r="R390" s="17">
        <f t="shared" si="241"/>
        <v>28.257932886919797</v>
      </c>
      <c r="S390" s="17">
        <f t="shared" si="242"/>
        <v>1.5354006436218921</v>
      </c>
      <c r="T390" s="17" t="str">
        <f t="shared" si="234"/>
        <v>1+0.0989238757001884i</v>
      </c>
      <c r="U390" s="17">
        <f t="shared" si="243"/>
        <v>1.0048810542464945</v>
      </c>
      <c r="V390" s="17">
        <f t="shared" si="244"/>
        <v>9.8603069756055109E-2</v>
      </c>
      <c r="W390" s="31" t="str">
        <f t="shared" si="235"/>
        <v>1-0.244057090162823i</v>
      </c>
      <c r="X390" s="17">
        <f t="shared" si="245"/>
        <v>1.0293511855818422</v>
      </c>
      <c r="Y390" s="17">
        <f t="shared" si="246"/>
        <v>-0.23937756251661763</v>
      </c>
      <c r="Z390" s="31" t="str">
        <f t="shared" si="236"/>
        <v>0.997501833375657+0.341328449683005i</v>
      </c>
      <c r="AA390" s="17">
        <f t="shared" si="247"/>
        <v>1.0542841259123654</v>
      </c>
      <c r="AB390" s="17">
        <f t="shared" si="248"/>
        <v>0.32969424895760097</v>
      </c>
      <c r="AC390" s="66" t="str">
        <f t="shared" si="249"/>
        <v>-0.254629606754718-0.547855069868735i</v>
      </c>
      <c r="AD390" s="64">
        <f t="shared" si="250"/>
        <v>-4.3772925036143668</v>
      </c>
      <c r="AE390" s="61">
        <f t="shared" si="251"/>
        <v>-114.92785003448584</v>
      </c>
      <c r="AF390" s="31" t="str">
        <f t="shared" si="237"/>
        <v>-9090.90909090909</v>
      </c>
      <c r="AG390" s="31" t="str">
        <f t="shared" si="238"/>
        <v>2.27623467397318E-08i</v>
      </c>
      <c r="AH390" s="31">
        <f t="shared" si="252"/>
        <v>2.27623467397318E-8</v>
      </c>
      <c r="AI390" s="31">
        <f t="shared" si="253"/>
        <v>1.5707963267948966</v>
      </c>
      <c r="AJ390" s="31" t="str">
        <f t="shared" si="239"/>
        <v>1+952343998.168825i</v>
      </c>
      <c r="AK390" s="31">
        <f t="shared" si="254"/>
        <v>952343998.16882503</v>
      </c>
      <c r="AL390" s="31">
        <f t="shared" si="255"/>
        <v>1.5707963257448558</v>
      </c>
      <c r="AM390" s="31" t="str">
        <f t="shared" si="240"/>
        <v>1+434.539611325694i</v>
      </c>
      <c r="AN390" s="31">
        <f t="shared" si="256"/>
        <v>434.54076196725811</v>
      </c>
      <c r="AO390" s="31">
        <f t="shared" si="257"/>
        <v>1.5684950446824355</v>
      </c>
      <c r="AS390" s="58" t="str">
        <f t="shared" si="258"/>
        <v>419.368911973564+182232.487161335i</v>
      </c>
      <c r="AT390" s="49">
        <f t="shared" si="259"/>
        <v>105.21253905157141</v>
      </c>
      <c r="AU390" s="61">
        <f t="shared" si="260"/>
        <v>89.868146307649951</v>
      </c>
      <c r="AV390" s="58" t="str">
        <f t="shared" si="261"/>
        <v>99730.2082449856-46631.539928395i</v>
      </c>
      <c r="AW390" s="64">
        <f t="shared" si="262"/>
        <v>100.83524654795707</v>
      </c>
      <c r="AX390" s="61">
        <f t="shared" si="263"/>
        <v>-25.059703726835888</v>
      </c>
      <c r="AY390" s="310"/>
      <c r="BA390" s="31">
        <f t="shared" si="264"/>
        <v>0</v>
      </c>
      <c r="BB390" s="31">
        <f t="shared" si="265"/>
        <v>0</v>
      </c>
    </row>
    <row r="391" spans="14:54" x14ac:dyDescent="0.45">
      <c r="N391" s="10">
        <v>73</v>
      </c>
      <c r="O391" s="50">
        <f t="shared" si="266"/>
        <v>53703.179637025423</v>
      </c>
      <c r="P391" s="48" t="str">
        <f t="shared" si="232"/>
        <v>17.4002386318441</v>
      </c>
      <c r="Q391" s="17" t="str">
        <f t="shared" si="233"/>
        <v>1+28.8980327312399i</v>
      </c>
      <c r="R391" s="17">
        <f t="shared" si="241"/>
        <v>28.915329770483559</v>
      </c>
      <c r="S391" s="17">
        <f t="shared" si="242"/>
        <v>1.5362056977277794</v>
      </c>
      <c r="T391" s="17" t="str">
        <f t="shared" si="234"/>
        <v>1+0.101228108773255i</v>
      </c>
      <c r="U391" s="17">
        <f t="shared" si="243"/>
        <v>1.0051105063652503</v>
      </c>
      <c r="V391" s="17">
        <f t="shared" si="244"/>
        <v>0.1008844533372688</v>
      </c>
      <c r="W391" s="31" t="str">
        <f t="shared" si="235"/>
        <v>1-0.249741910080049i</v>
      </c>
      <c r="X391" s="17">
        <f t="shared" si="245"/>
        <v>1.030713840816369</v>
      </c>
      <c r="Y391" s="17">
        <f t="shared" si="246"/>
        <v>-0.24473574021969932</v>
      </c>
      <c r="Z391" s="31" t="str">
        <f t="shared" si="236"/>
        <v>0.997384098409863+0.349279010626673i</v>
      </c>
      <c r="AA391" s="17">
        <f t="shared" si="247"/>
        <v>1.0567738012579622</v>
      </c>
      <c r="AB391" s="17">
        <f t="shared" si="248"/>
        <v>0.33684860525953053</v>
      </c>
      <c r="AC391" s="66" t="str">
        <f t="shared" si="249"/>
        <v>-0.25452844062646-0.532190752102577i</v>
      </c>
      <c r="AD391" s="64">
        <f t="shared" si="250"/>
        <v>-4.5840612542888293</v>
      </c>
      <c r="AE391" s="61">
        <f t="shared" si="251"/>
        <v>-115.56017797587992</v>
      </c>
      <c r="AF391" s="31" t="str">
        <f t="shared" si="237"/>
        <v>-9090.90909090909</v>
      </c>
      <c r="AG391" s="31" t="str">
        <f t="shared" si="238"/>
        <v>2.27623467397318E-08i</v>
      </c>
      <c r="AH391" s="31">
        <f t="shared" si="252"/>
        <v>2.27623467397318E-8</v>
      </c>
      <c r="AI391" s="31">
        <f t="shared" si="253"/>
        <v>1.5707963267948966</v>
      </c>
      <c r="AJ391" s="31" t="str">
        <f t="shared" si="239"/>
        <v>1+974526939.566795i</v>
      </c>
      <c r="AK391" s="31">
        <f t="shared" si="254"/>
        <v>974526939.56679499</v>
      </c>
      <c r="AL391" s="31">
        <f t="shared" si="255"/>
        <v>1.5707963257687578</v>
      </c>
      <c r="AM391" s="31" t="str">
        <f t="shared" si="240"/>
        <v>1+444.661339137986i</v>
      </c>
      <c r="AN391" s="31">
        <f t="shared" si="256"/>
        <v>444.66246358781734</v>
      </c>
      <c r="AO391" s="31">
        <f t="shared" si="257"/>
        <v>1.5685474280800016</v>
      </c>
      <c r="AS391" s="58" t="str">
        <f t="shared" si="258"/>
        <v>409.822910092309+182232.487161315i</v>
      </c>
      <c r="AT391" s="49">
        <f t="shared" si="259"/>
        <v>105.21253801641166</v>
      </c>
      <c r="AU391" s="61">
        <f t="shared" si="260"/>
        <v>89.871147653877543</v>
      </c>
      <c r="AV391" s="58" t="str">
        <f t="shared" si="261"/>
        <v>96878.1328136646-46601.4547514018i</v>
      </c>
      <c r="AW391" s="64">
        <f t="shared" si="262"/>
        <v>100.62847676212283</v>
      </c>
      <c r="AX391" s="61">
        <f t="shared" si="263"/>
        <v>-25.689030322002385</v>
      </c>
      <c r="AY391" s="310"/>
      <c r="BA391" s="31">
        <f t="shared" si="264"/>
        <v>0</v>
      </c>
      <c r="BB391" s="31">
        <f t="shared" si="265"/>
        <v>0</v>
      </c>
    </row>
    <row r="392" spans="14:54" x14ac:dyDescent="0.45">
      <c r="N392" s="10">
        <v>74</v>
      </c>
      <c r="O392" s="50">
        <f t="shared" si="266"/>
        <v>54954.087385762505</v>
      </c>
      <c r="P392" s="48" t="str">
        <f t="shared" si="232"/>
        <v>17.4002386318441</v>
      </c>
      <c r="Q392" s="17" t="str">
        <f t="shared" si="233"/>
        <v>1+29.5711543845776i</v>
      </c>
      <c r="R392" s="17">
        <f t="shared" si="241"/>
        <v>29.588057922691089</v>
      </c>
      <c r="S392" s="17">
        <f t="shared" si="242"/>
        <v>1.5369924699101476</v>
      </c>
      <c r="T392" s="17" t="str">
        <f t="shared" si="234"/>
        <v>1+0.103586014329506i</v>
      </c>
      <c r="U392" s="17">
        <f t="shared" si="243"/>
        <v>1.0053507161009398</v>
      </c>
      <c r="V392" s="17">
        <f t="shared" si="244"/>
        <v>0.1032178866607507</v>
      </c>
      <c r="W392" s="31" t="str">
        <f t="shared" si="235"/>
        <v>1-0.255559146463724i</v>
      </c>
      <c r="X392" s="17">
        <f t="shared" si="245"/>
        <v>1.0321387878290724</v>
      </c>
      <c r="Y392" s="17">
        <f t="shared" si="246"/>
        <v>-0.25020391854263191</v>
      </c>
      <c r="Z392" s="31" t="str">
        <f t="shared" si="236"/>
        <v>0.997260814766075+0.357414763925029i</v>
      </c>
      <c r="AA392" s="17">
        <f t="shared" si="247"/>
        <v>1.0593745542250295</v>
      </c>
      <c r="AB392" s="17">
        <f t="shared" si="248"/>
        <v>0.34413530744644227</v>
      </c>
      <c r="AC392" s="66" t="str">
        <f t="shared" si="249"/>
        <v>-0.254341800014048-0.516837012107242i</v>
      </c>
      <c r="AD392" s="64">
        <f t="shared" si="250"/>
        <v>-4.7911020444980155</v>
      </c>
      <c r="AE392" s="61">
        <f t="shared" si="251"/>
        <v>-116.20236164156498</v>
      </c>
      <c r="AF392" s="31" t="str">
        <f t="shared" si="237"/>
        <v>-9090.90909090909</v>
      </c>
      <c r="AG392" s="31" t="str">
        <f t="shared" si="238"/>
        <v>2.27623467397318E-08i</v>
      </c>
      <c r="AH392" s="31">
        <f t="shared" si="252"/>
        <v>2.27623467397318E-8</v>
      </c>
      <c r="AI392" s="31">
        <f t="shared" si="253"/>
        <v>1.5707963267948966</v>
      </c>
      <c r="AJ392" s="31" t="str">
        <f t="shared" si="239"/>
        <v>1+997226588.047509i</v>
      </c>
      <c r="AK392" s="31">
        <f t="shared" si="254"/>
        <v>997226588.04750896</v>
      </c>
      <c r="AL392" s="31">
        <f t="shared" si="255"/>
        <v>1.5707963257921156</v>
      </c>
      <c r="AM392" s="31" t="str">
        <f t="shared" si="240"/>
        <v>1+455.018832278076i</v>
      </c>
      <c r="AN392" s="31">
        <f t="shared" si="256"/>
        <v>455.01993113236676</v>
      </c>
      <c r="AO392" s="31">
        <f t="shared" si="257"/>
        <v>1.568598619097789</v>
      </c>
      <c r="AS392" s="58" t="str">
        <f t="shared" si="258"/>
        <v>400.494201742631+182232.487161296i</v>
      </c>
      <c r="AT392" s="49">
        <f t="shared" si="259"/>
        <v>105.21253702784152</v>
      </c>
      <c r="AU392" s="61">
        <f t="shared" si="260"/>
        <v>89.874080681807456</v>
      </c>
      <c r="AV392" s="58" t="str">
        <f t="shared" si="261"/>
        <v>94082.6317571492-46556.3290322359i</v>
      </c>
      <c r="AW392" s="64">
        <f t="shared" si="262"/>
        <v>100.42143498334353</v>
      </c>
      <c r="AX392" s="61">
        <f t="shared" si="263"/>
        <v>-26.328280959757546</v>
      </c>
      <c r="AY392" s="310"/>
      <c r="BA392" s="31">
        <f t="shared" si="264"/>
        <v>0</v>
      </c>
      <c r="BB392" s="31">
        <f t="shared" si="265"/>
        <v>0</v>
      </c>
    </row>
    <row r="393" spans="14:54" x14ac:dyDescent="0.45">
      <c r="N393" s="10">
        <v>75</v>
      </c>
      <c r="O393" s="50">
        <f t="shared" si="266"/>
        <v>56234.132519034953</v>
      </c>
      <c r="P393" s="48" t="str">
        <f t="shared" si="232"/>
        <v>17.4002386318441</v>
      </c>
      <c r="Q393" s="17" t="str">
        <f t="shared" si="233"/>
        <v>1+30.2599550553906i</v>
      </c>
      <c r="R393" s="17">
        <f t="shared" si="241"/>
        <v>30.276474034376246</v>
      </c>
      <c r="S393" s="17">
        <f t="shared" si="242"/>
        <v>1.5377613734276341</v>
      </c>
      <c r="T393" s="17" t="str">
        <f t="shared" si="234"/>
        <v>1+0.105998842561677i</v>
      </c>
      <c r="U393" s="17">
        <f t="shared" si="243"/>
        <v>1.0056021850734094</v>
      </c>
      <c r="V393" s="17">
        <f t="shared" si="244"/>
        <v>0.10560450524541483</v>
      </c>
      <c r="W393" s="31" t="str">
        <f t="shared" si="235"/>
        <v>1-0.26151188368958i</v>
      </c>
      <c r="X393" s="17">
        <f t="shared" si="245"/>
        <v>1.0336287850630286</v>
      </c>
      <c r="Y393" s="17">
        <f t="shared" si="246"/>
        <v>-0.25578368819931413</v>
      </c>
      <c r="Z393" s="31" t="str">
        <f t="shared" si="236"/>
        <v>0.997131720943158+0.365740023262162i</v>
      </c>
      <c r="AA393" s="17">
        <f t="shared" si="247"/>
        <v>1.0620910664942393</v>
      </c>
      <c r="AB393" s="17">
        <f t="shared" si="248"/>
        <v>0.35155534465083882</v>
      </c>
      <c r="AC393" s="66" t="str">
        <f t="shared" si="249"/>
        <v>-0.254070656331897-0.50178767470935i</v>
      </c>
      <c r="AD393" s="64">
        <f t="shared" si="250"/>
        <v>-4.9984208838389064</v>
      </c>
      <c r="AE393" s="61">
        <f t="shared" si="251"/>
        <v>-116.854507463386</v>
      </c>
      <c r="AF393" s="31" t="str">
        <f t="shared" si="237"/>
        <v>-9090.90909090909</v>
      </c>
      <c r="AG393" s="31" t="str">
        <f t="shared" si="238"/>
        <v>2.27623467397318E-08i</v>
      </c>
      <c r="AH393" s="31">
        <f t="shared" si="252"/>
        <v>2.27623467397318E-8</v>
      </c>
      <c r="AI393" s="31">
        <f t="shared" si="253"/>
        <v>1.5707963267948966</v>
      </c>
      <c r="AJ393" s="31" t="str">
        <f t="shared" si="239"/>
        <v>1+1020454979.26506i</v>
      </c>
      <c r="AK393" s="31">
        <f t="shared" si="254"/>
        <v>1020454979.2650599</v>
      </c>
      <c r="AL393" s="31">
        <f t="shared" si="255"/>
        <v>1.5707963258149416</v>
      </c>
      <c r="AM393" s="31" t="str">
        <f t="shared" si="240"/>
        <v>1+465.617582425926i</v>
      </c>
      <c r="AN393" s="31">
        <f t="shared" si="256"/>
        <v>465.61865626729775</v>
      </c>
      <c r="AO393" s="31">
        <f t="shared" si="257"/>
        <v>1.5686486448768795</v>
      </c>
      <c r="AS393" s="58" t="str">
        <f t="shared" si="258"/>
        <v>391.377840719886+182232.487161278i</v>
      </c>
      <c r="AT393" s="49">
        <f t="shared" si="259"/>
        <v>105.21253608376419</v>
      </c>
      <c r="AU393" s="61">
        <f t="shared" si="260"/>
        <v>89.87694694650834</v>
      </c>
      <c r="AV393" s="58" t="str">
        <f t="shared" si="261"/>
        <v>91342.5783642937-46496.3161946875i</v>
      </c>
      <c r="AW393" s="64">
        <f t="shared" si="262"/>
        <v>100.21411519992527</v>
      </c>
      <c r="AX393" s="61">
        <f t="shared" si="263"/>
        <v>-26.977560516877649</v>
      </c>
      <c r="AY393" s="310"/>
      <c r="BA393" s="31">
        <f t="shared" si="264"/>
        <v>0</v>
      </c>
      <c r="BB393" s="31">
        <f t="shared" si="265"/>
        <v>0</v>
      </c>
    </row>
    <row r="394" spans="14:54" x14ac:dyDescent="0.45">
      <c r="N394" s="10">
        <v>76</v>
      </c>
      <c r="O394" s="50">
        <f t="shared" si="266"/>
        <v>57543.993733715732</v>
      </c>
      <c r="P394" s="48" t="str">
        <f t="shared" si="232"/>
        <v>17.4002386318441</v>
      </c>
      <c r="Q394" s="17" t="str">
        <f t="shared" si="233"/>
        <v>1+30.9647999549118i</v>
      </c>
      <c r="R394" s="17">
        <f t="shared" si="241"/>
        <v>30.980943114238887</v>
      </c>
      <c r="S394" s="17">
        <f t="shared" si="242"/>
        <v>1.538512812324299</v>
      </c>
      <c r="T394" s="17" t="str">
        <f t="shared" si="234"/>
        <v>1+0.108467872783235i</v>
      </c>
      <c r="U394" s="17">
        <f t="shared" si="243"/>
        <v>1.0058654380314098</v>
      </c>
      <c r="V394" s="17">
        <f t="shared" si="244"/>
        <v>0.10804546569619962</v>
      </c>
      <c r="W394" s="31" t="str">
        <f t="shared" si="235"/>
        <v>1-0.267603277977687i</v>
      </c>
      <c r="X394" s="17">
        <f t="shared" si="245"/>
        <v>1.035186705084838</v>
      </c>
      <c r="Y394" s="17">
        <f t="shared" si="246"/>
        <v>-0.26147661731879013</v>
      </c>
      <c r="Z394" s="31" t="str">
        <f t="shared" si="236"/>
        <v>0.996996543115804+0.374259202800771i</v>
      </c>
      <c r="AA394" s="17">
        <f t="shared" si="247"/>
        <v>1.0649281937604675</v>
      </c>
      <c r="AB394" s="17">
        <f t="shared" si="248"/>
        <v>0.35910961715409728</v>
      </c>
      <c r="AC394" s="66" t="str">
        <f t="shared" si="249"/>
        <v>-0.25371590616401-0.487036788925955i</v>
      </c>
      <c r="AD394" s="64">
        <f t="shared" si="250"/>
        <v>-5.2060236684799923</v>
      </c>
      <c r="AE394" s="61">
        <f t="shared" si="251"/>
        <v>-117.51671375227998</v>
      </c>
      <c r="AF394" s="31" t="str">
        <f t="shared" si="237"/>
        <v>-9090.90909090909</v>
      </c>
      <c r="AG394" s="31" t="str">
        <f t="shared" si="238"/>
        <v>2.27623467397318E-08i</v>
      </c>
      <c r="AH394" s="31">
        <f t="shared" si="252"/>
        <v>2.27623467397318E-8</v>
      </c>
      <c r="AI394" s="31">
        <f t="shared" si="253"/>
        <v>1.5707963267948966</v>
      </c>
      <c r="AJ394" s="31" t="str">
        <f t="shared" si="239"/>
        <v>1+1044224429.21994i</v>
      </c>
      <c r="AK394" s="31">
        <f t="shared" si="254"/>
        <v>1044224429.2199399</v>
      </c>
      <c r="AL394" s="31">
        <f t="shared" si="255"/>
        <v>1.5707963258372482</v>
      </c>
      <c r="AM394" s="31" t="str">
        <f t="shared" si="240"/>
        <v>1+476.463209179157i</v>
      </c>
      <c r="AN394" s="31">
        <f t="shared" si="256"/>
        <v>476.46425857696931</v>
      </c>
      <c r="AO394" s="31">
        <f t="shared" si="257"/>
        <v>1.5686975319406011</v>
      </c>
      <c r="AS394" s="58" t="str">
        <f t="shared" si="258"/>
        <v>382.468993408786+182232.487161261i</v>
      </c>
      <c r="AT394" s="49">
        <f t="shared" si="259"/>
        <v>105.21253518217713</v>
      </c>
      <c r="AU394" s="61">
        <f t="shared" si="260"/>
        <v>89.879747967654325</v>
      </c>
      <c r="AV394" s="58" t="str">
        <f t="shared" si="261"/>
        <v>88656.8869177685-46421.5570830542i</v>
      </c>
      <c r="AW394" s="64">
        <f t="shared" si="262"/>
        <v>100.00651151369715</v>
      </c>
      <c r="AX394" s="61">
        <f t="shared" si="263"/>
        <v>-27.636965784625684</v>
      </c>
      <c r="AY394" s="310"/>
      <c r="BA394" s="31">
        <f t="shared" si="264"/>
        <v>0</v>
      </c>
      <c r="BB394" s="31">
        <f t="shared" si="265"/>
        <v>0</v>
      </c>
    </row>
    <row r="395" spans="14:54" x14ac:dyDescent="0.45">
      <c r="N395" s="10">
        <v>77</v>
      </c>
      <c r="O395" s="50">
        <f t="shared" si="266"/>
        <v>58884.365535558936</v>
      </c>
      <c r="P395" s="48" t="str">
        <f t="shared" si="232"/>
        <v>17.4002386318441</v>
      </c>
      <c r="Q395" s="17" t="str">
        <f t="shared" si="233"/>
        <v>1+31.6860628012366i</v>
      </c>
      <c r="R395" s="17">
        <f t="shared" si="241"/>
        <v>31.701838682384178</v>
      </c>
      <c r="S395" s="17">
        <f t="shared" si="242"/>
        <v>1.5392471816265891</v>
      </c>
      <c r="T395" s="17" t="str">
        <f t="shared" si="234"/>
        <v>1+0.110994414106685i</v>
      </c>
      <c r="U395" s="17">
        <f t="shared" si="243"/>
        <v>1.0061410238942086</v>
      </c>
      <c r="V395" s="17">
        <f t="shared" si="244"/>
        <v>0.11054194582770986</v>
      </c>
      <c r="W395" s="31" t="str">
        <f t="shared" si="235"/>
        <v>1-0.273836559065925i</v>
      </c>
      <c r="X395" s="17">
        <f t="shared" si="245"/>
        <v>1.0368155385993527</v>
      </c>
      <c r="Y395" s="17">
        <f t="shared" si="246"/>
        <v>-0.26728424772156845</v>
      </c>
      <c r="Z395" s="31" t="str">
        <f t="shared" si="236"/>
        <v>0.996854994553719+0.382976819522611i</v>
      </c>
      <c r="AA395" s="17">
        <f t="shared" si="247"/>
        <v>1.0678909703047168</v>
      </c>
      <c r="AB395" s="17">
        <f t="shared" si="248"/>
        <v>0.36679893002110692</v>
      </c>
      <c r="AC395" s="66" t="str">
        <f t="shared" si="249"/>
        <v>-0.253278379424066-0.472578626781255i</v>
      </c>
      <c r="AD395" s="64">
        <f t="shared" si="250"/>
        <v>-5.4139161455048734</v>
      </c>
      <c r="AE395" s="61">
        <f t="shared" si="251"/>
        <v>-118.18907012441777</v>
      </c>
      <c r="AF395" s="31" t="str">
        <f t="shared" si="237"/>
        <v>-9090.90909090909</v>
      </c>
      <c r="AG395" s="31" t="str">
        <f t="shared" si="238"/>
        <v>2.27623467397318E-08i</v>
      </c>
      <c r="AH395" s="31">
        <f t="shared" si="252"/>
        <v>2.27623467397318E-8</v>
      </c>
      <c r="AI395" s="31">
        <f t="shared" si="253"/>
        <v>1.5707963267948966</v>
      </c>
      <c r="AJ395" s="31" t="str">
        <f t="shared" si="239"/>
        <v>1+1068547540.78914i</v>
      </c>
      <c r="AK395" s="31">
        <f t="shared" si="254"/>
        <v>1068547540.78914</v>
      </c>
      <c r="AL395" s="31">
        <f t="shared" si="255"/>
        <v>1.5707963258590467</v>
      </c>
      <c r="AM395" s="31" t="str">
        <f t="shared" si="240"/>
        <v>1+487.561463032631i</v>
      </c>
      <c r="AN395" s="31">
        <f t="shared" si="256"/>
        <v>487.56248854328368</v>
      </c>
      <c r="AO395" s="31">
        <f t="shared" si="257"/>
        <v>1.568745306208587</v>
      </c>
      <c r="AS395" s="58" t="str">
        <f t="shared" si="258"/>
        <v>373.762936220567+182232.487161244i</v>
      </c>
      <c r="AT395" s="49">
        <f t="shared" si="259"/>
        <v>105.21253432116796</v>
      </c>
      <c r="AU395" s="61">
        <f t="shared" si="260"/>
        <v>89.882485230330261</v>
      </c>
      <c r="AV395" s="58" t="str">
        <f t="shared" si="261"/>
        <v>86024.5124668186-46332.1814017576i</v>
      </c>
      <c r="AW395" s="64">
        <f t="shared" si="262"/>
        <v>99.798618175663094</v>
      </c>
      <c r="AX395" s="61">
        <f t="shared" si="263"/>
        <v>-28.3065848940875</v>
      </c>
      <c r="AY395" s="310"/>
      <c r="BA395" s="31">
        <f t="shared" si="264"/>
        <v>0</v>
      </c>
      <c r="BB395" s="31">
        <f t="shared" si="265"/>
        <v>0</v>
      </c>
    </row>
    <row r="396" spans="14:54" x14ac:dyDescent="0.45">
      <c r="N396" s="10">
        <v>78</v>
      </c>
      <c r="O396" s="50">
        <f t="shared" si="266"/>
        <v>60255.95860743591</v>
      </c>
      <c r="P396" s="48" t="str">
        <f t="shared" si="232"/>
        <v>17.4002386318441</v>
      </c>
      <c r="Q396" s="17" t="str">
        <f t="shared" si="233"/>
        <v>1+32.4241260174734i</v>
      </c>
      <c r="R396" s="17">
        <f t="shared" si="241"/>
        <v>32.439542968374191</v>
      </c>
      <c r="S396" s="17">
        <f t="shared" si="242"/>
        <v>1.5399648675366646</v>
      </c>
      <c r="T396" s="17" t="str">
        <f t="shared" si="234"/>
        <v>1+0.113579806137679i</v>
      </c>
      <c r="U396" s="17">
        <f t="shared" si="243"/>
        <v>1.0064295168377528</v>
      </c>
      <c r="V396" s="17">
        <f t="shared" si="244"/>
        <v>0.11309514476636534</v>
      </c>
      <c r="W396" s="31" t="str">
        <f t="shared" si="235"/>
        <v>1-0.280215031922437i</v>
      </c>
      <c r="X396" s="17">
        <f t="shared" si="245"/>
        <v>1.0385183985444324</v>
      </c>
      <c r="Y396" s="17">
        <f t="shared" si="246"/>
        <v>-0.27320809098976467</v>
      </c>
      <c r="Z396" s="31" t="str">
        <f t="shared" si="236"/>
        <v>0.996706775013423+0.391897495623459i</v>
      </c>
      <c r="AA396" s="17">
        <f t="shared" si="247"/>
        <v>1.07098461353728</v>
      </c>
      <c r="AB396" s="17">
        <f t="shared" si="248"/>
        <v>0.37462398660093948</v>
      </c>
      <c r="AC396" s="66" t="str">
        <f t="shared" si="249"/>
        <v>-0.252758847611057-0.458407681935606i</v>
      </c>
      <c r="AD396" s="64">
        <f t="shared" si="250"/>
        <v>-5.6221038745559522</v>
      </c>
      <c r="AE396" s="61">
        <f t="shared" si="251"/>
        <v>-118.87165690887883</v>
      </c>
      <c r="AF396" s="31" t="str">
        <f t="shared" si="237"/>
        <v>-9090.90909090909</v>
      </c>
      <c r="AG396" s="31" t="str">
        <f t="shared" si="238"/>
        <v>2.27623467397318E-08i</v>
      </c>
      <c r="AH396" s="31">
        <f t="shared" si="252"/>
        <v>2.27623467397318E-8</v>
      </c>
      <c r="AI396" s="31">
        <f t="shared" si="253"/>
        <v>1.5707963267948966</v>
      </c>
      <c r="AJ396" s="31" t="str">
        <f t="shared" si="239"/>
        <v>1+1093437210.40836i</v>
      </c>
      <c r="AK396" s="31">
        <f t="shared" si="254"/>
        <v>1093437210.40836</v>
      </c>
      <c r="AL396" s="31">
        <f t="shared" si="255"/>
        <v>1.5707963258803495</v>
      </c>
      <c r="AM396" s="31" t="str">
        <f t="shared" si="240"/>
        <v>1+498.918228427444i</v>
      </c>
      <c r="AN396" s="31">
        <f t="shared" si="256"/>
        <v>498.91923059467166</v>
      </c>
      <c r="AO396" s="31">
        <f t="shared" si="257"/>
        <v>1.5687919930105136</v>
      </c>
      <c r="AS396" s="58" t="str">
        <f t="shared" si="258"/>
        <v>365.25505308847+182232.487161228i</v>
      </c>
      <c r="AT396" s="49">
        <f t="shared" si="259"/>
        <v>105.21253349891047</v>
      </c>
      <c r="AU396" s="61">
        <f t="shared" si="260"/>
        <v>89.885160185819061</v>
      </c>
      <c r="AV396" s="58" t="str">
        <f t="shared" si="261"/>
        <v>83444.4505666358-46228.3091743703i</v>
      </c>
      <c r="AW396" s="64">
        <f t="shared" si="262"/>
        <v>99.590429624354499</v>
      </c>
      <c r="AX396" s="61">
        <f t="shared" si="263"/>
        <v>-28.986496723059812</v>
      </c>
      <c r="AY396" s="310"/>
      <c r="BA396" s="31">
        <f t="shared" si="264"/>
        <v>0</v>
      </c>
      <c r="BB396" s="31">
        <f t="shared" si="265"/>
        <v>0</v>
      </c>
    </row>
    <row r="397" spans="14:54" x14ac:dyDescent="0.45">
      <c r="N397" s="10">
        <v>79</v>
      </c>
      <c r="O397" s="50">
        <f t="shared" si="266"/>
        <v>61659.500186148245</v>
      </c>
      <c r="P397" s="48" t="str">
        <f t="shared" si="232"/>
        <v>17.4002386318441</v>
      </c>
      <c r="Q397" s="17" t="str">
        <f t="shared" si="233"/>
        <v>1+33.1793809345085i</v>
      </c>
      <c r="R397" s="17">
        <f t="shared" si="241"/>
        <v>33.194447113895812</v>
      </c>
      <c r="S397" s="17">
        <f t="shared" si="242"/>
        <v>1.5406662476221176</v>
      </c>
      <c r="T397" s="17" t="str">
        <f t="shared" si="234"/>
        <v>1+0.116225419685293i</v>
      </c>
      <c r="U397" s="17">
        <f t="shared" si="243"/>
        <v>1.0067315174270757</v>
      </c>
      <c r="V397" s="17">
        <f t="shared" si="244"/>
        <v>0.1157062830290338</v>
      </c>
      <c r="W397" s="31" t="str">
        <f t="shared" si="235"/>
        <v>1-0.286742078497957i</v>
      </c>
      <c r="X397" s="17">
        <f t="shared" si="245"/>
        <v>1.0402985242618239</v>
      </c>
      <c r="Y397" s="17">
        <f t="shared" si="246"/>
        <v>-0.27924962432785527</v>
      </c>
      <c r="Z397" s="31" t="str">
        <f t="shared" si="236"/>
        <v>0.996551570101401+0.401025960963863i</v>
      </c>
      <c r="AA397" s="17">
        <f t="shared" si="247"/>
        <v>1.0742145284991063</v>
      </c>
      <c r="AB397" s="17">
        <f t="shared" si="248"/>
        <v>0.38258538191324104</v>
      </c>
      <c r="AC397" s="66" t="str">
        <f t="shared" si="249"/>
        <v>-0.252158032164099-0.444518668099711i</v>
      </c>
      <c r="AD397" s="64">
        <f t="shared" si="250"/>
        <v>-5.8305921866972277</v>
      </c>
      <c r="AE397" s="61">
        <f t="shared" si="251"/>
        <v>-119.56454453792421</v>
      </c>
      <c r="AF397" s="31" t="str">
        <f t="shared" si="237"/>
        <v>-9090.90909090909</v>
      </c>
      <c r="AG397" s="31" t="str">
        <f t="shared" si="238"/>
        <v>2.27623467397318E-08i</v>
      </c>
      <c r="AH397" s="31">
        <f t="shared" si="252"/>
        <v>2.27623467397318E-8</v>
      </c>
      <c r="AI397" s="31">
        <f t="shared" si="253"/>
        <v>1.5707963267948966</v>
      </c>
      <c r="AJ397" s="31" t="str">
        <f t="shared" si="239"/>
        <v>1+1118906634.90989i</v>
      </c>
      <c r="AK397" s="31">
        <f t="shared" si="254"/>
        <v>1118906634.9098899</v>
      </c>
      <c r="AL397" s="31">
        <f t="shared" si="255"/>
        <v>1.570796325901167</v>
      </c>
      <c r="AM397" s="31" t="str">
        <f t="shared" si="240"/>
        <v>1+510.539526870931i</v>
      </c>
      <c r="AN397" s="31">
        <f t="shared" si="256"/>
        <v>510.54050622609179</v>
      </c>
      <c r="AO397" s="31">
        <f t="shared" si="257"/>
        <v>1.5688376170995264</v>
      </c>
      <c r="AS397" s="58" t="str">
        <f t="shared" si="258"/>
        <v>356.940833020244+182232.487161213i</v>
      </c>
      <c r="AT397" s="49">
        <f t="shared" si="259"/>
        <v>105.21253271366051</v>
      </c>
      <c r="AU397" s="61">
        <f t="shared" si="260"/>
        <v>89.887774252370875</v>
      </c>
      <c r="AV397" s="58" t="str">
        <f t="shared" si="261"/>
        <v>80915.7369793467-46110.0522226255i</v>
      </c>
      <c r="AW397" s="64">
        <f t="shared" si="262"/>
        <v>99.381940526963291</v>
      </c>
      <c r="AX397" s="61">
        <f t="shared" si="263"/>
        <v>-29.676770285553356</v>
      </c>
      <c r="AY397" s="310"/>
      <c r="BA397" s="31">
        <f t="shared" si="264"/>
        <v>0</v>
      </c>
      <c r="BB397" s="31">
        <f t="shared" si="265"/>
        <v>0</v>
      </c>
    </row>
    <row r="398" spans="14:54" x14ac:dyDescent="0.45">
      <c r="N398" s="10">
        <v>80</v>
      </c>
      <c r="O398" s="50">
        <f t="shared" si="266"/>
        <v>63095.734448019342</v>
      </c>
      <c r="P398" s="48" t="str">
        <f t="shared" si="232"/>
        <v>17.4002386318441</v>
      </c>
      <c r="Q398" s="17" t="str">
        <f t="shared" si="233"/>
        <v>1+33.9522279984962i</v>
      </c>
      <c r="R398" s="17">
        <f t="shared" si="241"/>
        <v>33.966951380155813</v>
      </c>
      <c r="S398" s="17">
        <f t="shared" si="242"/>
        <v>1.5413516910021128</v>
      </c>
      <c r="T398" s="17" t="str">
        <f t="shared" si="234"/>
        <v>1+0.11893265748885i</v>
      </c>
      <c r="U398" s="17">
        <f t="shared" si="243"/>
        <v>1.0070476537966613</v>
      </c>
      <c r="V398" s="17">
        <f t="shared" si="244"/>
        <v>0.11837660257599894</v>
      </c>
      <c r="W398" s="31" t="str">
        <f t="shared" si="235"/>
        <v>1-0.293421159518977i</v>
      </c>
      <c r="X398" s="17">
        <f t="shared" si="245"/>
        <v>1.0421592857396902</v>
      </c>
      <c r="Y398" s="17">
        <f t="shared" si="246"/>
        <v>-0.28541028621170045</v>
      </c>
      <c r="Z398" s="31" t="str">
        <f t="shared" si="236"/>
        <v>0.996389050607224+0.410367055576976i</v>
      </c>
      <c r="AA398" s="17">
        <f t="shared" si="247"/>
        <v>1.0775863123076881</v>
      </c>
      <c r="AB398" s="17">
        <f t="shared" si="248"/>
        <v>0.39068359594274815</v>
      </c>
      <c r="AC398" s="66" t="str">
        <f t="shared" si="249"/>
        <v>-0.251476612916929-0.430906517205361i</v>
      </c>
      <c r="AD398" s="64">
        <f t="shared" si="250"/>
        <v>-6.0393861404290305</v>
      </c>
      <c r="AE398" s="61">
        <f t="shared" si="251"/>
        <v>-120.26779292113655</v>
      </c>
      <c r="AF398" s="31" t="str">
        <f t="shared" si="237"/>
        <v>-9090.90909090909</v>
      </c>
      <c r="AG398" s="31" t="str">
        <f t="shared" si="238"/>
        <v>2.27623467397318E-08i</v>
      </c>
      <c r="AH398" s="31">
        <f t="shared" si="252"/>
        <v>2.27623467397318E-8</v>
      </c>
      <c r="AI398" s="31">
        <f t="shared" si="253"/>
        <v>1.5707963267948966</v>
      </c>
      <c r="AJ398" s="31" t="str">
        <f t="shared" si="239"/>
        <v>1+1144969318.51973i</v>
      </c>
      <c r="AK398" s="31">
        <f t="shared" si="254"/>
        <v>1144969318.5197301</v>
      </c>
      <c r="AL398" s="31">
        <f t="shared" si="255"/>
        <v>1.5707963259215107</v>
      </c>
      <c r="AM398" s="31" t="str">
        <f t="shared" si="240"/>
        <v>1+522.431520129355i</v>
      </c>
      <c r="AN398" s="31">
        <f t="shared" si="256"/>
        <v>522.432477191712</v>
      </c>
      <c r="AO398" s="31">
        <f t="shared" si="257"/>
        <v>1.5688822026653615</v>
      </c>
      <c r="AS398" s="58" t="str">
        <f t="shared" si="258"/>
        <v>348.815867706356+182232.487161198i</v>
      </c>
      <c r="AT398" s="49">
        <f t="shared" si="259"/>
        <v>105.21253196375247</v>
      </c>
      <c r="AU398" s="61">
        <f t="shared" si="260"/>
        <v>89.890328815954803</v>
      </c>
      <c r="AV398" s="58" t="str">
        <f t="shared" si="261"/>
        <v>78437.44733136-45977.5156654251i</v>
      </c>
      <c r="AW398" s="64">
        <f t="shared" si="262"/>
        <v>99.173145823323438</v>
      </c>
      <c r="AX398" s="61">
        <f t="shared" si="263"/>
        <v>-30.37746410518173</v>
      </c>
      <c r="AY398" s="310"/>
      <c r="BA398" s="31">
        <f t="shared" si="264"/>
        <v>0</v>
      </c>
      <c r="BB398" s="31">
        <f t="shared" si="265"/>
        <v>0</v>
      </c>
    </row>
    <row r="399" spans="14:54" x14ac:dyDescent="0.45">
      <c r="N399" s="10">
        <v>81</v>
      </c>
      <c r="O399" s="50">
        <f t="shared" si="266"/>
        <v>64565.422903465682</v>
      </c>
      <c r="P399" s="48" t="str">
        <f t="shared" si="232"/>
        <v>17.4002386318441</v>
      </c>
      <c r="Q399" s="17" t="str">
        <f t="shared" si="233"/>
        <v>1+34.7430769831797i</v>
      </c>
      <c r="R399" s="17">
        <f t="shared" si="241"/>
        <v>34.757465360108625</v>
      </c>
      <c r="S399" s="17">
        <f t="shared" si="242"/>
        <v>1.5420215585299797</v>
      </c>
      <c r="T399" s="17" t="str">
        <f t="shared" si="234"/>
        <v>1+0.121702954961668i</v>
      </c>
      <c r="U399" s="17">
        <f t="shared" si="243"/>
        <v>1.0073785828805384</v>
      </c>
      <c r="V399" s="17">
        <f t="shared" si="244"/>
        <v>0.1211073668359705</v>
      </c>
      <c r="W399" s="31" t="str">
        <f t="shared" si="235"/>
        <v>1-0.300255816322663i</v>
      </c>
      <c r="X399" s="17">
        <f t="shared" si="245"/>
        <v>1.044104187921679</v>
      </c>
      <c r="Y399" s="17">
        <f t="shared" si="246"/>
        <v>-0.29169147182436073</v>
      </c>
      <c r="Z399" s="31" t="str">
        <f t="shared" si="236"/>
        <v>0.996218871805258+0.419925732234807i</v>
      </c>
      <c r="AA399" s="17">
        <f t="shared" si="247"/>
        <v>1.0811057585333084</v>
      </c>
      <c r="AB399" s="17">
        <f t="shared" si="248"/>
        <v>0.39891898686709237</v>
      </c>
      <c r="AC399" s="66" t="str">
        <f t="shared" si="249"/>
        <v>-0.250715236649337-0.417566377302932i</v>
      </c>
      <c r="AD399" s="64">
        <f t="shared" si="250"/>
        <v>-6.2484904748013239</v>
      </c>
      <c r="AE399" s="61">
        <f t="shared" si="251"/>
        <v>-120.98145080492357</v>
      </c>
      <c r="AF399" s="31" t="str">
        <f t="shared" si="237"/>
        <v>-9090.90909090909</v>
      </c>
      <c r="AG399" s="31" t="str">
        <f t="shared" si="238"/>
        <v>2.27623467397318E-08i</v>
      </c>
      <c r="AH399" s="31">
        <f t="shared" si="252"/>
        <v>2.27623467397318E-8</v>
      </c>
      <c r="AI399" s="31">
        <f t="shared" si="253"/>
        <v>1.5707963267948966</v>
      </c>
      <c r="AJ399" s="31" t="str">
        <f t="shared" si="239"/>
        <v>1+1171639080.01771i</v>
      </c>
      <c r="AK399" s="31">
        <f t="shared" si="254"/>
        <v>1171639080.01771</v>
      </c>
      <c r="AL399" s="31">
        <f t="shared" si="255"/>
        <v>1.5707963259413915</v>
      </c>
      <c r="AM399" s="31" t="str">
        <f t="shared" si="240"/>
        <v>1+534.600513494952i</v>
      </c>
      <c r="AN399" s="31">
        <f t="shared" si="256"/>
        <v>534.60144877194853</v>
      </c>
      <c r="AO399" s="31">
        <f t="shared" si="257"/>
        <v>1.5689257733471664</v>
      </c>
      <c r="AS399" s="58" t="str">
        <f t="shared" si="258"/>
        <v>340.875849182649+182232.487161185i</v>
      </c>
      <c r="AT399" s="49">
        <f t="shared" si="259"/>
        <v>105.21253124759576</v>
      </c>
      <c r="AU399" s="61">
        <f t="shared" si="260"/>
        <v>89.892825230993651</v>
      </c>
      <c r="AV399" s="58" t="str">
        <f t="shared" si="261"/>
        <v>76008.6967216032-45830.799437267i</v>
      </c>
      <c r="AW399" s="64">
        <f t="shared" si="262"/>
        <v>98.964040772794434</v>
      </c>
      <c r="AX399" s="61">
        <f t="shared" si="263"/>
        <v>-31.0886255739299</v>
      </c>
      <c r="AY399" s="310"/>
      <c r="BA399" s="31">
        <f t="shared" si="264"/>
        <v>0</v>
      </c>
      <c r="BB399" s="31">
        <f t="shared" si="265"/>
        <v>0</v>
      </c>
    </row>
    <row r="400" spans="14:54" x14ac:dyDescent="0.45">
      <c r="N400" s="10">
        <v>82</v>
      </c>
      <c r="O400" s="50">
        <f t="shared" si="266"/>
        <v>66069.344800759733</v>
      </c>
      <c r="P400" s="48" t="str">
        <f t="shared" si="232"/>
        <v>17.4002386318441</v>
      </c>
      <c r="Q400" s="17" t="str">
        <f t="shared" si="233"/>
        <v>1+35.5523472071585i</v>
      </c>
      <c r="R400" s="17">
        <f t="shared" si="241"/>
        <v>35.566408195632441</v>
      </c>
      <c r="S400" s="17">
        <f t="shared" si="242"/>
        <v>1.5426762029722949</v>
      </c>
      <c r="T400" s="17" t="str">
        <f t="shared" si="234"/>
        <v>1+0.124537780952135i</v>
      </c>
      <c r="U400" s="17">
        <f t="shared" si="243"/>
        <v>1.0077249916939055</v>
      </c>
      <c r="V400" s="17">
        <f t="shared" si="244"/>
        <v>0.12389986070071501</v>
      </c>
      <c r="W400" s="31" t="str">
        <f t="shared" si="235"/>
        <v>1-0.307249672734519i</v>
      </c>
      <c r="X400" s="17">
        <f t="shared" si="245"/>
        <v>1.0461368750768081</v>
      </c>
      <c r="Y400" s="17">
        <f t="shared" si="246"/>
        <v>-0.29809452827836042</v>
      </c>
      <c r="Z400" s="31" t="str">
        <f t="shared" si="236"/>
        <v>0.996040672723445+0.429707059074242i</v>
      </c>
      <c r="AA400" s="17">
        <f t="shared" si="247"/>
        <v>1.0847788614909526</v>
      </c>
      <c r="AB400" s="17">
        <f t="shared" si="248"/>
        <v>0.40729178424592949</v>
      </c>
      <c r="AC400" s="66" t="str">
        <f t="shared" si="249"/>
        <v>-0.249874525729164-0.404493610154919i</v>
      </c>
      <c r="AD400" s="64">
        <f t="shared" si="250"/>
        <v>-6.457909559589428</v>
      </c>
      <c r="AE400" s="61">
        <f t="shared" si="251"/>
        <v>-121.70555511910783</v>
      </c>
      <c r="AF400" s="31" t="str">
        <f t="shared" si="237"/>
        <v>-9090.90909090909</v>
      </c>
      <c r="AG400" s="31" t="str">
        <f t="shared" si="238"/>
        <v>2.27623467397318E-08i</v>
      </c>
      <c r="AH400" s="31">
        <f t="shared" si="252"/>
        <v>2.27623467397318E-8</v>
      </c>
      <c r="AI400" s="31">
        <f t="shared" si="253"/>
        <v>1.5707963267948966</v>
      </c>
      <c r="AJ400" s="31" t="str">
        <f t="shared" si="239"/>
        <v>1+1198930060.06439i</v>
      </c>
      <c r="AK400" s="31">
        <f t="shared" si="254"/>
        <v>1198930060.0643899</v>
      </c>
      <c r="AL400" s="31">
        <f t="shared" si="255"/>
        <v>1.5707963259608195</v>
      </c>
      <c r="AM400" s="31" t="str">
        <f t="shared" si="240"/>
        <v>1+547.052959129077i</v>
      </c>
      <c r="AN400" s="31">
        <f t="shared" si="256"/>
        <v>547.05387311660593</v>
      </c>
      <c r="AO400" s="31">
        <f t="shared" si="257"/>
        <v>1.5689683522460312</v>
      </c>
      <c r="AS400" s="58" t="str">
        <f t="shared" si="258"/>
        <v>333.116567546205+182232.487161173i</v>
      </c>
      <c r="AT400" s="49">
        <f t="shared" si="259"/>
        <v>105.21253056367135</v>
      </c>
      <c r="AU400" s="61">
        <f t="shared" si="260"/>
        <v>89.895264821081781</v>
      </c>
      <c r="AV400" s="58" t="str">
        <f t="shared" si="261"/>
        <v>73628.6392750047-45669.9998248533i</v>
      </c>
      <c r="AW400" s="64">
        <f t="shared" si="262"/>
        <v>98.754621004081926</v>
      </c>
      <c r="AX400" s="61">
        <f t="shared" si="263"/>
        <v>-31.810290298026068</v>
      </c>
      <c r="AY400" s="310"/>
      <c r="BA400" s="31">
        <f t="shared" si="264"/>
        <v>0</v>
      </c>
      <c r="BB400" s="31">
        <f t="shared" si="265"/>
        <v>0</v>
      </c>
    </row>
    <row r="401" spans="14:54" x14ac:dyDescent="0.45">
      <c r="N401" s="10">
        <v>83</v>
      </c>
      <c r="O401" s="50">
        <f t="shared" si="266"/>
        <v>67608.297539198305</v>
      </c>
      <c r="P401" s="48" t="str">
        <f t="shared" si="232"/>
        <v>17.4002386318441</v>
      </c>
      <c r="Q401" s="17" t="str">
        <f t="shared" si="233"/>
        <v>1+36.3804677562176i</v>
      </c>
      <c r="R401" s="17">
        <f t="shared" si="241"/>
        <v>36.394208799769068</v>
      </c>
      <c r="S401" s="17">
        <f t="shared" si="242"/>
        <v>1.5433159691844909</v>
      </c>
      <c r="T401" s="17" t="str">
        <f t="shared" si="234"/>
        <v>1+0.127438638522515i</v>
      </c>
      <c r="U401" s="17">
        <f t="shared" si="243"/>
        <v>1.0080875986681277</v>
      </c>
      <c r="V401" s="17">
        <f t="shared" si="244"/>
        <v>0.12675539048673057</v>
      </c>
      <c r="W401" s="31" t="str">
        <f t="shared" si="235"/>
        <v>1-0.314406436989788i</v>
      </c>
      <c r="X401" s="17">
        <f t="shared" si="245"/>
        <v>1.0482611352237636</v>
      </c>
      <c r="Y401" s="17">
        <f t="shared" si="246"/>
        <v>-0.3046207496252159</v>
      </c>
      <c r="Z401" s="31" t="str">
        <f t="shared" si="236"/>
        <v>0.995854075377643+0.439716222284244i</v>
      </c>
      <c r="AA401" s="17">
        <f t="shared" si="247"/>
        <v>1.0886118204328792</v>
      </c>
      <c r="AB401" s="17">
        <f t="shared" si="248"/>
        <v>0.41580208220233855</v>
      </c>
      <c r="AC401" s="66" t="str">
        <f t="shared" si="249"/>
        <v>-0.24895508683462-0.391683788494053i</v>
      </c>
      <c r="AD401" s="64">
        <f t="shared" si="250"/>
        <v>-6.6676473425177907</v>
      </c>
      <c r="AE401" s="61">
        <f t="shared" si="251"/>
        <v>-122.44013031257317</v>
      </c>
      <c r="AF401" s="31" t="str">
        <f t="shared" si="237"/>
        <v>-9090.90909090909</v>
      </c>
      <c r="AG401" s="31" t="str">
        <f t="shared" si="238"/>
        <v>2.27623467397318E-08i</v>
      </c>
      <c r="AH401" s="31">
        <f t="shared" si="252"/>
        <v>2.27623467397318E-8</v>
      </c>
      <c r="AI401" s="31">
        <f t="shared" si="253"/>
        <v>1.5707963267948966</v>
      </c>
      <c r="AJ401" s="31" t="str">
        <f t="shared" si="239"/>
        <v>1+1226856728.69864i</v>
      </c>
      <c r="AK401" s="31">
        <f t="shared" si="254"/>
        <v>1226856728.6986401</v>
      </c>
      <c r="AL401" s="31">
        <f t="shared" si="255"/>
        <v>1.5707963259798055</v>
      </c>
      <c r="AM401" s="31" t="str">
        <f t="shared" si="240"/>
        <v>1+559.795459483234i</v>
      </c>
      <c r="AN401" s="31">
        <f t="shared" si="256"/>
        <v>559.79635266590037</v>
      </c>
      <c r="AO401" s="31">
        <f t="shared" si="257"/>
        <v>1.569009961937234</v>
      </c>
      <c r="AS401" s="58" t="str">
        <f t="shared" si="258"/>
        <v>325.53390872319+182232.487161159i</v>
      </c>
      <c r="AT401" s="49">
        <f t="shared" si="259"/>
        <v>105.21252991052839</v>
      </c>
      <c r="AU401" s="61">
        <f t="shared" si="260"/>
        <v>89.897648879686727</v>
      </c>
      <c r="AV401" s="58" t="str">
        <f t="shared" si="261"/>
        <v>71296.4676354628-45495.2110199471i</v>
      </c>
      <c r="AW401" s="64">
        <f t="shared" si="262"/>
        <v>98.544882568010593</v>
      </c>
      <c r="AX401" s="61">
        <f t="shared" si="263"/>
        <v>-32.542481432886476</v>
      </c>
      <c r="AY401" s="310"/>
      <c r="BA401" s="31">
        <f t="shared" si="264"/>
        <v>0</v>
      </c>
      <c r="BB401" s="31">
        <f t="shared" si="265"/>
        <v>0</v>
      </c>
    </row>
    <row r="402" spans="14:54" x14ac:dyDescent="0.45">
      <c r="N402" s="10">
        <v>84</v>
      </c>
      <c r="O402" s="50">
        <f t="shared" si="266"/>
        <v>69183.097091893651</v>
      </c>
      <c r="P402" s="48" t="str">
        <f t="shared" si="232"/>
        <v>17.4002386318441</v>
      </c>
      <c r="Q402" s="17" t="str">
        <f t="shared" si="233"/>
        <v>1+37.2278777108333i</v>
      </c>
      <c r="R402" s="17">
        <f t="shared" si="241"/>
        <v>37.241306084142089</v>
      </c>
      <c r="S402" s="17">
        <f t="shared" si="242"/>
        <v>1.5439411942830275</v>
      </c>
      <c r="T402" s="17" t="str">
        <f t="shared" si="234"/>
        <v>1+0.13040706574589i</v>
      </c>
      <c r="U402" s="17">
        <f t="shared" si="243"/>
        <v>1.0084671550409825</v>
      </c>
      <c r="V402" s="17">
        <f t="shared" si="244"/>
        <v>0.12967528386122532</v>
      </c>
      <c r="W402" s="31" t="str">
        <f t="shared" si="235"/>
        <v>1-0.32172990369961i</v>
      </c>
      <c r="X402" s="17">
        <f t="shared" si="245"/>
        <v>1.050480904602535</v>
      </c>
      <c r="Y402" s="17">
        <f t="shared" si="246"/>
        <v>-0.31127137165438784</v>
      </c>
      <c r="Z402" s="31" t="str">
        <f t="shared" si="236"/>
        <v>0.995658683969863+0.449958528855632i</v>
      </c>
      <c r="AA402" s="17">
        <f t="shared" si="247"/>
        <v>1.09261104362647</v>
      </c>
      <c r="AB402" s="17">
        <f t="shared" si="248"/>
        <v>0.42444983263035935</v>
      </c>
      <c r="AC402" s="66" t="str">
        <f t="shared" si="249"/>
        <v>-0.247957519742752-0.379132692914462i</v>
      </c>
      <c r="AD402" s="64">
        <f t="shared" si="250"/>
        <v>-6.8777072935358046</v>
      </c>
      <c r="AE402" s="61">
        <f t="shared" si="251"/>
        <v>-123.18518768019457</v>
      </c>
      <c r="AF402" s="31" t="str">
        <f t="shared" si="237"/>
        <v>-9090.90909090909</v>
      </c>
      <c r="AG402" s="31" t="str">
        <f t="shared" si="238"/>
        <v>2.27623467397318E-08i</v>
      </c>
      <c r="AH402" s="31">
        <f t="shared" si="252"/>
        <v>2.27623467397318E-8</v>
      </c>
      <c r="AI402" s="31">
        <f t="shared" si="253"/>
        <v>1.5707963267948966</v>
      </c>
      <c r="AJ402" s="31" t="str">
        <f t="shared" si="239"/>
        <v>1+1255433893.0098i</v>
      </c>
      <c r="AK402" s="31">
        <f t="shared" si="254"/>
        <v>1255433893.0098</v>
      </c>
      <c r="AL402" s="31">
        <f t="shared" si="255"/>
        <v>1.5707963259983593</v>
      </c>
      <c r="AM402" s="31" t="str">
        <f t="shared" si="240"/>
        <v>1+572.834770799777i</v>
      </c>
      <c r="AN402" s="31">
        <f t="shared" si="256"/>
        <v>572.83564365115501</v>
      </c>
      <c r="AO402" s="31">
        <f t="shared" si="257"/>
        <v>1.5690506244822069</v>
      </c>
      <c r="AS402" s="58" t="str">
        <f t="shared" si="258"/>
        <v>318.123852287535+182232.487161148i</v>
      </c>
      <c r="AT402" s="49">
        <f t="shared" si="259"/>
        <v>105.21252928678172</v>
      </c>
      <c r="AU402" s="61">
        <f t="shared" si="260"/>
        <v>89.899978670834884</v>
      </c>
      <c r="AV402" s="58" t="str">
        <f t="shared" si="261"/>
        <v>69011.4123925219-45306.5266858292i</v>
      </c>
      <c r="AW402" s="64">
        <f t="shared" si="262"/>
        <v>98.334821993245896</v>
      </c>
      <c r="AX402" s="61">
        <f t="shared" si="263"/>
        <v>-33.285209009359683</v>
      </c>
      <c r="AY402" s="310"/>
      <c r="BA402" s="31">
        <f t="shared" si="264"/>
        <v>0</v>
      </c>
      <c r="BB402" s="31">
        <f t="shared" si="265"/>
        <v>0</v>
      </c>
    </row>
    <row r="403" spans="14:54" x14ac:dyDescent="0.45">
      <c r="N403" s="10">
        <v>85</v>
      </c>
      <c r="O403" s="50">
        <f t="shared" si="266"/>
        <v>70794.578438413781</v>
      </c>
      <c r="P403" s="48" t="str">
        <f t="shared" ref="P403:P466" si="267">COMPLEX(Adc,0)</f>
        <v>17.4002386318441</v>
      </c>
      <c r="Q403" s="17" t="str">
        <f t="shared" ref="Q403:Q466" si="268">IMSUM(COMPLEX(1,0),IMDIV(COMPLEX(0,2*PI()*O403),COMPLEX(wp_lf,0)))</f>
        <v>1+38.0950263789805i</v>
      </c>
      <c r="R403" s="17">
        <f t="shared" si="241"/>
        <v>38.108149191678407</v>
      </c>
      <c r="S403" s="17">
        <f t="shared" si="242"/>
        <v>1.5445522078141722</v>
      </c>
      <c r="T403" s="17" t="str">
        <f t="shared" ref="T403:T466" si="269">IMSUM(COMPLEX(1,0),IMDIV(COMPLEX(0,2*PI()*O403),COMPLEX(wz_esr,0)))</f>
        <v>1+0.133444636521664i</v>
      </c>
      <c r="U403" s="17">
        <f t="shared" si="243"/>
        <v>1.0088644463040608</v>
      </c>
      <c r="V403" s="17">
        <f t="shared" si="244"/>
        <v>0.13266088972951087</v>
      </c>
      <c r="W403" s="31" t="str">
        <f t="shared" ref="W403:W466" si="270">IMSUB(COMPLEX(1,0),IMDIV(COMPLEX(0,2*PI()*O403),COMPLEX(wz_rhp,0)))</f>
        <v>1-0.329223955862972i</v>
      </c>
      <c r="X403" s="17">
        <f t="shared" si="245"/>
        <v>1.0528002721855956</v>
      </c>
      <c r="Y403" s="17">
        <f t="shared" si="246"/>
        <v>-0.31804756648528609</v>
      </c>
      <c r="Z403" s="31" t="str">
        <f t="shared" ref="Z403:Z466" si="271">IMSUM(COMPLEX(1,0),IMDIV(COMPLEX(0,2*PI()*O403),COMPLEX(Q*(wsl/2),0)),IMDIV(IMPOWER(COMPLEX(0,2*PI()*O403),2),IMPOWER(COMPLEX(wsl/2,0),2)))</f>
        <v>0.995454084048732+0.460439409394926i</v>
      </c>
      <c r="AA403" s="17">
        <f t="shared" si="247"/>
        <v>1.0967831523018798</v>
      </c>
      <c r="AB403" s="17">
        <f t="shared" si="248"/>
        <v>0.43323483846548272</v>
      </c>
      <c r="AC403" s="66" t="str">
        <f t="shared" si="249"/>
        <v>-0.246882426165425-0.36683630836429i</v>
      </c>
      <c r="AD403" s="64">
        <f t="shared" si="250"/>
        <v>-7.0880923461794314</v>
      </c>
      <c r="AE403" s="61">
        <f t="shared" si="251"/>
        <v>-123.94072468353139</v>
      </c>
      <c r="AF403" s="31" t="str">
        <f t="shared" ref="AF403:AF466" si="272">COMPLEX(Adc_ea,0)</f>
        <v>-9090.90909090909</v>
      </c>
      <c r="AG403" s="31" t="str">
        <f t="shared" ref="AG403:AG466" si="273">COMPLEX(0,2*PI()*wp0_ea)</f>
        <v>2.27623467397318E-08i</v>
      </c>
      <c r="AH403" s="31">
        <f t="shared" si="252"/>
        <v>2.27623467397318E-8</v>
      </c>
      <c r="AI403" s="31">
        <f t="shared" si="253"/>
        <v>1.5707963267948966</v>
      </c>
      <c r="AJ403" s="31" t="str">
        <f t="shared" ref="AJ403:AJ466" si="274">IMSUM(COMPLEX(1,0),IMDIV(COMPLEX(0,2*PI()*O403),COMPLEX(wp1_ea,0)))</f>
        <v>1+1284676704.98868i</v>
      </c>
      <c r="AK403" s="31">
        <f t="shared" si="254"/>
        <v>1284676704.9886799</v>
      </c>
      <c r="AL403" s="31">
        <f t="shared" si="255"/>
        <v>1.5707963260164906</v>
      </c>
      <c r="AM403" s="31" t="str">
        <f t="shared" ref="AM403:AM466" si="275">IMSUM(COMPLEX(1,0),IMDIV(COMPLEX(0,2*PI()*O403),COMPLEX(wz_ea,0)))</f>
        <v>1+586.177806694163i</v>
      </c>
      <c r="AN403" s="31">
        <f t="shared" si="256"/>
        <v>586.17865967704722</v>
      </c>
      <c r="AO403" s="31">
        <f t="shared" si="257"/>
        <v>1.5690903614402314</v>
      </c>
      <c r="AS403" s="58" t="str">
        <f t="shared" si="258"/>
        <v>310.882469329226+182232.487161135i</v>
      </c>
      <c r="AT403" s="49">
        <f t="shared" si="259"/>
        <v>105.21252869110805</v>
      </c>
      <c r="AU403" s="61">
        <f t="shared" si="260"/>
        <v>89.902255429781519</v>
      </c>
      <c r="AV403" s="58" t="str">
        <f t="shared" si="261"/>
        <v>66772.7414359533-45104.0415338846i</v>
      </c>
      <c r="AW403" s="64">
        <f t="shared" si="262"/>
        <v>98.124436344928625</v>
      </c>
      <c r="AX403" s="61">
        <f t="shared" si="263"/>
        <v>-34.038469253749902</v>
      </c>
      <c r="AY403" s="310"/>
      <c r="BA403" s="31">
        <f t="shared" si="264"/>
        <v>0</v>
      </c>
      <c r="BB403" s="31">
        <f t="shared" si="265"/>
        <v>0</v>
      </c>
    </row>
    <row r="404" spans="14:54" x14ac:dyDescent="0.45">
      <c r="N404" s="10">
        <v>86</v>
      </c>
      <c r="O404" s="50">
        <f t="shared" si="266"/>
        <v>72443.596007499116</v>
      </c>
      <c r="P404" s="48" t="str">
        <f t="shared" si="267"/>
        <v>17.4002386318441</v>
      </c>
      <c r="Q404" s="17" t="str">
        <f t="shared" si="268"/>
        <v>1+38.9823735343613i</v>
      </c>
      <c r="R404" s="17">
        <f t="shared" ref="R404:R467" si="276">IMABS(Q404)</f>
        <v>38.995197734752828</v>
      </c>
      <c r="S404" s="17">
        <f t="shared" ref="S404:S467" si="277">IMARGUMENT(Q404)</f>
        <v>1.545149331919428</v>
      </c>
      <c r="T404" s="17" t="str">
        <f t="shared" si="269"/>
        <v>1+0.136552961410072i</v>
      </c>
      <c r="U404" s="17">
        <f t="shared" ref="U404:U467" si="278">IMABS(T404)</f>
        <v>1.0092802937092651</v>
      </c>
      <c r="V404" s="17">
        <f t="shared" ref="V404:V467" si="279">IMARGUMENT(T404)</f>
        <v>0.13571357808076159</v>
      </c>
      <c r="W404" s="31" t="str">
        <f t="shared" si="270"/>
        <v>1-0.336892566925528i</v>
      </c>
      <c r="X404" s="17">
        <f t="shared" ref="X404:X467" si="280">IMABS(W404)</f>
        <v>1.0552234842201302</v>
      </c>
      <c r="Y404" s="17">
        <f t="shared" ref="Y404:Y467" si="281">IMARGUMENT(W404)</f>
        <v>-0.32495043695759623</v>
      </c>
      <c r="Z404" s="31" t="str">
        <f t="shared" si="271"/>
        <v>0.995239841630388+0.471164421003717i</v>
      </c>
      <c r="AA404" s="17">
        <f t="shared" ref="AA404:AA467" si="282">IMABS(Z404)</f>
        <v>1.1011349844538805</v>
      </c>
      <c r="AB404" s="17">
        <f t="shared" ref="AB404:AB467" si="283">IMARGUMENT(Z404)</f>
        <v>0.44215674705775004</v>
      </c>
      <c r="AC404" s="66" t="str">
        <f t="shared" ref="AC404:AC467" si="284">(IMDIV(IMPRODUCT(P404,T404,W404),IMPRODUCT(Q404,Z404)))</f>
        <v>-0.245730418609919-0.354790820208952i</v>
      </c>
      <c r="AD404" s="64">
        <f t="shared" ref="AD404:AD467" si="285">20*LOG(IMABS(AC404))</f>
        <v>-7.2988048360758864</v>
      </c>
      <c r="AE404" s="61">
        <f t="shared" ref="AE404:AE467" si="286">(180/PI())*IMARGUMENT(AC404)</f>
        <v>-124.70672426803998</v>
      </c>
      <c r="AF404" s="31" t="str">
        <f t="shared" si="272"/>
        <v>-9090.90909090909</v>
      </c>
      <c r="AG404" s="31" t="str">
        <f t="shared" si="273"/>
        <v>2.27623467397318E-08i</v>
      </c>
      <c r="AH404" s="31">
        <f t="shared" ref="AH404:AH467" si="287">IMABS(AG404)</f>
        <v>2.27623467397318E-8</v>
      </c>
      <c r="AI404" s="31">
        <f t="shared" ref="AI404:AI467" si="288">IMARGUMENT(AG404)</f>
        <v>1.5707963267948966</v>
      </c>
      <c r="AJ404" s="31" t="str">
        <f t="shared" si="274"/>
        <v>1+1314600669.56124i</v>
      </c>
      <c r="AK404" s="31">
        <f t="shared" ref="AK404:AK467" si="289">IMABS(AJ404)</f>
        <v>1314600669.56124</v>
      </c>
      <c r="AL404" s="31">
        <f t="shared" ref="AL404:AL467" si="290">IMARGUMENT(AJ404)</f>
        <v>1.5707963260342093</v>
      </c>
      <c r="AM404" s="31" t="str">
        <f t="shared" si="275"/>
        <v>1+599.831641820641i</v>
      </c>
      <c r="AN404" s="31">
        <f t="shared" ref="AN404:AN467" si="291">IMABS(AM404)</f>
        <v>599.83247538729154</v>
      </c>
      <c r="AO404" s="31">
        <f t="shared" ref="AO404:AO467" si="292">IMARGUMENT(AM404)</f>
        <v>1.5691291938798664</v>
      </c>
      <c r="AS404" s="58" t="str">
        <f t="shared" ref="AS404:AS467" si="293">IMPRODUCT(AF404,IMDIV(AM404,IMPRODUCT(AG404,AJ404)))</f>
        <v>303.805920371175+182232.487161126i</v>
      </c>
      <c r="AT404" s="49">
        <f t="shared" ref="AT404:AT467" si="294">20*LOG(IMABS(AS404))</f>
        <v>105.21252812224421</v>
      </c>
      <c r="AU404" s="61">
        <f t="shared" ref="AU404:AU467" si="295">(180/PI())*IMARGUMENT(AS404)</f>
        <v>89.904480363665598</v>
      </c>
      <c r="AV404" s="58" t="str">
        <f t="shared" ref="AV404:AV467" si="296">IMPRODUCT(AC404,AS404)</f>
        <v>64579.7592326242-44887.852906103i</v>
      </c>
      <c r="AW404" s="64">
        <f t="shared" ref="AW404:AW467" si="297">20*LOG(IMABS(AV404))</f>
        <v>97.913723286168334</v>
      </c>
      <c r="AX404" s="61">
        <f t="shared" ref="AX404:AX467" si="298">(180/PI())*IMARGUMENT(AV404)</f>
        <v>-34.802243904374379</v>
      </c>
      <c r="AY404" s="310"/>
      <c r="BA404" s="31">
        <f t="shared" ref="BA404:BA467" si="299">SUM((AW405&lt;0)*(AW404&gt;0))*O404</f>
        <v>0</v>
      </c>
      <c r="BB404" s="31">
        <f t="shared" ref="BB404:BB467" si="300">IF(BA404&gt;0,AX404,0)</f>
        <v>0</v>
      </c>
    </row>
    <row r="405" spans="14:54" x14ac:dyDescent="0.45">
      <c r="N405" s="10">
        <v>87</v>
      </c>
      <c r="O405" s="50">
        <f t="shared" si="266"/>
        <v>74131.024130091857</v>
      </c>
      <c r="P405" s="48" t="str">
        <f t="shared" si="267"/>
        <v>17.4002386318441</v>
      </c>
      <c r="Q405" s="17" t="str">
        <f t="shared" si="268"/>
        <v>1+39.8903896601827i</v>
      </c>
      <c r="R405" s="17">
        <f t="shared" si="276"/>
        <v>39.902922038883446</v>
      </c>
      <c r="S405" s="17">
        <f t="shared" si="277"/>
        <v>1.5457328814976525</v>
      </c>
      <c r="T405" s="17" t="str">
        <f t="shared" si="269"/>
        <v>1+0.139733688486111i</v>
      </c>
      <c r="U405" s="17">
        <f t="shared" si="278"/>
        <v>1.009715555836362</v>
      </c>
      <c r="V405" s="17">
        <f t="shared" si="279"/>
        <v>0.13883473978888275</v>
      </c>
      <c r="W405" s="31" t="str">
        <f t="shared" si="270"/>
        <v>1-0.344739802886369i</v>
      </c>
      <c r="X405" s="17">
        <f t="shared" si="280"/>
        <v>1.0577549487920785</v>
      </c>
      <c r="Y405" s="17">
        <f t="shared" si="281"/>
        <v>-0.33198101082694759</v>
      </c>
      <c r="Z405" s="31" t="str">
        <f t="shared" si="271"/>
        <v>0.995015502277935+0.482139250225124i</v>
      </c>
      <c r="AA405" s="17">
        <f t="shared" si="282"/>
        <v>1.1056735984824166</v>
      </c>
      <c r="AB405" s="17">
        <f t="shared" si="283"/>
        <v>0.45121504368995863</v>
      </c>
      <c r="AC405" s="66" t="str">
        <f t="shared" si="284"/>
        <v>-0.244502129236581-0.342992609835221i</v>
      </c>
      <c r="AD405" s="64">
        <f t="shared" si="285"/>
        <v>-7.5098464366812037</v>
      </c>
      <c r="AE405" s="61">
        <f t="shared" si="286"/>
        <v>-125.48315417982755</v>
      </c>
      <c r="AF405" s="31" t="str">
        <f t="shared" si="272"/>
        <v>-9090.90909090909</v>
      </c>
      <c r="AG405" s="31" t="str">
        <f t="shared" si="273"/>
        <v>2.27623467397318E-08i</v>
      </c>
      <c r="AH405" s="31">
        <f t="shared" si="287"/>
        <v>2.27623467397318E-8</v>
      </c>
      <c r="AI405" s="31">
        <f t="shared" si="288"/>
        <v>1.5707963267948966</v>
      </c>
      <c r="AJ405" s="31" t="str">
        <f t="shared" si="274"/>
        <v>1+1345221652.80961i</v>
      </c>
      <c r="AK405" s="31">
        <f t="shared" si="289"/>
        <v>1345221652.8096099</v>
      </c>
      <c r="AL405" s="31">
        <f t="shared" si="290"/>
        <v>1.5707963260515247</v>
      </c>
      <c r="AM405" s="31" t="str">
        <f t="shared" si="275"/>
        <v>1+613.803515623322i</v>
      </c>
      <c r="AN405" s="31">
        <f t="shared" si="291"/>
        <v>613.80433021570468</v>
      </c>
      <c r="AO405" s="31">
        <f t="shared" si="292"/>
        <v>1.5691671423901168</v>
      </c>
      <c r="AS405" s="58" t="str">
        <f t="shared" si="293"/>
        <v>296.890453333448+182232.487161115i</v>
      </c>
      <c r="AT405" s="49">
        <f t="shared" si="294"/>
        <v>105.2125275789833</v>
      </c>
      <c r="AU405" s="61">
        <f t="shared" si="295"/>
        <v>89.906654652149655</v>
      </c>
      <c r="AV405" s="58" t="str">
        <f t="shared" si="296"/>
        <v>62431.8060201642-44658.0623583944i</v>
      </c>
      <c r="AW405" s="64">
        <f t="shared" si="297"/>
        <v>97.702681142302083</v>
      </c>
      <c r="AX405" s="61">
        <f t="shared" si="298"/>
        <v>-35.576499527677832</v>
      </c>
      <c r="AY405" s="310"/>
      <c r="BA405" s="31">
        <f t="shared" si="299"/>
        <v>0</v>
      </c>
      <c r="BB405" s="31">
        <f t="shared" si="300"/>
        <v>0</v>
      </c>
    </row>
    <row r="406" spans="14:54" x14ac:dyDescent="0.45">
      <c r="N406" s="10">
        <v>88</v>
      </c>
      <c r="O406" s="50">
        <f t="shared" si="266"/>
        <v>75857.757502918481</v>
      </c>
      <c r="P406" s="48" t="str">
        <f t="shared" si="267"/>
        <v>17.4002386318441</v>
      </c>
      <c r="Q406" s="17" t="str">
        <f t="shared" si="268"/>
        <v>1+40.8195561986136i</v>
      </c>
      <c r="R406" s="17">
        <f t="shared" si="276"/>
        <v>40.831803392108142</v>
      </c>
      <c r="S406" s="17">
        <f t="shared" si="277"/>
        <v>1.546303164363916</v>
      </c>
      <c r="T406" s="17" t="str">
        <f t="shared" si="269"/>
        <v>1+0.142988504213379i</v>
      </c>
      <c r="U406" s="17">
        <f t="shared" si="278"/>
        <v>1.0101711302235772</v>
      </c>
      <c r="V406" s="17">
        <f t="shared" si="279"/>
        <v>0.14202578636511121</v>
      </c>
      <c r="W406" s="31" t="str">
        <f t="shared" si="270"/>
        <v>1-0.352769824453869i</v>
      </c>
      <c r="X406" s="17">
        <f t="shared" si="280"/>
        <v>1.0603992404020353</v>
      </c>
      <c r="Y406" s="17">
        <f t="shared" si="281"/>
        <v>-0.33914023477488703</v>
      </c>
      <c r="Z406" s="31" t="str">
        <f t="shared" si="271"/>
        <v>0.994780590137531+0.493369716058865i</v>
      </c>
      <c r="AA406" s="17">
        <f t="shared" si="282"/>
        <v>1.1104062766566025</v>
      </c>
      <c r="AB406" s="17">
        <f t="shared" si="283"/>
        <v>0.46040904528605464</v>
      </c>
      <c r="AC406" s="66" t="str">
        <f t="shared" si="284"/>
        <v>-0.243198218681337-0.331438249767989i</v>
      </c>
      <c r="AD406" s="64">
        <f t="shared" si="285"/>
        <v>-7.7212180923735172</v>
      </c>
      <c r="AE406" s="61">
        <f t="shared" si="286"/>
        <v>-126.26996628524428</v>
      </c>
      <c r="AF406" s="31" t="str">
        <f t="shared" si="272"/>
        <v>-9090.90909090909</v>
      </c>
      <c r="AG406" s="31" t="str">
        <f t="shared" si="273"/>
        <v>2.27623467397318E-08i</v>
      </c>
      <c r="AH406" s="31">
        <f t="shared" si="287"/>
        <v>2.27623467397318E-8</v>
      </c>
      <c r="AI406" s="31">
        <f t="shared" si="288"/>
        <v>1.5707963267948966</v>
      </c>
      <c r="AJ406" s="31" t="str">
        <f t="shared" si="274"/>
        <v>1+1376555890.3844i</v>
      </c>
      <c r="AK406" s="31">
        <f t="shared" si="289"/>
        <v>1376555890.3843999</v>
      </c>
      <c r="AL406" s="31">
        <f t="shared" si="290"/>
        <v>1.5707963260684459</v>
      </c>
      <c r="AM406" s="31" t="str">
        <f t="shared" si="275"/>
        <v>1+628.100836174635i</v>
      </c>
      <c r="AN406" s="31">
        <f t="shared" si="291"/>
        <v>628.10163222465485</v>
      </c>
      <c r="AO406" s="31">
        <f t="shared" si="292"/>
        <v>1.5692042270913473</v>
      </c>
      <c r="AS406" s="58" t="str">
        <f t="shared" si="293"/>
        <v>290.132401543891+182232.487161106i</v>
      </c>
      <c r="AT406" s="49">
        <f t="shared" si="294"/>
        <v>105.21252706017314</v>
      </c>
      <c r="AU406" s="61">
        <f t="shared" si="295"/>
        <v>89.908779448045152</v>
      </c>
      <c r="AV406" s="58" t="str">
        <f t="shared" si="296"/>
        <v>60328.2569123073-44414.7772388193i</v>
      </c>
      <c r="AW406" s="64">
        <f t="shared" si="297"/>
        <v>97.491308967799625</v>
      </c>
      <c r="AX406" s="61">
        <f t="shared" si="298"/>
        <v>-36.361186837199128</v>
      </c>
      <c r="AY406" s="310"/>
      <c r="BA406" s="31">
        <f t="shared" si="299"/>
        <v>0</v>
      </c>
      <c r="BB406" s="31">
        <f t="shared" si="300"/>
        <v>0</v>
      </c>
    </row>
    <row r="407" spans="14:54" x14ac:dyDescent="0.45">
      <c r="N407" s="10">
        <v>89</v>
      </c>
      <c r="O407" s="50">
        <f t="shared" si="266"/>
        <v>77624.711662869129</v>
      </c>
      <c r="P407" s="48" t="str">
        <f t="shared" si="267"/>
        <v>17.4002386318441</v>
      </c>
      <c r="Q407" s="17" t="str">
        <f t="shared" si="268"/>
        <v>1+41.7703658060516i</v>
      </c>
      <c r="R407" s="17">
        <f t="shared" si="276"/>
        <v>41.782334300172423</v>
      </c>
      <c r="S407" s="17">
        <f t="shared" si="277"/>
        <v>1.5468604814051419</v>
      </c>
      <c r="T407" s="17" t="str">
        <f t="shared" si="269"/>
        <v>1+0.146319134338257i</v>
      </c>
      <c r="U407" s="17">
        <f t="shared" si="278"/>
        <v>1.0106479550632341</v>
      </c>
      <c r="V407" s="17">
        <f t="shared" si="279"/>
        <v>0.14528814965872755</v>
      </c>
      <c r="W407" s="31" t="str">
        <f t="shared" si="270"/>
        <v>1-0.360986889251755i</v>
      </c>
      <c r="X407" s="17">
        <f t="shared" si="280"/>
        <v>1.0631611045423262</v>
      </c>
      <c r="Y407" s="17">
        <f t="shared" si="281"/>
        <v>-0.34642896824419189</v>
      </c>
      <c r="Z407" s="31" t="str">
        <f t="shared" si="271"/>
        <v>0.994534606929031+0.504861773046581i</v>
      </c>
      <c r="AA407" s="17">
        <f t="shared" si="282"/>
        <v>1.115340528387281</v>
      </c>
      <c r="AB407" s="17">
        <f t="shared" si="283"/>
        <v>0.46973789435734775</v>
      </c>
      <c r="AC407" s="66" t="str">
        <f t="shared" si="284"/>
        <v>-0.24181938480626-0.320124498273834i</v>
      </c>
      <c r="AD407" s="64">
        <f t="shared" si="285"/>
        <v>-7.9329199490587641</v>
      </c>
      <c r="AE407" s="61">
        <f t="shared" si="286"/>
        <v>-127.06709589688126</v>
      </c>
      <c r="AF407" s="31" t="str">
        <f t="shared" si="272"/>
        <v>-9090.90909090909</v>
      </c>
      <c r="AG407" s="31" t="str">
        <f t="shared" si="273"/>
        <v>2.27623467397318E-08i</v>
      </c>
      <c r="AH407" s="31">
        <f t="shared" si="287"/>
        <v>2.27623467397318E-8</v>
      </c>
      <c r="AI407" s="31">
        <f t="shared" si="288"/>
        <v>1.5707963267948966</v>
      </c>
      <c r="AJ407" s="31" t="str">
        <f t="shared" si="274"/>
        <v>1+1408619996.11315i</v>
      </c>
      <c r="AK407" s="31">
        <f t="shared" si="289"/>
        <v>1408619996.1131499</v>
      </c>
      <c r="AL407" s="31">
        <f t="shared" si="290"/>
        <v>1.570796326084982</v>
      </c>
      <c r="AM407" s="31" t="str">
        <f t="shared" si="275"/>
        <v>1+642.731184103185i</v>
      </c>
      <c r="AN407" s="31">
        <f t="shared" si="291"/>
        <v>642.73196203291639</v>
      </c>
      <c r="AO407" s="31">
        <f t="shared" si="292"/>
        <v>1.5692404676459493</v>
      </c>
      <c r="AS407" s="58" t="str">
        <f t="shared" si="293"/>
        <v>283.528181793987+182232.487161096i</v>
      </c>
      <c r="AT407" s="49">
        <f t="shared" si="294"/>
        <v>105.21252656471317</v>
      </c>
      <c r="AU407" s="61">
        <f t="shared" si="295"/>
        <v>89.910855877923623</v>
      </c>
      <c r="AV407" s="58" t="str">
        <f t="shared" si="296"/>
        <v>58268.5209111421-44158.1122539542i</v>
      </c>
      <c r="AW407" s="64">
        <f t="shared" si="297"/>
        <v>97.279606615654401</v>
      </c>
      <c r="AX407" s="61">
        <f t="shared" si="298"/>
        <v>-37.156240018957632</v>
      </c>
      <c r="AY407" s="310"/>
      <c r="BA407" s="31">
        <f t="shared" si="299"/>
        <v>0</v>
      </c>
      <c r="BB407" s="31">
        <f t="shared" si="300"/>
        <v>0</v>
      </c>
    </row>
    <row r="408" spans="14:54" x14ac:dyDescent="0.45">
      <c r="N408" s="10">
        <v>90</v>
      </c>
      <c r="O408" s="50">
        <f t="shared" si="266"/>
        <v>79432.823472428237</v>
      </c>
      <c r="P408" s="48" t="str">
        <f t="shared" si="267"/>
        <v>17.4002386318441</v>
      </c>
      <c r="Q408" s="17" t="str">
        <f t="shared" si="268"/>
        <v>1+42.7433226143363i</v>
      </c>
      <c r="R408" s="17">
        <f t="shared" si="276"/>
        <v>42.755018747665545</v>
      </c>
      <c r="S408" s="17">
        <f t="shared" si="277"/>
        <v>1.5474051267325779</v>
      </c>
      <c r="T408" s="17" t="str">
        <f t="shared" si="269"/>
        <v>1+0.149727344804925i</v>
      </c>
      <c r="U408" s="17">
        <f t="shared" si="278"/>
        <v>1.0111470109644458</v>
      </c>
      <c r="V408" s="17">
        <f t="shared" si="279"/>
        <v>0.14862328150211632</v>
      </c>
      <c r="W408" s="31" t="str">
        <f t="shared" si="270"/>
        <v>1-0.369395354076551i</v>
      </c>
      <c r="X408" s="17">
        <f t="shared" si="280"/>
        <v>1.0660454622638476</v>
      </c>
      <c r="Y408" s="17">
        <f t="shared" si="281"/>
        <v>-0.35384797711275207</v>
      </c>
      <c r="Z408" s="31" t="str">
        <f t="shared" si="271"/>
        <v>0.994277030889068+0.516621514429005i</v>
      </c>
      <c r="AA408" s="17">
        <f t="shared" si="282"/>
        <v>1.1204840932938314</v>
      </c>
      <c r="AB408" s="17">
        <f t="shared" si="283"/>
        <v>0.47920055323632627</v>
      </c>
      <c r="AC408" s="66" t="str">
        <f t="shared" si="284"/>
        <v>-0.240366371336742-0.309048293428366i</v>
      </c>
      <c r="AD408" s="64">
        <f t="shared" si="285"/>
        <v>-8.1449512824838628</v>
      </c>
      <c r="AE408" s="61">
        <f t="shared" si="286"/>
        <v>-127.87446110980511</v>
      </c>
      <c r="AF408" s="31" t="str">
        <f t="shared" si="272"/>
        <v>-9090.90909090909</v>
      </c>
      <c r="AG408" s="31" t="str">
        <f t="shared" si="273"/>
        <v>2.27623467397318E-08i</v>
      </c>
      <c r="AH408" s="31">
        <f t="shared" si="287"/>
        <v>2.27623467397318E-8</v>
      </c>
      <c r="AI408" s="31">
        <f t="shared" si="288"/>
        <v>1.5707963267948966</v>
      </c>
      <c r="AJ408" s="31" t="str">
        <f t="shared" si="274"/>
        <v>1+1441430970.80914i</v>
      </c>
      <c r="AK408" s="31">
        <f t="shared" si="289"/>
        <v>1441430970.80914</v>
      </c>
      <c r="AL408" s="31">
        <f t="shared" si="290"/>
        <v>1.5707963261011415</v>
      </c>
      <c r="AM408" s="31" t="str">
        <f t="shared" si="275"/>
        <v>1+657.702316613102i</v>
      </c>
      <c r="AN408" s="31">
        <f t="shared" si="291"/>
        <v>657.70307683501142</v>
      </c>
      <c r="AO408" s="31">
        <f t="shared" si="292"/>
        <v>1.5692758832687637</v>
      </c>
      <c r="AS408" s="58" t="str">
        <f t="shared" si="293"/>
        <v>277.074292439008+182232.487161086i</v>
      </c>
      <c r="AT408" s="49">
        <f t="shared" si="294"/>
        <v>105.21252609155249</v>
      </c>
      <c r="AU408" s="61">
        <f t="shared" si="295"/>
        <v>89.912885042713839</v>
      </c>
      <c r="AV408" s="58" t="str">
        <f t="shared" si="296"/>
        <v>56252.039822076-43888.1910158108i</v>
      </c>
      <c r="AW408" s="64">
        <f t="shared" si="297"/>
        <v>97.067574809068645</v>
      </c>
      <c r="AX408" s="61">
        <f t="shared" si="298"/>
        <v>-37.961576067091258</v>
      </c>
      <c r="AY408" s="310"/>
      <c r="BA408" s="31">
        <f t="shared" si="299"/>
        <v>0</v>
      </c>
      <c r="BB408" s="31">
        <f t="shared" si="300"/>
        <v>0</v>
      </c>
    </row>
    <row r="409" spans="14:54" x14ac:dyDescent="0.45">
      <c r="N409" s="10">
        <v>91</v>
      </c>
      <c r="O409" s="50">
        <f t="shared" si="266"/>
        <v>81283.051616410012</v>
      </c>
      <c r="P409" s="48" t="str">
        <f t="shared" si="267"/>
        <v>17.4002386318441</v>
      </c>
      <c r="Q409" s="17" t="str">
        <f t="shared" si="268"/>
        <v>1+43.7389424980458i</v>
      </c>
      <c r="R409" s="17">
        <f t="shared" si="276"/>
        <v>43.750372465241448</v>
      </c>
      <c r="S409" s="17">
        <f t="shared" si="277"/>
        <v>1.5479373878311424</v>
      </c>
      <c r="T409" s="17" t="str">
        <f t="shared" si="269"/>
        <v>1+0.153214942691684i</v>
      </c>
      <c r="U409" s="17">
        <f t="shared" si="278"/>
        <v>1.0116693227848792</v>
      </c>
      <c r="V409" s="17">
        <f t="shared" si="279"/>
        <v>0.15203265329618851</v>
      </c>
      <c r="W409" s="31" t="str">
        <f t="shared" si="270"/>
        <v>1-0.377999677207602i</v>
      </c>
      <c r="X409" s="17">
        <f t="shared" si="280"/>
        <v>1.0690574147205805</v>
      </c>
      <c r="Y409" s="17">
        <f t="shared" si="281"/>
        <v>-0.36139792722164243</v>
      </c>
      <c r="Z409" s="31" t="str">
        <f t="shared" si="271"/>
        <v>0.99400731566433+0.52865517537667i</v>
      </c>
      <c r="AA409" s="17">
        <f t="shared" si="282"/>
        <v>1.1258449440516862</v>
      </c>
      <c r="AB409" s="17">
        <f t="shared" si="283"/>
        <v>0.48879579864985362</v>
      </c>
      <c r="AC409" s="66" t="str">
        <f t="shared" si="284"/>
        <v>-0.238839976339368-0.298206746627782i</v>
      </c>
      <c r="AD409" s="64">
        <f t="shared" si="285"/>
        <v>-8.3573104244923773</v>
      </c>
      <c r="AE409" s="61">
        <f t="shared" si="286"/>
        <v>-128.69196215212168</v>
      </c>
      <c r="AF409" s="31" t="str">
        <f t="shared" si="272"/>
        <v>-9090.90909090909</v>
      </c>
      <c r="AG409" s="31" t="str">
        <f t="shared" si="273"/>
        <v>2.27623467397318E-08i</v>
      </c>
      <c r="AH409" s="31">
        <f t="shared" si="287"/>
        <v>2.27623467397318E-8</v>
      </c>
      <c r="AI409" s="31">
        <f t="shared" si="288"/>
        <v>1.5707963267948966</v>
      </c>
      <c r="AJ409" s="31" t="str">
        <f t="shared" si="274"/>
        <v>1+1475006211.28543i</v>
      </c>
      <c r="AK409" s="31">
        <f t="shared" si="289"/>
        <v>1475006211.28543</v>
      </c>
      <c r="AL409" s="31">
        <f t="shared" si="290"/>
        <v>1.5707963261169333</v>
      </c>
      <c r="AM409" s="31" t="str">
        <f t="shared" si="275"/>
        <v>1+673.022171597004i</v>
      </c>
      <c r="AN409" s="31">
        <f t="shared" si="291"/>
        <v>673.02291451416943</v>
      </c>
      <c r="AO409" s="31">
        <f t="shared" si="292"/>
        <v>1.5693104927372665</v>
      </c>
      <c r="AS409" s="58" t="str">
        <f t="shared" si="293"/>
        <v>270.767311541395+182232.487161078i</v>
      </c>
      <c r="AT409" s="49">
        <f t="shared" si="294"/>
        <v>105.21252563968758</v>
      </c>
      <c r="AU409" s="61">
        <f t="shared" si="295"/>
        <v>89.914868018285432</v>
      </c>
      <c r="AV409" s="58" t="str">
        <f t="shared" si="296"/>
        <v>54278.2870679121-43605.147560884i</v>
      </c>
      <c r="AW409" s="64">
        <f t="shared" si="297"/>
        <v>96.855215215195201</v>
      </c>
      <c r="AX409" s="61">
        <f t="shared" si="298"/>
        <v>-38.777094133836293</v>
      </c>
      <c r="AY409" s="310"/>
      <c r="BA409" s="31">
        <f t="shared" si="299"/>
        <v>0</v>
      </c>
      <c r="BB409" s="31">
        <f t="shared" si="300"/>
        <v>0</v>
      </c>
    </row>
    <row r="410" spans="14:54" x14ac:dyDescent="0.45">
      <c r="N410" s="10">
        <v>92</v>
      </c>
      <c r="O410" s="50">
        <f t="shared" si="266"/>
        <v>83176.377110267174</v>
      </c>
      <c r="P410" s="48" t="str">
        <f t="shared" si="267"/>
        <v>17.4002386318441</v>
      </c>
      <c r="Q410" s="17" t="str">
        <f t="shared" si="268"/>
        <v>1+44.7577533480212i</v>
      </c>
      <c r="R410" s="17">
        <f t="shared" si="276"/>
        <v>44.768923203069143</v>
      </c>
      <c r="S410" s="17">
        <f t="shared" si="277"/>
        <v>1.5484575457056995</v>
      </c>
      <c r="T410" s="17" t="str">
        <f t="shared" si="269"/>
        <v>1+0.156783777169098i</v>
      </c>
      <c r="U410" s="17">
        <f t="shared" si="278"/>
        <v>1.0122159615336095</v>
      </c>
      <c r="V410" s="17">
        <f t="shared" si="279"/>
        <v>0.15551775553201658</v>
      </c>
      <c r="W410" s="31" t="str">
        <f t="shared" si="270"/>
        <v>1-0.386804420770926i</v>
      </c>
      <c r="X410" s="17">
        <f t="shared" si="280"/>
        <v>1.072202247679015</v>
      </c>
      <c r="Y410" s="17">
        <f t="shared" si="281"/>
        <v>-0.36907937777551203</v>
      </c>
      <c r="Z410" s="31" t="str">
        <f t="shared" si="271"/>
        <v>0.993724889152663+0.5409691362959i</v>
      </c>
      <c r="AA410" s="17">
        <f t="shared" si="282"/>
        <v>1.1314312890079559</v>
      </c>
      <c r="AB410" s="17">
        <f t="shared" si="283"/>
        <v>0.4985222166851393</v>
      </c>
      <c r="AC410" s="66" t="str">
        <f t="shared" si="284"/>
        <v>-0.237241060490339-0.287597135529233i</v>
      </c>
      <c r="AD410" s="64">
        <f t="shared" si="285"/>
        <v>-8.5699946874988182</v>
      </c>
      <c r="AE410" s="61">
        <f t="shared" si="286"/>
        <v>-129.51948075420657</v>
      </c>
      <c r="AF410" s="31" t="str">
        <f t="shared" si="272"/>
        <v>-9090.90909090909</v>
      </c>
      <c r="AG410" s="31" t="str">
        <f t="shared" si="273"/>
        <v>2.27623467397318E-08i</v>
      </c>
      <c r="AH410" s="31">
        <f t="shared" si="287"/>
        <v>2.27623467397318E-8</v>
      </c>
      <c r="AI410" s="31">
        <f t="shared" si="288"/>
        <v>1.5707963267948966</v>
      </c>
      <c r="AJ410" s="31" t="str">
        <f t="shared" si="274"/>
        <v>1+1509363519.57897i</v>
      </c>
      <c r="AK410" s="31">
        <f t="shared" si="289"/>
        <v>1509363519.57897</v>
      </c>
      <c r="AL410" s="31">
        <f t="shared" si="290"/>
        <v>1.5707963261323656</v>
      </c>
      <c r="AM410" s="31" t="str">
        <f t="shared" si="275"/>
        <v>1+688.698871844789i</v>
      </c>
      <c r="AN410" s="31">
        <f t="shared" si="291"/>
        <v>688.69959785111337</v>
      </c>
      <c r="AO410" s="31">
        <f t="shared" si="292"/>
        <v>1.5693443144015247</v>
      </c>
      <c r="AS410" s="58" t="str">
        <f t="shared" si="293"/>
        <v>264.603895056388+182232.487161069i</v>
      </c>
      <c r="AT410" s="49">
        <f t="shared" si="294"/>
        <v>105.21252520815985</v>
      </c>
      <c r="AU410" s="61">
        <f t="shared" si="295"/>
        <v>89.916805856019323</v>
      </c>
      <c r="AV410" s="58" t="str">
        <f t="shared" si="296"/>
        <v>52346.7663992181-43309.1278321522i</v>
      </c>
      <c r="AW410" s="64">
        <f t="shared" si="297"/>
        <v>96.642530520661012</v>
      </c>
      <c r="AX410" s="61">
        <f t="shared" si="298"/>
        <v>-39.602674898187274</v>
      </c>
      <c r="AY410" s="310"/>
      <c r="BA410" s="31">
        <f t="shared" si="299"/>
        <v>0</v>
      </c>
      <c r="BB410" s="31">
        <f t="shared" si="300"/>
        <v>0</v>
      </c>
    </row>
    <row r="411" spans="14:54" x14ac:dyDescent="0.45">
      <c r="N411" s="10">
        <v>93</v>
      </c>
      <c r="O411" s="50">
        <f t="shared" si="266"/>
        <v>85113.803820237721</v>
      </c>
      <c r="P411" s="48" t="str">
        <f t="shared" si="267"/>
        <v>17.4002386318441</v>
      </c>
      <c r="Q411" s="17" t="str">
        <f t="shared" si="268"/>
        <v>1+45.8002953512605i</v>
      </c>
      <c r="R411" s="17">
        <f t="shared" si="276"/>
        <v>45.811211010654304</v>
      </c>
      <c r="S411" s="17">
        <f t="shared" si="277"/>
        <v>1.5489658750243049</v>
      </c>
      <c r="T411" s="17" t="str">
        <f t="shared" si="269"/>
        <v>1+0.160435740480445i</v>
      </c>
      <c r="U411" s="17">
        <f t="shared" si="278"/>
        <v>1.0127880463470669</v>
      </c>
      <c r="V411" s="17">
        <f t="shared" si="279"/>
        <v>0.15908009724429631</v>
      </c>
      <c r="W411" s="31" t="str">
        <f t="shared" si="270"/>
        <v>1-0.395814253158105i</v>
      </c>
      <c r="X411" s="17">
        <f t="shared" si="280"/>
        <v>1.0754854359790784</v>
      </c>
      <c r="Y411" s="17">
        <f t="shared" si="281"/>
        <v>-0.37689277463597837</v>
      </c>
      <c r="Z411" s="31" t="str">
        <f t="shared" si="271"/>
        <v>0.993429152289569+0.553569926211766i</v>
      </c>
      <c r="AA411" s="17">
        <f t="shared" si="282"/>
        <v>1.1372515745537009</v>
      </c>
      <c r="AB411" s="17">
        <f t="shared" si="283"/>
        <v>0.50837819820296304</v>
      </c>
      <c r="AC411" s="66" t="str">
        <f t="shared" si="284"/>
        <v>-0.235570555080355-0.277216896409481i</v>
      </c>
      <c r="AD411" s="64">
        <f t="shared" si="285"/>
        <v>-8.7830002874990907</v>
      </c>
      <c r="AE411" s="61">
        <f t="shared" si="286"/>
        <v>-130.35687954116409</v>
      </c>
      <c r="AF411" s="31" t="str">
        <f t="shared" si="272"/>
        <v>-9090.90909090909</v>
      </c>
      <c r="AG411" s="31" t="str">
        <f t="shared" si="273"/>
        <v>2.27623467397318E-08i</v>
      </c>
      <c r="AH411" s="31">
        <f t="shared" si="287"/>
        <v>2.27623467397318E-8</v>
      </c>
      <c r="AI411" s="31">
        <f t="shared" si="288"/>
        <v>1.5707963267948966</v>
      </c>
      <c r="AJ411" s="31" t="str">
        <f t="shared" si="274"/>
        <v>1+1544521112.38937i</v>
      </c>
      <c r="AK411" s="31">
        <f t="shared" si="289"/>
        <v>1544521112.38937</v>
      </c>
      <c r="AL411" s="31">
        <f t="shared" si="290"/>
        <v>1.5707963261474467</v>
      </c>
      <c r="AM411" s="31" t="str">
        <f t="shared" si="275"/>
        <v>1+704.740729350434i</v>
      </c>
      <c r="AN411" s="31">
        <f t="shared" si="291"/>
        <v>704.74143883085355</v>
      </c>
      <c r="AO411" s="31">
        <f t="shared" si="292"/>
        <v>1.5693773661939223</v>
      </c>
      <c r="AS411" s="58" t="str">
        <f t="shared" si="293"/>
        <v>258.580775058989+182232.487161062i</v>
      </c>
      <c r="AT411" s="49">
        <f t="shared" si="294"/>
        <v>105.21252479605408</v>
      </c>
      <c r="AU411" s="61">
        <f t="shared" si="295"/>
        <v>89.918699583364969</v>
      </c>
      <c r="AV411" s="58" t="str">
        <f t="shared" si="296"/>
        <v>50457.0104990564-43000.291114138i</v>
      </c>
      <c r="AW411" s="64">
        <f t="shared" si="297"/>
        <v>96.429524508554977</v>
      </c>
      <c r="AX411" s="61">
        <f t="shared" si="298"/>
        <v>-40.438179957799115</v>
      </c>
      <c r="AY411" s="310"/>
      <c r="BA411" s="31">
        <f t="shared" si="299"/>
        <v>0</v>
      </c>
      <c r="BB411" s="31">
        <f t="shared" si="300"/>
        <v>0</v>
      </c>
    </row>
    <row r="412" spans="14:54" x14ac:dyDescent="0.45">
      <c r="N412" s="10">
        <v>94</v>
      </c>
      <c r="O412" s="50">
        <f t="shared" si="266"/>
        <v>87096.358995608127</v>
      </c>
      <c r="P412" s="48" t="str">
        <f t="shared" si="267"/>
        <v>17.4002386318441</v>
      </c>
      <c r="Q412" s="17" t="str">
        <f t="shared" si="268"/>
        <v>1+46.8671212773337i</v>
      </c>
      <c r="R412" s="17">
        <f t="shared" si="276"/>
        <v>46.877788523183398</v>
      </c>
      <c r="S412" s="17">
        <f t="shared" si="277"/>
        <v>1.5494626442584771</v>
      </c>
      <c r="T412" s="17" t="str">
        <f t="shared" si="269"/>
        <v>1+0.164172768945013i</v>
      </c>
      <c r="U412" s="17">
        <f t="shared" si="278"/>
        <v>1.0133867465400721</v>
      </c>
      <c r="V412" s="17">
        <f t="shared" si="279"/>
        <v>0.16272120539208551</v>
      </c>
      <c r="W412" s="31" t="str">
        <f t="shared" si="270"/>
        <v>1-0.405033951501529i</v>
      </c>
      <c r="X412" s="17">
        <f t="shared" si="280"/>
        <v>1.0789126479326039</v>
      </c>
      <c r="Y412" s="17">
        <f t="shared" si="281"/>
        <v>-0.38483844353150398</v>
      </c>
      <c r="Z412" s="31" t="str">
        <f t="shared" si="271"/>
        <v>0.993119477777513+0.566464226229875i</v>
      </c>
      <c r="AA412" s="17">
        <f t="shared" si="282"/>
        <v>1.1433144872428107</v>
      </c>
      <c r="AB412" s="17">
        <f t="shared" si="283"/>
        <v>0.51836193475348435</v>
      </c>
      <c r="AC412" s="66" t="str">
        <f t="shared" si="284"/>
        <v>-0.233829469698315-0.267063615936697i</v>
      </c>
      <c r="AD412" s="64">
        <f t="shared" si="285"/>
        <v>-8.9963222659803161</v>
      </c>
      <c r="AE412" s="61">
        <f t="shared" si="286"/>
        <v>-131.20400145329236</v>
      </c>
      <c r="AF412" s="31" t="str">
        <f t="shared" si="272"/>
        <v>-9090.90909090909</v>
      </c>
      <c r="AG412" s="31" t="str">
        <f t="shared" si="273"/>
        <v>2.27623467397318E-08i</v>
      </c>
      <c r="AH412" s="31">
        <f t="shared" si="287"/>
        <v>2.27623467397318E-8</v>
      </c>
      <c r="AI412" s="31">
        <f t="shared" si="288"/>
        <v>1.5707963267948966</v>
      </c>
      <c r="AJ412" s="31" t="str">
        <f t="shared" si="274"/>
        <v>1+1580497630.73772i</v>
      </c>
      <c r="AK412" s="31">
        <f t="shared" si="289"/>
        <v>1580497630.73772</v>
      </c>
      <c r="AL412" s="31">
        <f t="shared" si="290"/>
        <v>1.5707963261621845</v>
      </c>
      <c r="AM412" s="31" t="str">
        <f t="shared" si="275"/>
        <v>1+721.156249719128i</v>
      </c>
      <c r="AN412" s="31">
        <f t="shared" si="291"/>
        <v>721.15694304981719</v>
      </c>
      <c r="AO412" s="31">
        <f t="shared" si="292"/>
        <v>1.5694096656386682</v>
      </c>
      <c r="AS412" s="58" t="str">
        <f t="shared" si="293"/>
        <v>252.694758011245+182232.487161055i</v>
      </c>
      <c r="AT412" s="49">
        <f t="shared" si="294"/>
        <v>105.21252440249609</v>
      </c>
      <c r="AU412" s="61">
        <f t="shared" si="295"/>
        <v>89.920550204385123</v>
      </c>
      <c r="AV412" s="58" t="str">
        <f t="shared" si="296"/>
        <v>48608.5794811077-42678.8114104772i</v>
      </c>
      <c r="AW412" s="64">
        <f t="shared" si="297"/>
        <v>96.216202136515747</v>
      </c>
      <c r="AX412" s="61">
        <f t="shared" si="298"/>
        <v>-41.283451248907276</v>
      </c>
      <c r="AY412" s="310"/>
      <c r="BA412" s="31">
        <f t="shared" si="299"/>
        <v>0</v>
      </c>
      <c r="BB412" s="31">
        <f t="shared" si="300"/>
        <v>0</v>
      </c>
    </row>
    <row r="413" spans="14:54" x14ac:dyDescent="0.45">
      <c r="N413" s="10">
        <v>95</v>
      </c>
      <c r="O413" s="50">
        <f t="shared" si="266"/>
        <v>89125.093813374609</v>
      </c>
      <c r="P413" s="48" t="str">
        <f t="shared" si="267"/>
        <v>17.4002386318441</v>
      </c>
      <c r="Q413" s="17" t="str">
        <f t="shared" si="268"/>
        <v>1+47.9587967714678i</v>
      </c>
      <c r="R413" s="17">
        <f t="shared" si="276"/>
        <v>47.969221254539363</v>
      </c>
      <c r="S413" s="17">
        <f t="shared" si="277"/>
        <v>1.5499481158205366</v>
      </c>
      <c r="T413" s="17" t="str">
        <f t="shared" si="269"/>
        <v>1+0.16799684398476i</v>
      </c>
      <c r="U413" s="17">
        <f t="shared" si="278"/>
        <v>1.0140132837339162</v>
      </c>
      <c r="V413" s="17">
        <f t="shared" si="279"/>
        <v>0.16644262416204061</v>
      </c>
      <c r="W413" s="31" t="str">
        <f t="shared" si="270"/>
        <v>1-0.414468404207298i</v>
      </c>
      <c r="X413" s="17">
        <f t="shared" si="280"/>
        <v>1.082489749644838</v>
      </c>
      <c r="Y413" s="17">
        <f t="shared" si="281"/>
        <v>-0.39291658321001455</v>
      </c>
      <c r="Z413" s="31" t="str">
        <f t="shared" si="271"/>
        <v>0.992795208755335+0.579658873078771i</v>
      </c>
      <c r="AA413" s="17">
        <f t="shared" si="282"/>
        <v>1.1496289556489521</v>
      </c>
      <c r="AB413" s="17">
        <f t="shared" si="283"/>
        <v>0.52847141505006789</v>
      </c>
      <c r="AC413" s="66" t="str">
        <f t="shared" si="284"/>
        <v>-0.23201889953324-0.257135022356462i</v>
      </c>
      <c r="AD413" s="64">
        <f t="shared" si="285"/>
        <v>-9.2099544111339675</v>
      </c>
      <c r="AE413" s="61">
        <f t="shared" si="286"/>
        <v>-132.06066919951368</v>
      </c>
      <c r="AF413" s="31" t="str">
        <f t="shared" si="272"/>
        <v>-9090.90909090909</v>
      </c>
      <c r="AG413" s="31" t="str">
        <f t="shared" si="273"/>
        <v>2.27623467397318E-08i</v>
      </c>
      <c r="AH413" s="31">
        <f t="shared" si="287"/>
        <v>2.27623467397318E-8</v>
      </c>
      <c r="AI413" s="31">
        <f t="shared" si="288"/>
        <v>1.5707963267948966</v>
      </c>
      <c r="AJ413" s="31" t="str">
        <f t="shared" si="274"/>
        <v>1+1617312149.85025i</v>
      </c>
      <c r="AK413" s="31">
        <f t="shared" si="289"/>
        <v>1617312149.85025</v>
      </c>
      <c r="AL413" s="31">
        <f t="shared" si="290"/>
        <v>1.5707963261765867</v>
      </c>
      <c r="AM413" s="31" t="str">
        <f t="shared" si="275"/>
        <v>1+737.954136677053i</v>
      </c>
      <c r="AN413" s="31">
        <f t="shared" si="291"/>
        <v>737.95481422562375</v>
      </c>
      <c r="AO413" s="31">
        <f t="shared" si="292"/>
        <v>1.5694412298610858</v>
      </c>
      <c r="AS413" s="58" t="str">
        <f t="shared" si="293"/>
        <v>246.942723069009+182232.487161046i</v>
      </c>
      <c r="AT413" s="49">
        <f t="shared" si="294"/>
        <v>105.21252402665097</v>
      </c>
      <c r="AU413" s="61">
        <f t="shared" si="295"/>
        <v>89.922358700288072</v>
      </c>
      <c r="AV413" s="58" t="str">
        <f t="shared" si="296"/>
        <v>46801.059281375-42344.8787529283i</v>
      </c>
      <c r="AW413" s="64">
        <f t="shared" si="297"/>
        <v>96.00256961551699</v>
      </c>
      <c r="AX413" s="61">
        <f t="shared" si="298"/>
        <v>-42.138310499225632</v>
      </c>
      <c r="AY413" s="310"/>
      <c r="BA413" s="31">
        <f t="shared" si="299"/>
        <v>0</v>
      </c>
      <c r="BB413" s="31">
        <f t="shared" si="300"/>
        <v>0</v>
      </c>
    </row>
    <row r="414" spans="14:54" x14ac:dyDescent="0.45">
      <c r="N414" s="10">
        <v>96</v>
      </c>
      <c r="O414" s="50">
        <f t="shared" si="266"/>
        <v>91201.083935591028</v>
      </c>
      <c r="P414" s="48" t="str">
        <f t="shared" si="267"/>
        <v>17.4002386318441</v>
      </c>
      <c r="Q414" s="17" t="str">
        <f t="shared" si="268"/>
        <v>1+49.0759006544599i</v>
      </c>
      <c r="R414" s="17">
        <f t="shared" si="276"/>
        <v>49.086087897146754</v>
      </c>
      <c r="S414" s="17">
        <f t="shared" si="277"/>
        <v>1.550422546198069</v>
      </c>
      <c r="T414" s="17" t="str">
        <f t="shared" si="269"/>
        <v>1+0.171909993174888i</v>
      </c>
      <c r="U414" s="17">
        <f t="shared" si="278"/>
        <v>1.0146689340634167</v>
      </c>
      <c r="V414" s="17">
        <f t="shared" si="279"/>
        <v>0.17024591418918861</v>
      </c>
      <c r="W414" s="31" t="str">
        <f t="shared" si="270"/>
        <v>1-0.424122613547115i</v>
      </c>
      <c r="X414" s="17">
        <f t="shared" si="280"/>
        <v>1.0862228092440498</v>
      </c>
      <c r="Y414" s="17">
        <f t="shared" si="281"/>
        <v>-0.40112725856339754</v>
      </c>
      <c r="Z414" s="31" t="str">
        <f t="shared" si="271"/>
        <v>0.992455657404964+0.593160862734865i</v>
      </c>
      <c r="AA414" s="17">
        <f t="shared" si="282"/>
        <v>1.1562041519539221</v>
      </c>
      <c r="AB414" s="17">
        <f t="shared" si="283"/>
        <v>0.53870442205624292</v>
      </c>
      <c r="AC414" s="66" t="str">
        <f t="shared" si="284"/>
        <v>-0.230140032231327-0.247428976099643i</v>
      </c>
      <c r="AD414" s="64">
        <f t="shared" si="285"/>
        <v>-9.4238891788227583</v>
      </c>
      <c r="AE414" s="61">
        <f t="shared" si="286"/>
        <v>-132.92668474888191</v>
      </c>
      <c r="AF414" s="31" t="str">
        <f t="shared" si="272"/>
        <v>-9090.90909090909</v>
      </c>
      <c r="AG414" s="31" t="str">
        <f t="shared" si="273"/>
        <v>2.27623467397318E-08i</v>
      </c>
      <c r="AH414" s="31">
        <f t="shared" si="287"/>
        <v>2.27623467397318E-8</v>
      </c>
      <c r="AI414" s="31">
        <f t="shared" si="288"/>
        <v>1.5707963267948966</v>
      </c>
      <c r="AJ414" s="31" t="str">
        <f t="shared" si="274"/>
        <v>1+1654984189.27228i</v>
      </c>
      <c r="AK414" s="31">
        <f t="shared" si="289"/>
        <v>1654984189.27228</v>
      </c>
      <c r="AL414" s="31">
        <f t="shared" si="290"/>
        <v>1.5707963261906612</v>
      </c>
      <c r="AM414" s="31" t="str">
        <f t="shared" si="275"/>
        <v>1+755.143296686222i</v>
      </c>
      <c r="AN414" s="31">
        <f t="shared" si="291"/>
        <v>755.14395881191797</v>
      </c>
      <c r="AO414" s="31">
        <f t="shared" si="292"/>
        <v>1.569472075596692</v>
      </c>
      <c r="AS414" s="58" t="str">
        <f t="shared" si="293"/>
        <v>241.321620427219+182232.48716104i</v>
      </c>
      <c r="AT414" s="49">
        <f t="shared" si="294"/>
        <v>105.21252366772175</v>
      </c>
      <c r="AU414" s="61">
        <f t="shared" si="295"/>
        <v>89.924126029947885</v>
      </c>
      <c r="AV414" s="58" t="str">
        <f t="shared" si="296"/>
        <v>45034.0599448442-41998.7004302896i</v>
      </c>
      <c r="AW414" s="64">
        <f t="shared" si="297"/>
        <v>95.788634488898992</v>
      </c>
      <c r="AX414" s="61">
        <f t="shared" si="298"/>
        <v>-43.002558718934033</v>
      </c>
      <c r="AY414" s="310"/>
      <c r="BA414" s="31">
        <f t="shared" si="299"/>
        <v>0</v>
      </c>
      <c r="BB414" s="31">
        <f t="shared" si="300"/>
        <v>0</v>
      </c>
    </row>
    <row r="415" spans="14:54" x14ac:dyDescent="0.45">
      <c r="N415" s="10">
        <v>97</v>
      </c>
      <c r="O415" s="50">
        <f t="shared" si="266"/>
        <v>93325.430079699145</v>
      </c>
      <c r="P415" s="48" t="str">
        <f t="shared" si="267"/>
        <v>17.4002386318441</v>
      </c>
      <c r="Q415" s="17" t="str">
        <f t="shared" si="268"/>
        <v>1+50.2190252295753i</v>
      </c>
      <c r="R415" s="17">
        <f t="shared" si="276"/>
        <v>50.228980628803534</v>
      </c>
      <c r="S415" s="17">
        <f t="shared" si="277"/>
        <v>1.5508861860855563</v>
      </c>
      <c r="T415" s="17" t="str">
        <f t="shared" si="269"/>
        <v>1+0.175914291318895i</v>
      </c>
      <c r="U415" s="17">
        <f t="shared" si="278"/>
        <v>1.0153550304648267</v>
      </c>
      <c r="V415" s="17">
        <f t="shared" si="279"/>
        <v>0.17413265169007633</v>
      </c>
      <c r="W415" s="31" t="str">
        <f t="shared" si="270"/>
        <v>1-0.434001698310561i</v>
      </c>
      <c r="X415" s="17">
        <f t="shared" si="280"/>
        <v>1.0901181010039469</v>
      </c>
      <c r="Y415" s="17">
        <f t="shared" si="281"/>
        <v>-0.40947039375596633</v>
      </c>
      <c r="Z415" s="31" t="str">
        <f t="shared" si="271"/>
        <v>0.992100103492462+0.606977354131794i</v>
      </c>
      <c r="AA415" s="17">
        <f t="shared" si="282"/>
        <v>1.1630494932626845</v>
      </c>
      <c r="AB415" s="17">
        <f t="shared" si="283"/>
        <v>0.54905853073988253</v>
      </c>
      <c r="AC415" s="66" t="str">
        <f t="shared" si="284"/>
        <v>-0.228194154243482-0.237943459827139i</v>
      </c>
      <c r="AD415" s="64">
        <f t="shared" si="285"/>
        <v>-9.6381176137907101</v>
      </c>
      <c r="AE415" s="61">
        <f t="shared" si="286"/>
        <v>-133.80182886540635</v>
      </c>
      <c r="AF415" s="31" t="str">
        <f t="shared" si="272"/>
        <v>-9090.90909090909</v>
      </c>
      <c r="AG415" s="31" t="str">
        <f t="shared" si="273"/>
        <v>2.27623467397318E-08i</v>
      </c>
      <c r="AH415" s="31">
        <f t="shared" si="287"/>
        <v>2.27623467397318E-8</v>
      </c>
      <c r="AI415" s="31">
        <f t="shared" si="288"/>
        <v>1.5707963267948966</v>
      </c>
      <c r="AJ415" s="31" t="str">
        <f t="shared" si="274"/>
        <v>1+1693533723.21777i</v>
      </c>
      <c r="AK415" s="31">
        <f t="shared" si="289"/>
        <v>1693533723.2177701</v>
      </c>
      <c r="AL415" s="31">
        <f t="shared" si="290"/>
        <v>1.5707963262044153</v>
      </c>
      <c r="AM415" s="31" t="str">
        <f t="shared" si="275"/>
        <v>1+772.732843666797i</v>
      </c>
      <c r="AN415" s="31">
        <f t="shared" si="291"/>
        <v>772.73349072068459</v>
      </c>
      <c r="AO415" s="31">
        <f t="shared" si="292"/>
        <v>1.5695022192000692</v>
      </c>
      <c r="AS415" s="58" t="str">
        <f t="shared" si="293"/>
        <v>235.828469702849+182232.487161033i</v>
      </c>
      <c r="AT415" s="49">
        <f t="shared" si="294"/>
        <v>105.21252332494694</v>
      </c>
      <c r="AU415" s="61">
        <f t="shared" si="295"/>
        <v>89.925853130412662</v>
      </c>
      <c r="AV415" s="58" t="str">
        <f t="shared" si="296"/>
        <v>43307.2138098105-41640.502125405i</v>
      </c>
      <c r="AW415" s="64">
        <f t="shared" si="297"/>
        <v>95.574405711156231</v>
      </c>
      <c r="AX415" s="61">
        <f t="shared" si="298"/>
        <v>-43.875975734993737</v>
      </c>
      <c r="AY415" s="310"/>
      <c r="BA415" s="31">
        <f t="shared" si="299"/>
        <v>0</v>
      </c>
      <c r="BB415" s="31">
        <f t="shared" si="300"/>
        <v>0</v>
      </c>
    </row>
    <row r="416" spans="14:54" x14ac:dyDescent="0.45">
      <c r="N416" s="10">
        <v>98</v>
      </c>
      <c r="O416" s="50">
        <f t="shared" si="266"/>
        <v>95499.258602143804</v>
      </c>
      <c r="P416" s="48" t="str">
        <f t="shared" si="267"/>
        <v>17.4002386318441</v>
      </c>
      <c r="Q416" s="17" t="str">
        <f t="shared" si="268"/>
        <v>1+51.3887765965948i</v>
      </c>
      <c r="R416" s="17">
        <f t="shared" si="276"/>
        <v>51.398505426663235</v>
      </c>
      <c r="S416" s="17">
        <f t="shared" si="277"/>
        <v>1.5513392805132271</v>
      </c>
      <c r="T416" s="17" t="str">
        <f t="shared" si="269"/>
        <v>1+0.18001186154866i</v>
      </c>
      <c r="U416" s="17">
        <f t="shared" si="278"/>
        <v>1.0160729650464153</v>
      </c>
      <c r="V416" s="17">
        <f t="shared" si="279"/>
        <v>0.17810442750292263</v>
      </c>
      <c r="W416" s="31" t="str">
        <f t="shared" si="270"/>
        <v>1-0.444110896519144i</v>
      </c>
      <c r="X416" s="17">
        <f t="shared" si="280"/>
        <v>1.0941821093433386</v>
      </c>
      <c r="Y416" s="17">
        <f t="shared" si="281"/>
        <v>-0.41794576539188116</v>
      </c>
      <c r="Z416" s="31" t="str">
        <f t="shared" si="271"/>
        <v>0.991727792840309+0.62111567295618i</v>
      </c>
      <c r="AA416" s="17">
        <f t="shared" si="282"/>
        <v>1.1701746426425925</v>
      </c>
      <c r="AB416" s="17">
        <f t="shared" si="283"/>
        <v>0.55953110654703719</v>
      </c>
      <c r="AC416" s="66" t="str">
        <f t="shared" si="284"/>
        <v>-0.22618265659772-0.228676567934132i</v>
      </c>
      <c r="AD416" s="64">
        <f t="shared" si="285"/>
        <v>-9.8526292716491408</v>
      </c>
      <c r="AE416" s="61">
        <f t="shared" si="286"/>
        <v>-134.68586069150814</v>
      </c>
      <c r="AF416" s="31" t="str">
        <f t="shared" si="272"/>
        <v>-9090.90909090909</v>
      </c>
      <c r="AG416" s="31" t="str">
        <f t="shared" si="273"/>
        <v>2.27623467397318E-08i</v>
      </c>
      <c r="AH416" s="31">
        <f t="shared" si="287"/>
        <v>2.27623467397318E-8</v>
      </c>
      <c r="AI416" s="31">
        <f t="shared" si="288"/>
        <v>1.5707963267948966</v>
      </c>
      <c r="AJ416" s="31" t="str">
        <f t="shared" si="274"/>
        <v>1+1732981191.15988i</v>
      </c>
      <c r="AK416" s="31">
        <f t="shared" si="289"/>
        <v>1732981191.1598799</v>
      </c>
      <c r="AL416" s="31">
        <f t="shared" si="290"/>
        <v>1.5707963262178564</v>
      </c>
      <c r="AM416" s="31" t="str">
        <f t="shared" si="275"/>
        <v>1+790.732103829414i</v>
      </c>
      <c r="AN416" s="31">
        <f t="shared" si="291"/>
        <v>790.7327361545689</v>
      </c>
      <c r="AO416" s="31">
        <f t="shared" si="292"/>
        <v>1.5695316766535354</v>
      </c>
      <c r="AS416" s="58" t="str">
        <f t="shared" si="293"/>
        <v>230.460358354674+182232.487161027i</v>
      </c>
      <c r="AT416" s="49">
        <f t="shared" si="294"/>
        <v>105.21252299759952</v>
      </c>
      <c r="AU416" s="61">
        <f t="shared" si="295"/>
        <v>89.927540917401359</v>
      </c>
      <c r="AV416" s="58" t="str">
        <f t="shared" si="296"/>
        <v>41620.1735939913-41270.5289482844i</v>
      </c>
      <c r="AW416" s="64">
        <f t="shared" si="297"/>
        <v>95.359893725950386</v>
      </c>
      <c r="AX416" s="61">
        <f t="shared" si="298"/>
        <v>-44.758319774106788</v>
      </c>
      <c r="AY416" s="310"/>
      <c r="BA416" s="31">
        <f t="shared" si="299"/>
        <v>0</v>
      </c>
      <c r="BB416" s="31">
        <f t="shared" si="300"/>
        <v>0</v>
      </c>
    </row>
    <row r="417" spans="14:54" x14ac:dyDescent="0.45">
      <c r="N417" s="10">
        <v>99</v>
      </c>
      <c r="O417" s="50">
        <f t="shared" si="266"/>
        <v>97723.722095581266</v>
      </c>
      <c r="P417" s="48" t="str">
        <f t="shared" si="267"/>
        <v>17.4002386318441</v>
      </c>
      <c r="Q417" s="17" t="str">
        <f t="shared" si="268"/>
        <v>1+52.5857749731766i</v>
      </c>
      <c r="R417" s="17">
        <f t="shared" si="276"/>
        <v>52.595282388533349</v>
      </c>
      <c r="S417" s="17">
        <f t="shared" si="277"/>
        <v>1.5517820689731752</v>
      </c>
      <c r="T417" s="17" t="str">
        <f t="shared" si="269"/>
        <v>1+0.184204876450157i</v>
      </c>
      <c r="U417" s="17">
        <f t="shared" si="278"/>
        <v>1.0168241915434633</v>
      </c>
      <c r="V417" s="17">
        <f t="shared" si="279"/>
        <v>0.18216284602923666</v>
      </c>
      <c r="W417" s="31" t="str">
        <f t="shared" si="270"/>
        <v>1-0.454455568203562i</v>
      </c>
      <c r="X417" s="17">
        <f t="shared" si="280"/>
        <v>1.0984215326873479</v>
      </c>
      <c r="Y417" s="17">
        <f t="shared" si="281"/>
        <v>-0.42655299575944355</v>
      </c>
      <c r="Z417" s="31" t="str">
        <f t="shared" si="271"/>
        <v>0.991337935727697+0.635583315531802i</v>
      </c>
      <c r="AA417" s="17">
        <f t="shared" si="282"/>
        <v>1.177589509886722</v>
      </c>
      <c r="AB417" s="17">
        <f t="shared" si="283"/>
        <v>0.57011930464546834</v>
      </c>
      <c r="AC417" s="66" t="str">
        <f t="shared" si="284"/>
        <v>-0.224107040030967-0.219626495544618i</v>
      </c>
      <c r="AD417" s="64">
        <f t="shared" si="285"/>
        <v>-10.067412142206676</v>
      </c>
      <c r="AE417" s="61">
        <f t="shared" si="286"/>
        <v>-135.5785173854714</v>
      </c>
      <c r="AF417" s="31" t="str">
        <f t="shared" si="272"/>
        <v>-9090.90909090909</v>
      </c>
      <c r="AG417" s="31" t="str">
        <f t="shared" si="273"/>
        <v>2.27623467397318E-08i</v>
      </c>
      <c r="AH417" s="31">
        <f t="shared" si="287"/>
        <v>2.27623467397318E-8</v>
      </c>
      <c r="AI417" s="31">
        <f t="shared" si="288"/>
        <v>1.5707963267948966</v>
      </c>
      <c r="AJ417" s="31" t="str">
        <f t="shared" si="274"/>
        <v>1+1773347508.66825i</v>
      </c>
      <c r="AK417" s="31">
        <f t="shared" si="289"/>
        <v>1773347508.6682501</v>
      </c>
      <c r="AL417" s="31">
        <f t="shared" si="290"/>
        <v>1.5707963262309914</v>
      </c>
      <c r="AM417" s="31" t="str">
        <f t="shared" si="275"/>
        <v>1+809.150620620056i</v>
      </c>
      <c r="AN417" s="31">
        <f t="shared" si="291"/>
        <v>809.1512385517442</v>
      </c>
      <c r="AO417" s="31">
        <f t="shared" si="292"/>
        <v>1.5695604635756182</v>
      </c>
      <c r="AS417" s="58" t="str">
        <f t="shared" si="293"/>
        <v>225.214440139003+182232.487161022i</v>
      </c>
      <c r="AT417" s="49">
        <f t="shared" si="294"/>
        <v>105.2125226849852</v>
      </c>
      <c r="AU417" s="61">
        <f t="shared" si="295"/>
        <v>89.929190285789289</v>
      </c>
      <c r="AV417" s="58" t="str">
        <f t="shared" si="296"/>
        <v>39972.6103880031-40889.0463533716i</v>
      </c>
      <c r="AW417" s="64">
        <f t="shared" si="297"/>
        <v>95.145110542778525</v>
      </c>
      <c r="AX417" s="61">
        <f t="shared" si="298"/>
        <v>-45.649327099682097</v>
      </c>
      <c r="AY417" s="310"/>
      <c r="BA417" s="31">
        <f t="shared" si="299"/>
        <v>0</v>
      </c>
      <c r="BB417" s="31">
        <f t="shared" si="300"/>
        <v>0</v>
      </c>
    </row>
    <row r="418" spans="14:54" x14ac:dyDescent="0.45">
      <c r="N418" s="10">
        <v>100</v>
      </c>
      <c r="O418" s="50">
        <f t="shared" si="266"/>
        <v>100000</v>
      </c>
      <c r="P418" s="48" t="str">
        <f t="shared" si="267"/>
        <v>17.4002386318441</v>
      </c>
      <c r="Q418" s="17" t="str">
        <f t="shared" si="268"/>
        <v>1+53.8106550237043i</v>
      </c>
      <c r="R418" s="17">
        <f t="shared" si="276"/>
        <v>53.81994606166112</v>
      </c>
      <c r="S418" s="17">
        <f t="shared" si="277"/>
        <v>1.5522147855427941</v>
      </c>
      <c r="T418" s="17" t="str">
        <f t="shared" si="269"/>
        <v>1+0.188495559215388i</v>
      </c>
      <c r="U418" s="17">
        <f t="shared" si="278"/>
        <v>1.0176102278593322</v>
      </c>
      <c r="V418" s="17">
        <f t="shared" si="279"/>
        <v>0.18630952407116516</v>
      </c>
      <c r="W418" s="31" t="str">
        <f t="shared" si="270"/>
        <v>1-0.465041198245673i</v>
      </c>
      <c r="X418" s="17">
        <f t="shared" si="280"/>
        <v>1.1028432871744613</v>
      </c>
      <c r="Y418" s="17">
        <f t="shared" si="281"/>
        <v>-0.43529154619303922</v>
      </c>
      <c r="Z418" s="31" t="str">
        <f t="shared" si="271"/>
        <v>0.990929705215419+0.65038795279426i</v>
      </c>
      <c r="AA418" s="17">
        <f t="shared" si="282"/>
        <v>1.1853042520037738</v>
      </c>
      <c r="AB418" s="17">
        <f t="shared" si="283"/>
        <v>0.58082006998485269</v>
      </c>
      <c r="AC418" s="66" t="str">
        <f t="shared" si="284"/>
        <v>-0.221968919415832-0.210791527035284i</v>
      </c>
      <c r="AD418" s="64">
        <f t="shared" si="285"/>
        <v>-10.28245257474731</v>
      </c>
      <c r="AE418" s="61">
        <f t="shared" si="286"/>
        <v>-136.47951381824774</v>
      </c>
      <c r="AF418" s="31" t="str">
        <f t="shared" si="272"/>
        <v>-9090.90909090909</v>
      </c>
      <c r="AG418" s="31" t="str">
        <f t="shared" si="273"/>
        <v>2.27623467397318E-08i</v>
      </c>
      <c r="AH418" s="31">
        <f t="shared" si="287"/>
        <v>2.27623467397318E-8</v>
      </c>
      <c r="AI418" s="31">
        <f t="shared" si="288"/>
        <v>1.5707963267948966</v>
      </c>
      <c r="AJ418" s="31" t="str">
        <f t="shared" si="274"/>
        <v>1+1814654078.49876i</v>
      </c>
      <c r="AK418" s="31">
        <f t="shared" si="289"/>
        <v>1814654078.49876</v>
      </c>
      <c r="AL418" s="31">
        <f t="shared" si="290"/>
        <v>1.5707963262438274</v>
      </c>
      <c r="AM418" s="31" t="str">
        <f t="shared" si="275"/>
        <v>1+827.998159780126i</v>
      </c>
      <c r="AN418" s="31">
        <f t="shared" si="291"/>
        <v>827.99876364598219</v>
      </c>
      <c r="AO418" s="31">
        <f t="shared" si="292"/>
        <v>1.5695885952293334</v>
      </c>
      <c r="AS418" s="58" t="str">
        <f t="shared" si="293"/>
        <v>220.087933600556+182232.487161015i</v>
      </c>
      <c r="AT418" s="49">
        <f t="shared" si="294"/>
        <v>105.2125223864407</v>
      </c>
      <c r="AU418" s="61">
        <f t="shared" si="295"/>
        <v>89.930802110082439</v>
      </c>
      <c r="AV418" s="58" t="str">
        <f t="shared" si="296"/>
        <v>38364.2115633104-40496.3409291957i</v>
      </c>
      <c r="AW418" s="64">
        <f t="shared" si="297"/>
        <v>94.930069811693414</v>
      </c>
      <c r="AX418" s="61">
        <f t="shared" si="298"/>
        <v>-46.548711708165285</v>
      </c>
      <c r="AY418" s="310"/>
      <c r="BA418" s="31">
        <f t="shared" si="299"/>
        <v>0</v>
      </c>
      <c r="BB418" s="31">
        <f t="shared" si="300"/>
        <v>0</v>
      </c>
    </row>
    <row r="419" spans="14:54" x14ac:dyDescent="0.45">
      <c r="N419" s="10">
        <v>1</v>
      </c>
      <c r="O419" s="50">
        <f>10^(5+(N419/100))</f>
        <v>102329.29922807543</v>
      </c>
      <c r="P419" s="48" t="str">
        <f t="shared" si="267"/>
        <v>17.4002386318441</v>
      </c>
      <c r="Q419" s="17" t="str">
        <f t="shared" si="268"/>
        <v>1+55.0640661957937i</v>
      </c>
      <c r="R419" s="17">
        <f t="shared" si="276"/>
        <v>55.073145779179448</v>
      </c>
      <c r="S419" s="17">
        <f t="shared" si="277"/>
        <v>1.5526376590055777</v>
      </c>
      <c r="T419" s="17" t="str">
        <f t="shared" si="269"/>
        <v>1+0.192886184821148i</v>
      </c>
      <c r="U419" s="17">
        <f t="shared" si="278"/>
        <v>1.0184326586941612</v>
      </c>
      <c r="V419" s="17">
        <f t="shared" si="279"/>
        <v>0.19054608955867008</v>
      </c>
      <c r="W419" s="31" t="str">
        <f t="shared" si="270"/>
        <v>1-0.475873399286642i</v>
      </c>
      <c r="X419" s="17">
        <f t="shared" si="280"/>
        <v>1.1074545101938154</v>
      </c>
      <c r="Y419" s="17">
        <f t="shared" si="281"/>
        <v>-0.4441607105962011</v>
      </c>
      <c r="Z419" s="31" t="str">
        <f t="shared" si="271"/>
        <v>0.990502235391829+0.665537434358192i</v>
      </c>
      <c r="AA419" s="17">
        <f t="shared" si="282"/>
        <v>1.1933292734397725</v>
      </c>
      <c r="AB419" s="17">
        <f t="shared" si="283"/>
        <v>0.59163013821669341</v>
      </c>
      <c r="AC419" s="66" t="str">
        <f t="shared" si="284"/>
        <v>-0.219770027420057-0.202170024136348i</v>
      </c>
      <c r="AD419" s="64">
        <f t="shared" si="285"/>
        <v>-10.497735205889235</v>
      </c>
      <c r="AE419" s="61">
        <f t="shared" si="286"/>
        <v>-137.38854233491023</v>
      </c>
      <c r="AF419" s="31" t="str">
        <f t="shared" si="272"/>
        <v>-9090.90909090909</v>
      </c>
      <c r="AG419" s="31" t="str">
        <f t="shared" si="273"/>
        <v>2.27623467397318E-08i</v>
      </c>
      <c r="AH419" s="31">
        <f t="shared" si="287"/>
        <v>2.27623467397318E-8</v>
      </c>
      <c r="AI419" s="31">
        <f t="shared" si="288"/>
        <v>1.5707963267948966</v>
      </c>
      <c r="AJ419" s="31" t="str">
        <f t="shared" si="274"/>
        <v>1+1856922801.94147i</v>
      </c>
      <c r="AK419" s="31">
        <f t="shared" si="289"/>
        <v>1856922801.9414699</v>
      </c>
      <c r="AL419" s="31">
        <f t="shared" si="290"/>
        <v>1.5707963262563713</v>
      </c>
      <c r="AM419" s="31" t="str">
        <f t="shared" si="275"/>
        <v>1+847.284714524363i</v>
      </c>
      <c r="AN419" s="31">
        <f t="shared" si="291"/>
        <v>847.28530464456389</v>
      </c>
      <c r="AO419" s="31">
        <f t="shared" si="292"/>
        <v>1.569616086530278</v>
      </c>
      <c r="AS419" s="58" t="str">
        <f t="shared" si="293"/>
        <v>215.078120597715+182232.48716101i</v>
      </c>
      <c r="AT419" s="49">
        <f t="shared" si="294"/>
        <v>105.21252210133298</v>
      </c>
      <c r="AU419" s="61">
        <f t="shared" si="295"/>
        <v>89.932377244881181</v>
      </c>
      <c r="AV419" s="58" t="str">
        <f t="shared" si="296"/>
        <v>36794.6786033069-40092.7210490328i</v>
      </c>
      <c r="AW419" s="64">
        <f t="shared" si="297"/>
        <v>94.714786895443751</v>
      </c>
      <c r="AX419" s="61">
        <f t="shared" si="298"/>
        <v>-47.45616509002906</v>
      </c>
      <c r="AY419" s="310"/>
      <c r="BA419" s="31">
        <f t="shared" si="299"/>
        <v>0</v>
      </c>
      <c r="BB419" s="31">
        <f t="shared" si="300"/>
        <v>0</v>
      </c>
    </row>
    <row r="420" spans="14:54" x14ac:dyDescent="0.45">
      <c r="N420" s="10">
        <v>2</v>
      </c>
      <c r="O420" s="50">
        <f t="shared" ref="O420:O483" si="301">10^(5+(N420/100))</f>
        <v>104712.85480508996</v>
      </c>
      <c r="P420" s="48" t="str">
        <f t="shared" si="267"/>
        <v>17.4002386318441</v>
      </c>
      <c r="Q420" s="17" t="str">
        <f t="shared" si="268"/>
        <v>1+56.3466730646393i</v>
      </c>
      <c r="R420" s="17">
        <f t="shared" si="276"/>
        <v>56.355546004393815</v>
      </c>
      <c r="S420" s="17">
        <f t="shared" si="277"/>
        <v>1.5530509129693337</v>
      </c>
      <c r="T420" s="17" t="str">
        <f t="shared" si="269"/>
        <v>1+0.197379081235251i</v>
      </c>
      <c r="U420" s="17">
        <f t="shared" si="278"/>
        <v>1.0192931382626256</v>
      </c>
      <c r="V420" s="17">
        <f t="shared" si="279"/>
        <v>0.19487418016047944</v>
      </c>
      <c r="W420" s="31" t="str">
        <f t="shared" si="270"/>
        <v>1-0.486957914702842i</v>
      </c>
      <c r="X420" s="17">
        <f t="shared" si="280"/>
        <v>1.1122625637374211</v>
      </c>
      <c r="Y420" s="17">
        <f t="shared" si="281"/>
        <v>-0.45315960917190706</v>
      </c>
      <c r="Z420" s="31" t="str">
        <f t="shared" si="271"/>
        <v>0.990054619536116+0.681039792679251i</v>
      </c>
      <c r="AA420" s="17">
        <f t="shared" si="282"/>
        <v>1.2016752260396319</v>
      </c>
      <c r="AB420" s="17">
        <f t="shared" si="283"/>
        <v>0.60254603751245317</v>
      </c>
      <c r="AC420" s="66" t="str">
        <f t="shared" si="284"/>
        <v>-0.217512217339654-0.193760413665385i</v>
      </c>
      <c r="AD420" s="64">
        <f t="shared" si="285"/>
        <v>-10.713242890682801</v>
      </c>
      <c r="AE420" s="61">
        <f t="shared" si="286"/>
        <v>-138.30527258595768</v>
      </c>
      <c r="AF420" s="31" t="str">
        <f t="shared" si="272"/>
        <v>-9090.90909090909</v>
      </c>
      <c r="AG420" s="31" t="str">
        <f t="shared" si="273"/>
        <v>2.27623467397318E-08i</v>
      </c>
      <c r="AH420" s="31">
        <f t="shared" si="287"/>
        <v>2.27623467397318E-8</v>
      </c>
      <c r="AI420" s="31">
        <f t="shared" si="288"/>
        <v>1.5707963267948966</v>
      </c>
      <c r="AJ420" s="31" t="str">
        <f t="shared" si="274"/>
        <v>1+1900176090.43305i</v>
      </c>
      <c r="AK420" s="31">
        <f t="shared" si="289"/>
        <v>1900176090.4330499</v>
      </c>
      <c r="AL420" s="31">
        <f t="shared" si="290"/>
        <v>1.5707963262686295</v>
      </c>
      <c r="AM420" s="31" t="str">
        <f t="shared" si="275"/>
        <v>1+867.02051083938i</v>
      </c>
      <c r="AN420" s="31">
        <f t="shared" si="291"/>
        <v>867.0210875268142</v>
      </c>
      <c r="AO420" s="31">
        <f t="shared" si="292"/>
        <v>1.5696429520545374</v>
      </c>
      <c r="AS420" s="58" t="str">
        <f t="shared" si="293"/>
        <v>210.18234486131+182232.487161005i</v>
      </c>
      <c r="AT420" s="49">
        <f t="shared" si="294"/>
        <v>105.2125218290572</v>
      </c>
      <c r="AU420" s="61">
        <f t="shared" si="295"/>
        <v>89.933916525333302</v>
      </c>
      <c r="AV420" s="58" t="str">
        <f t="shared" si="296"/>
        <v>35263.7248677119-39678.5173717957i</v>
      </c>
      <c r="AW420" s="64">
        <f t="shared" si="297"/>
        <v>94.499278938374403</v>
      </c>
      <c r="AX420" s="61">
        <f t="shared" si="298"/>
        <v>-48.371356060624343</v>
      </c>
      <c r="AY420" s="310"/>
      <c r="BA420" s="31">
        <f t="shared" si="299"/>
        <v>0</v>
      </c>
      <c r="BB420" s="31">
        <f t="shared" si="300"/>
        <v>0</v>
      </c>
    </row>
    <row r="421" spans="14:54" x14ac:dyDescent="0.45">
      <c r="N421" s="10">
        <v>3</v>
      </c>
      <c r="O421" s="50">
        <f t="shared" si="301"/>
        <v>107151.93052376082</v>
      </c>
      <c r="P421" s="48" t="str">
        <f t="shared" si="267"/>
        <v>17.4002386318441</v>
      </c>
      <c r="Q421" s="17" t="str">
        <f t="shared" si="268"/>
        <v>1+57.6591556853802i</v>
      </c>
      <c r="R421" s="17">
        <f t="shared" si="276"/>
        <v>57.667826683090034</v>
      </c>
      <c r="S421" s="17">
        <f t="shared" si="277"/>
        <v>1.5534547659818596</v>
      </c>
      <c r="T421" s="17" t="str">
        <f t="shared" si="269"/>
        <v>1+0.201976630650847i</v>
      </c>
      <c r="U421" s="17">
        <f t="shared" si="278"/>
        <v>1.0201933931020475</v>
      </c>
      <c r="V421" s="17">
        <f t="shared" si="279"/>
        <v>0.1992954417726002</v>
      </c>
      <c r="W421" s="31" t="str">
        <f t="shared" si="270"/>
        <v>1-0.498300621651069i</v>
      </c>
      <c r="X421" s="17">
        <f t="shared" si="280"/>
        <v>1.1172750375524561</v>
      </c>
      <c r="Y421" s="17">
        <f t="shared" si="281"/>
        <v>-0.46228718240856759</v>
      </c>
      <c r="Z421" s="31" t="str">
        <f t="shared" si="271"/>
        <v>0.98958590819504+0.696903247313016i</v>
      </c>
      <c r="AA421" s="17">
        <f t="shared" si="282"/>
        <v>1.2103530087596879</v>
      </c>
      <c r="AB421" s="17">
        <f t="shared" si="283"/>
        <v>0.61356409131295975</v>
      </c>
      <c r="AC421" s="66" t="str">
        <f t="shared" si="284"/>
        <v>-0.215197465051171-0.185561174958555i</v>
      </c>
      <c r="AD421" s="64">
        <f t="shared" si="285"/>
        <v>-10.928956637623051</v>
      </c>
      <c r="AE421" s="61">
        <f t="shared" si="286"/>
        <v>-139.22935143349571</v>
      </c>
      <c r="AF421" s="31" t="str">
        <f t="shared" si="272"/>
        <v>-9090.90909090909</v>
      </c>
      <c r="AG421" s="31" t="str">
        <f t="shared" si="273"/>
        <v>2.27623467397318E-08i</v>
      </c>
      <c r="AH421" s="31">
        <f t="shared" si="287"/>
        <v>2.27623467397318E-8</v>
      </c>
      <c r="AI421" s="31">
        <f t="shared" si="288"/>
        <v>1.5707963267948966</v>
      </c>
      <c r="AJ421" s="31" t="str">
        <f t="shared" si="274"/>
        <v>1+1944436877.43958i</v>
      </c>
      <c r="AK421" s="31">
        <f t="shared" si="289"/>
        <v>1944436877.43958</v>
      </c>
      <c r="AL421" s="31">
        <f t="shared" si="290"/>
        <v>1.5707963262806088</v>
      </c>
      <c r="AM421" s="31" t="str">
        <f t="shared" si="275"/>
        <v>1+887.216012905619i</v>
      </c>
      <c r="AN421" s="31">
        <f t="shared" si="291"/>
        <v>887.21657646605286</v>
      </c>
      <c r="AO421" s="31">
        <f t="shared" si="292"/>
        <v>1.569669206046413</v>
      </c>
      <c r="AS421" s="58" t="str">
        <f t="shared" si="293"/>
        <v>205.398010586243+182232.487161i</v>
      </c>
      <c r="AT421" s="49">
        <f t="shared" si="294"/>
        <v>105.21252156903583</v>
      </c>
      <c r="AU421" s="61">
        <f t="shared" si="295"/>
        <v>89.935420767576773</v>
      </c>
      <c r="AV421" s="58" t="str">
        <f t="shared" si="296"/>
        <v>33771.0733020102-39254.0831831958i</v>
      </c>
      <c r="AW421" s="64">
        <f t="shared" si="297"/>
        <v>94.283564931412769</v>
      </c>
      <c r="AX421" s="61">
        <f t="shared" si="298"/>
        <v>-49.293930665918978</v>
      </c>
      <c r="AY421" s="310"/>
      <c r="BA421" s="31">
        <f t="shared" si="299"/>
        <v>0</v>
      </c>
      <c r="BB421" s="31">
        <f t="shared" si="300"/>
        <v>0</v>
      </c>
    </row>
    <row r="422" spans="14:54" x14ac:dyDescent="0.45">
      <c r="N422" s="10">
        <v>4</v>
      </c>
      <c r="O422" s="50">
        <f t="shared" si="301"/>
        <v>109647.81961431868</v>
      </c>
      <c r="P422" s="48" t="str">
        <f t="shared" si="267"/>
        <v>17.4002386318441</v>
      </c>
      <c r="Q422" s="17" t="str">
        <f t="shared" si="268"/>
        <v>1+59.0022099536746i</v>
      </c>
      <c r="R422" s="17">
        <f t="shared" si="276"/>
        <v>59.010683604051714</v>
      </c>
      <c r="S422" s="17">
        <f t="shared" si="277"/>
        <v>1.5538494316441274</v>
      </c>
      <c r="T422" s="17" t="str">
        <f t="shared" si="269"/>
        <v>1+0.20668127074949i</v>
      </c>
      <c r="U422" s="17">
        <f t="shared" si="278"/>
        <v>1.0211352249720034</v>
      </c>
      <c r="V422" s="17">
        <f t="shared" si="279"/>
        <v>0.20381152687807191</v>
      </c>
      <c r="W422" s="31" t="str">
        <f t="shared" si="270"/>
        <v>1-0.509907534184682i</v>
      </c>
      <c r="X422" s="17">
        <f t="shared" si="280"/>
        <v>1.1224997520793949</v>
      </c>
      <c r="Y422" s="17">
        <f t="shared" si="281"/>
        <v>-0.47154218537229386</v>
      </c>
      <c r="Z422" s="31" t="str">
        <f t="shared" si="271"/>
        <v>0.989095107169003+0.71313620927311i</v>
      </c>
      <c r="AA422" s="17">
        <f t="shared" si="282"/>
        <v>1.2193737671452844</v>
      </c>
      <c r="AB422" s="17">
        <f t="shared" si="283"/>
        <v>0.62468042203611118</v>
      </c>
      <c r="AC422" s="66" t="str">
        <f t="shared" si="284"/>
        <v>-0.212827870034168-0.177570827071598i</v>
      </c>
      <c r="AD422" s="64">
        <f t="shared" si="285"/>
        <v>-11.144855548264356</v>
      </c>
      <c r="AE422" s="61">
        <f t="shared" si="286"/>
        <v>-140.16040293710779</v>
      </c>
      <c r="AF422" s="31" t="str">
        <f t="shared" si="272"/>
        <v>-9090.90909090909</v>
      </c>
      <c r="AG422" s="31" t="str">
        <f t="shared" si="273"/>
        <v>2.27623467397318E-08i</v>
      </c>
      <c r="AH422" s="31">
        <f t="shared" si="287"/>
        <v>2.27623467397318E-8</v>
      </c>
      <c r="AI422" s="31">
        <f t="shared" si="288"/>
        <v>1.5707963267948966</v>
      </c>
      <c r="AJ422" s="31" t="str">
        <f t="shared" si="274"/>
        <v>1+1989728630.61619i</v>
      </c>
      <c r="AK422" s="31">
        <f t="shared" si="289"/>
        <v>1989728630.61619</v>
      </c>
      <c r="AL422" s="31">
        <f t="shared" si="290"/>
        <v>1.5707963262923155</v>
      </c>
      <c r="AM422" s="31" t="str">
        <f t="shared" si="275"/>
        <v>1+907.88192864559i</v>
      </c>
      <c r="AN422" s="31">
        <f t="shared" si="291"/>
        <v>907.88247937783024</v>
      </c>
      <c r="AO422" s="31">
        <f t="shared" si="292"/>
        <v>1.5696948624259739</v>
      </c>
      <c r="AS422" s="58" t="str">
        <f t="shared" si="293"/>
        <v>200.722581055152+182232.487160995i</v>
      </c>
      <c r="AT422" s="49">
        <f t="shared" si="294"/>
        <v>105.2125213207173</v>
      </c>
      <c r="AU422" s="61">
        <f t="shared" si="295"/>
        <v>89.936890769172464</v>
      </c>
      <c r="AV422" s="58" t="str">
        <f t="shared" si="296"/>
        <v>32316.4541050984-38819.7945682333i</v>
      </c>
      <c r="AW422" s="64">
        <f t="shared" si="297"/>
        <v>94.067665772452926</v>
      </c>
      <c r="AX422" s="61">
        <f t="shared" si="298"/>
        <v>-50.22351216793539</v>
      </c>
      <c r="AY422" s="310"/>
      <c r="BA422" s="31">
        <f t="shared" si="299"/>
        <v>0</v>
      </c>
      <c r="BB422" s="31">
        <f t="shared" si="300"/>
        <v>0</v>
      </c>
    </row>
    <row r="423" spans="14:54" x14ac:dyDescent="0.45">
      <c r="N423" s="10">
        <v>5</v>
      </c>
      <c r="O423" s="50">
        <f t="shared" si="301"/>
        <v>112201.84543019651</v>
      </c>
      <c r="P423" s="48" t="str">
        <f t="shared" si="267"/>
        <v>17.4002386318441</v>
      </c>
      <c r="Q423" s="17" t="str">
        <f t="shared" si="268"/>
        <v>1+60.3765479746729i</v>
      </c>
      <c r="R423" s="17">
        <f t="shared" si="276"/>
        <v>60.384828767977623</v>
      </c>
      <c r="S423" s="17">
        <f t="shared" si="277"/>
        <v>1.554235118721025</v>
      </c>
      <c r="T423" s="17" t="str">
        <f t="shared" si="269"/>
        <v>1+0.211495495993634i</v>
      </c>
      <c r="U423" s="17">
        <f t="shared" si="278"/>
        <v>1.0221205138463827</v>
      </c>
      <c r="V423" s="17">
        <f t="shared" si="279"/>
        <v>0.20842409277154059</v>
      </c>
      <c r="W423" s="31" t="str">
        <f t="shared" si="270"/>
        <v>1-0.521784806442344i</v>
      </c>
      <c r="X423" s="17">
        <f t="shared" si="280"/>
        <v>1.1279447611625644</v>
      </c>
      <c r="Y423" s="17">
        <f t="shared" si="281"/>
        <v>-0.48092318235787102</v>
      </c>
      <c r="Z423" s="31" t="str">
        <f t="shared" si="271"/>
        <v>0.988581175403228+0.729747285490835i</v>
      </c>
      <c r="AA423" s="17">
        <f t="shared" si="282"/>
        <v>1.2287488925906993</v>
      </c>
      <c r="AB423" s="17">
        <f t="shared" si="283"/>
        <v>0.63589095576306498</v>
      </c>
      <c r="AC423" s="66" t="str">
        <f t="shared" si="284"/>
        <v>-0.210405655421767-0.169787915830448i</v>
      </c>
      <c r="AD423" s="64">
        <f t="shared" si="285"/>
        <v>-11.360916762128493</v>
      </c>
      <c r="AE423" s="61">
        <f t="shared" si="286"/>
        <v>-141.09802842394703</v>
      </c>
      <c r="AF423" s="31" t="str">
        <f t="shared" si="272"/>
        <v>-9090.90909090909</v>
      </c>
      <c r="AG423" s="31" t="str">
        <f t="shared" si="273"/>
        <v>2.27623467397318E-08i</v>
      </c>
      <c r="AH423" s="31">
        <f t="shared" si="287"/>
        <v>2.27623467397318E-8</v>
      </c>
      <c r="AI423" s="31">
        <f t="shared" si="288"/>
        <v>1.5707963267948966</v>
      </c>
      <c r="AJ423" s="31" t="str">
        <f t="shared" si="274"/>
        <v>1+2036075364.24993i</v>
      </c>
      <c r="AK423" s="31">
        <f t="shared" si="289"/>
        <v>2036075364.2499299</v>
      </c>
      <c r="AL423" s="31">
        <f t="shared" si="290"/>
        <v>1.5707963263037557</v>
      </c>
      <c r="AM423" s="31" t="str">
        <f t="shared" si="275"/>
        <v>1+929.029215401368i</v>
      </c>
      <c r="AN423" s="31">
        <f t="shared" si="291"/>
        <v>929.02975359741913</v>
      </c>
      <c r="AO423" s="31">
        <f t="shared" si="292"/>
        <v>1.5697199347964368</v>
      </c>
      <c r="AS423" s="58" t="str">
        <f t="shared" si="293"/>
        <v>196.153577293415+182232.487160991i</v>
      </c>
      <c r="AT423" s="49">
        <f t="shared" si="294"/>
        <v>105.21252108357498</v>
      </c>
      <c r="AU423" s="61">
        <f t="shared" si="295"/>
        <v>89.938327309526898</v>
      </c>
      <c r="AV423" s="58" t="str">
        <f t="shared" si="296"/>
        <v>30899.6023696698-38376.0504073183i</v>
      </c>
      <c r="AW423" s="64">
        <f t="shared" si="297"/>
        <v>93.851604321446459</v>
      </c>
      <c r="AX423" s="61">
        <f t="shared" si="298"/>
        <v>-51.159701114420038</v>
      </c>
      <c r="AY423" s="310"/>
      <c r="BA423" s="31">
        <f t="shared" si="299"/>
        <v>0</v>
      </c>
      <c r="BB423" s="31">
        <f t="shared" si="300"/>
        <v>0</v>
      </c>
    </row>
    <row r="424" spans="14:54" x14ac:dyDescent="0.45">
      <c r="N424" s="10">
        <v>6</v>
      </c>
      <c r="O424" s="50">
        <f t="shared" si="301"/>
        <v>114815.36214968823</v>
      </c>
      <c r="P424" s="48" t="str">
        <f t="shared" si="267"/>
        <v>17.4002386318441</v>
      </c>
      <c r="Q424" s="17" t="str">
        <f t="shared" si="268"/>
        <v>1+61.7828984405854i</v>
      </c>
      <c r="R424" s="17">
        <f t="shared" si="276"/>
        <v>61.79099076499493</v>
      </c>
      <c r="S424" s="17">
        <f t="shared" si="277"/>
        <v>1.5546120312497009</v>
      </c>
      <c r="T424" s="17" t="str">
        <f t="shared" si="269"/>
        <v>1+0.216421858949227i</v>
      </c>
      <c r="U424" s="17">
        <f t="shared" si="278"/>
        <v>1.0231512209986553</v>
      </c>
      <c r="V424" s="17">
        <f t="shared" si="279"/>
        <v>0.2131347996421368</v>
      </c>
      <c r="W424" s="31" t="str">
        <f t="shared" si="270"/>
        <v>1-0.533938735911019i</v>
      </c>
      <c r="X424" s="17">
        <f t="shared" si="280"/>
        <v>1.1336183545207166</v>
      </c>
      <c r="Y424" s="17">
        <f t="shared" si="281"/>
        <v>-0.49042854195225249</v>
      </c>
      <c r="Z424" s="31" t="str">
        <f t="shared" si="271"/>
        <v>0.988043022779534+0.746745283378673i</v>
      </c>
      <c r="AA424" s="17">
        <f t="shared" si="282"/>
        <v>1.2384900214017123</v>
      </c>
      <c r="AB424" s="17">
        <f t="shared" si="283"/>
        <v>0.6471914279156965</v>
      </c>
      <c r="AC424" s="66" t="str">
        <f t="shared" si="284"/>
        <v>-0.207933167045108-0.162211000818161i</v>
      </c>
      <c r="AD424" s="64">
        <f t="shared" si="285"/>
        <v>-11.577115407590806</v>
      </c>
      <c r="AE424" s="61">
        <f t="shared" si="286"/>
        <v>-142.04180664724043</v>
      </c>
      <c r="AF424" s="31" t="str">
        <f t="shared" si="272"/>
        <v>-9090.90909090909</v>
      </c>
      <c r="AG424" s="31" t="str">
        <f t="shared" si="273"/>
        <v>2.27623467397318E-08i</v>
      </c>
      <c r="AH424" s="31">
        <f t="shared" si="287"/>
        <v>2.27623467397318E-8</v>
      </c>
      <c r="AI424" s="31">
        <f t="shared" si="288"/>
        <v>1.5707963267948966</v>
      </c>
      <c r="AJ424" s="31" t="str">
        <f t="shared" si="274"/>
        <v>1+2083501651.99243i</v>
      </c>
      <c r="AK424" s="31">
        <f t="shared" si="289"/>
        <v>2083501651.99243</v>
      </c>
      <c r="AL424" s="31">
        <f t="shared" si="290"/>
        <v>1.5707963263149354</v>
      </c>
      <c r="AM424" s="31" t="str">
        <f t="shared" si="275"/>
        <v>1+950.669085744305i</v>
      </c>
      <c r="AN424" s="31">
        <f t="shared" si="291"/>
        <v>950.66961168952525</v>
      </c>
      <c r="AO424" s="31">
        <f t="shared" si="292"/>
        <v>1.5697444364513786</v>
      </c>
      <c r="AS424" s="58" t="str">
        <f t="shared" si="293"/>
        <v>191.688576754757+182232.487160986i</v>
      </c>
      <c r="AT424" s="49">
        <f t="shared" si="294"/>
        <v>105.21252085710574</v>
      </c>
      <c r="AU424" s="61">
        <f t="shared" si="295"/>
        <v>89.939731150305605</v>
      </c>
      <c r="AV424" s="58" t="str">
        <f t="shared" si="296"/>
        <v>29520.2557111151-37923.2721897716i</v>
      </c>
      <c r="AW424" s="64">
        <f t="shared" si="297"/>
        <v>93.63540544951492</v>
      </c>
      <c r="AX424" s="61">
        <f t="shared" si="298"/>
        <v>-52.102075496934958</v>
      </c>
      <c r="AY424" s="310"/>
      <c r="BA424" s="31">
        <f t="shared" si="299"/>
        <v>0</v>
      </c>
      <c r="BB424" s="31">
        <f t="shared" si="300"/>
        <v>0</v>
      </c>
    </row>
    <row r="425" spans="14:54" x14ac:dyDescent="0.45">
      <c r="N425" s="10">
        <v>7</v>
      </c>
      <c r="O425" s="50">
        <f t="shared" si="301"/>
        <v>117489.75549395311</v>
      </c>
      <c r="P425" s="48" t="str">
        <f t="shared" si="267"/>
        <v>17.4002386318441</v>
      </c>
      <c r="Q425" s="17" t="str">
        <f t="shared" si="268"/>
        <v>1+63.2220070170447i</v>
      </c>
      <c r="R425" s="17">
        <f t="shared" si="276"/>
        <v>63.229915160968304</v>
      </c>
      <c r="S425" s="17">
        <f t="shared" si="277"/>
        <v>1.5549803686455583</v>
      </c>
      <c r="T425" s="17" t="str">
        <f t="shared" si="269"/>
        <v>1+0.221462971639119i</v>
      </c>
      <c r="U425" s="17">
        <f t="shared" si="278"/>
        <v>1.0242293921808869</v>
      </c>
      <c r="V425" s="17">
        <f t="shared" si="279"/>
        <v>0.21794530850812674</v>
      </c>
      <c r="W425" s="31" t="str">
        <f t="shared" si="270"/>
        <v>1-0.546375766764991i</v>
      </c>
      <c r="X425" s="17">
        <f t="shared" si="280"/>
        <v>1.1395290599664547</v>
      </c>
      <c r="Y425" s="17">
        <f t="shared" si="281"/>
        <v>-0.50005643256545873</v>
      </c>
      <c r="Z425" s="31" t="str">
        <f t="shared" si="271"/>
        <v>0.987479507804055+0.764139215500103i</v>
      </c>
      <c r="AA425" s="17">
        <f t="shared" si="282"/>
        <v>1.2486090336843041</v>
      </c>
      <c r="AB425" s="17">
        <f t="shared" si="283"/>
        <v>0.65857738993011239</v>
      </c>
      <c r="AC425" s="66" t="str">
        <f t="shared" si="284"/>
        <v>-0.205412871446519-0.154838642390755i</v>
      </c>
      <c r="AD425" s="64">
        <f t="shared" si="285"/>
        <v>-11.793424559416261</v>
      </c>
      <c r="AE425" s="61">
        <f t="shared" si="286"/>
        <v>-142.99129403700098</v>
      </c>
      <c r="AF425" s="31" t="str">
        <f t="shared" si="272"/>
        <v>-9090.90909090909</v>
      </c>
      <c r="AG425" s="31" t="str">
        <f t="shared" si="273"/>
        <v>2.27623467397318E-08i</v>
      </c>
      <c r="AH425" s="31">
        <f t="shared" si="287"/>
        <v>2.27623467397318E-8</v>
      </c>
      <c r="AI425" s="31">
        <f t="shared" si="288"/>
        <v>1.5707963267948966</v>
      </c>
      <c r="AJ425" s="31" t="str">
        <f t="shared" si="274"/>
        <v>1+2132032639.88924i</v>
      </c>
      <c r="AK425" s="31">
        <f t="shared" si="289"/>
        <v>2132032639.88924</v>
      </c>
      <c r="AL425" s="31">
        <f t="shared" si="290"/>
        <v>1.5707963263258606</v>
      </c>
      <c r="AM425" s="31" t="str">
        <f t="shared" si="275"/>
        <v>1+972.8130134201i</v>
      </c>
      <c r="AN425" s="31">
        <f t="shared" si="291"/>
        <v>972.81352739335182</v>
      </c>
      <c r="AO425" s="31">
        <f t="shared" si="292"/>
        <v>1.569768380381783</v>
      </c>
      <c r="AS425" s="58" t="str">
        <f t="shared" si="293"/>
        <v>187.325212036793+182232.487160982i</v>
      </c>
      <c r="AT425" s="49">
        <f t="shared" si="294"/>
        <v>105.21252064082935</v>
      </c>
      <c r="AU425" s="61">
        <f t="shared" si="295"/>
        <v>89.941103035836775</v>
      </c>
      <c r="AV425" s="58" t="str">
        <f t="shared" si="296"/>
        <v>28178.1519017983-37461.9036400956i</v>
      </c>
      <c r="AW425" s="64">
        <f t="shared" si="297"/>
        <v>93.419096081413073</v>
      </c>
      <c r="AX425" s="61">
        <f t="shared" si="298"/>
        <v>-53.050191001164279</v>
      </c>
      <c r="AY425" s="310"/>
      <c r="BA425" s="31">
        <f t="shared" si="299"/>
        <v>0</v>
      </c>
      <c r="BB425" s="31">
        <f t="shared" si="300"/>
        <v>0</v>
      </c>
    </row>
    <row r="426" spans="14:54" x14ac:dyDescent="0.45">
      <c r="N426" s="10">
        <v>8</v>
      </c>
      <c r="O426" s="50">
        <f t="shared" si="301"/>
        <v>120226.44346174144</v>
      </c>
      <c r="P426" s="48" t="str">
        <f t="shared" si="267"/>
        <v>17.4002386318441</v>
      </c>
      <c r="Q426" s="17" t="str">
        <f t="shared" si="268"/>
        <v>1+64.6946367384665i</v>
      </c>
      <c r="R426" s="17">
        <f t="shared" si="276"/>
        <v>64.702364892808518</v>
      </c>
      <c r="S426" s="17">
        <f t="shared" si="277"/>
        <v>1.5553403258059448</v>
      </c>
      <c r="T426" s="17" t="str">
        <f t="shared" si="269"/>
        <v>1+0.226621506927981i</v>
      </c>
      <c r="U426" s="17">
        <f t="shared" si="278"/>
        <v>1.025357160896782</v>
      </c>
      <c r="V426" s="17">
        <f t="shared" si="279"/>
        <v>0.22285727899676497</v>
      </c>
      <c r="W426" s="31" t="str">
        <f t="shared" si="270"/>
        <v>1-0.559102493282639i</v>
      </c>
      <c r="X426" s="17">
        <f t="shared" si="280"/>
        <v>1.1456856453647586</v>
      </c>
      <c r="Y426" s="17">
        <f t="shared" si="281"/>
        <v>-0.50980481848422965</v>
      </c>
      <c r="Z426" s="31" t="str">
        <f t="shared" si="271"/>
        <v>0.986889435185978+0.781938304348168i</v>
      </c>
      <c r="AA426" s="17">
        <f t="shared" si="282"/>
        <v>1.2591180520858982</v>
      </c>
      <c r="AB426" s="17">
        <f t="shared" si="283"/>
        <v>0.6700442169225006</v>
      </c>
      <c r="AC426" s="66" t="str">
        <f t="shared" si="284"/>
        <v>-0.20284735284619-0.147669388819496i</v>
      </c>
      <c r="AD426" s="64">
        <f t="shared" si="285"/>
        <v>-12.009815203592174</v>
      </c>
      <c r="AE426" s="61">
        <f t="shared" si="286"/>
        <v>-143.94602504628577</v>
      </c>
      <c r="AF426" s="31" t="str">
        <f t="shared" si="272"/>
        <v>-9090.90909090909</v>
      </c>
      <c r="AG426" s="31" t="str">
        <f t="shared" si="273"/>
        <v>2.27623467397318E-08i</v>
      </c>
      <c r="AH426" s="31">
        <f t="shared" si="287"/>
        <v>2.27623467397318E-8</v>
      </c>
      <c r="AI426" s="31">
        <f t="shared" si="288"/>
        <v>1.5707963267948966</v>
      </c>
      <c r="AJ426" s="31" t="str">
        <f t="shared" si="274"/>
        <v>1+2181694059.71249i</v>
      </c>
      <c r="AK426" s="31">
        <f t="shared" si="289"/>
        <v>2181694059.7124901</v>
      </c>
      <c r="AL426" s="31">
        <f t="shared" si="290"/>
        <v>1.5707963263365372</v>
      </c>
      <c r="AM426" s="31" t="str">
        <f t="shared" si="275"/>
        <v>1+995.472739432312i</v>
      </c>
      <c r="AN426" s="31">
        <f t="shared" si="291"/>
        <v>995.47324170611012</v>
      </c>
      <c r="AO426" s="31">
        <f t="shared" si="292"/>
        <v>1.5697917792829292</v>
      </c>
      <c r="AS426" s="58" t="str">
        <f t="shared" si="293"/>
        <v>183.061169625794+182232.487160978i</v>
      </c>
      <c r="AT426" s="49">
        <f t="shared" si="294"/>
        <v>105.21252043428696</v>
      </c>
      <c r="AU426" s="61">
        <f t="shared" si="295"/>
        <v>89.942443693505965</v>
      </c>
      <c r="AV426" s="58" t="str">
        <f t="shared" si="296"/>
        <v>26873.0265284508-36992.4101542169i</v>
      </c>
      <c r="AW426" s="64">
        <f t="shared" si="297"/>
        <v>93.202705230694789</v>
      </c>
      <c r="AX426" s="61">
        <f t="shared" si="298"/>
        <v>-54.003581352779761</v>
      </c>
      <c r="AY426" s="310"/>
      <c r="BA426" s="31">
        <f t="shared" si="299"/>
        <v>0</v>
      </c>
      <c r="BB426" s="31">
        <f t="shared" si="300"/>
        <v>0</v>
      </c>
    </row>
    <row r="427" spans="14:54" x14ac:dyDescent="0.45">
      <c r="N427" s="10">
        <v>9</v>
      </c>
      <c r="O427" s="50">
        <f t="shared" si="301"/>
        <v>123026.87708123829</v>
      </c>
      <c r="P427" s="48" t="str">
        <f t="shared" si="267"/>
        <v>17.4002386318441</v>
      </c>
      <c r="Q427" s="17" t="str">
        <f t="shared" si="268"/>
        <v>1+66.2015684126218i</v>
      </c>
      <c r="R427" s="17">
        <f t="shared" si="276"/>
        <v>66.20912067299372</v>
      </c>
      <c r="S427" s="17">
        <f t="shared" si="277"/>
        <v>1.5556920932115823</v>
      </c>
      <c r="T427" s="17" t="str">
        <f t="shared" si="269"/>
        <v>1+0.231900199939508i</v>
      </c>
      <c r="U427" s="17">
        <f t="shared" si="278"/>
        <v>1.0265367517687731</v>
      </c>
      <c r="V427" s="17">
        <f t="shared" si="279"/>
        <v>0.22787236696286597</v>
      </c>
      <c r="W427" s="31" t="str">
        <f t="shared" si="270"/>
        <v>1-0.572125663342822i</v>
      </c>
      <c r="X427" s="17">
        <f t="shared" si="280"/>
        <v>1.1520971203225292</v>
      </c>
      <c r="Y427" s="17">
        <f t="shared" si="281"/>
        <v>-0.51967145650382218</v>
      </c>
      <c r="Z427" s="31" t="str">
        <f t="shared" si="271"/>
        <v>0.986271553302166+0.800151987235376i</v>
      </c>
      <c r="AA427" s="17">
        <f t="shared" si="282"/>
        <v>1.2700294404185237</v>
      </c>
      <c r="AB427" s="17">
        <f t="shared" si="283"/>
        <v>0.68158711633477909</v>
      </c>
      <c r="AC427" s="66" t="str">
        <f t="shared" si="284"/>
        <v>-0.200239309057942-0.140701763660869i</v>
      </c>
      <c r="AD427" s="64">
        <f t="shared" si="285"/>
        <v>-12.226256210070874</v>
      </c>
      <c r="AE427" s="61">
        <f t="shared" si="286"/>
        <v>-144.90551259582827</v>
      </c>
      <c r="AF427" s="31" t="str">
        <f t="shared" si="272"/>
        <v>-9090.90909090909</v>
      </c>
      <c r="AG427" s="31" t="str">
        <f t="shared" si="273"/>
        <v>2.27623467397318E-08i</v>
      </c>
      <c r="AH427" s="31">
        <f t="shared" si="287"/>
        <v>2.27623467397318E-8</v>
      </c>
      <c r="AI427" s="31">
        <f t="shared" si="288"/>
        <v>1.5707963267948966</v>
      </c>
      <c r="AJ427" s="31" t="str">
        <f t="shared" si="274"/>
        <v>1+2232512242.60434i</v>
      </c>
      <c r="AK427" s="31">
        <f t="shared" si="289"/>
        <v>2232512242.6043401</v>
      </c>
      <c r="AL427" s="31">
        <f t="shared" si="290"/>
        <v>1.5707963263469706</v>
      </c>
      <c r="AM427" s="31" t="str">
        <f t="shared" si="275"/>
        <v>1+1018.66027826761i</v>
      </c>
      <c r="AN427" s="31">
        <f t="shared" si="291"/>
        <v>1018.6607691082663</v>
      </c>
      <c r="AO427" s="31">
        <f t="shared" si="292"/>
        <v>1.5698146455611217</v>
      </c>
      <c r="AS427" s="58" t="str">
        <f t="shared" si="293"/>
        <v>178.894188670031+182232.487160975i</v>
      </c>
      <c r="AT427" s="49">
        <f t="shared" si="294"/>
        <v>105.21252023704054</v>
      </c>
      <c r="AU427" s="61">
        <f t="shared" si="295"/>
        <v>89.943753834141773</v>
      </c>
      <c r="AV427" s="58" t="str">
        <f t="shared" si="296"/>
        <v>25604.6106911221-36515.2780448785i</v>
      </c>
      <c r="AW427" s="64">
        <f t="shared" si="297"/>
        <v>92.986264026969678</v>
      </c>
      <c r="AX427" s="61">
        <f t="shared" si="298"/>
        <v>-54.961758761686539</v>
      </c>
      <c r="AY427" s="310"/>
      <c r="BA427" s="31">
        <f t="shared" si="299"/>
        <v>0</v>
      </c>
      <c r="BB427" s="31">
        <f t="shared" si="300"/>
        <v>0</v>
      </c>
    </row>
    <row r="428" spans="14:54" x14ac:dyDescent="0.45">
      <c r="N428" s="10">
        <v>10</v>
      </c>
      <c r="O428" s="50">
        <f t="shared" si="301"/>
        <v>125892.54117941685</v>
      </c>
      <c r="P428" s="48" t="str">
        <f t="shared" si="267"/>
        <v>17.4002386318441</v>
      </c>
      <c r="Q428" s="17" t="str">
        <f t="shared" si="268"/>
        <v>1+67.7436010346308i</v>
      </c>
      <c r="R428" s="17">
        <f t="shared" si="276"/>
        <v>67.750981403513492</v>
      </c>
      <c r="S428" s="17">
        <f t="shared" si="277"/>
        <v>1.5560358570257835</v>
      </c>
      <c r="T428" s="17" t="str">
        <f t="shared" si="269"/>
        <v>1+0.237301849506604i</v>
      </c>
      <c r="U428" s="17">
        <f t="shared" si="278"/>
        <v>1.027770483998862</v>
      </c>
      <c r="V428" s="17">
        <f t="shared" si="279"/>
        <v>0.23299222193960489</v>
      </c>
      <c r="W428" s="31" t="str">
        <f t="shared" si="270"/>
        <v>1-0.585452182002687i</v>
      </c>
      <c r="X428" s="17">
        <f t="shared" si="280"/>
        <v>1.1587727376028949</v>
      </c>
      <c r="Y428" s="17">
        <f t="shared" si="281"/>
        <v>-0.52965389319266287</v>
      </c>
      <c r="Z428" s="31" t="str">
        <f t="shared" si="271"/>
        <v>0.985624551542303+0.81878992129748i</v>
      </c>
      <c r="AA428" s="17">
        <f t="shared" si="282"/>
        <v>1.2813558021959783</v>
      </c>
      <c r="AB428" s="17">
        <f t="shared" si="283"/>
        <v>0.69320113753829427</v>
      </c>
      <c r="AC428" s="66" t="str">
        <f t="shared" si="284"/>
        <v>-0.197591546361194-0.133934253457855i</v>
      </c>
      <c r="AD428" s="64">
        <f t="shared" si="285"/>
        <v>-12.442714313991011</v>
      </c>
      <c r="AE428" s="61">
        <f t="shared" si="286"/>
        <v>-145.86924861930893</v>
      </c>
      <c r="AF428" s="31" t="str">
        <f t="shared" si="272"/>
        <v>-9090.90909090909</v>
      </c>
      <c r="AG428" s="31" t="str">
        <f t="shared" si="273"/>
        <v>2.27623467397318E-08i</v>
      </c>
      <c r="AH428" s="31">
        <f t="shared" si="287"/>
        <v>2.27623467397318E-8</v>
      </c>
      <c r="AI428" s="31">
        <f t="shared" si="288"/>
        <v>1.5707963267948966</v>
      </c>
      <c r="AJ428" s="31" t="str">
        <f t="shared" si="274"/>
        <v>1+2284514133.03801i</v>
      </c>
      <c r="AK428" s="31">
        <f t="shared" si="289"/>
        <v>2284514133.0380101</v>
      </c>
      <c r="AL428" s="31">
        <f t="shared" si="290"/>
        <v>1.5707963263571667</v>
      </c>
      <c r="AM428" s="31" t="str">
        <f t="shared" si="275"/>
        <v>1+1042.38792426601i</v>
      </c>
      <c r="AN428" s="31">
        <f t="shared" si="291"/>
        <v>1042.388403933774</v>
      </c>
      <c r="AO428" s="31">
        <f t="shared" si="292"/>
        <v>1.5698369913402679</v>
      </c>
      <c r="AS428" s="58" t="str">
        <f t="shared" si="293"/>
        <v>174.822059781045+182232.487160971i</v>
      </c>
      <c r="AT428" s="49">
        <f t="shared" si="294"/>
        <v>105.21252004867162</v>
      </c>
      <c r="AU428" s="61">
        <f t="shared" si="295"/>
        <v>89.94503415239258</v>
      </c>
      <c r="AV428" s="58" t="str">
        <f t="shared" si="296"/>
        <v>24372.6287625426-36031.0135974474i</v>
      </c>
      <c r="AW428" s="64">
        <f t="shared" si="297"/>
        <v>92.769805734680602</v>
      </c>
      <c r="AX428" s="61">
        <f t="shared" si="298"/>
        <v>-55.924214466916361</v>
      </c>
      <c r="AY428" s="310"/>
      <c r="BA428" s="31">
        <f t="shared" si="299"/>
        <v>0</v>
      </c>
      <c r="BB428" s="31">
        <f t="shared" si="300"/>
        <v>0</v>
      </c>
    </row>
    <row r="429" spans="14:54" x14ac:dyDescent="0.45">
      <c r="N429" s="10">
        <v>11</v>
      </c>
      <c r="O429" s="50">
        <f t="shared" si="301"/>
        <v>128824.95516931375</v>
      </c>
      <c r="P429" s="48" t="str">
        <f t="shared" si="267"/>
        <v>17.4002386318441</v>
      </c>
      <c r="Q429" s="17" t="str">
        <f t="shared" si="268"/>
        <v>1+69.3215522106011i</v>
      </c>
      <c r="R429" s="17">
        <f t="shared" si="276"/>
        <v>69.328764599458239</v>
      </c>
      <c r="S429" s="17">
        <f t="shared" si="277"/>
        <v>1.5563717991914958</v>
      </c>
      <c r="T429" s="17" t="str">
        <f t="shared" si="269"/>
        <v>1+0.242829319655371i</v>
      </c>
      <c r="U429" s="17">
        <f t="shared" si="278"/>
        <v>1.0290607749225942</v>
      </c>
      <c r="V429" s="17">
        <f t="shared" si="279"/>
        <v>0.23821848441529064</v>
      </c>
      <c r="W429" s="31" t="str">
        <f t="shared" si="270"/>
        <v>1-0.599089115158828i</v>
      </c>
      <c r="X429" s="17">
        <f t="shared" si="280"/>
        <v>1.1657219942601182</v>
      </c>
      <c r="Y429" s="17">
        <f t="shared" si="281"/>
        <v>-0.53974946284336411</v>
      </c>
      <c r="Z429" s="31" t="str">
        <f t="shared" si="271"/>
        <v>0.984947057528911+0.837861988613823i</v>
      </c>
      <c r="AA429" s="17">
        <f t="shared" si="282"/>
        <v>1.2931099791196301</v>
      </c>
      <c r="AB429" s="17">
        <f t="shared" si="283"/>
        <v>0.70488118236460162</v>
      </c>
      <c r="AC429" s="66" t="str">
        <f t="shared" si="284"/>
        <v>-0.194906973348216-0.12736529587704i</v>
      </c>
      <c r="AD429" s="64">
        <f t="shared" si="285"/>
        <v>-12.659154105892348</v>
      </c>
      <c r="AE429" s="61">
        <f t="shared" si="286"/>
        <v>-146.83670471091693</v>
      </c>
      <c r="AF429" s="31" t="str">
        <f t="shared" si="272"/>
        <v>-9090.90909090909</v>
      </c>
      <c r="AG429" s="31" t="str">
        <f t="shared" si="273"/>
        <v>2.27623467397318E-08i</v>
      </c>
      <c r="AH429" s="31">
        <f t="shared" si="287"/>
        <v>2.27623467397318E-8</v>
      </c>
      <c r="AI429" s="31">
        <f t="shared" si="288"/>
        <v>1.5707963267948966</v>
      </c>
      <c r="AJ429" s="31" t="str">
        <f t="shared" si="274"/>
        <v>1+2337727303.10415i</v>
      </c>
      <c r="AK429" s="31">
        <f t="shared" si="289"/>
        <v>2337727303.1041498</v>
      </c>
      <c r="AL429" s="31">
        <f t="shared" si="290"/>
        <v>1.5707963263671307</v>
      </c>
      <c r="AM429" s="31" t="str">
        <f t="shared" si="275"/>
        <v>1+1066.66825813949i</v>
      </c>
      <c r="AN429" s="31">
        <f t="shared" si="291"/>
        <v>1066.6687268886878</v>
      </c>
      <c r="AO429" s="31">
        <f t="shared" si="292"/>
        <v>1.5698588284683068</v>
      </c>
      <c r="AS429" s="58" t="str">
        <f t="shared" si="293"/>
        <v>170.842623862199+182232.487160967i</v>
      </c>
      <c r="AT429" s="49">
        <f t="shared" si="294"/>
        <v>105.21251986878067</v>
      </c>
      <c r="AU429" s="61">
        <f t="shared" si="295"/>
        <v>89.946285327095012</v>
      </c>
      <c r="AV429" s="58" t="str">
        <f t="shared" si="296"/>
        <v>23176.7962269296-35540.1419395983i</v>
      </c>
      <c r="AW429" s="64">
        <f t="shared" si="297"/>
        <v>92.553365762888319</v>
      </c>
      <c r="AX429" s="61">
        <f t="shared" si="298"/>
        <v>-56.890419383821921</v>
      </c>
      <c r="AY429" s="310"/>
      <c r="BA429" s="31">
        <f t="shared" si="299"/>
        <v>0</v>
      </c>
      <c r="BB429" s="31">
        <f t="shared" si="300"/>
        <v>0</v>
      </c>
    </row>
    <row r="430" spans="14:54" x14ac:dyDescent="0.45">
      <c r="N430" s="10">
        <v>12</v>
      </c>
      <c r="O430" s="50">
        <f t="shared" si="301"/>
        <v>131825.67385564081</v>
      </c>
      <c r="P430" s="48" t="str">
        <f t="shared" si="267"/>
        <v>17.4002386318441</v>
      </c>
      <c r="Q430" s="17" t="str">
        <f t="shared" si="268"/>
        <v>1+70.9362585911323i</v>
      </c>
      <c r="R430" s="17">
        <f t="shared" si="276"/>
        <v>70.943306822476146</v>
      </c>
      <c r="S430" s="17">
        <f t="shared" si="277"/>
        <v>1.5567000975262202</v>
      </c>
      <c r="T430" s="17" t="str">
        <f t="shared" si="269"/>
        <v>1+0.248485541123643i</v>
      </c>
      <c r="U430" s="17">
        <f t="shared" si="278"/>
        <v>1.0304101436551902</v>
      </c>
      <c r="V430" s="17">
        <f t="shared" si="279"/>
        <v>0.24355278292995031</v>
      </c>
      <c r="W430" s="31" t="str">
        <f t="shared" si="270"/>
        <v>1-0.613043693293705i</v>
      </c>
      <c r="X430" s="17">
        <f t="shared" si="280"/>
        <v>1.1729546324931694</v>
      </c>
      <c r="Y430" s="17">
        <f t="shared" si="281"/>
        <v>-0.54995528616161815</v>
      </c>
      <c r="Z430" s="31" t="str">
        <f t="shared" si="271"/>
        <v>0.984237634206355+0.85737830144694i</v>
      </c>
      <c r="AA430" s="17">
        <f t="shared" si="282"/>
        <v>1.3053050495497835</v>
      </c>
      <c r="AB430" s="17">
        <f t="shared" si="283"/>
        <v>0.71662201652300528</v>
      </c>
      <c r="AC430" s="66" t="str">
        <f t="shared" si="284"/>
        <v>-0.192188593778078-0.120993268385467i</v>
      </c>
      <c r="AD430" s="64">
        <f t="shared" si="285"/>
        <v>-12.875538031373976</v>
      </c>
      <c r="AE430" s="61">
        <f t="shared" si="286"/>
        <v>-147.80733287619691</v>
      </c>
      <c r="AF430" s="31" t="str">
        <f t="shared" si="272"/>
        <v>-9090.90909090909</v>
      </c>
      <c r="AG430" s="31" t="str">
        <f t="shared" si="273"/>
        <v>2.27623467397318E-08i</v>
      </c>
      <c r="AH430" s="31">
        <f t="shared" si="287"/>
        <v>2.27623467397318E-8</v>
      </c>
      <c r="AI430" s="31">
        <f t="shared" si="288"/>
        <v>1.5707963267948966</v>
      </c>
      <c r="AJ430" s="31" t="str">
        <f t="shared" si="274"/>
        <v>1+2392179967.12985i</v>
      </c>
      <c r="AK430" s="31">
        <f t="shared" si="289"/>
        <v>2392179967.1298499</v>
      </c>
      <c r="AL430" s="31">
        <f t="shared" si="290"/>
        <v>1.5707963263768678</v>
      </c>
      <c r="AM430" s="31" t="str">
        <f t="shared" si="275"/>
        <v>1+1091.51415364246i</v>
      </c>
      <c r="AN430" s="31">
        <f t="shared" si="291"/>
        <v>1091.5146117216277</v>
      </c>
      <c r="AO430" s="31">
        <f t="shared" si="292"/>
        <v>1.5698801685234891</v>
      </c>
      <c r="AS430" s="58" t="str">
        <f t="shared" si="293"/>
        <v>166.953770963895+182232.487160965i</v>
      </c>
      <c r="AT430" s="49">
        <f t="shared" si="294"/>
        <v>105.21251969698623</v>
      </c>
      <c r="AU430" s="61">
        <f t="shared" si="295"/>
        <v>89.947508021633638</v>
      </c>
      <c r="AV430" s="58" t="str">
        <f t="shared" si="296"/>
        <v>22016.8176171503-35043.2057305657i</v>
      </c>
      <c r="AW430" s="64">
        <f t="shared" si="297"/>
        <v>92.336981665612257</v>
      </c>
      <c r="AX430" s="61">
        <f t="shared" si="298"/>
        <v>-57.859824854563307</v>
      </c>
      <c r="AY430" s="310"/>
      <c r="BA430" s="31">
        <f t="shared" si="299"/>
        <v>0</v>
      </c>
      <c r="BB430" s="31">
        <f t="shared" si="300"/>
        <v>0</v>
      </c>
    </row>
    <row r="431" spans="14:54" x14ac:dyDescent="0.45">
      <c r="N431" s="10">
        <v>13</v>
      </c>
      <c r="O431" s="50">
        <f t="shared" si="301"/>
        <v>134896.28825916545</v>
      </c>
      <c r="P431" s="48" t="str">
        <f t="shared" si="267"/>
        <v>17.4002386318441</v>
      </c>
      <c r="Q431" s="17" t="str">
        <f t="shared" si="268"/>
        <v>1+72.5885763149211i</v>
      </c>
      <c r="R431" s="17">
        <f t="shared" si="276"/>
        <v>72.595464124331656</v>
      </c>
      <c r="S431" s="17">
        <f t="shared" si="277"/>
        <v>1.5570209258148457</v>
      </c>
      <c r="T431" s="17" t="str">
        <f t="shared" si="269"/>
        <v>1+0.254273512914915i</v>
      </c>
      <c r="U431" s="17">
        <f t="shared" si="278"/>
        <v>1.031821214828466</v>
      </c>
      <c r="V431" s="17">
        <f t="shared" si="279"/>
        <v>0.24899673098590627</v>
      </c>
      <c r="W431" s="31" t="str">
        <f t="shared" si="270"/>
        <v>1-0.62732331530936i</v>
      </c>
      <c r="X431" s="17">
        <f t="shared" si="280"/>
        <v>1.1804806402185199</v>
      </c>
      <c r="Y431" s="17">
        <f t="shared" si="281"/>
        <v>-0.56026826974188471</v>
      </c>
      <c r="Z431" s="31" t="str">
        <f t="shared" si="271"/>
        <v>0.983494776792653+0.877349207604229i</v>
      </c>
      <c r="AA431" s="17">
        <f t="shared" si="282"/>
        <v>1.3179543270015841</v>
      </c>
      <c r="AB431" s="17">
        <f t="shared" si="283"/>
        <v>0.7284182818554048</v>
      </c>
      <c r="AC431" s="66" t="str">
        <f t="shared" si="284"/>
        <v>-0.18943949848106-0.114816477568817i</v>
      </c>
      <c r="AD431" s="64">
        <f t="shared" si="285"/>
        <v>-13.091826400574575</v>
      </c>
      <c r="AE431" s="61">
        <f t="shared" si="286"/>
        <v>-148.78056638648872</v>
      </c>
      <c r="AF431" s="31" t="str">
        <f t="shared" si="272"/>
        <v>-9090.90909090909</v>
      </c>
      <c r="AG431" s="31" t="str">
        <f t="shared" si="273"/>
        <v>2.27623467397318E-08i</v>
      </c>
      <c r="AH431" s="31">
        <f t="shared" si="287"/>
        <v>2.27623467397318E-8</v>
      </c>
      <c r="AI431" s="31">
        <f t="shared" si="288"/>
        <v>1.5707963267948966</v>
      </c>
      <c r="AJ431" s="31" t="str">
        <f t="shared" si="274"/>
        <v>1+2447900996.63838i</v>
      </c>
      <c r="AK431" s="31">
        <f t="shared" si="289"/>
        <v>2447900996.6383801</v>
      </c>
      <c r="AL431" s="31">
        <f t="shared" si="290"/>
        <v>1.5707963263863833</v>
      </c>
      <c r="AM431" s="31" t="str">
        <f t="shared" si="275"/>
        <v>1+1116.93878439758i</v>
      </c>
      <c r="AN431" s="31">
        <f t="shared" si="291"/>
        <v>1116.9392320495972</v>
      </c>
      <c r="AO431" s="31">
        <f t="shared" si="292"/>
        <v>1.5699010228205166</v>
      </c>
      <c r="AS431" s="58" t="str">
        <f t="shared" si="293"/>
        <v>163.15343916485+182232.487160961i</v>
      </c>
      <c r="AT431" s="49">
        <f t="shared" si="294"/>
        <v>105.21251953292371</v>
      </c>
      <c r="AU431" s="61">
        <f t="shared" si="295"/>
        <v>89.948702884292828</v>
      </c>
      <c r="AV431" s="58" t="str">
        <f t="shared" si="296"/>
        <v>20892.3845687354-34540.7636779168i</v>
      </c>
      <c r="AW431" s="64">
        <f t="shared" si="297"/>
        <v>92.120693132349146</v>
      </c>
      <c r="AX431" s="61">
        <f t="shared" si="298"/>
        <v>-58.831863502195851</v>
      </c>
      <c r="AY431" s="310"/>
      <c r="BA431" s="31">
        <f t="shared" si="299"/>
        <v>0</v>
      </c>
      <c r="BB431" s="31">
        <f t="shared" si="300"/>
        <v>0</v>
      </c>
    </row>
    <row r="432" spans="14:54" x14ac:dyDescent="0.45">
      <c r="N432" s="10">
        <v>14</v>
      </c>
      <c r="O432" s="50">
        <f t="shared" si="301"/>
        <v>138038.42646028858</v>
      </c>
      <c r="P432" s="48" t="str">
        <f t="shared" si="267"/>
        <v>17.4002386318441</v>
      </c>
      <c r="Q432" s="17" t="str">
        <f t="shared" si="268"/>
        <v>1+74.2793814626956i</v>
      </c>
      <c r="R432" s="17">
        <f t="shared" si="276"/>
        <v>74.286112500794175</v>
      </c>
      <c r="S432" s="17">
        <f t="shared" si="277"/>
        <v>1.5573344539004412</v>
      </c>
      <c r="T432" s="17" t="str">
        <f t="shared" si="269"/>
        <v>1+0.260196303888443i</v>
      </c>
      <c r="U432" s="17">
        <f t="shared" si="278"/>
        <v>1.0332967224167542</v>
      </c>
      <c r="V432" s="17">
        <f t="shared" si="279"/>
        <v>0.25455192376676561</v>
      </c>
      <c r="W432" s="31" t="str">
        <f t="shared" si="270"/>
        <v>1-0.641935552450398i</v>
      </c>
      <c r="X432" s="17">
        <f t="shared" si="280"/>
        <v>1.1883102513652728</v>
      </c>
      <c r="Y432" s="17">
        <f t="shared" si="281"/>
        <v>-0.57068510637529424</v>
      </c>
      <c r="Z432" s="31" t="str">
        <f t="shared" si="271"/>
        <v>0.982716909587635+0.897785295924481i</v>
      </c>
      <c r="AA432" s="17">
        <f t="shared" si="282"/>
        <v>1.3310713587060912</v>
      </c>
      <c r="AB432" s="17">
        <f t="shared" si="283"/>
        <v>0.74026450937003463</v>
      </c>
      <c r="AC432" s="66" t="str">
        <f t="shared" si="284"/>
        <v>-0.186662856369549-0.108833149188633i</v>
      </c>
      <c r="AD432" s="64">
        <f t="shared" si="285"/>
        <v>-13.307977407769263</v>
      </c>
      <c r="AE432" s="61">
        <f t="shared" si="286"/>
        <v>-149.75582073653888</v>
      </c>
      <c r="AF432" s="31" t="str">
        <f t="shared" si="272"/>
        <v>-9090.90909090909</v>
      </c>
      <c r="AG432" s="31" t="str">
        <f t="shared" si="273"/>
        <v>2.27623467397318E-08i</v>
      </c>
      <c r="AH432" s="31">
        <f t="shared" si="287"/>
        <v>2.27623467397318E-8</v>
      </c>
      <c r="AI432" s="31">
        <f t="shared" si="288"/>
        <v>1.5707963267948966</v>
      </c>
      <c r="AJ432" s="31" t="str">
        <f t="shared" si="274"/>
        <v>1+2504919935.65713i</v>
      </c>
      <c r="AK432" s="31">
        <f t="shared" si="289"/>
        <v>2504919935.6571298</v>
      </c>
      <c r="AL432" s="31">
        <f t="shared" si="290"/>
        <v>1.5707963263956823</v>
      </c>
      <c r="AM432" s="31" t="str">
        <f t="shared" si="275"/>
        <v>1+1142.95563088063i</v>
      </c>
      <c r="AN432" s="31">
        <f t="shared" si="291"/>
        <v>1142.9560683428472</v>
      </c>
      <c r="AO432" s="31">
        <f t="shared" si="292"/>
        <v>1.5699214024165415</v>
      </c>
      <c r="AS432" s="58" t="str">
        <f t="shared" si="293"/>
        <v>159.43961347884+182232.487160958i</v>
      </c>
      <c r="AT432" s="49">
        <f t="shared" si="294"/>
        <v>105.21251937624525</v>
      </c>
      <c r="AU432" s="61">
        <f t="shared" si="295"/>
        <v>89.949870548600444</v>
      </c>
      <c r="AV432" s="58" t="str">
        <f t="shared" si="296"/>
        <v>19803.1740085338-34033.3888920319i</v>
      </c>
      <c r="AW432" s="64">
        <f t="shared" si="297"/>
        <v>91.904541968475996</v>
      </c>
      <c r="AX432" s="61">
        <f t="shared" si="298"/>
        <v>-59.8059501879384</v>
      </c>
      <c r="AY432" s="310"/>
      <c r="BA432" s="31">
        <f t="shared" si="299"/>
        <v>0</v>
      </c>
      <c r="BB432" s="31">
        <f t="shared" si="300"/>
        <v>0</v>
      </c>
    </row>
    <row r="433" spans="14:54" x14ac:dyDescent="0.45">
      <c r="N433" s="10">
        <v>15</v>
      </c>
      <c r="O433" s="50">
        <f t="shared" si="301"/>
        <v>141253.75446227577</v>
      </c>
      <c r="P433" s="48" t="str">
        <f t="shared" si="267"/>
        <v>17.4002386318441</v>
      </c>
      <c r="Q433" s="17" t="str">
        <f t="shared" si="268"/>
        <v>1+76.0095705217255i</v>
      </c>
      <c r="R433" s="17">
        <f t="shared" si="276"/>
        <v>76.016148356103656</v>
      </c>
      <c r="S433" s="17">
        <f t="shared" si="277"/>
        <v>1.5576408477730479</v>
      </c>
      <c r="T433" s="17" t="str">
        <f t="shared" si="269"/>
        <v>1+0.266257054386397i</v>
      </c>
      <c r="U433" s="17">
        <f t="shared" si="278"/>
        <v>1.0348395136495903</v>
      </c>
      <c r="V433" s="17">
        <f t="shared" si="279"/>
        <v>0.2602199346597302</v>
      </c>
      <c r="W433" s="31" t="str">
        <f t="shared" si="270"/>
        <v>1-0.656888152318368i</v>
      </c>
      <c r="X433" s="17">
        <f t="shared" si="280"/>
        <v>1.1964539458985621</v>
      </c>
      <c r="Y433" s="17">
        <f t="shared" si="281"/>
        <v>-0.58120227623111931</v>
      </c>
      <c r="Z433" s="31" t="str">
        <f t="shared" si="271"/>
        <v>0.981902382630668+0.918697401892226i</v>
      </c>
      <c r="AA433" s="17">
        <f t="shared" si="282"/>
        <v>1.3446699242785602</v>
      </c>
      <c r="AB433" s="17">
        <f t="shared" si="283"/>
        <v>0.7521551329872761</v>
      </c>
      <c r="AC433" s="66" t="str">
        <f t="shared" si="284"/>
        <v>-0.183861904623217-0.103041419070697i</v>
      </c>
      <c r="AD433" s="64">
        <f t="shared" si="285"/>
        <v>-13.523947161291165</v>
      </c>
      <c r="AE433" s="61">
        <f t="shared" si="286"/>
        <v>-150.73249470411454</v>
      </c>
      <c r="AF433" s="31" t="str">
        <f t="shared" si="272"/>
        <v>-9090.90909090909</v>
      </c>
      <c r="AG433" s="31" t="str">
        <f t="shared" si="273"/>
        <v>2.27623467397318E-08i</v>
      </c>
      <c r="AH433" s="31">
        <f t="shared" si="287"/>
        <v>2.27623467397318E-8</v>
      </c>
      <c r="AI433" s="31">
        <f t="shared" si="288"/>
        <v>1.5707963267948966</v>
      </c>
      <c r="AJ433" s="31" t="str">
        <f t="shared" si="274"/>
        <v>1+2563267016.38231i</v>
      </c>
      <c r="AK433" s="31">
        <f t="shared" si="289"/>
        <v>2563267016.3823099</v>
      </c>
      <c r="AL433" s="31">
        <f t="shared" si="290"/>
        <v>1.5707963264047695</v>
      </c>
      <c r="AM433" s="31" t="str">
        <f t="shared" si="275"/>
        <v>1+1169.57848756798i</v>
      </c>
      <c r="AN433" s="31">
        <f t="shared" si="291"/>
        <v>1169.5789150723449</v>
      </c>
      <c r="AO433" s="31">
        <f t="shared" si="292"/>
        <v>1.5699413181170272</v>
      </c>
      <c r="AS433" s="58" t="str">
        <f t="shared" si="293"/>
        <v>155.81032478633+182232.487160955i</v>
      </c>
      <c r="AT433" s="49">
        <f t="shared" si="294"/>
        <v>105.21251922661848</v>
      </c>
      <c r="AU433" s="61">
        <f t="shared" si="295"/>
        <v>89.951011633663654</v>
      </c>
      <c r="AV433" s="58" t="str">
        <f t="shared" si="296"/>
        <v>18748.8464947722-33521.667090611i</v>
      </c>
      <c r="AW433" s="64">
        <f t="shared" si="297"/>
        <v>91.688572065327321</v>
      </c>
      <c r="AX433" s="61">
        <f t="shared" si="298"/>
        <v>-60.781483070450889</v>
      </c>
      <c r="AY433" s="310"/>
      <c r="BA433" s="31">
        <f t="shared" si="299"/>
        <v>0</v>
      </c>
      <c r="BB433" s="31">
        <f t="shared" si="300"/>
        <v>0</v>
      </c>
    </row>
    <row r="434" spans="14:54" x14ac:dyDescent="0.45">
      <c r="N434" s="10">
        <v>16</v>
      </c>
      <c r="O434" s="50">
        <f t="shared" si="301"/>
        <v>144543.97707459307</v>
      </c>
      <c r="P434" s="48" t="str">
        <f t="shared" si="267"/>
        <v>17.4002386318441</v>
      </c>
      <c r="Q434" s="17" t="str">
        <f t="shared" si="268"/>
        <v>1+77.7800608611514i</v>
      </c>
      <c r="R434" s="17">
        <f t="shared" si="276"/>
        <v>77.786488978256472</v>
      </c>
      <c r="S434" s="17">
        <f t="shared" si="277"/>
        <v>1.5579402696565132</v>
      </c>
      <c r="T434" s="17" t="str">
        <f t="shared" si="269"/>
        <v>1+0.272458977898916i</v>
      </c>
      <c r="U434" s="17">
        <f t="shared" si="278"/>
        <v>1.0364525530084443</v>
      </c>
      <c r="V434" s="17">
        <f t="shared" si="279"/>
        <v>0.26600231157657805</v>
      </c>
      <c r="W434" s="31" t="str">
        <f t="shared" si="270"/>
        <v>1-0.672189042979638i</v>
      </c>
      <c r="X434" s="17">
        <f t="shared" si="280"/>
        <v>1.2049224495800059</v>
      </c>
      <c r="Y434" s="17">
        <f t="shared" si="281"/>
        <v>-0.59181604894817919</v>
      </c>
      <c r="Z434" s="31" t="str">
        <f t="shared" si="271"/>
        <v>0.98104946820087+0.94009661338285i</v>
      </c>
      <c r="AA434" s="17">
        <f t="shared" si="282"/>
        <v>1.3587640345369441</v>
      </c>
      <c r="AB434" s="17">
        <f t="shared" si="283"/>
        <v>0.76408450392275051</v>
      </c>
      <c r="AC434" s="66" t="str">
        <f t="shared" si="284"/>
        <v>-0.18103993812751-0.0974393249095182i</v>
      </c>
      <c r="AD434" s="64">
        <f t="shared" si="285"/>
        <v>-13.739689723887947</v>
      </c>
      <c r="AE434" s="61">
        <f t="shared" si="286"/>
        <v>-151.70997150968896</v>
      </c>
      <c r="AF434" s="31" t="str">
        <f t="shared" si="272"/>
        <v>-9090.90909090909</v>
      </c>
      <c r="AG434" s="31" t="str">
        <f t="shared" si="273"/>
        <v>2.27623467397318E-08i</v>
      </c>
      <c r="AH434" s="31">
        <f t="shared" si="287"/>
        <v>2.27623467397318E-8</v>
      </c>
      <c r="AI434" s="31">
        <f t="shared" si="288"/>
        <v>1.5707963267948966</v>
      </c>
      <c r="AJ434" s="31" t="str">
        <f t="shared" si="274"/>
        <v>1+2622973175.20841i</v>
      </c>
      <c r="AK434" s="31">
        <f t="shared" si="289"/>
        <v>2622973175.2084098</v>
      </c>
      <c r="AL434" s="31">
        <f t="shared" si="290"/>
        <v>1.57079632641365</v>
      </c>
      <c r="AM434" s="31" t="str">
        <f t="shared" si="275"/>
        <v>1+1196.82147025064i</v>
      </c>
      <c r="AN434" s="31">
        <f t="shared" si="291"/>
        <v>1196.821888023821</v>
      </c>
      <c r="AO434" s="31">
        <f t="shared" si="292"/>
        <v>1.5699607804814786</v>
      </c>
      <c r="AS434" s="58" t="str">
        <f t="shared" si="293"/>
        <v>152.263648790415+182232.487160953i</v>
      </c>
      <c r="AT434" s="49">
        <f t="shared" si="294"/>
        <v>105.21251908372605</v>
      </c>
      <c r="AU434" s="61">
        <f t="shared" si="295"/>
        <v>89.952126744497264</v>
      </c>
      <c r="AV434" s="58" t="str">
        <f t="shared" si="296"/>
        <v>17729.0447239896-33006.1946675876i</v>
      </c>
      <c r="AW434" s="64">
        <f t="shared" si="297"/>
        <v>91.472829359838101</v>
      </c>
      <c r="AX434" s="61">
        <f t="shared" si="298"/>
        <v>-61.757844765191727</v>
      </c>
      <c r="AY434" s="310"/>
      <c r="BA434" s="31">
        <f t="shared" si="299"/>
        <v>0</v>
      </c>
      <c r="BB434" s="31">
        <f t="shared" si="300"/>
        <v>0</v>
      </c>
    </row>
    <row r="435" spans="14:54" x14ac:dyDescent="0.45">
      <c r="N435" s="10">
        <v>17</v>
      </c>
      <c r="O435" s="50">
        <f t="shared" si="301"/>
        <v>147910.83881682079</v>
      </c>
      <c r="P435" s="48" t="str">
        <f t="shared" si="267"/>
        <v>17.4002386318441</v>
      </c>
      <c r="Q435" s="17" t="str">
        <f t="shared" si="268"/>
        <v>1+79.5917912183866i</v>
      </c>
      <c r="R435" s="17">
        <f t="shared" si="276"/>
        <v>79.5980730253644</v>
      </c>
      <c r="S435" s="17">
        <f t="shared" si="277"/>
        <v>1.5582328780934063</v>
      </c>
      <c r="T435" s="17" t="str">
        <f t="shared" si="269"/>
        <v>1+0.278805362767937i</v>
      </c>
      <c r="U435" s="17">
        <f t="shared" si="278"/>
        <v>1.0381389263042595</v>
      </c>
      <c r="V435" s="17">
        <f t="shared" si="279"/>
        <v>0.2719005730692563</v>
      </c>
      <c r="W435" s="31" t="str">
        <f t="shared" si="270"/>
        <v>1-0.687846337168969i</v>
      </c>
      <c r="X435" s="17">
        <f t="shared" si="280"/>
        <v>1.2137267334770077</v>
      </c>
      <c r="Y435" s="17">
        <f t="shared" si="281"/>
        <v>-0.60252248666692843</v>
      </c>
      <c r="Z435" s="31" t="str">
        <f t="shared" si="271"/>
        <v>0.980156357152385+0.961994276541538i</v>
      </c>
      <c r="AA435" s="17">
        <f t="shared" si="282"/>
        <v>1.3733679305142199</v>
      </c>
      <c r="AB435" s="17">
        <f t="shared" si="283"/>
        <v>0.77604690562572154</v>
      </c>
      <c r="AC435" s="66" t="str">
        <f t="shared" si="284"/>
        <v>-0.178200298254717-0.0920247990651466i</v>
      </c>
      <c r="AD435" s="64">
        <f t="shared" si="285"/>
        <v>-13.955157163526415</v>
      </c>
      <c r="AE435" s="61">
        <f t="shared" si="286"/>
        <v>-152.68762007350225</v>
      </c>
      <c r="AF435" s="31" t="str">
        <f t="shared" si="272"/>
        <v>-9090.90909090909</v>
      </c>
      <c r="AG435" s="31" t="str">
        <f t="shared" si="273"/>
        <v>2.27623467397318E-08i</v>
      </c>
      <c r="AH435" s="31">
        <f t="shared" si="287"/>
        <v>2.27623467397318E-8</v>
      </c>
      <c r="AI435" s="31">
        <f t="shared" si="288"/>
        <v>1.5707963267948966</v>
      </c>
      <c r="AJ435" s="31" t="str">
        <f t="shared" si="274"/>
        <v>1+2684070069.13116i</v>
      </c>
      <c r="AK435" s="31">
        <f t="shared" si="289"/>
        <v>2684070069.1311598</v>
      </c>
      <c r="AL435" s="31">
        <f t="shared" si="290"/>
        <v>1.5707963264223281</v>
      </c>
      <c r="AM435" s="31" t="str">
        <f t="shared" si="275"/>
        <v>1+1224.69902351862i</v>
      </c>
      <c r="AN435" s="31">
        <f t="shared" si="291"/>
        <v>1224.6994317821257</v>
      </c>
      <c r="AO435" s="31">
        <f t="shared" si="292"/>
        <v>1.5699797998290399</v>
      </c>
      <c r="AS435" s="58" t="str">
        <f t="shared" si="293"/>
        <v>148.797704996537+182232.487160949i</v>
      </c>
      <c r="AT435" s="49">
        <f t="shared" si="294"/>
        <v>105.21251894726474</v>
      </c>
      <c r="AU435" s="61">
        <f t="shared" si="295"/>
        <v>89.953216472344408</v>
      </c>
      <c r="AV435" s="58" t="str">
        <f t="shared" si="296"/>
        <v>16743.3922187182-32487.5766426837i</v>
      </c>
      <c r="AW435" s="64">
        <f t="shared" si="297"/>
        <v>91.257361783738332</v>
      </c>
      <c r="AX435" s="61">
        <f t="shared" si="298"/>
        <v>-62.734403601157922</v>
      </c>
      <c r="AY435" s="310"/>
      <c r="BA435" s="31">
        <f t="shared" si="299"/>
        <v>0</v>
      </c>
      <c r="BB435" s="31">
        <f t="shared" si="300"/>
        <v>0</v>
      </c>
    </row>
    <row r="436" spans="14:54" x14ac:dyDescent="0.45">
      <c r="N436" s="10">
        <v>18</v>
      </c>
      <c r="O436" s="50">
        <f t="shared" si="301"/>
        <v>151356.12484362084</v>
      </c>
      <c r="P436" s="48" t="str">
        <f t="shared" si="267"/>
        <v>17.4002386318441</v>
      </c>
      <c r="Q436" s="17" t="str">
        <f t="shared" si="268"/>
        <v>1+81.445722196848i</v>
      </c>
      <c r="R436" s="17">
        <f t="shared" si="276"/>
        <v>81.451861023343952</v>
      </c>
      <c r="S436" s="17">
        <f t="shared" si="277"/>
        <v>1.558518828028054</v>
      </c>
      <c r="T436" s="17" t="str">
        <f t="shared" si="269"/>
        <v>1+0.285299573930724i</v>
      </c>
      <c r="U436" s="17">
        <f t="shared" si="278"/>
        <v>1.0399018448320267</v>
      </c>
      <c r="V436" s="17">
        <f t="shared" si="279"/>
        <v>0.27791620423674346</v>
      </c>
      <c r="W436" s="31" t="str">
        <f t="shared" si="270"/>
        <v>1-0.703868336590991i</v>
      </c>
      <c r="X436" s="17">
        <f t="shared" si="280"/>
        <v>1.2228780132357309</v>
      </c>
      <c r="Y436" s="17">
        <f t="shared" si="281"/>
        <v>-0.61331744802656396</v>
      </c>
      <c r="Z436" s="31" t="str">
        <f t="shared" si="271"/>
        <v>0.979221155076936+0.98440200179915i</v>
      </c>
      <c r="AA436" s="17">
        <f t="shared" si="282"/>
        <v>1.3884960827083317</v>
      </c>
      <c r="AB436" s="17">
        <f t="shared" si="283"/>
        <v>0.78803656918445253</v>
      </c>
      <c r="AC436" s="66" t="str">
        <f t="shared" si="284"/>
        <v>-0.175346361086113-0.0867956624185283i</v>
      </c>
      <c r="AD436" s="64">
        <f t="shared" si="285"/>
        <v>-14.170299614552007</v>
      </c>
      <c r="AE436" s="61">
        <f t="shared" si="286"/>
        <v>-153.66479636651619</v>
      </c>
      <c r="AF436" s="31" t="str">
        <f t="shared" si="272"/>
        <v>-9090.90909090909</v>
      </c>
      <c r="AG436" s="31" t="str">
        <f t="shared" si="273"/>
        <v>2.27623467397318E-08i</v>
      </c>
      <c r="AH436" s="31">
        <f t="shared" si="287"/>
        <v>2.27623467397318E-8</v>
      </c>
      <c r="AI436" s="31">
        <f t="shared" si="288"/>
        <v>1.5707963267948966</v>
      </c>
      <c r="AJ436" s="31" t="str">
        <f t="shared" si="274"/>
        <v>1+2746590092.53243i</v>
      </c>
      <c r="AK436" s="31">
        <f t="shared" si="289"/>
        <v>2746590092.5324302</v>
      </c>
      <c r="AL436" s="31">
        <f t="shared" si="290"/>
        <v>1.5707963264308089</v>
      </c>
      <c r="AM436" s="31" t="str">
        <f t="shared" si="275"/>
        <v>1+1253.22592841969i</v>
      </c>
      <c r="AN436" s="31">
        <f t="shared" si="291"/>
        <v>1253.2263273899866</v>
      </c>
      <c r="AO436" s="31">
        <f t="shared" si="292"/>
        <v>1.5699983862439661</v>
      </c>
      <c r="AS436" s="58" t="str">
        <f t="shared" si="293"/>
        <v>145.410655715419+182232.487160947i</v>
      </c>
      <c r="AT436" s="49">
        <f t="shared" si="294"/>
        <v>105.21251881694528</v>
      </c>
      <c r="AU436" s="61">
        <f t="shared" si="295"/>
        <v>89.954281394990048</v>
      </c>
      <c r="AV436" s="58" t="str">
        <f t="shared" si="296"/>
        <v>15791.4922079675-31966.4245095294i</v>
      </c>
      <c r="AW436" s="64">
        <f t="shared" si="297"/>
        <v>91.042219202393269</v>
      </c>
      <c r="AX436" s="61">
        <f t="shared" si="298"/>
        <v>-63.710514971526166</v>
      </c>
      <c r="AY436" s="310"/>
      <c r="BA436" s="31">
        <f t="shared" si="299"/>
        <v>0</v>
      </c>
      <c r="BB436" s="31">
        <f t="shared" si="300"/>
        <v>0</v>
      </c>
    </row>
    <row r="437" spans="14:54" x14ac:dyDescent="0.45">
      <c r="N437" s="10">
        <v>19</v>
      </c>
      <c r="O437" s="50">
        <f t="shared" si="301"/>
        <v>154881.66189124843</v>
      </c>
      <c r="P437" s="48" t="str">
        <f t="shared" si="267"/>
        <v>17.4002386318441</v>
      </c>
      <c r="Q437" s="17" t="str">
        <f t="shared" si="268"/>
        <v>1+83.3428367752797i</v>
      </c>
      <c r="R437" s="17">
        <f t="shared" si="276"/>
        <v>83.348835875199327</v>
      </c>
      <c r="S437" s="17">
        <f t="shared" si="277"/>
        <v>1.5587982708877384</v>
      </c>
      <c r="T437" s="17" t="str">
        <f t="shared" si="269"/>
        <v>1+0.291945054703995i</v>
      </c>
      <c r="U437" s="17">
        <f t="shared" si="278"/>
        <v>1.0417446495980283</v>
      </c>
      <c r="V437" s="17">
        <f t="shared" si="279"/>
        <v>0.28405065242059185</v>
      </c>
      <c r="W437" s="31" t="str">
        <f t="shared" si="270"/>
        <v>1-0.720263536321874i</v>
      </c>
      <c r="X437" s="17">
        <f t="shared" si="280"/>
        <v>1.2323877481356633</v>
      </c>
      <c r="Y437" s="17">
        <f t="shared" si="281"/>
        <v>-0.62419659314446596</v>
      </c>
      <c r="Z437" s="31" t="str">
        <f t="shared" si="271"/>
        <v>0.978241878285537+1.00733167002822i</v>
      </c>
      <c r="AA437" s="17">
        <f t="shared" si="282"/>
        <v>1.404163190613348</v>
      </c>
      <c r="AB437" s="17">
        <f t="shared" si="283"/>
        <v>0.80004768910472746</v>
      </c>
      <c r="AC437" s="66" t="str">
        <f t="shared" si="284"/>
        <v>-0.172481525181497-0.0817496193402122i</v>
      </c>
      <c r="AD437" s="64">
        <f t="shared" si="285"/>
        <v>-14.385065349008668</v>
      </c>
      <c r="AE437" s="61">
        <f t="shared" si="286"/>
        <v>-154.64084485103842</v>
      </c>
      <c r="AF437" s="31" t="str">
        <f t="shared" si="272"/>
        <v>-9090.90909090909</v>
      </c>
      <c r="AG437" s="31" t="str">
        <f t="shared" si="273"/>
        <v>2.27623467397318E-08i</v>
      </c>
      <c r="AH437" s="31">
        <f t="shared" si="287"/>
        <v>2.27623467397318E-8</v>
      </c>
      <c r="AI437" s="31">
        <f t="shared" si="288"/>
        <v>1.5707963267948966</v>
      </c>
      <c r="AJ437" s="31" t="str">
        <f t="shared" si="274"/>
        <v>1+2810566394.35619i</v>
      </c>
      <c r="AK437" s="31">
        <f t="shared" si="289"/>
        <v>2810566394.3561902</v>
      </c>
      <c r="AL437" s="31">
        <f t="shared" si="290"/>
        <v>1.5707963264390965</v>
      </c>
      <c r="AM437" s="31" t="str">
        <f t="shared" si="275"/>
        <v>1+1282.41731029641i</v>
      </c>
      <c r="AN437" s="31">
        <f t="shared" si="291"/>
        <v>1282.4177001850369</v>
      </c>
      <c r="AO437" s="31">
        <f t="shared" si="292"/>
        <v>1.5700165495809688</v>
      </c>
      <c r="AS437" s="58" t="str">
        <f t="shared" si="293"/>
        <v>142.100705088698+182232.487160945i</v>
      </c>
      <c r="AT437" s="49">
        <f t="shared" si="294"/>
        <v>105.21251869249114</v>
      </c>
      <c r="AU437" s="61">
        <f t="shared" si="295"/>
        <v>89.955322077067308</v>
      </c>
      <c r="AV437" s="58" t="str">
        <f t="shared" si="296"/>
        <v>14872.9267104843-31443.3540016863i</v>
      </c>
      <c r="AW437" s="64">
        <f t="shared" si="297"/>
        <v>90.827453343482475</v>
      </c>
      <c r="AX437" s="61">
        <f t="shared" si="298"/>
        <v>-64.685522773971073</v>
      </c>
      <c r="AY437" s="310"/>
      <c r="BA437" s="31">
        <f t="shared" si="299"/>
        <v>0</v>
      </c>
      <c r="BB437" s="31">
        <f t="shared" si="300"/>
        <v>0</v>
      </c>
    </row>
    <row r="438" spans="14:54" x14ac:dyDescent="0.45">
      <c r="N438" s="10">
        <v>20</v>
      </c>
      <c r="O438" s="50">
        <f t="shared" si="301"/>
        <v>158489.31924611164</v>
      </c>
      <c r="P438" s="48" t="str">
        <f t="shared" si="267"/>
        <v>17.4002386318441</v>
      </c>
      <c r="Q438" s="17" t="str">
        <f t="shared" si="268"/>
        <v>1+85.2841408289424i</v>
      </c>
      <c r="R438" s="17">
        <f t="shared" si="276"/>
        <v>85.290003382171818</v>
      </c>
      <c r="S438" s="17">
        <f t="shared" si="277"/>
        <v>1.5590713546620925</v>
      </c>
      <c r="T438" s="17" t="str">
        <f t="shared" si="269"/>
        <v>1+0.298745328609619i</v>
      </c>
      <c r="U438" s="17">
        <f t="shared" si="278"/>
        <v>1.0436708156148036</v>
      </c>
      <c r="V438" s="17">
        <f t="shared" si="279"/>
        <v>0.29030532268752124</v>
      </c>
      <c r="W438" s="31" t="str">
        <f t="shared" si="270"/>
        <v>1-0.737040629313527i</v>
      </c>
      <c r="X438" s="17">
        <f t="shared" si="280"/>
        <v>1.2422676399467547</v>
      </c>
      <c r="Y438" s="17">
        <f t="shared" si="281"/>
        <v>-0.63515538958761086</v>
      </c>
      <c r="Z438" s="31" t="str">
        <f t="shared" si="271"/>
        <v>0.97721644960082+1.03079543884234i</v>
      </c>
      <c r="AA438" s="17">
        <f t="shared" si="282"/>
        <v>1.4203841825747723</v>
      </c>
      <c r="AB438" s="17">
        <f t="shared" si="283"/>
        <v>0.81207443936339696</v>
      </c>
      <c r="AC438" s="66" t="str">
        <f t="shared" si="284"/>
        <v>-0.169609199008835-0.0768842538149298i</v>
      </c>
      <c r="AD438" s="64">
        <f t="shared" si="285"/>
        <v>-14.599400857818846</v>
      </c>
      <c r="AE438" s="61">
        <f t="shared" si="286"/>
        <v>-155.61510000603619</v>
      </c>
      <c r="AF438" s="31" t="str">
        <f t="shared" si="272"/>
        <v>-9090.90909090909</v>
      </c>
      <c r="AG438" s="31" t="str">
        <f t="shared" si="273"/>
        <v>2.27623467397318E-08i</v>
      </c>
      <c r="AH438" s="31">
        <f t="shared" si="287"/>
        <v>2.27623467397318E-8</v>
      </c>
      <c r="AI438" s="31">
        <f t="shared" si="288"/>
        <v>1.5707963267948966</v>
      </c>
      <c r="AJ438" s="31" t="str">
        <f t="shared" si="274"/>
        <v>1+2876032895.68448i</v>
      </c>
      <c r="AK438" s="31">
        <f t="shared" si="289"/>
        <v>2876032895.6844802</v>
      </c>
      <c r="AL438" s="31">
        <f t="shared" si="290"/>
        <v>1.5707963264471954</v>
      </c>
      <c r="AM438" s="31" t="str">
        <f t="shared" si="275"/>
        <v>1+1312.28864680585i</v>
      </c>
      <c r="AN438" s="31">
        <f t="shared" si="291"/>
        <v>1312.2890278195307</v>
      </c>
      <c r="AO438" s="31">
        <f t="shared" si="292"/>
        <v>1.5700342994704417</v>
      </c>
      <c r="AS438" s="58" t="str">
        <f t="shared" si="293"/>
        <v>138.866098136741+182232.487160942i</v>
      </c>
      <c r="AT438" s="49">
        <f t="shared" si="294"/>
        <v>105.21251857363833</v>
      </c>
      <c r="AU438" s="61">
        <f t="shared" si="295"/>
        <v>89.956339070356904</v>
      </c>
      <c r="AV438" s="58" t="str">
        <f t="shared" si="296"/>
        <v>13987.2558285333-30918.9827970906i</v>
      </c>
      <c r="AW438" s="64">
        <f t="shared" si="297"/>
        <v>90.613117715819484</v>
      </c>
      <c r="AX438" s="61">
        <f t="shared" si="298"/>
        <v>-65.658760935679354</v>
      </c>
      <c r="AY438" s="310"/>
      <c r="BA438" s="31">
        <f t="shared" si="299"/>
        <v>0</v>
      </c>
      <c r="BB438" s="31">
        <f t="shared" si="300"/>
        <v>0</v>
      </c>
    </row>
    <row r="439" spans="14:54" x14ac:dyDescent="0.45">
      <c r="N439" s="10">
        <v>21</v>
      </c>
      <c r="O439" s="50">
        <f t="shared" si="301"/>
        <v>162181.00973589328</v>
      </c>
      <c r="P439" s="48" t="str">
        <f t="shared" si="267"/>
        <v>17.4002386318441</v>
      </c>
      <c r="Q439" s="17" t="str">
        <f t="shared" si="268"/>
        <v>1+87.2706636629414i</v>
      </c>
      <c r="R439" s="17">
        <f t="shared" si="276"/>
        <v>87.276392777029017</v>
      </c>
      <c r="S439" s="17">
        <f t="shared" si="277"/>
        <v>1.5593382239807332</v>
      </c>
      <c r="T439" s="17" t="str">
        <f t="shared" si="269"/>
        <v>1+0.305704001242833i</v>
      </c>
      <c r="U439" s="17">
        <f t="shared" si="278"/>
        <v>1.0456839562582367</v>
      </c>
      <c r="V439" s="17">
        <f t="shared" si="279"/>
        <v>0.29668157309843018</v>
      </c>
      <c r="W439" s="31" t="str">
        <f t="shared" si="270"/>
        <v>1-0.754208511002727i</v>
      </c>
      <c r="X439" s="17">
        <f t="shared" si="280"/>
        <v>1.2525296316131409</v>
      </c>
      <c r="Y439" s="17">
        <f t="shared" si="281"/>
        <v>-0.6461891193374123</v>
      </c>
      <c r="Z439" s="31" t="str">
        <f t="shared" si="271"/>
        <v>0.976142693951062+1.05480574904233i</v>
      </c>
      <c r="AA439" s="17">
        <f t="shared" si="282"/>
        <v>1.4371742160109844</v>
      </c>
      <c r="AB439" s="17">
        <f t="shared" si="283"/>
        <v>0.82411098963558327</v>
      </c>
      <c r="AC439" s="66" t="str">
        <f t="shared" si="284"/>
        <v>-0.166732788151466-0.0721970267513681i</v>
      </c>
      <c r="AD439" s="64">
        <f t="shared" si="285"/>
        <v>-14.813250941421732</v>
      </c>
      <c r="AE439" s="61">
        <f t="shared" si="286"/>
        <v>-156.586887931457</v>
      </c>
      <c r="AF439" s="31" t="str">
        <f t="shared" si="272"/>
        <v>-9090.90909090909</v>
      </c>
      <c r="AG439" s="31" t="str">
        <f t="shared" si="273"/>
        <v>2.27623467397318E-08i</v>
      </c>
      <c r="AH439" s="31">
        <f t="shared" si="287"/>
        <v>2.27623467397318E-8</v>
      </c>
      <c r="AI439" s="31">
        <f t="shared" si="288"/>
        <v>1.5707963267948966</v>
      </c>
      <c r="AJ439" s="31" t="str">
        <f t="shared" si="274"/>
        <v>1+2943024307.72284i</v>
      </c>
      <c r="AK439" s="31">
        <f t="shared" si="289"/>
        <v>2943024307.7228398</v>
      </c>
      <c r="AL439" s="31">
        <f t="shared" si="290"/>
        <v>1.5707963264551101</v>
      </c>
      <c r="AM439" s="31" t="str">
        <f t="shared" si="275"/>
        <v>1+1342.85577612602i</v>
      </c>
      <c r="AN439" s="31">
        <f t="shared" si="291"/>
        <v>1342.8561484667728</v>
      </c>
      <c r="AO439" s="31">
        <f t="shared" si="292"/>
        <v>1.5700516453235664</v>
      </c>
      <c r="AS439" s="58" t="str">
        <f t="shared" si="293"/>
        <v>135.705119828125+182232.487160941i</v>
      </c>
      <c r="AT439" s="49">
        <f t="shared" si="294"/>
        <v>105.21251846013486</v>
      </c>
      <c r="AU439" s="61">
        <f t="shared" si="295"/>
        <v>89.957332914079515</v>
      </c>
      <c r="AV439" s="58" t="str">
        <f t="shared" si="296"/>
        <v>13134.0172575314-30393.9281822865i</v>
      </c>
      <c r="AW439" s="64">
        <f t="shared" si="297"/>
        <v>90.399267518713131</v>
      </c>
      <c r="AX439" s="61">
        <f t="shared" si="298"/>
        <v>-66.629555017377555</v>
      </c>
      <c r="AY439" s="310"/>
      <c r="BA439" s="31">
        <f t="shared" si="299"/>
        <v>0</v>
      </c>
      <c r="BB439" s="31">
        <f t="shared" si="300"/>
        <v>0</v>
      </c>
    </row>
    <row r="440" spans="14:54" x14ac:dyDescent="0.45">
      <c r="N440" s="10">
        <v>22</v>
      </c>
      <c r="O440" s="50">
        <f t="shared" si="301"/>
        <v>165958.69074375604</v>
      </c>
      <c r="P440" s="48" t="str">
        <f t="shared" si="267"/>
        <v>17.4002386318441</v>
      </c>
      <c r="Q440" s="17" t="str">
        <f t="shared" si="268"/>
        <v>1+89.3034585579789i</v>
      </c>
      <c r="R440" s="17">
        <f t="shared" si="276"/>
        <v>89.309057269778933</v>
      </c>
      <c r="S440" s="17">
        <f t="shared" si="277"/>
        <v>1.559599020189169</v>
      </c>
      <c r="T440" s="17" t="str">
        <f t="shared" si="269"/>
        <v>1+0.312824762183979i</v>
      </c>
      <c r="U440" s="17">
        <f t="shared" si="278"/>
        <v>1.0477878276805199</v>
      </c>
      <c r="V440" s="17">
        <f t="shared" si="279"/>
        <v>0.30318070976438583</v>
      </c>
      <c r="W440" s="31" t="str">
        <f t="shared" si="270"/>
        <v>1-0.771776284027595i</v>
      </c>
      <c r="X440" s="17">
        <f t="shared" si="280"/>
        <v>1.2631859057903723</v>
      </c>
      <c r="Y440" s="17">
        <f t="shared" si="281"/>
        <v>-0.65729288674076203</v>
      </c>
      <c r="Z440" s="31" t="str">
        <f t="shared" si="271"/>
        <v>0.97501833375657+1.07937533121247i</v>
      </c>
      <c r="AA440" s="17">
        <f t="shared" si="282"/>
        <v>1.4545486780412225</v>
      </c>
      <c r="AB440" s="17">
        <f t="shared" si="283"/>
        <v>0.8361515215920422</v>
      </c>
      <c r="AC440" s="66" t="str">
        <f t="shared" si="284"/>
        <v>-0.16385568241325-0.0676852744927483i</v>
      </c>
      <c r="AD440" s="64">
        <f t="shared" si="285"/>
        <v>-15.026558809372332</v>
      </c>
      <c r="AE440" s="61">
        <f t="shared" si="286"/>
        <v>-157.55552802517983</v>
      </c>
      <c r="AF440" s="31" t="str">
        <f t="shared" si="272"/>
        <v>-9090.90909090909</v>
      </c>
      <c r="AG440" s="31" t="str">
        <f t="shared" si="273"/>
        <v>2.27623467397318E-08i</v>
      </c>
      <c r="AH440" s="31">
        <f t="shared" si="287"/>
        <v>2.27623467397318E-8</v>
      </c>
      <c r="AI440" s="31">
        <f t="shared" si="288"/>
        <v>1.5707963267948966</v>
      </c>
      <c r="AJ440" s="31" t="str">
        <f t="shared" si="274"/>
        <v>1+3011576150.20471i</v>
      </c>
      <c r="AK440" s="31">
        <f t="shared" si="289"/>
        <v>3011576150.20471</v>
      </c>
      <c r="AL440" s="31">
        <f t="shared" si="290"/>
        <v>1.5707963264628446</v>
      </c>
      <c r="AM440" s="31" t="str">
        <f t="shared" si="275"/>
        <v>1+1374.13490535349i</v>
      </c>
      <c r="AN440" s="31">
        <f t="shared" si="291"/>
        <v>1374.1352692187349</v>
      </c>
      <c r="AO440" s="31">
        <f t="shared" si="292"/>
        <v>1.5700685963373022</v>
      </c>
      <c r="AS440" s="58" t="str">
        <f t="shared" si="293"/>
        <v>132.616094170313+182232.487160938i</v>
      </c>
      <c r="AT440" s="49">
        <f t="shared" si="294"/>
        <v>105.21251835173977</v>
      </c>
      <c r="AU440" s="61">
        <f t="shared" si="295"/>
        <v>89.958304135181891</v>
      </c>
      <c r="AV440" s="58" t="str">
        <f t="shared" si="296"/>
        <v>12312.7260143751-29868.8046983554i</v>
      </c>
      <c r="AW440" s="64">
        <f t="shared" si="297"/>
        <v>90.185959542367456</v>
      </c>
      <c r="AX440" s="61">
        <f t="shared" si="298"/>
        <v>-67.597223889997892</v>
      </c>
      <c r="AY440" s="310"/>
      <c r="BA440" s="31">
        <f t="shared" si="299"/>
        <v>0</v>
      </c>
      <c r="BB440" s="31">
        <f t="shared" si="300"/>
        <v>0</v>
      </c>
    </row>
    <row r="441" spans="14:54" x14ac:dyDescent="0.45">
      <c r="N441" s="10">
        <v>23</v>
      </c>
      <c r="O441" s="50">
        <f t="shared" si="301"/>
        <v>169824.36524617471</v>
      </c>
      <c r="P441" s="48" t="str">
        <f t="shared" si="267"/>
        <v>17.4002386318441</v>
      </c>
      <c r="Q441" s="17" t="str">
        <f t="shared" si="268"/>
        <v>1+91.3836033288142i</v>
      </c>
      <c r="R441" s="17">
        <f t="shared" si="276"/>
        <v>91.38907460609316</v>
      </c>
      <c r="S441" s="17">
        <f t="shared" si="277"/>
        <v>1.5598538814230161</v>
      </c>
      <c r="T441" s="17" t="str">
        <f t="shared" si="269"/>
        <v>1+0.320111386954758i</v>
      </c>
      <c r="U441" s="17">
        <f t="shared" si="278"/>
        <v>1.0499863332720569</v>
      </c>
      <c r="V441" s="17">
        <f t="shared" si="279"/>
        <v>0.30980398169142975</v>
      </c>
      <c r="W441" s="31" t="str">
        <f t="shared" si="270"/>
        <v>1-0.789753263053916i</v>
      </c>
      <c r="X441" s="17">
        <f t="shared" si="280"/>
        <v>1.2742488832658665</v>
      </c>
      <c r="Y441" s="17">
        <f t="shared" si="281"/>
        <v>-0.66846162743107862</v>
      </c>
      <c r="Z441" s="31" t="str">
        <f t="shared" si="271"/>
        <v>0.973840984098625+1.10451721247044i</v>
      </c>
      <c r="AA441" s="17">
        <f t="shared" si="282"/>
        <v>1.4725231865589246</v>
      </c>
      <c r="AB441" s="17">
        <f t="shared" si="283"/>
        <v>0.84819024516252262</v>
      </c>
      <c r="AC441" s="66" t="str">
        <f t="shared" si="284"/>
        <v>-0.160981242943234-0.0633462085297506i</v>
      </c>
      <c r="AD441" s="64">
        <f t="shared" si="285"/>
        <v>-15.239266188312117</v>
      </c>
      <c r="AE441" s="61">
        <f t="shared" si="286"/>
        <v>-158.5203347255981</v>
      </c>
      <c r="AF441" s="31" t="str">
        <f t="shared" si="272"/>
        <v>-9090.90909090909</v>
      </c>
      <c r="AG441" s="31" t="str">
        <f t="shared" si="273"/>
        <v>2.27623467397318E-08i</v>
      </c>
      <c r="AH441" s="31">
        <f t="shared" si="287"/>
        <v>2.27623467397318E-8</v>
      </c>
      <c r="AI441" s="31">
        <f t="shared" si="288"/>
        <v>1.5707963267948966</v>
      </c>
      <c r="AJ441" s="31" t="str">
        <f t="shared" si="274"/>
        <v>1+3081724770.22432i</v>
      </c>
      <c r="AK441" s="31">
        <f t="shared" si="289"/>
        <v>3081724770.2243199</v>
      </c>
      <c r="AL441" s="31">
        <f t="shared" si="290"/>
        <v>1.570796326470403</v>
      </c>
      <c r="AM441" s="31" t="str">
        <f t="shared" si="275"/>
        <v>1+1406.1426190966i</v>
      </c>
      <c r="AN441" s="31">
        <f t="shared" si="291"/>
        <v>1406.1429746792628</v>
      </c>
      <c r="AO441" s="31">
        <f t="shared" si="292"/>
        <v>1.5700851614992617</v>
      </c>
      <c r="AS441" s="58" t="str">
        <f t="shared" si="293"/>
        <v>129.597383321011+182232.487160936i</v>
      </c>
      <c r="AT441" s="49">
        <f t="shared" si="294"/>
        <v>105.21251824822332</v>
      </c>
      <c r="AU441" s="61">
        <f t="shared" si="295"/>
        <v>89.959253248616065</v>
      </c>
      <c r="AV441" s="58" t="str">
        <f t="shared" si="296"/>
        <v>11522.8743847425-29344.2217906732i</v>
      </c>
      <c r="AW441" s="64">
        <f t="shared" si="297"/>
        <v>89.973252059911204</v>
      </c>
      <c r="AX441" s="61">
        <f t="shared" si="298"/>
        <v>-68.561081476982139</v>
      </c>
      <c r="AY441" s="310"/>
      <c r="BA441" s="31">
        <f t="shared" si="299"/>
        <v>0</v>
      </c>
      <c r="BB441" s="31">
        <f t="shared" si="300"/>
        <v>0</v>
      </c>
    </row>
    <row r="442" spans="14:54" x14ac:dyDescent="0.45">
      <c r="N442" s="10">
        <v>24</v>
      </c>
      <c r="O442" s="50">
        <f t="shared" si="301"/>
        <v>173780.0828749378</v>
      </c>
      <c r="P442" s="48" t="str">
        <f t="shared" si="267"/>
        <v>17.4002386318441</v>
      </c>
      <c r="Q442" s="17" t="str">
        <f t="shared" si="268"/>
        <v>1+93.5122008957401i</v>
      </c>
      <c r="R442" s="17">
        <f t="shared" si="276"/>
        <v>93.517547638746677</v>
      </c>
      <c r="S442" s="17">
        <f t="shared" si="277"/>
        <v>1.5601029426805637</v>
      </c>
      <c r="T442" s="17" t="str">
        <f t="shared" si="269"/>
        <v>1+0.327567739020078i</v>
      </c>
      <c r="U442" s="17">
        <f t="shared" si="278"/>
        <v>1.0522835281646892</v>
      </c>
      <c r="V442" s="17">
        <f t="shared" si="279"/>
        <v>0.31655257541753656</v>
      </c>
      <c r="W442" s="31" t="str">
        <f t="shared" si="270"/>
        <v>1-0.808148979713934i</v>
      </c>
      <c r="X442" s="17">
        <f t="shared" si="280"/>
        <v>1.2857312212949767</v>
      </c>
      <c r="Y442" s="17">
        <f t="shared" si="281"/>
        <v>-0.67969011819399416</v>
      </c>
      <c r="Z442" s="31" t="str">
        <f t="shared" si="271"/>
        <v>0.972608147660753+1.13024472337448i</v>
      </c>
      <c r="AA442" s="17">
        <f t="shared" si="282"/>
        <v>1.4911135917870024</v>
      </c>
      <c r="AB442" s="17">
        <f t="shared" si="283"/>
        <v>0.86022141466128932</v>
      </c>
      <c r="AC442" s="66" t="str">
        <f t="shared" si="284"/>
        <v>-0.15811278950067-0.0591769164032528i</v>
      </c>
      <c r="AD442" s="64">
        <f t="shared" si="285"/>
        <v>-15.451313437640726</v>
      </c>
      <c r="AE442" s="61">
        <f t="shared" si="286"/>
        <v>-159.48061931224393</v>
      </c>
      <c r="AF442" s="31" t="str">
        <f t="shared" si="272"/>
        <v>-9090.90909090909</v>
      </c>
      <c r="AG442" s="31" t="str">
        <f t="shared" si="273"/>
        <v>2.27623467397318E-08i</v>
      </c>
      <c r="AH442" s="31">
        <f t="shared" si="287"/>
        <v>2.27623467397318E-8</v>
      </c>
      <c r="AI442" s="31">
        <f t="shared" si="288"/>
        <v>1.5707963267948966</v>
      </c>
      <c r="AJ442" s="31" t="str">
        <f t="shared" si="274"/>
        <v>1+3153507361.50858i</v>
      </c>
      <c r="AK442" s="31">
        <f t="shared" si="289"/>
        <v>3153507361.5085802</v>
      </c>
      <c r="AL442" s="31">
        <f t="shared" si="290"/>
        <v>1.5707963264777893</v>
      </c>
      <c r="AM442" s="31" t="str">
        <f t="shared" si="275"/>
        <v>1+1438.89588826886i</v>
      </c>
      <c r="AN442" s="31">
        <f t="shared" si="291"/>
        <v>1438.8962357574753</v>
      </c>
      <c r="AO442" s="31">
        <f t="shared" si="292"/>
        <v>1.5701013495924769</v>
      </c>
      <c r="AS442" s="58" t="str">
        <f t="shared" si="293"/>
        <v>126.647386719769+182232.487160934i</v>
      </c>
      <c r="AT442" s="49">
        <f t="shared" si="294"/>
        <v>105.21251814936588</v>
      </c>
      <c r="AU442" s="61">
        <f t="shared" si="295"/>
        <v>89.960180757612449</v>
      </c>
      <c r="AV442" s="58" t="str">
        <f t="shared" si="296"/>
        <v>10763.9320870822-28820.7814844769i</v>
      </c>
      <c r="AW442" s="64">
        <f t="shared" si="297"/>
        <v>89.761204711725142</v>
      </c>
      <c r="AX442" s="61">
        <f t="shared" si="298"/>
        <v>-69.520438554631482</v>
      </c>
      <c r="AY442" s="310"/>
      <c r="BA442" s="31">
        <f t="shared" si="299"/>
        <v>0</v>
      </c>
      <c r="BB442" s="31">
        <f t="shared" si="300"/>
        <v>0</v>
      </c>
    </row>
    <row r="443" spans="14:54" x14ac:dyDescent="0.45">
      <c r="N443" s="10">
        <v>25</v>
      </c>
      <c r="O443" s="50">
        <f t="shared" si="301"/>
        <v>177827.94100389251</v>
      </c>
      <c r="P443" s="48" t="str">
        <f t="shared" si="267"/>
        <v>17.4002386318441</v>
      </c>
      <c r="Q443" s="17" t="str">
        <f t="shared" si="268"/>
        <v>1+95.6903798693613i</v>
      </c>
      <c r="R443" s="17">
        <f t="shared" si="276"/>
        <v>95.695604912360878</v>
      </c>
      <c r="S443" s="17">
        <f t="shared" si="277"/>
        <v>1.5603463358937191</v>
      </c>
      <c r="T443" s="17" t="str">
        <f t="shared" si="269"/>
        <v>1+0.335197771836498i</v>
      </c>
      <c r="U443" s="17">
        <f t="shared" si="278"/>
        <v>1.0546836237678829</v>
      </c>
      <c r="V443" s="17">
        <f t="shared" si="279"/>
        <v>0.3234276094465604</v>
      </c>
      <c r="W443" s="31" t="str">
        <f t="shared" si="270"/>
        <v>1-0.826973187660113i</v>
      </c>
      <c r="X443" s="17">
        <f t="shared" si="280"/>
        <v>1.2976458118873302</v>
      </c>
      <c r="Y443" s="17">
        <f t="shared" si="281"/>
        <v>-0.69097298774287996</v>
      </c>
      <c r="Z443" s="31" t="str">
        <f t="shared" si="271"/>
        <v>0.971317209431579+1.15657150499141i</v>
      </c>
      <c r="AA443" s="17">
        <f t="shared" si="282"/>
        <v>1.5103359783492032</v>
      </c>
      <c r="AB443" s="17">
        <f t="shared" si="283"/>
        <v>0.87223934467269693</v>
      </c>
      <c r="AC443" s="66" t="str">
        <f t="shared" si="284"/>
        <v>-0.155253587978714-0.0551743637705208i</v>
      </c>
      <c r="AD443" s="64">
        <f t="shared" si="285"/>
        <v>-15.662639672143809</v>
      </c>
      <c r="AE443" s="61">
        <f t="shared" si="286"/>
        <v>-160.43569175633286</v>
      </c>
      <c r="AF443" s="31" t="str">
        <f t="shared" si="272"/>
        <v>-9090.90909090909</v>
      </c>
      <c r="AG443" s="31" t="str">
        <f t="shared" si="273"/>
        <v>2.27623467397318E-08i</v>
      </c>
      <c r="AH443" s="31">
        <f t="shared" si="287"/>
        <v>2.27623467397318E-8</v>
      </c>
      <c r="AI443" s="31">
        <f t="shared" si="288"/>
        <v>1.5707963267948966</v>
      </c>
      <c r="AJ443" s="31" t="str">
        <f t="shared" si="274"/>
        <v>1+3226961984.13751i</v>
      </c>
      <c r="AK443" s="31">
        <f t="shared" si="289"/>
        <v>3226961984.1375098</v>
      </c>
      <c r="AL443" s="31">
        <f t="shared" si="290"/>
        <v>1.5707963264850076</v>
      </c>
      <c r="AM443" s="31" t="str">
        <f t="shared" si="275"/>
        <v>1+1472.41207908712i</v>
      </c>
      <c r="AN443" s="31">
        <f t="shared" si="291"/>
        <v>1472.4124186659305</v>
      </c>
      <c r="AO443" s="31">
        <f t="shared" si="292"/>
        <v>1.5701171692000551</v>
      </c>
      <c r="AS443" s="58" t="str">
        <f t="shared" si="293"/>
        <v>123.764540239343+182232.487160932i</v>
      </c>
      <c r="AT443" s="49">
        <f t="shared" si="294"/>
        <v>105.21251805495773</v>
      </c>
      <c r="AU443" s="61">
        <f t="shared" si="295"/>
        <v>89.961087153946664</v>
      </c>
      <c r="AV443" s="58" t="str">
        <f t="shared" si="296"/>
        <v>10035.3466484873-28299.0761077847i</v>
      </c>
      <c r="AW443" s="64">
        <f t="shared" si="297"/>
        <v>89.549878382813901</v>
      </c>
      <c r="AX443" s="61">
        <f t="shared" si="298"/>
        <v>-70.474604602386265</v>
      </c>
      <c r="AY443" s="310"/>
      <c r="BA443" s="31">
        <f t="shared" si="299"/>
        <v>0</v>
      </c>
      <c r="BB443" s="31">
        <f t="shared" si="300"/>
        <v>0</v>
      </c>
    </row>
    <row r="444" spans="14:54" x14ac:dyDescent="0.45">
      <c r="N444" s="10">
        <v>26</v>
      </c>
      <c r="O444" s="50">
        <f t="shared" si="301"/>
        <v>181970.08586099857</v>
      </c>
      <c r="P444" s="48" t="str">
        <f t="shared" si="267"/>
        <v>17.4002386318441</v>
      </c>
      <c r="Q444" s="17" t="str">
        <f t="shared" si="268"/>
        <v>1+97.919295149i</v>
      </c>
      <c r="R444" s="17">
        <f t="shared" si="276"/>
        <v>97.924401261774264</v>
      </c>
      <c r="S444" s="17">
        <f t="shared" si="277"/>
        <v>1.5605841899973698</v>
      </c>
      <c r="T444" s="17" t="str">
        <f t="shared" si="269"/>
        <v>1+0.343005530948409i</v>
      </c>
      <c r="U444" s="17">
        <f t="shared" si="278"/>
        <v>1.0571909923288223</v>
      </c>
      <c r="V444" s="17">
        <f t="shared" si="279"/>
        <v>0.33043012848585013</v>
      </c>
      <c r="W444" s="31" t="str">
        <f t="shared" si="270"/>
        <v>1-0.846235867736665i</v>
      </c>
      <c r="X444" s="17">
        <f t="shared" si="280"/>
        <v>1.3100057800803881</v>
      </c>
      <c r="Y444" s="17">
        <f t="shared" si="281"/>
        <v>-0.70230472836029134</v>
      </c>
      <c r="Z444" s="31" t="str">
        <f t="shared" si="271"/>
        <v>0.969965431158042+1.1835115161293i</v>
      </c>
      <c r="AA444" s="17">
        <f t="shared" si="282"/>
        <v>1.5302066678891058</v>
      </c>
      <c r="AB444" s="17">
        <f t="shared" si="283"/>
        <v>0.88423842559761157</v>
      </c>
      <c r="AC444" s="66" t="str">
        <f t="shared" si="284"/>
        <v>-0.152406838300753-0.0513353975950906i</v>
      </c>
      <c r="AD444" s="64">
        <f t="shared" si="285"/>
        <v>-15.873182890774419</v>
      </c>
      <c r="AE444" s="61">
        <f t="shared" si="286"/>
        <v>-161.38486261264879</v>
      </c>
      <c r="AF444" s="31" t="str">
        <f t="shared" si="272"/>
        <v>-9090.90909090909</v>
      </c>
      <c r="AG444" s="31" t="str">
        <f t="shared" si="273"/>
        <v>2.27623467397318E-08i</v>
      </c>
      <c r="AH444" s="31">
        <f t="shared" si="287"/>
        <v>2.27623467397318E-8</v>
      </c>
      <c r="AI444" s="31">
        <f t="shared" si="288"/>
        <v>1.5707963267948966</v>
      </c>
      <c r="AJ444" s="31" t="str">
        <f t="shared" si="274"/>
        <v>1+3302127584.72429i</v>
      </c>
      <c r="AK444" s="31">
        <f t="shared" si="289"/>
        <v>3302127584.7242899</v>
      </c>
      <c r="AL444" s="31">
        <f t="shared" si="290"/>
        <v>1.5707963264920615</v>
      </c>
      <c r="AM444" s="31" t="str">
        <f t="shared" si="275"/>
        <v>1+1506.70896227938i</v>
      </c>
      <c r="AN444" s="31">
        <f t="shared" si="291"/>
        <v>1506.709294128435</v>
      </c>
      <c r="AO444" s="31">
        <f t="shared" si="292"/>
        <v>1.5701326287097299</v>
      </c>
      <c r="AS444" s="58" t="str">
        <f t="shared" si="293"/>
        <v>120.947315356369+182232.487160931i</v>
      </c>
      <c r="AT444" s="49">
        <f t="shared" si="294"/>
        <v>105.21251796479868</v>
      </c>
      <c r="AU444" s="61">
        <f t="shared" si="295"/>
        <v>89.961972918200203</v>
      </c>
      <c r="AV444" s="58" t="str">
        <f t="shared" si="296"/>
        <v>9336.54398521421-27779.6860824019i</v>
      </c>
      <c r="AW444" s="64">
        <f t="shared" si="297"/>
        <v>89.339335074024262</v>
      </c>
      <c r="AX444" s="61">
        <f t="shared" si="298"/>
        <v>-71.422889694448571</v>
      </c>
      <c r="AY444" s="310"/>
      <c r="BA444" s="31">
        <f t="shared" si="299"/>
        <v>0</v>
      </c>
      <c r="BB444" s="31">
        <f t="shared" si="300"/>
        <v>0</v>
      </c>
    </row>
    <row r="445" spans="14:54" x14ac:dyDescent="0.45">
      <c r="N445" s="10">
        <v>27</v>
      </c>
      <c r="O445" s="50">
        <f t="shared" si="301"/>
        <v>186208.71366628664</v>
      </c>
      <c r="P445" s="48" t="str">
        <f t="shared" si="267"/>
        <v>17.4002386318441</v>
      </c>
      <c r="Q445" s="17" t="str">
        <f t="shared" si="268"/>
        <v>1+100.200128535042i</v>
      </c>
      <c r="R445" s="17">
        <f t="shared" si="276"/>
        <v>100.20511842435464</v>
      </c>
      <c r="S445" s="17">
        <f t="shared" si="277"/>
        <v>1.5608166309971965</v>
      </c>
      <c r="T445" s="17" t="str">
        <f t="shared" si="269"/>
        <v>1+0.350995156133046i</v>
      </c>
      <c r="U445" s="17">
        <f t="shared" si="278"/>
        <v>1.0598101715066057</v>
      </c>
      <c r="V445" s="17">
        <f t="shared" si="279"/>
        <v>0.33756109749603763</v>
      </c>
      <c r="W445" s="31" t="str">
        <f t="shared" si="270"/>
        <v>1-0.865947233271552i</v>
      </c>
      <c r="X445" s="17">
        <f t="shared" si="280"/>
        <v>1.3228244822389159</v>
      </c>
      <c r="Y445" s="17">
        <f t="shared" si="281"/>
        <v>-0.71367970835223493</v>
      </c>
      <c r="Z445" s="31" t="str">
        <f t="shared" si="271"/>
        <v>0.968549945537186+1.21107904073868i</v>
      </c>
      <c r="AA445" s="17">
        <f t="shared" si="282"/>
        <v>1.5507422222653922</v>
      </c>
      <c r="AB445" s="17">
        <f t="shared" si="283"/>
        <v>0.8962131387655512</v>
      </c>
      <c r="AC445" s="66" t="str">
        <f t="shared" si="284"/>
        <v>-0.149575662797364-0.0476567504080127i</v>
      </c>
      <c r="AD445" s="64">
        <f t="shared" si="285"/>
        <v>-16.08288011073358</v>
      </c>
      <c r="AE445" s="61">
        <f t="shared" si="286"/>
        <v>-162.32744494378935</v>
      </c>
      <c r="AF445" s="31" t="str">
        <f t="shared" si="272"/>
        <v>-9090.90909090909</v>
      </c>
      <c r="AG445" s="31" t="str">
        <f t="shared" si="273"/>
        <v>2.27623467397318E-08i</v>
      </c>
      <c r="AH445" s="31">
        <f t="shared" si="287"/>
        <v>2.27623467397318E-8</v>
      </c>
      <c r="AI445" s="31">
        <f t="shared" si="288"/>
        <v>1.5707963267948966</v>
      </c>
      <c r="AJ445" s="31" t="str">
        <f t="shared" si="274"/>
        <v>1+3379044017.06533i</v>
      </c>
      <c r="AK445" s="31">
        <f t="shared" si="289"/>
        <v>3379044017.06533</v>
      </c>
      <c r="AL445" s="31">
        <f t="shared" si="290"/>
        <v>1.5707963264989548</v>
      </c>
      <c r="AM445" s="31" t="str">
        <f t="shared" si="275"/>
        <v>1+1541.80472250709i</v>
      </c>
      <c r="AN445" s="31">
        <f t="shared" si="291"/>
        <v>1541.8050468023396</v>
      </c>
      <c r="AO445" s="31">
        <f t="shared" si="292"/>
        <v>1.5701477363183085</v>
      </c>
      <c r="AS445" s="58" t="str">
        <f t="shared" si="293"/>
        <v>118.194218340925+182232.487160929i</v>
      </c>
      <c r="AT445" s="49">
        <f t="shared" si="294"/>
        <v>105.21251787869743</v>
      </c>
      <c r="AU445" s="61">
        <f t="shared" si="295"/>
        <v>89.962838520015339</v>
      </c>
      <c r="AV445" s="58" t="str">
        <f t="shared" si="296"/>
        <v>8666.92917831261-27263.1778026712i</v>
      </c>
      <c r="AW445" s="64">
        <f t="shared" si="297"/>
        <v>89.129637767963828</v>
      </c>
      <c r="AX445" s="61">
        <f t="shared" si="298"/>
        <v>-72.364606423774021</v>
      </c>
      <c r="AY445" s="310"/>
      <c r="BA445" s="31">
        <f t="shared" si="299"/>
        <v>0</v>
      </c>
      <c r="BB445" s="31">
        <f t="shared" si="300"/>
        <v>0</v>
      </c>
    </row>
    <row r="446" spans="14:54" x14ac:dyDescent="0.45">
      <c r="N446" s="10">
        <v>28</v>
      </c>
      <c r="O446" s="50">
        <f t="shared" si="301"/>
        <v>190546.07179632492</v>
      </c>
      <c r="P446" s="48" t="str">
        <f t="shared" si="267"/>
        <v>17.4002386318441</v>
      </c>
      <c r="Q446" s="17" t="str">
        <f t="shared" si="268"/>
        <v>1+102.534089355541i</v>
      </c>
      <c r="R446" s="17">
        <f t="shared" si="276"/>
        <v>102.53896566657022</v>
      </c>
      <c r="S446" s="17">
        <f t="shared" si="277"/>
        <v>1.5610437820359682</v>
      </c>
      <c r="T446" s="17" t="str">
        <f t="shared" si="269"/>
        <v>1+0.359170883595438i</v>
      </c>
      <c r="U446" s="17">
        <f t="shared" si="278"/>
        <v>1.062545868950008</v>
      </c>
      <c r="V446" s="17">
        <f t="shared" si="279"/>
        <v>0.3448213955635348</v>
      </c>
      <c r="W446" s="31" t="str">
        <f t="shared" si="270"/>
        <v>1-0.886117735491693i</v>
      </c>
      <c r="X446" s="17">
        <f t="shared" si="280"/>
        <v>1.3361155044205295</v>
      </c>
      <c r="Y446" s="17">
        <f t="shared" si="281"/>
        <v>-0.72509218525338315</v>
      </c>
      <c r="Z446" s="31" t="str">
        <f t="shared" si="271"/>
        <v>0.967067750134231+1.239288695486i</v>
      </c>
      <c r="AA446" s="17">
        <f t="shared" si="282"/>
        <v>1.5719594473487777</v>
      </c>
      <c r="AB446" s="17">
        <f t="shared" si="283"/>
        <v>0.90815807102240165</v>
      </c>
      <c r="AC446" s="66" t="str">
        <f t="shared" si="284"/>
        <v>-0.146763095164319-0.0441350455764876i</v>
      </c>
      <c r="AD446" s="64">
        <f t="shared" si="285"/>
        <v>-16.291667505963094</v>
      </c>
      <c r="AE446" s="61">
        <f t="shared" si="286"/>
        <v>-163.2627562674619</v>
      </c>
      <c r="AF446" s="31" t="str">
        <f t="shared" si="272"/>
        <v>-9090.90909090909</v>
      </c>
      <c r="AG446" s="31" t="str">
        <f t="shared" si="273"/>
        <v>2.27623467397318E-08i</v>
      </c>
      <c r="AH446" s="31">
        <f t="shared" si="287"/>
        <v>2.27623467397318E-8</v>
      </c>
      <c r="AI446" s="31">
        <f t="shared" si="288"/>
        <v>1.5707963267948966</v>
      </c>
      <c r="AJ446" s="31" t="str">
        <f t="shared" si="274"/>
        <v>1+3457752063.27119i</v>
      </c>
      <c r="AK446" s="31">
        <f t="shared" si="289"/>
        <v>3457752063.2711902</v>
      </c>
      <c r="AL446" s="31">
        <f t="shared" si="290"/>
        <v>1.5707963265056915</v>
      </c>
      <c r="AM446" s="31" t="str">
        <f t="shared" si="275"/>
        <v>1+1577.71796800689i</v>
      </c>
      <c r="AN446" s="31">
        <f t="shared" si="291"/>
        <v>1577.7182849202802</v>
      </c>
      <c r="AO446" s="31">
        <f t="shared" si="292"/>
        <v>1.5701625000360171</v>
      </c>
      <c r="AS446" s="58" t="str">
        <f t="shared" si="293"/>
        <v>115.503789464528+182232.487160927i</v>
      </c>
      <c r="AT446" s="49">
        <f t="shared" si="294"/>
        <v>105.21251779647133</v>
      </c>
      <c r="AU446" s="61">
        <f t="shared" si="295"/>
        <v>89.963684418343988</v>
      </c>
      <c r="AV446" s="58" t="str">
        <f t="shared" si="296"/>
        <v>8025.88743271918-26750.1016202419i</v>
      </c>
      <c r="AW446" s="64">
        <f t="shared" si="297"/>
        <v>88.920850290508241</v>
      </c>
      <c r="AX446" s="61">
        <f t="shared" si="298"/>
        <v>-73.299071849117908</v>
      </c>
      <c r="AY446" s="310"/>
      <c r="BA446" s="31">
        <f t="shared" si="299"/>
        <v>0</v>
      </c>
      <c r="BB446" s="31">
        <f t="shared" si="300"/>
        <v>0</v>
      </c>
    </row>
    <row r="447" spans="14:54" x14ac:dyDescent="0.45">
      <c r="N447" s="10">
        <v>29</v>
      </c>
      <c r="O447" s="50">
        <f t="shared" si="301"/>
        <v>194984.45997580473</v>
      </c>
      <c r="P447" s="48" t="str">
        <f t="shared" si="267"/>
        <v>17.4002386318441</v>
      </c>
      <c r="Q447" s="17" t="str">
        <f t="shared" si="268"/>
        <v>1+104.922415107413i</v>
      </c>
      <c r="R447" s="17">
        <f t="shared" si="276"/>
        <v>104.92718042515146</v>
      </c>
      <c r="S447" s="17">
        <f t="shared" si="277"/>
        <v>1.5612657634583547</v>
      </c>
      <c r="T447" s="17" t="str">
        <f t="shared" si="269"/>
        <v>1+0.367537048214496i</v>
      </c>
      <c r="U447" s="17">
        <f t="shared" si="278"/>
        <v>1.065402966867572</v>
      </c>
      <c r="V447" s="17">
        <f t="shared" si="279"/>
        <v>0.352211809608521</v>
      </c>
      <c r="W447" s="31" t="str">
        <f t="shared" si="270"/>
        <v>1-0.906758069064335i</v>
      </c>
      <c r="X447" s="17">
        <f t="shared" si="280"/>
        <v>1.3498926608487363</v>
      </c>
      <c r="Y447" s="17">
        <f t="shared" si="281"/>
        <v>-0.73653631971318756</v>
      </c>
      <c r="Z447" s="31" t="str">
        <f t="shared" si="271"/>
        <v>0.965515701014008+1.26815543750358i</v>
      </c>
      <c r="AA447" s="17">
        <f t="shared" si="282"/>
        <v>1.5938753974431212</v>
      </c>
      <c r="AB447" s="17">
        <f t="shared" si="283"/>
        <v>0.92006792870988696</v>
      </c>
      <c r="AC447" s="66" t="str">
        <f t="shared" si="284"/>
        <v>-0.143972070093177-0.0407668035054512i</v>
      </c>
      <c r="AD447" s="64">
        <f t="shared" si="285"/>
        <v>-16.499480549141239</v>
      </c>
      <c r="AE447" s="61">
        <f t="shared" si="286"/>
        <v>-164.19012051728453</v>
      </c>
      <c r="AF447" s="31" t="str">
        <f t="shared" si="272"/>
        <v>-9090.90909090909</v>
      </c>
      <c r="AG447" s="31" t="str">
        <f t="shared" si="273"/>
        <v>2.27623467397318E-08i</v>
      </c>
      <c r="AH447" s="31">
        <f t="shared" si="287"/>
        <v>2.27623467397318E-8</v>
      </c>
      <c r="AI447" s="31">
        <f t="shared" si="288"/>
        <v>1.5707963267948966</v>
      </c>
      <c r="AJ447" s="31" t="str">
        <f t="shared" si="274"/>
        <v>1+3538293455.38971i</v>
      </c>
      <c r="AK447" s="31">
        <f t="shared" si="289"/>
        <v>3538293455.3897099</v>
      </c>
      <c r="AL447" s="31">
        <f t="shared" si="290"/>
        <v>1.5707963265122744</v>
      </c>
      <c r="AM447" s="31" t="str">
        <f t="shared" si="275"/>
        <v>1+1614.46774045688i</v>
      </c>
      <c r="AN447" s="31">
        <f t="shared" si="291"/>
        <v>1614.4680501564419</v>
      </c>
      <c r="AO447" s="31">
        <f t="shared" si="292"/>
        <v>1.5701769276907487</v>
      </c>
      <c r="AS447" s="58" t="str">
        <f t="shared" si="293"/>
        <v>112.874602226182+182232.487160926i</v>
      </c>
      <c r="AT447" s="49">
        <f t="shared" si="294"/>
        <v>105.2125177179461</v>
      </c>
      <c r="AU447" s="61">
        <f t="shared" si="295"/>
        <v>89.964511061691184</v>
      </c>
      <c r="AV447" s="58" t="str">
        <f t="shared" si="296"/>
        <v>7412.78520625568-26240.9899515165i</v>
      </c>
      <c r="AW447" s="64">
        <f t="shared" si="297"/>
        <v>88.713037168804846</v>
      </c>
      <c r="AX447" s="61">
        <f t="shared" si="298"/>
        <v>-74.225609455593315</v>
      </c>
      <c r="AY447" s="310"/>
      <c r="BA447" s="31">
        <f t="shared" si="299"/>
        <v>0</v>
      </c>
      <c r="BB447" s="31">
        <f t="shared" si="300"/>
        <v>0</v>
      </c>
    </row>
    <row r="448" spans="14:54" x14ac:dyDescent="0.45">
      <c r="N448" s="10">
        <v>30</v>
      </c>
      <c r="O448" s="50">
        <f t="shared" si="301"/>
        <v>199526.23149688813</v>
      </c>
      <c r="P448" s="48" t="str">
        <f t="shared" si="267"/>
        <v>17.4002386318441</v>
      </c>
      <c r="Q448" s="17" t="str">
        <f t="shared" si="268"/>
        <v>1+107.366372112588i</v>
      </c>
      <c r="R448" s="17">
        <f t="shared" si="276"/>
        <v>107.37102896321107</v>
      </c>
      <c r="S448" s="17">
        <f t="shared" si="277"/>
        <v>1.5614826928742878</v>
      </c>
      <c r="T448" s="17" t="str">
        <f t="shared" si="269"/>
        <v>1+0.376098085841448i</v>
      </c>
      <c r="U448" s="17">
        <f t="shared" si="278"/>
        <v>1.0683865265780925</v>
      </c>
      <c r="V448" s="17">
        <f t="shared" si="279"/>
        <v>0.3597330279435203</v>
      </c>
      <c r="W448" s="31" t="str">
        <f t="shared" si="270"/>
        <v>1-0.927879177767564i</v>
      </c>
      <c r="X448" s="17">
        <f t="shared" si="280"/>
        <v>1.3641699925356117</v>
      </c>
      <c r="Y448" s="17">
        <f t="shared" si="281"/>
        <v>-0.74800618998515311</v>
      </c>
      <c r="Z448" s="31" t="str">
        <f t="shared" si="271"/>
        <v>0.963890506072245+1.29769457232015i</v>
      </c>
      <c r="AA448" s="17">
        <f t="shared" si="282"/>
        <v>1.616507380349804</v>
      </c>
      <c r="AB448" s="17">
        <f t="shared" si="283"/>
        <v>0.93193755095983877</v>
      </c>
      <c r="AC448" s="66" t="str">
        <f t="shared" si="284"/>
        <v>-0.141205413655808-0.0375484486885683i</v>
      </c>
      <c r="AD448" s="64">
        <f t="shared" si="285"/>
        <v>-16.706254156271637</v>
      </c>
      <c r="AE448" s="61">
        <f t="shared" si="286"/>
        <v>-165.10887000736065</v>
      </c>
      <c r="AF448" s="31" t="str">
        <f t="shared" si="272"/>
        <v>-9090.90909090909</v>
      </c>
      <c r="AG448" s="31" t="str">
        <f t="shared" si="273"/>
        <v>2.27623467397318E-08i</v>
      </c>
      <c r="AH448" s="31">
        <f t="shared" si="287"/>
        <v>2.27623467397318E-8</v>
      </c>
      <c r="AI448" s="31">
        <f t="shared" si="288"/>
        <v>1.5707963267948966</v>
      </c>
      <c r="AJ448" s="31" t="str">
        <f t="shared" si="274"/>
        <v>1+3620710897.53315i</v>
      </c>
      <c r="AK448" s="31">
        <f t="shared" si="289"/>
        <v>3620710897.5331502</v>
      </c>
      <c r="AL448" s="31">
        <f t="shared" si="290"/>
        <v>1.5707963265187077</v>
      </c>
      <c r="AM448" s="31" t="str">
        <f t="shared" si="275"/>
        <v>1+1652.07352507287i</v>
      </c>
      <c r="AN448" s="31">
        <f t="shared" si="291"/>
        <v>1652.0738277228106</v>
      </c>
      <c r="AO448" s="31">
        <f t="shared" si="292"/>
        <v>1.5701910269322126</v>
      </c>
      <c r="AS448" s="58" t="str">
        <f t="shared" si="293"/>
        <v>110.305262596006+182232.487160925i</v>
      </c>
      <c r="AT448" s="49">
        <f t="shared" si="294"/>
        <v>105.21251764295506</v>
      </c>
      <c r="AU448" s="61">
        <f t="shared" si="295"/>
        <v>89.965318888352812</v>
      </c>
      <c r="AV448" s="58" t="str">
        <f t="shared" si="296"/>
        <v>6826.97149331889-25736.3555225778i</v>
      </c>
      <c r="AW448" s="64">
        <f t="shared" si="297"/>
        <v>88.506263486683423</v>
      </c>
      <c r="AX448" s="61">
        <f t="shared" si="298"/>
        <v>-75.143551119007839</v>
      </c>
      <c r="AY448" s="310"/>
      <c r="BA448" s="31">
        <f t="shared" si="299"/>
        <v>0</v>
      </c>
      <c r="BB448" s="31">
        <f t="shared" si="300"/>
        <v>0</v>
      </c>
    </row>
    <row r="449" spans="14:54" x14ac:dyDescent="0.45">
      <c r="N449" s="10">
        <v>31</v>
      </c>
      <c r="O449" s="50">
        <f t="shared" si="301"/>
        <v>204173.79446695308</v>
      </c>
      <c r="P449" s="48" t="str">
        <f t="shared" si="267"/>
        <v>17.4002386318441</v>
      </c>
      <c r="Q449" s="17" t="str">
        <f t="shared" si="268"/>
        <v>1+109.867256189419i</v>
      </c>
      <c r="R449" s="17">
        <f t="shared" si="276"/>
        <v>109.87180704162205</v>
      </c>
      <c r="S449" s="17">
        <f t="shared" si="277"/>
        <v>1.5616946852209015</v>
      </c>
      <c r="T449" s="17" t="str">
        <f t="shared" si="269"/>
        <v>1+0.384858535651758i</v>
      </c>
      <c r="U449" s="17">
        <f t="shared" si="278"/>
        <v>1.0715017930288384</v>
      </c>
      <c r="V449" s="17">
        <f t="shared" si="279"/>
        <v>0.36738563370004496</v>
      </c>
      <c r="W449" s="31" t="str">
        <f t="shared" si="270"/>
        <v>1-0.949492260292773i</v>
      </c>
      <c r="X449" s="17">
        <f t="shared" si="280"/>
        <v>1.3789617660964639</v>
      </c>
      <c r="Y449" s="17">
        <f t="shared" si="281"/>
        <v>-0.75949580693451857</v>
      </c>
      <c r="Z449" s="31" t="str">
        <f t="shared" si="271"/>
        <v>0.962188718052578+1.32792176197597i</v>
      </c>
      <c r="AA449" s="17">
        <f t="shared" si="282"/>
        <v>1.6398729630910525</v>
      </c>
      <c r="AB449" s="17">
        <f t="shared" si="283"/>
        <v>0.94376192223394184</v>
      </c>
      <c r="AC449" s="66" t="str">
        <f t="shared" si="284"/>
        <v>-0.138465834513325-0.034476317517518i</v>
      </c>
      <c r="AD449" s="64">
        <f t="shared" si="285"/>
        <v>-16.91192283295419</v>
      </c>
      <c r="AE449" s="61">
        <f t="shared" si="286"/>
        <v>-166.01834739080687</v>
      </c>
      <c r="AF449" s="31" t="str">
        <f t="shared" si="272"/>
        <v>-9090.90909090909</v>
      </c>
      <c r="AG449" s="31" t="str">
        <f t="shared" si="273"/>
        <v>2.27623467397318E-08i</v>
      </c>
      <c r="AH449" s="31">
        <f t="shared" si="287"/>
        <v>2.27623467397318E-8</v>
      </c>
      <c r="AI449" s="31">
        <f t="shared" si="288"/>
        <v>1.5707963267948966</v>
      </c>
      <c r="AJ449" s="31" t="str">
        <f t="shared" si="274"/>
        <v>1+3705048088.52022i</v>
      </c>
      <c r="AK449" s="31">
        <f t="shared" si="289"/>
        <v>3705048088.5202198</v>
      </c>
      <c r="AL449" s="31">
        <f t="shared" si="290"/>
        <v>1.5707963265249947</v>
      </c>
      <c r="AM449" s="31" t="str">
        <f t="shared" si="275"/>
        <v>1+1690.55526093962i</v>
      </c>
      <c r="AN449" s="31">
        <f t="shared" si="291"/>
        <v>1690.5555567004083</v>
      </c>
      <c r="AO449" s="31">
        <f t="shared" si="292"/>
        <v>1.5702048052359907</v>
      </c>
      <c r="AS449" s="58" t="str">
        <f t="shared" si="293"/>
        <v>107.794408276122+182232.487160923i</v>
      </c>
      <c r="AT449" s="49">
        <f t="shared" si="294"/>
        <v>105.21251757133912</v>
      </c>
      <c r="AU449" s="61">
        <f t="shared" si="295"/>
        <v>89.966108326647941</v>
      </c>
      <c r="AV449" s="58" t="str">
        <f t="shared" si="296"/>
        <v>6267.77924666918-25236.6897644223i</v>
      </c>
      <c r="AW449" s="64">
        <f t="shared" si="297"/>
        <v>88.300594738384916</v>
      </c>
      <c r="AX449" s="61">
        <f t="shared" si="298"/>
        <v>-76.052239064158925</v>
      </c>
      <c r="AY449" s="310"/>
      <c r="BA449" s="31">
        <f t="shared" si="299"/>
        <v>0</v>
      </c>
      <c r="BB449" s="31">
        <f t="shared" si="300"/>
        <v>0</v>
      </c>
    </row>
    <row r="450" spans="14:54" x14ac:dyDescent="0.45">
      <c r="N450" s="10">
        <v>32</v>
      </c>
      <c r="O450" s="50">
        <f t="shared" si="301"/>
        <v>208929.61308540447</v>
      </c>
      <c r="P450" s="48" t="str">
        <f t="shared" si="267"/>
        <v>17.4002386318441</v>
      </c>
      <c r="Q450" s="17" t="str">
        <f t="shared" si="268"/>
        <v>1+112.426393339747i</v>
      </c>
      <c r="R450" s="17">
        <f t="shared" si="276"/>
        <v>112.43084060605216</v>
      </c>
      <c r="S450" s="17">
        <f t="shared" si="277"/>
        <v>1.5619018528230837</v>
      </c>
      <c r="T450" s="17" t="str">
        <f t="shared" si="269"/>
        <v>1+0.393823042551879i</v>
      </c>
      <c r="U450" s="17">
        <f t="shared" si="278"/>
        <v>1.0747541992682881</v>
      </c>
      <c r="V450" s="17">
        <f t="shared" si="279"/>
        <v>0.37517009814353791</v>
      </c>
      <c r="W450" s="31" t="str">
        <f t="shared" si="270"/>
        <v>1-0.971608776182414i</v>
      </c>
      <c r="X450" s="17">
        <f t="shared" si="280"/>
        <v>1.3942824727990697</v>
      </c>
      <c r="Y450" s="17">
        <f t="shared" si="281"/>
        <v>-0.77099912947381943</v>
      </c>
      <c r="Z450" s="31" t="str">
        <f t="shared" si="271"/>
        <v>0.960406727234452+1.35885303332713i</v>
      </c>
      <c r="AA450" s="17">
        <f t="shared" si="282"/>
        <v>1.6639899783050178</v>
      </c>
      <c r="AB450" s="17">
        <f t="shared" si="283"/>
        <v>0.95553618404818663</v>
      </c>
      <c r="AC450" s="66" t="str">
        <f t="shared" si="284"/>
        <v>-0.135755916007945-0.0315466667523541i</v>
      </c>
      <c r="AD450" s="64">
        <f t="shared" si="285"/>
        <v>-17.116420821461354</v>
      </c>
      <c r="AE450" s="61">
        <f t="shared" si="286"/>
        <v>-166.91790760239974</v>
      </c>
      <c r="AF450" s="31" t="str">
        <f t="shared" si="272"/>
        <v>-9090.90909090909</v>
      </c>
      <c r="AG450" s="31" t="str">
        <f t="shared" si="273"/>
        <v>2.27623467397318E-08i</v>
      </c>
      <c r="AH450" s="31">
        <f t="shared" si="287"/>
        <v>2.27623467397318E-8</v>
      </c>
      <c r="AI450" s="31">
        <f t="shared" si="288"/>
        <v>1.5707963267948966</v>
      </c>
      <c r="AJ450" s="31" t="str">
        <f t="shared" si="274"/>
        <v>1+3791349745.04596i</v>
      </c>
      <c r="AK450" s="31">
        <f t="shared" si="289"/>
        <v>3791349745.0459599</v>
      </c>
      <c r="AL450" s="31">
        <f t="shared" si="290"/>
        <v>1.5707963265311382</v>
      </c>
      <c r="AM450" s="31" t="str">
        <f t="shared" si="275"/>
        <v>1+1729.93335158289i</v>
      </c>
      <c r="AN450" s="31">
        <f t="shared" si="291"/>
        <v>1729.9336406113421</v>
      </c>
      <c r="AO450" s="31">
        <f t="shared" si="292"/>
        <v>1.5702182699075016</v>
      </c>
      <c r="AS450" s="58" t="str">
        <f t="shared" si="293"/>
        <v>105.340707978334+182232.487160923i</v>
      </c>
      <c r="AT450" s="49">
        <f t="shared" si="294"/>
        <v>105.21251750294653</v>
      </c>
      <c r="AU450" s="61">
        <f t="shared" si="295"/>
        <v>89.966879795146042</v>
      </c>
      <c r="AV450" s="58" t="str">
        <f t="shared" si="296"/>
        <v>5734.52691961376-24742.4613691472i</v>
      </c>
      <c r="AW450" s="64">
        <f t="shared" si="297"/>
        <v>88.096096681485164</v>
      </c>
      <c r="AX450" s="61">
        <f t="shared" si="298"/>
        <v>-76.951027807253695</v>
      </c>
      <c r="AY450" s="310"/>
      <c r="BA450" s="31">
        <f t="shared" si="299"/>
        <v>0</v>
      </c>
      <c r="BB450" s="31">
        <f t="shared" si="300"/>
        <v>0</v>
      </c>
    </row>
    <row r="451" spans="14:54" x14ac:dyDescent="0.45">
      <c r="N451" s="10">
        <v>33</v>
      </c>
      <c r="O451" s="50">
        <f t="shared" si="301"/>
        <v>213796.20895022334</v>
      </c>
      <c r="P451" s="48" t="str">
        <f t="shared" si="267"/>
        <v>17.4002386318441</v>
      </c>
      <c r="Q451" s="17" t="str">
        <f t="shared" si="268"/>
        <v>1+115.045140451963i</v>
      </c>
      <c r="R451" s="17">
        <f t="shared" si="276"/>
        <v>115.04948648999651</v>
      </c>
      <c r="S451" s="17">
        <f t="shared" si="277"/>
        <v>1.562104305452668</v>
      </c>
      <c r="T451" s="17" t="str">
        <f t="shared" si="269"/>
        <v>1+0.402996359642022i</v>
      </c>
      <c r="U451" s="17">
        <f t="shared" si="278"/>
        <v>1.0781493708594936</v>
      </c>
      <c r="V451" s="17">
        <f t="shared" si="279"/>
        <v>0.38308677389937695</v>
      </c>
      <c r="W451" s="31" t="str">
        <f t="shared" si="270"/>
        <v>1-0.994240451905941i</v>
      </c>
      <c r="X451" s="17">
        <f t="shared" si="280"/>
        <v>1.4101468278892555</v>
      </c>
      <c r="Y451" s="17">
        <f t="shared" si="281"/>
        <v>-0.78251008033051606</v>
      </c>
      <c r="Z451" s="31" t="str">
        <f t="shared" si="271"/>
        <v>0.958540753776429+1.3905047865431i</v>
      </c>
      <c r="AA451" s="17">
        <f t="shared" si="282"/>
        <v>1.6888765313218006</v>
      </c>
      <c r="AB451" s="17">
        <f t="shared" si="283"/>
        <v>0.96725564582978463</v>
      </c>
      <c r="AC451" s="66" t="str">
        <f t="shared" si="284"/>
        <v>-0.133078109184213-0.0287556825513851i</v>
      </c>
      <c r="AD451" s="64">
        <f t="shared" si="285"/>
        <v>-17.319682247770164</v>
      </c>
      <c r="AE451" s="61">
        <f t="shared" si="286"/>
        <v>-167.80691977556475</v>
      </c>
      <c r="AF451" s="31" t="str">
        <f t="shared" si="272"/>
        <v>-9090.90909090909</v>
      </c>
      <c r="AG451" s="31" t="str">
        <f t="shared" si="273"/>
        <v>2.27623467397318E-08i</v>
      </c>
      <c r="AH451" s="31">
        <f t="shared" si="287"/>
        <v>2.27623467397318E-8</v>
      </c>
      <c r="AI451" s="31">
        <f t="shared" si="288"/>
        <v>1.5707963267948966</v>
      </c>
      <c r="AJ451" s="31" t="str">
        <f t="shared" si="274"/>
        <v>1+3879661625.39095i</v>
      </c>
      <c r="AK451" s="31">
        <f t="shared" si="289"/>
        <v>3879661625.3909502</v>
      </c>
      <c r="AL451" s="31">
        <f t="shared" si="290"/>
        <v>1.5707963265371421</v>
      </c>
      <c r="AM451" s="31" t="str">
        <f t="shared" si="275"/>
        <v>1+1770.22867578752i</v>
      </c>
      <c r="AN451" s="31">
        <f t="shared" si="291"/>
        <v>1770.2289582368819</v>
      </c>
      <c r="AO451" s="31">
        <f t="shared" si="292"/>
        <v>1.5702314280858725</v>
      </c>
      <c r="AS451" s="58" t="str">
        <f t="shared" si="293"/>
        <v>102.942860718265+182232.487160921i</v>
      </c>
      <c r="AT451" s="49">
        <f t="shared" si="294"/>
        <v>105.21251743763202</v>
      </c>
      <c r="AU451" s="61">
        <f t="shared" si="295"/>
        <v>89.967633702888776</v>
      </c>
      <c r="AV451" s="58" t="str">
        <f t="shared" si="296"/>
        <v>5226.5201100904-24254.1150155355i</v>
      </c>
      <c r="AW451" s="64">
        <f t="shared" si="297"/>
        <v>87.892835189861842</v>
      </c>
      <c r="AX451" s="61">
        <f t="shared" si="298"/>
        <v>-77.839286072676003</v>
      </c>
      <c r="AY451" s="310"/>
      <c r="BA451" s="31">
        <f t="shared" si="299"/>
        <v>0</v>
      </c>
      <c r="BB451" s="31">
        <f t="shared" si="300"/>
        <v>0</v>
      </c>
    </row>
    <row r="452" spans="14:54" x14ac:dyDescent="0.45">
      <c r="N452" s="10">
        <v>34</v>
      </c>
      <c r="O452" s="50">
        <f t="shared" si="301"/>
        <v>218776.16239495538</v>
      </c>
      <c r="P452" s="48" t="str">
        <f t="shared" si="267"/>
        <v>17.4002386318441</v>
      </c>
      <c r="Q452" s="17" t="str">
        <f t="shared" si="268"/>
        <v>1+117.724886020449i</v>
      </c>
      <c r="R452" s="17">
        <f t="shared" si="276"/>
        <v>117.72913313418947</v>
      </c>
      <c r="S452" s="17">
        <f t="shared" si="277"/>
        <v>1.5623021503862966</v>
      </c>
      <c r="T452" s="17" t="str">
        <f t="shared" si="269"/>
        <v>1+0.412383350736336i</v>
      </c>
      <c r="U452" s="17">
        <f t="shared" si="278"/>
        <v>1.0816931302197161</v>
      </c>
      <c r="V452" s="17">
        <f t="shared" si="279"/>
        <v>0.39113588811566019</v>
      </c>
      <c r="W452" s="31" t="str">
        <f t="shared" si="270"/>
        <v>1-1.0173992870774i</v>
      </c>
      <c r="X452" s="17">
        <f t="shared" si="280"/>
        <v>1.4265697702340399</v>
      </c>
      <c r="Y452" s="17">
        <f t="shared" si="281"/>
        <v>-0.79402256204719723</v>
      </c>
      <c r="Z452" s="31" t="str">
        <f t="shared" si="271"/>
        <v>0.956586839698627+1.4228938038024i</v>
      </c>
      <c r="AA452" s="17">
        <f t="shared" si="282"/>
        <v>1.71455100792711</v>
      </c>
      <c r="AB452" s="17">
        <f t="shared" si="283"/>
        <v>0.97891579486369862</v>
      </c>
      <c r="AC452" s="66" t="str">
        <f t="shared" si="284"/>
        <v>-0.130434726773461-0.0260994899562455i</v>
      </c>
      <c r="AD452" s="64">
        <f t="shared" si="285"/>
        <v>-17.52164126775493</v>
      </c>
      <c r="AE452" s="61">
        <f t="shared" si="286"/>
        <v>-168.68476912407218</v>
      </c>
      <c r="AF452" s="31" t="str">
        <f t="shared" si="272"/>
        <v>-9090.90909090909</v>
      </c>
      <c r="AG452" s="31" t="str">
        <f t="shared" si="273"/>
        <v>2.27623467397318E-08i</v>
      </c>
      <c r="AH452" s="31">
        <f t="shared" si="287"/>
        <v>2.27623467397318E-8</v>
      </c>
      <c r="AI452" s="31">
        <f t="shared" si="288"/>
        <v>1.5707963267948966</v>
      </c>
      <c r="AJ452" s="31" t="str">
        <f t="shared" si="274"/>
        <v>1+3970030553.68312i</v>
      </c>
      <c r="AK452" s="31">
        <f t="shared" si="289"/>
        <v>3970030553.6831198</v>
      </c>
      <c r="AL452" s="31">
        <f t="shared" si="290"/>
        <v>1.5707963265430094</v>
      </c>
      <c r="AM452" s="31" t="str">
        <f t="shared" si="275"/>
        <v>1+1811.46259866781i</v>
      </c>
      <c r="AN452" s="31">
        <f t="shared" si="291"/>
        <v>1811.4628746878407</v>
      </c>
      <c r="AO452" s="31">
        <f t="shared" si="292"/>
        <v>1.5702442867477255</v>
      </c>
      <c r="AS452" s="58" t="str">
        <f t="shared" si="293"/>
        <v>100.599595125557+182232.48716092i</v>
      </c>
      <c r="AT452" s="49">
        <f t="shared" si="294"/>
        <v>105.21251737525718</v>
      </c>
      <c r="AU452" s="61">
        <f t="shared" si="295"/>
        <v>89.968370449606965</v>
      </c>
      <c r="AV452" s="58" t="str">
        <f t="shared" si="296"/>
        <v>4743.05328765435-23772.0702702054i</v>
      </c>
      <c r="AW452" s="64">
        <f t="shared" si="297"/>
        <v>87.690876107502248</v>
      </c>
      <c r="AX452" s="61">
        <f t="shared" si="298"/>
        <v>-78.716398674465196</v>
      </c>
      <c r="AY452" s="310"/>
      <c r="BA452" s="31">
        <f t="shared" si="299"/>
        <v>0</v>
      </c>
      <c r="BB452" s="31">
        <f t="shared" si="300"/>
        <v>0</v>
      </c>
    </row>
    <row r="453" spans="14:54" x14ac:dyDescent="0.45">
      <c r="N453" s="10">
        <v>35</v>
      </c>
      <c r="O453" s="50">
        <f t="shared" si="301"/>
        <v>223872.11385683404</v>
      </c>
      <c r="P453" s="48" t="str">
        <f t="shared" si="267"/>
        <v>17.4002386318441</v>
      </c>
      <c r="Q453" s="17" t="str">
        <f t="shared" si="268"/>
        <v>1+120.467050881776i</v>
      </c>
      <c r="R453" s="17">
        <f t="shared" si="276"/>
        <v>120.47120132277426</v>
      </c>
      <c r="S453" s="17">
        <f t="shared" si="277"/>
        <v>1.5624954924619832</v>
      </c>
      <c r="T453" s="17" t="str">
        <f t="shared" si="269"/>
        <v>1+0.42198899294175i</v>
      </c>
      <c r="U453" s="17">
        <f t="shared" si="278"/>
        <v>1.0853915008714563</v>
      </c>
      <c r="V453" s="17">
        <f t="shared" si="279"/>
        <v>0.39931753559121108</v>
      </c>
      <c r="W453" s="31" t="str">
        <f t="shared" si="270"/>
        <v>1-1.04109756081774i</v>
      </c>
      <c r="X453" s="17">
        <f t="shared" si="280"/>
        <v>1.4435664623219286</v>
      </c>
      <c r="Y453" s="17">
        <f t="shared" si="281"/>
        <v>-0.80553047311184978</v>
      </c>
      <c r="Z453" s="31" t="str">
        <f t="shared" si="271"/>
        <v>0.954540840487322+1.4560372581907i</v>
      </c>
      <c r="AA453" s="17">
        <f t="shared" si="282"/>
        <v>1.7410320828168948</v>
      </c>
      <c r="AB453" s="17">
        <f t="shared" si="283"/>
        <v>0.99051230529494227</v>
      </c>
      <c r="AC453" s="66" t="str">
        <f t="shared" si="284"/>
        <v>-0.127827938162965-0.023574162726767i</v>
      </c>
      <c r="AD453" s="64">
        <f t="shared" si="285"/>
        <v>-17.722232211801753</v>
      </c>
      <c r="AE453" s="61">
        <f t="shared" si="286"/>
        <v>-169.5508587790047</v>
      </c>
      <c r="AF453" s="31" t="str">
        <f t="shared" si="272"/>
        <v>-9090.90909090909</v>
      </c>
      <c r="AG453" s="31" t="str">
        <f t="shared" si="273"/>
        <v>2.27623467397318E-08i</v>
      </c>
      <c r="AH453" s="31">
        <f t="shared" si="287"/>
        <v>2.27623467397318E-8</v>
      </c>
      <c r="AI453" s="31">
        <f t="shared" si="288"/>
        <v>1.5707963267948966</v>
      </c>
      <c r="AJ453" s="31" t="str">
        <f t="shared" si="274"/>
        <v>1+4062504444.72443i</v>
      </c>
      <c r="AK453" s="31">
        <f t="shared" si="289"/>
        <v>4062504444.7244301</v>
      </c>
      <c r="AL453" s="31">
        <f t="shared" si="290"/>
        <v>1.570796326548743</v>
      </c>
      <c r="AM453" s="31" t="str">
        <f t="shared" si="275"/>
        <v>1+1853.65698299546i</v>
      </c>
      <c r="AN453" s="31">
        <f t="shared" si="291"/>
        <v>1853.6572527325088</v>
      </c>
      <c r="AO453" s="31">
        <f t="shared" si="292"/>
        <v>1.5702568527108764</v>
      </c>
      <c r="AS453" s="58" t="str">
        <f t="shared" si="293"/>
        <v>98.3096687697791+182232.487160918i</v>
      </c>
      <c r="AT453" s="49">
        <f t="shared" si="294"/>
        <v>105.21251731568961</v>
      </c>
      <c r="AU453" s="61">
        <f t="shared" si="295"/>
        <v>89.969090425932521</v>
      </c>
      <c r="AV453" s="58" t="str">
        <f t="shared" si="296"/>
        <v>4283.41158417463-23296.7206682183i</v>
      </c>
      <c r="AW453" s="64">
        <f t="shared" si="297"/>
        <v>87.490285103887842</v>
      </c>
      <c r="AX453" s="61">
        <f t="shared" si="298"/>
        <v>-79.581768353072178</v>
      </c>
      <c r="AY453" s="310"/>
      <c r="BA453" s="31">
        <f t="shared" si="299"/>
        <v>0</v>
      </c>
      <c r="BB453" s="31">
        <f t="shared" si="300"/>
        <v>0</v>
      </c>
    </row>
    <row r="454" spans="14:54" x14ac:dyDescent="0.45">
      <c r="N454" s="10">
        <v>36</v>
      </c>
      <c r="O454" s="50">
        <f t="shared" si="301"/>
        <v>229086.76527677779</v>
      </c>
      <c r="P454" s="48" t="str">
        <f t="shared" si="267"/>
        <v>17.4002386318441</v>
      </c>
      <c r="Q454" s="17" t="str">
        <f t="shared" si="268"/>
        <v>1+123.27308896805i</v>
      </c>
      <c r="R454" s="17">
        <f t="shared" si="276"/>
        <v>123.27714493662144</v>
      </c>
      <c r="S454" s="17">
        <f t="shared" si="277"/>
        <v>1.5626844341344033</v>
      </c>
      <c r="T454" s="17" t="str">
        <f t="shared" si="269"/>
        <v>1+0.431818379296905i</v>
      </c>
      <c r="U454" s="17">
        <f t="shared" si="278"/>
        <v>1.0892507115896715</v>
      </c>
      <c r="V454" s="17">
        <f t="shared" si="279"/>
        <v>0.40763167190028277</v>
      </c>
      <c r="W454" s="31" t="str">
        <f t="shared" si="270"/>
        <v>1-1.06534783826538i</v>
      </c>
      <c r="X454" s="17">
        <f t="shared" si="280"/>
        <v>1.4611522906585466</v>
      </c>
      <c r="Y454" s="17">
        <f t="shared" si="281"/>
        <v>-0.81702772411433422</v>
      </c>
      <c r="Z454" s="31" t="str">
        <f t="shared" si="271"/>
        <v>0.952398416303875+1.48995272280623i</v>
      </c>
      <c r="AA454" s="17">
        <f t="shared" si="282"/>
        <v>1.7683387287439665</v>
      </c>
      <c r="AB454" s="17">
        <f t="shared" si="283"/>
        <v>1.0020410461623104</v>
      </c>
      <c r="AC454" s="66" t="str">
        <f t="shared" si="284"/>
        <v>-0.125259765359031-0.0211757334207216i</v>
      </c>
      <c r="AD454" s="64">
        <f t="shared" si="285"/>
        <v>-17.921389727175676</v>
      </c>
      <c r="AE454" s="61">
        <f t="shared" si="286"/>
        <v>-170.40461157184734</v>
      </c>
      <c r="AF454" s="31" t="str">
        <f t="shared" si="272"/>
        <v>-9090.90909090909</v>
      </c>
      <c r="AG454" s="31" t="str">
        <f t="shared" si="273"/>
        <v>2.27623467397318E-08i</v>
      </c>
      <c r="AH454" s="31">
        <f t="shared" si="287"/>
        <v>2.27623467397318E-8</v>
      </c>
      <c r="AI454" s="31">
        <f t="shared" si="288"/>
        <v>1.5707963267948966</v>
      </c>
      <c r="AJ454" s="31" t="str">
        <f t="shared" si="274"/>
        <v>1+4157132329.39592i</v>
      </c>
      <c r="AK454" s="31">
        <f t="shared" si="289"/>
        <v>4157132329.3959198</v>
      </c>
      <c r="AL454" s="31">
        <f t="shared" si="290"/>
        <v>1.5707963265543461</v>
      </c>
      <c r="AM454" s="31" t="str">
        <f t="shared" si="275"/>
        <v>1+1896.83420079154i</v>
      </c>
      <c r="AN454" s="31">
        <f t="shared" si="291"/>
        <v>1896.8344643886248</v>
      </c>
      <c r="AO454" s="31">
        <f t="shared" si="292"/>
        <v>1.5702691326379492</v>
      </c>
      <c r="AS454" s="58" t="str">
        <f t="shared" si="293"/>
        <v>96.0718675016655+182232.487160917i</v>
      </c>
      <c r="AT454" s="49">
        <f t="shared" si="294"/>
        <v>105.21251725880308</v>
      </c>
      <c r="AU454" s="61">
        <f t="shared" si="295"/>
        <v>89.96979401360548</v>
      </c>
      <c r="AV454" s="58" t="str">
        <f t="shared" si="296"/>
        <v>3846.87262913379-22828.4329748245i</v>
      </c>
      <c r="AW454" s="64">
        <f t="shared" si="297"/>
        <v>87.291127531627396</v>
      </c>
      <c r="AX454" s="61">
        <f t="shared" si="298"/>
        <v>-80.434817558241846</v>
      </c>
      <c r="AY454" s="310"/>
      <c r="BA454" s="31">
        <f t="shared" si="299"/>
        <v>0</v>
      </c>
      <c r="BB454" s="31">
        <f t="shared" si="300"/>
        <v>0</v>
      </c>
    </row>
    <row r="455" spans="14:54" x14ac:dyDescent="0.45">
      <c r="N455" s="10">
        <v>37</v>
      </c>
      <c r="O455" s="50">
        <f t="shared" si="301"/>
        <v>234422.88153199267</v>
      </c>
      <c r="P455" s="48" t="str">
        <f t="shared" si="267"/>
        <v>17.4002386318441</v>
      </c>
      <c r="Q455" s="17" t="str">
        <f t="shared" si="268"/>
        <v>1+126.144488077808i</v>
      </c>
      <c r="R455" s="17">
        <f t="shared" si="276"/>
        <v>126.14845172419773</v>
      </c>
      <c r="S455" s="17">
        <f t="shared" si="277"/>
        <v>1.5628690755289418</v>
      </c>
      <c r="T455" s="17" t="str">
        <f t="shared" si="269"/>
        <v>1+0.441876721472556i</v>
      </c>
      <c r="U455" s="17">
        <f t="shared" si="278"/>
        <v>1.0932772004296691</v>
      </c>
      <c r="V455" s="17">
        <f t="shared" si="279"/>
        <v>0.41607810654830946</v>
      </c>
      <c r="W455" s="31" t="str">
        <f t="shared" si="270"/>
        <v>1-1.09016297723842i</v>
      </c>
      <c r="X455" s="17">
        <f t="shared" si="280"/>
        <v>1.4793428665935886</v>
      </c>
      <c r="Y455" s="17">
        <f t="shared" si="281"/>
        <v>-0.828508253824768</v>
      </c>
      <c r="Z455" s="31" t="str">
        <f t="shared" si="271"/>
        <v>0.950155022779353+1.52465818007724i</v>
      </c>
      <c r="AA455" s="17">
        <f t="shared" si="282"/>
        <v>1.7964902263550653</v>
      </c>
      <c r="AB455" s="17">
        <f t="shared" si="283"/>
        <v>1.0134980884482856</v>
      </c>
      <c r="AC455" s="66" t="str">
        <f t="shared" si="284"/>
        <v>-0.122732079941448-0.0189002036155071i</v>
      </c>
      <c r="AD455" s="64">
        <f t="shared" si="285"/>
        <v>-18.119048917548085</v>
      </c>
      <c r="AE455" s="61">
        <f t="shared" si="286"/>
        <v>-171.24547175488459</v>
      </c>
      <c r="AF455" s="31" t="str">
        <f t="shared" si="272"/>
        <v>-9090.90909090909</v>
      </c>
      <c r="AG455" s="31" t="str">
        <f t="shared" si="273"/>
        <v>2.27623467397318E-08i</v>
      </c>
      <c r="AH455" s="31">
        <f t="shared" si="287"/>
        <v>2.27623467397318E-8</v>
      </c>
      <c r="AI455" s="31">
        <f t="shared" si="288"/>
        <v>1.5707963267948966</v>
      </c>
      <c r="AJ455" s="31" t="str">
        <f t="shared" si="274"/>
        <v>1+4253964380.65462i</v>
      </c>
      <c r="AK455" s="31">
        <f t="shared" si="289"/>
        <v>4253964380.6546202</v>
      </c>
      <c r="AL455" s="31">
        <f t="shared" si="290"/>
        <v>1.5707963265598217</v>
      </c>
      <c r="AM455" s="31" t="str">
        <f t="shared" si="275"/>
        <v>1+1941.01714518845i</v>
      </c>
      <c r="AN455" s="31">
        <f t="shared" si="291"/>
        <v>1941.0174027853329</v>
      </c>
      <c r="AO455" s="31">
        <f t="shared" si="292"/>
        <v>1.5702811330399089</v>
      </c>
      <c r="AS455" s="58" t="str">
        <f t="shared" si="293"/>
        <v>93.8850048093627+182232.487160916i</v>
      </c>
      <c r="AT455" s="49">
        <f t="shared" si="294"/>
        <v>105.21251720447687</v>
      </c>
      <c r="AU455" s="61">
        <f t="shared" si="295"/>
        <v>89.970481585676509</v>
      </c>
      <c r="AV455" s="58" t="str">
        <f t="shared" si="296"/>
        <v>3432.70841078603-22367.5466278698i</v>
      </c>
      <c r="AW455" s="64">
        <f t="shared" si="297"/>
        <v>87.093468286928783</v>
      </c>
      <c r="AX455" s="61">
        <f t="shared" si="298"/>
        <v>-81.27499016920811</v>
      </c>
      <c r="AY455" s="310"/>
      <c r="BA455" s="31">
        <f t="shared" si="299"/>
        <v>0</v>
      </c>
      <c r="BB455" s="31">
        <f t="shared" si="300"/>
        <v>0</v>
      </c>
    </row>
    <row r="456" spans="14:54" x14ac:dyDescent="0.45">
      <c r="N456" s="10">
        <v>38</v>
      </c>
      <c r="O456" s="50">
        <f t="shared" si="301"/>
        <v>239883.29190194907</v>
      </c>
      <c r="P456" s="48" t="str">
        <f t="shared" si="267"/>
        <v>17.4002386318441</v>
      </c>
      <c r="Q456" s="17" t="str">
        <f t="shared" si="268"/>
        <v>1+129.082770664863i</v>
      </c>
      <c r="R456" s="17">
        <f t="shared" si="276"/>
        <v>129.08664409038457</v>
      </c>
      <c r="S456" s="17">
        <f t="shared" si="277"/>
        <v>1.5630495144945218</v>
      </c>
      <c r="T456" s="17" t="str">
        <f t="shared" si="269"/>
        <v>1+0.45216935253486i</v>
      </c>
      <c r="U456" s="17">
        <f t="shared" si="278"/>
        <v>1.0974776186199855</v>
      </c>
      <c r="V456" s="17">
        <f t="shared" si="279"/>
        <v>0.4246564961959699</v>
      </c>
      <c r="W456" s="31" t="str">
        <f t="shared" si="270"/>
        <v>1-1.11555613505199i</v>
      </c>
      <c r="X456" s="17">
        <f t="shared" si="280"/>
        <v>1.498154027612693</v>
      </c>
      <c r="Y456" s="17">
        <f t="shared" si="281"/>
        <v>-0.83996604509047645</v>
      </c>
      <c r="Z456" s="31" t="str">
        <f t="shared" si="271"/>
        <v>0.947805901375315+1.56017203129657i</v>
      </c>
      <c r="AA456" s="17">
        <f t="shared" si="282"/>
        <v>1.8255061747148211</v>
      </c>
      <c r="AB456" s="17">
        <f t="shared" si="283"/>
        <v>1.0248797111388999</v>
      </c>
      <c r="AC456" s="66" t="str">
        <f t="shared" si="284"/>
        <v>-0.120246600995609-0.0167435541722048i</v>
      </c>
      <c r="AD456" s="64">
        <f t="shared" si="285"/>
        <v>-18.315145479173619</v>
      </c>
      <c r="AE456" s="61">
        <f t="shared" si="286"/>
        <v>-172.07290665049166</v>
      </c>
      <c r="AF456" s="31" t="str">
        <f t="shared" si="272"/>
        <v>-9090.90909090909</v>
      </c>
      <c r="AG456" s="31" t="str">
        <f t="shared" si="273"/>
        <v>2.27623467397318E-08i</v>
      </c>
      <c r="AH456" s="31">
        <f t="shared" si="287"/>
        <v>2.27623467397318E-8</v>
      </c>
      <c r="AI456" s="31">
        <f t="shared" si="288"/>
        <v>1.5707963267948966</v>
      </c>
      <c r="AJ456" s="31" t="str">
        <f t="shared" si="274"/>
        <v>1+4353051940.1358i</v>
      </c>
      <c r="AK456" s="31">
        <f t="shared" si="289"/>
        <v>4353051940.1358004</v>
      </c>
      <c r="AL456" s="31">
        <f t="shared" si="290"/>
        <v>1.5707963265651728</v>
      </c>
      <c r="AM456" s="31" t="str">
        <f t="shared" si="275"/>
        <v>1+1986.22924256813i</v>
      </c>
      <c r="AN456" s="31">
        <f t="shared" si="291"/>
        <v>1986.2294943013933</v>
      </c>
      <c r="AO456" s="31">
        <f t="shared" si="292"/>
        <v>1.5702928602795139</v>
      </c>
      <c r="AS456" s="58" t="str">
        <f t="shared" si="293"/>
        <v>91.7479211893245+182232.487160915i</v>
      </c>
      <c r="AT456" s="49">
        <f t="shared" si="294"/>
        <v>105.21251715259572</v>
      </c>
      <c r="AU456" s="61">
        <f t="shared" si="295"/>
        <v>89.971153506704624</v>
      </c>
      <c r="AV456" s="58" t="str">
        <f t="shared" si="296"/>
        <v>3040.18714504297-21914.3733583646i</v>
      </c>
      <c r="AW456" s="64">
        <f t="shared" si="297"/>
        <v>86.8973716734221</v>
      </c>
      <c r="AX456" s="61">
        <f t="shared" si="298"/>
        <v>-82.101753143787036</v>
      </c>
      <c r="AY456" s="310"/>
      <c r="BA456" s="31">
        <f t="shared" si="299"/>
        <v>0</v>
      </c>
      <c r="BB456" s="31">
        <f t="shared" si="300"/>
        <v>0</v>
      </c>
    </row>
    <row r="457" spans="14:54" x14ac:dyDescent="0.45">
      <c r="N457" s="10">
        <v>39</v>
      </c>
      <c r="O457" s="50">
        <f t="shared" si="301"/>
        <v>245470.89156850305</v>
      </c>
      <c r="P457" s="48" t="str">
        <f t="shared" si="267"/>
        <v>17.4002386318441</v>
      </c>
      <c r="Q457" s="17" t="str">
        <f t="shared" si="268"/>
        <v>1+132.089494645538i</v>
      </c>
      <c r="R457" s="17">
        <f t="shared" si="276"/>
        <v>132.09327990368629</v>
      </c>
      <c r="S457" s="17">
        <f t="shared" si="277"/>
        <v>1.5632258466552462</v>
      </c>
      <c r="T457" s="17" t="str">
        <f t="shared" si="269"/>
        <v>1+0.462701729773047i</v>
      </c>
      <c r="U457" s="17">
        <f t="shared" si="278"/>
        <v>1.1018588343045446</v>
      </c>
      <c r="V457" s="17">
        <f t="shared" si="279"/>
        <v>0.43336633799173646</v>
      </c>
      <c r="W457" s="31" t="str">
        <f t="shared" si="270"/>
        <v>1-1.1415407754945i</v>
      </c>
      <c r="X457" s="17">
        <f t="shared" si="280"/>
        <v>1.5176018391253301</v>
      </c>
      <c r="Y457" s="17">
        <f t="shared" si="281"/>
        <v>-0.85139514045042097</v>
      </c>
      <c r="Z457" s="31" t="str">
        <f t="shared" si="271"/>
        <v>0.945346069290308+1.5965131063782i</v>
      </c>
      <c r="AA457" s="17">
        <f t="shared" si="282"/>
        <v>1.8554065025109743</v>
      </c>
      <c r="AB457" s="17">
        <f t="shared" si="283"/>
        <v>1.0361824062958429</v>
      </c>
      <c r="AC457" s="66" t="str">
        <f t="shared" si="284"/>
        <v>-0.117804893998275-0.0147017554470431i</v>
      </c>
      <c r="AD457" s="64">
        <f t="shared" si="285"/>
        <v>-18.509615833288862</v>
      </c>
      <c r="AE457" s="61">
        <f t="shared" si="286"/>
        <v>-172.88640822136267</v>
      </c>
      <c r="AF457" s="31" t="str">
        <f t="shared" si="272"/>
        <v>-9090.90909090909</v>
      </c>
      <c r="AG457" s="31" t="str">
        <f t="shared" si="273"/>
        <v>2.27623467397318E-08i</v>
      </c>
      <c r="AH457" s="31">
        <f t="shared" si="287"/>
        <v>2.27623467397318E-8</v>
      </c>
      <c r="AI457" s="31">
        <f t="shared" si="288"/>
        <v>1.5707963267948966</v>
      </c>
      <c r="AJ457" s="31" t="str">
        <f t="shared" si="274"/>
        <v>1+4454447545.37509i</v>
      </c>
      <c r="AK457" s="31">
        <f t="shared" si="289"/>
        <v>4454447545.3750896</v>
      </c>
      <c r="AL457" s="31">
        <f t="shared" si="290"/>
        <v>1.5707963265704019</v>
      </c>
      <c r="AM457" s="31" t="str">
        <f t="shared" si="275"/>
        <v>1+2032.49446498307i</v>
      </c>
      <c r="AN457" s="31">
        <f t="shared" si="291"/>
        <v>2032.4947109861851</v>
      </c>
      <c r="AO457" s="31">
        <f t="shared" si="292"/>
        <v>1.5703043205746887</v>
      </c>
      <c r="AS457" s="58" t="str">
        <f t="shared" si="293"/>
        <v>89.6594835315284+182232.487160915i</v>
      </c>
      <c r="AT457" s="49">
        <f t="shared" si="294"/>
        <v>105.21251710304966</v>
      </c>
      <c r="AU457" s="61">
        <f t="shared" si="295"/>
        <v>89.971810132950509</v>
      </c>
      <c r="AV457" s="58" t="str">
        <f t="shared" si="296"/>
        <v>2668.57513479282-21469.196984834i</v>
      </c>
      <c r="AW457" s="64">
        <f t="shared" si="297"/>
        <v>86.702901269760815</v>
      </c>
      <c r="AX457" s="61">
        <f t="shared" si="298"/>
        <v>-82.914598088412191</v>
      </c>
      <c r="AY457" s="310"/>
      <c r="BA457" s="31">
        <f t="shared" si="299"/>
        <v>0</v>
      </c>
      <c r="BB457" s="31">
        <f t="shared" si="300"/>
        <v>0</v>
      </c>
    </row>
    <row r="458" spans="14:54" x14ac:dyDescent="0.45">
      <c r="N458" s="10">
        <v>40</v>
      </c>
      <c r="O458" s="50">
        <f t="shared" si="301"/>
        <v>251188.64315095844</v>
      </c>
      <c r="P458" s="48" t="str">
        <f t="shared" si="267"/>
        <v>17.4002386318441</v>
      </c>
      <c r="Q458" s="17" t="str">
        <f t="shared" si="268"/>
        <v>1+135.166254224686i</v>
      </c>
      <c r="R458" s="17">
        <f t="shared" si="276"/>
        <v>135.16995332222487</v>
      </c>
      <c r="S458" s="17">
        <f t="shared" si="277"/>
        <v>1.5633981654608742</v>
      </c>
      <c r="T458" s="17" t="str">
        <f t="shared" si="269"/>
        <v>1+0.473479437592944i</v>
      </c>
      <c r="U458" s="17">
        <f t="shared" si="278"/>
        <v>1.106427936118449</v>
      </c>
      <c r="V458" s="17">
        <f t="shared" si="279"/>
        <v>0.44220696305579477</v>
      </c>
      <c r="W458" s="31" t="str">
        <f t="shared" si="270"/>
        <v>1-1.16813067596627i</v>
      </c>
      <c r="X458" s="17">
        <f t="shared" si="280"/>
        <v>1.5377025967765725</v>
      </c>
      <c r="Y458" s="17">
        <f t="shared" si="281"/>
        <v>-0.86278965736920565</v>
      </c>
      <c r="Z458" s="31" t="str">
        <f t="shared" si="271"/>
        <v>0.942770308890685+1.6337006738412i</v>
      </c>
      <c r="AA458" s="17">
        <f t="shared" si="282"/>
        <v>1.8862114799340579</v>
      </c>
      <c r="AB458" s="17">
        <f t="shared" si="283"/>
        <v>1.0474028831513686</v>
      </c>
      <c r="AC458" s="66" t="str">
        <f t="shared" si="284"/>
        <v>-0.115408370623495-0.012770777361003i</v>
      </c>
      <c r="AD458" s="64">
        <f t="shared" si="285"/>
        <v>-18.702397254394487</v>
      </c>
      <c r="AE458" s="61">
        <f t="shared" si="286"/>
        <v>-173.68549455421052</v>
      </c>
      <c r="AF458" s="31" t="str">
        <f t="shared" si="272"/>
        <v>-9090.90909090909</v>
      </c>
      <c r="AG458" s="31" t="str">
        <f t="shared" si="273"/>
        <v>2.27623467397318E-08i</v>
      </c>
      <c r="AH458" s="31">
        <f t="shared" si="287"/>
        <v>2.27623467397318E-8</v>
      </c>
      <c r="AI458" s="31">
        <f t="shared" si="288"/>
        <v>1.5707963267948966</v>
      </c>
      <c r="AJ458" s="31" t="str">
        <f t="shared" si="274"/>
        <v>1+4558204957.66456i</v>
      </c>
      <c r="AK458" s="31">
        <f t="shared" si="289"/>
        <v>4558204957.6645603</v>
      </c>
      <c r="AL458" s="31">
        <f t="shared" si="290"/>
        <v>1.570796326575512</v>
      </c>
      <c r="AM458" s="31" t="str">
        <f t="shared" si="275"/>
        <v>1+2079.8373428666i</v>
      </c>
      <c r="AN458" s="31">
        <f t="shared" si="291"/>
        <v>2079.8375832700012</v>
      </c>
      <c r="AO458" s="31">
        <f t="shared" si="292"/>
        <v>1.5703155200018215</v>
      </c>
      <c r="AS458" s="58" t="str">
        <f t="shared" si="293"/>
        <v>87.6185845186838+182232.487160914i</v>
      </c>
      <c r="AT458" s="49">
        <f t="shared" si="294"/>
        <v>105.21251705573349</v>
      </c>
      <c r="AU458" s="61">
        <f t="shared" si="295"/>
        <v>89.972451812565382</v>
      </c>
      <c r="AV458" s="58" t="str">
        <f t="shared" si="296"/>
        <v>2317.13860339823-21032.2733753436i</v>
      </c>
      <c r="AW458" s="64">
        <f t="shared" si="297"/>
        <v>86.510119801339002</v>
      </c>
      <c r="AX458" s="61">
        <f t="shared" si="298"/>
        <v>-83.71304274164514</v>
      </c>
      <c r="AY458" s="310"/>
      <c r="BA458" s="31">
        <f t="shared" si="299"/>
        <v>0</v>
      </c>
      <c r="BB458" s="31">
        <f t="shared" si="300"/>
        <v>0</v>
      </c>
    </row>
    <row r="459" spans="14:54" x14ac:dyDescent="0.45">
      <c r="N459" s="10">
        <v>41</v>
      </c>
      <c r="O459" s="50">
        <f t="shared" si="301"/>
        <v>257039.57827688678</v>
      </c>
      <c r="P459" s="48" t="str">
        <f t="shared" si="267"/>
        <v>17.4002386318441</v>
      </c>
      <c r="Q459" s="17" t="str">
        <f t="shared" si="268"/>
        <v>1+138.31468074096i</v>
      </c>
      <c r="R459" s="17">
        <f t="shared" si="276"/>
        <v>138.31829563898512</v>
      </c>
      <c r="S459" s="17">
        <f t="shared" si="277"/>
        <v>1.563566562236159</v>
      </c>
      <c r="T459" s="17" t="str">
        <f t="shared" si="269"/>
        <v>1+0.484508190477891i</v>
      </c>
      <c r="U459" s="17">
        <f t="shared" si="278"/>
        <v>1.1111922365820239</v>
      </c>
      <c r="V459" s="17">
        <f t="shared" si="279"/>
        <v>0.45117753016087569</v>
      </c>
      <c r="W459" s="31" t="str">
        <f t="shared" si="270"/>
        <v>1-1.19533993478446i</v>
      </c>
      <c r="X459" s="17">
        <f t="shared" si="280"/>
        <v>1.5584728293077543</v>
      </c>
      <c r="Y459" s="17">
        <f t="shared" si="281"/>
        <v>-0.87414380299741412</v>
      </c>
      <c r="Z459" s="31" t="str">
        <f t="shared" si="271"/>
        <v>0.940073156643302+1.67175445102604i</v>
      </c>
      <c r="AA459" s="17">
        <f t="shared" si="282"/>
        <v>1.917941731223</v>
      </c>
      <c r="AB459" s="17">
        <f t="shared" si="283"/>
        <v>1.0585380712440029</v>
      </c>
      <c r="AC459" s="66" t="str">
        <f t="shared" si="284"/>
        <v>-0.113058289426861-0.0109465992448949i</v>
      </c>
      <c r="AD459" s="64">
        <f t="shared" si="285"/>
        <v>-18.893427994164213</v>
      </c>
      <c r="AE459" s="61">
        <f t="shared" si="286"/>
        <v>-174.46971125002338</v>
      </c>
      <c r="AF459" s="31" t="str">
        <f t="shared" si="272"/>
        <v>-9090.90909090909</v>
      </c>
      <c r="AG459" s="31" t="str">
        <f t="shared" si="273"/>
        <v>2.27623467397318E-08i</v>
      </c>
      <c r="AH459" s="31">
        <f t="shared" si="287"/>
        <v>2.27623467397318E-8</v>
      </c>
      <c r="AI459" s="31">
        <f t="shared" si="288"/>
        <v>1.5707963267948966</v>
      </c>
      <c r="AJ459" s="31" t="str">
        <f t="shared" si="274"/>
        <v>1+4664379190.55752i</v>
      </c>
      <c r="AK459" s="31">
        <f t="shared" si="289"/>
        <v>4664379190.5575199</v>
      </c>
      <c r="AL459" s="31">
        <f t="shared" si="290"/>
        <v>1.5707963265805058</v>
      </c>
      <c r="AM459" s="31" t="str">
        <f t="shared" si="275"/>
        <v>1+2128.28297803921i</v>
      </c>
      <c r="AN459" s="31">
        <f t="shared" si="291"/>
        <v>2128.283212970362</v>
      </c>
      <c r="AO459" s="31">
        <f t="shared" si="292"/>
        <v>1.5703264644989856</v>
      </c>
      <c r="AS459" s="58" t="str">
        <f t="shared" si="293"/>
        <v>85.6241420391204+182232.487160912i</v>
      </c>
      <c r="AT459" s="49">
        <f t="shared" si="294"/>
        <v>105.21251701054686</v>
      </c>
      <c r="AU459" s="61">
        <f t="shared" si="295"/>
        <v>89.973078885775664</v>
      </c>
      <c r="AV459" s="58" t="str">
        <f t="shared" si="296"/>
        <v>1985.14548731837-20603.8305695837i</v>
      </c>
      <c r="AW459" s="64">
        <f t="shared" si="297"/>
        <v>86.319089016382634</v>
      </c>
      <c r="AX459" s="61">
        <f t="shared" si="298"/>
        <v>-84.496632364247731</v>
      </c>
      <c r="AY459" s="310"/>
      <c r="BA459" s="31">
        <f t="shared" si="299"/>
        <v>0</v>
      </c>
      <c r="BB459" s="31">
        <f t="shared" si="300"/>
        <v>0</v>
      </c>
    </row>
    <row r="460" spans="14:54" x14ac:dyDescent="0.45">
      <c r="N460" s="10">
        <v>42</v>
      </c>
      <c r="O460" s="50">
        <f t="shared" si="301"/>
        <v>263026.79918953858</v>
      </c>
      <c r="P460" s="48" t="str">
        <f t="shared" si="267"/>
        <v>17.4002386318441</v>
      </c>
      <c r="Q460" s="17" t="str">
        <f t="shared" si="268"/>
        <v>1+141.536443531774i</v>
      </c>
      <c r="R460" s="17">
        <f t="shared" si="276"/>
        <v>141.53997614675174</v>
      </c>
      <c r="S460" s="17">
        <f t="shared" si="277"/>
        <v>1.5637311262290758</v>
      </c>
      <c r="T460" s="17" t="str">
        <f t="shared" si="269"/>
        <v>1+0.495793836018655i</v>
      </c>
      <c r="U460" s="17">
        <f t="shared" si="278"/>
        <v>1.1161592752981506</v>
      </c>
      <c r="V460" s="17">
        <f t="shared" si="279"/>
        <v>0.46027701965799533</v>
      </c>
      <c r="W460" s="31" t="str">
        <f t="shared" si="270"/>
        <v>1-1.22318297865827i</v>
      </c>
      <c r="X460" s="17">
        <f t="shared" si="280"/>
        <v>1.5799293019876928</v>
      </c>
      <c r="Y460" s="17">
        <f t="shared" si="281"/>
        <v>-0.88545188837052979</v>
      </c>
      <c r="Z460" s="31" t="str">
        <f t="shared" si="271"/>
        <v>0.937248891526627+1.7106946145491i</v>
      </c>
      <c r="AA460" s="17">
        <f t="shared" si="282"/>
        <v>1.9506182478678871</v>
      </c>
      <c r="AB460" s="17">
        <f t="shared" si="283"/>
        <v>1.06958512262023</v>
      </c>
      <c r="AC460" s="66" t="str">
        <f t="shared" si="284"/>
        <v>-0.110755757358977-0.009225219384568i</v>
      </c>
      <c r="AD460" s="64">
        <f t="shared" si="285"/>
        <v>-19.082647400808622</v>
      </c>
      <c r="AE460" s="61">
        <f t="shared" si="286"/>
        <v>-175.23863271454405</v>
      </c>
      <c r="AF460" s="31" t="str">
        <f t="shared" si="272"/>
        <v>-9090.90909090909</v>
      </c>
      <c r="AG460" s="31" t="str">
        <f t="shared" si="273"/>
        <v>2.27623467397318E-08i</v>
      </c>
      <c r="AH460" s="31">
        <f t="shared" si="287"/>
        <v>2.27623467397318E-8</v>
      </c>
      <c r="AI460" s="31">
        <f t="shared" si="288"/>
        <v>1.5707963267948966</v>
      </c>
      <c r="AJ460" s="31" t="str">
        <f t="shared" si="274"/>
        <v>1+4773026539.03768i</v>
      </c>
      <c r="AK460" s="31">
        <f t="shared" si="289"/>
        <v>4773026539.0376797</v>
      </c>
      <c r="AL460" s="31">
        <f t="shared" si="290"/>
        <v>1.5707963265853859</v>
      </c>
      <c r="AM460" s="31" t="str">
        <f t="shared" si="275"/>
        <v>1+2177.85705701794i</v>
      </c>
      <c r="AN460" s="31">
        <f t="shared" si="291"/>
        <v>2177.8572866014069</v>
      </c>
      <c r="AO460" s="31">
        <f t="shared" si="292"/>
        <v>1.5703371598690878</v>
      </c>
      <c r="AS460" s="58" t="str">
        <f t="shared" si="293"/>
        <v>83.6750986130355+182232.487160911i</v>
      </c>
      <c r="AT460" s="49">
        <f t="shared" si="294"/>
        <v>105.21251696739398</v>
      </c>
      <c r="AU460" s="61">
        <f t="shared" si="295"/>
        <v>89.973691685063244</v>
      </c>
      <c r="AV460" s="58" t="str">
        <f t="shared" si="296"/>
        <v>1671.8671741359-20184.0690520585i</v>
      </c>
      <c r="AW460" s="64">
        <f t="shared" si="297"/>
        <v>86.129869566585384</v>
      </c>
      <c r="AX460" s="61">
        <f t="shared" si="298"/>
        <v>-85.264941029480823</v>
      </c>
      <c r="AY460" s="310"/>
      <c r="BA460" s="31">
        <f t="shared" si="299"/>
        <v>0</v>
      </c>
      <c r="BB460" s="31">
        <f t="shared" si="300"/>
        <v>0</v>
      </c>
    </row>
    <row r="461" spans="14:54" x14ac:dyDescent="0.45">
      <c r="N461" s="10">
        <v>43</v>
      </c>
      <c r="O461" s="50">
        <f t="shared" si="301"/>
        <v>269153.48039269145</v>
      </c>
      <c r="P461" s="48" t="str">
        <f t="shared" si="267"/>
        <v>17.4002386318441</v>
      </c>
      <c r="Q461" s="17" t="str">
        <f t="shared" si="268"/>
        <v>1+144.833250818405i</v>
      </c>
      <c r="R461" s="17">
        <f t="shared" si="276"/>
        <v>144.83670302318748</v>
      </c>
      <c r="S461" s="17">
        <f t="shared" si="277"/>
        <v>1.5638919446579584</v>
      </c>
      <c r="T461" s="17" t="str">
        <f t="shared" si="269"/>
        <v>1+0.507342358013883i</v>
      </c>
      <c r="U461" s="17">
        <f t="shared" si="278"/>
        <v>1.1213368219384785</v>
      </c>
      <c r="V461" s="17">
        <f t="shared" si="279"/>
        <v>0.46950422769720396</v>
      </c>
      <c r="W461" s="31" t="str">
        <f t="shared" si="270"/>
        <v>1-1.25167457033811i</v>
      </c>
      <c r="X461" s="17">
        <f t="shared" si="280"/>
        <v>1.6020890206324654</v>
      </c>
      <c r="Y461" s="17">
        <f t="shared" si="281"/>
        <v>-0.89670834196501004</v>
      </c>
      <c r="Z461" s="31" t="str">
        <f t="shared" si="271"/>
        <v>0.934291522895693+1.75054181100053i</v>
      </c>
      <c r="AA461" s="17">
        <f t="shared" si="282"/>
        <v>1.9842624024598583</v>
      </c>
      <c r="AB461" s="17">
        <f t="shared" si="283"/>
        <v>1.0805414131334072</v>
      </c>
      <c r="AC461" s="66" t="str">
        <f t="shared" si="284"/>
        <v>-0.108501732052932-0.00760266419886055i</v>
      </c>
      <c r="AD461" s="64">
        <f t="shared" si="285"/>
        <v>-19.269996033797089</v>
      </c>
      <c r="AE461" s="61">
        <f t="shared" si="286"/>
        <v>-175.99186334322383</v>
      </c>
      <c r="AF461" s="31" t="str">
        <f t="shared" si="272"/>
        <v>-9090.90909090909</v>
      </c>
      <c r="AG461" s="31" t="str">
        <f t="shared" si="273"/>
        <v>2.27623467397318E-08i</v>
      </c>
      <c r="AH461" s="31">
        <f t="shared" si="287"/>
        <v>2.27623467397318E-8</v>
      </c>
      <c r="AI461" s="31">
        <f t="shared" si="288"/>
        <v>1.5707963267948966</v>
      </c>
      <c r="AJ461" s="31" t="str">
        <f t="shared" si="274"/>
        <v>1+4884204609.36733i</v>
      </c>
      <c r="AK461" s="31">
        <f t="shared" si="289"/>
        <v>4884204609.3673296</v>
      </c>
      <c r="AL461" s="31">
        <f t="shared" si="290"/>
        <v>1.570796326590155</v>
      </c>
      <c r="AM461" s="31" t="str">
        <f t="shared" si="275"/>
        <v>1+2228.58586463565i</v>
      </c>
      <c r="AN461" s="31">
        <f t="shared" si="291"/>
        <v>2228.5860889931596</v>
      </c>
      <c r="AO461" s="31">
        <f t="shared" si="292"/>
        <v>1.5703476117829451</v>
      </c>
      <c r="AS461" s="58" t="str">
        <f t="shared" si="293"/>
        <v>81.7704208318067+182232.487160912i</v>
      </c>
      <c r="AT461" s="49">
        <f t="shared" si="294"/>
        <v>105.21251692618343</v>
      </c>
      <c r="AU461" s="61">
        <f t="shared" si="295"/>
        <v>89.974290535341851</v>
      </c>
      <c r="AV461" s="58" t="str">
        <f t="shared" si="296"/>
        <v>1376.58017371663-19773.1621663236i</v>
      </c>
      <c r="AW461" s="64">
        <f t="shared" si="297"/>
        <v>85.942520892386312</v>
      </c>
      <c r="AX461" s="61">
        <f t="shared" si="298"/>
        <v>-86.017572807882004</v>
      </c>
      <c r="AY461" s="310"/>
      <c r="BA461" s="31">
        <f t="shared" si="299"/>
        <v>0</v>
      </c>
      <c r="BB461" s="31">
        <f t="shared" si="300"/>
        <v>0</v>
      </c>
    </row>
    <row r="462" spans="14:54" x14ac:dyDescent="0.45">
      <c r="N462" s="10">
        <v>44</v>
      </c>
      <c r="O462" s="50">
        <f t="shared" si="301"/>
        <v>275422.87033381703</v>
      </c>
      <c r="P462" s="48" t="str">
        <f t="shared" si="267"/>
        <v>17.4002386318441</v>
      </c>
      <c r="Q462" s="17" t="str">
        <f t="shared" si="268"/>
        <v>1+148.206850611715i</v>
      </c>
      <c r="R462" s="17">
        <f t="shared" si="276"/>
        <v>148.21022423653238</v>
      </c>
      <c r="S462" s="17">
        <f t="shared" si="277"/>
        <v>1.5640491027575742</v>
      </c>
      <c r="T462" s="17" t="str">
        <f t="shared" si="269"/>
        <v>1+0.519159879642802i</v>
      </c>
      <c r="U462" s="17">
        <f t="shared" si="278"/>
        <v>1.1267328790049258</v>
      </c>
      <c r="V462" s="17">
        <f t="shared" si="279"/>
        <v>0.47885776079543368</v>
      </c>
      <c r="W462" s="31" t="str">
        <f t="shared" si="270"/>
        <v>1-1.28082981644301i</v>
      </c>
      <c r="X462" s="17">
        <f t="shared" si="280"/>
        <v>1.6249692362286232</v>
      </c>
      <c r="Y462" s="17">
        <f t="shared" si="281"/>
        <v>-0.90790772253757868</v>
      </c>
      <c r="Z462" s="31" t="str">
        <f t="shared" si="271"/>
        <v>0.93119477777513+1.7913171678913i</v>
      </c>
      <c r="AA462" s="17">
        <f t="shared" si="282"/>
        <v>2.0188959631783363</v>
      </c>
      <c r="AB462" s="17">
        <f t="shared" si="283"/>
        <v>1.0914045428769172</v>
      </c>
      <c r="AC462" s="66" t="str">
        <f t="shared" si="284"/>
        <v>-0.106297024825639-0.00607499699112882i</v>
      </c>
      <c r="AD462" s="64">
        <f t="shared" si="285"/>
        <v>-19.455415773911763</v>
      </c>
      <c r="AE462" s="61">
        <f t="shared" si="286"/>
        <v>-176.72903859555876</v>
      </c>
      <c r="AF462" s="31" t="str">
        <f t="shared" si="272"/>
        <v>-9090.90909090909</v>
      </c>
      <c r="AG462" s="31" t="str">
        <f t="shared" si="273"/>
        <v>2.27623467397318E-08i</v>
      </c>
      <c r="AH462" s="31">
        <f t="shared" si="287"/>
        <v>2.27623467397318E-8</v>
      </c>
      <c r="AI462" s="31">
        <f t="shared" si="288"/>
        <v>1.5707963267948966</v>
      </c>
      <c r="AJ462" s="31" t="str">
        <f t="shared" si="274"/>
        <v>1+4997972349.63096i</v>
      </c>
      <c r="AK462" s="31">
        <f t="shared" si="289"/>
        <v>4997972349.6309605</v>
      </c>
      <c r="AL462" s="31">
        <f t="shared" si="290"/>
        <v>1.5707963265948155</v>
      </c>
      <c r="AM462" s="31" t="str">
        <f t="shared" si="275"/>
        <v>1+2280.49629797761i</v>
      </c>
      <c r="AN462" s="31">
        <f t="shared" si="291"/>
        <v>2280.49651722812</v>
      </c>
      <c r="AO462" s="31">
        <f t="shared" si="292"/>
        <v>1.5703578257822914</v>
      </c>
      <c r="AS462" s="58" t="str">
        <f t="shared" si="293"/>
        <v>79.9090988100614+182232.48716091i</v>
      </c>
      <c r="AT462" s="49">
        <f t="shared" si="294"/>
        <v>105.2125168868275</v>
      </c>
      <c r="AU462" s="61">
        <f t="shared" si="295"/>
        <v>89.974875754129314</v>
      </c>
      <c r="AV462" s="58" t="str">
        <f t="shared" si="296"/>
        <v>1098.56771172844-19371.256659316i</v>
      </c>
      <c r="AW462" s="64">
        <f t="shared" si="297"/>
        <v>85.757101112915706</v>
      </c>
      <c r="AX462" s="61">
        <f t="shared" si="298"/>
        <v>-86.754162841429448</v>
      </c>
      <c r="AY462" s="310"/>
      <c r="BA462" s="31">
        <f t="shared" si="299"/>
        <v>0</v>
      </c>
      <c r="BB462" s="31">
        <f t="shared" si="300"/>
        <v>0</v>
      </c>
    </row>
    <row r="463" spans="14:54" x14ac:dyDescent="0.45">
      <c r="N463" s="10">
        <v>45</v>
      </c>
      <c r="O463" s="50">
        <f t="shared" si="301"/>
        <v>281838.29312644573</v>
      </c>
      <c r="P463" s="48" t="str">
        <f t="shared" si="267"/>
        <v>17.4002386318441</v>
      </c>
      <c r="Q463" s="17" t="str">
        <f t="shared" si="268"/>
        <v>1+151.659031638968i</v>
      </c>
      <c r="R463" s="17">
        <f t="shared" si="276"/>
        <v>151.66232847239786</v>
      </c>
      <c r="S463" s="17">
        <f t="shared" si="277"/>
        <v>1.5642026838241569</v>
      </c>
      <c r="T463" s="17" t="str">
        <f t="shared" si="269"/>
        <v>1+0.531252666711798i</v>
      </c>
      <c r="U463" s="17">
        <f t="shared" si="278"/>
        <v>1.132355684353815</v>
      </c>
      <c r="V463" s="17">
        <f t="shared" si="279"/>
        <v>0.48833603080496923</v>
      </c>
      <c r="W463" s="31" t="str">
        <f t="shared" si="270"/>
        <v>1-1.31066417547038i</v>
      </c>
      <c r="X463" s="17">
        <f t="shared" si="280"/>
        <v>1.6485874501710398</v>
      </c>
      <c r="Y463" s="17">
        <f t="shared" si="281"/>
        <v>-0.9190447311816673</v>
      </c>
      <c r="Z463" s="31" t="str">
        <f t="shared" si="271"/>
        <v>0.927952087553353+1.83304230485538i</v>
      </c>
      <c r="AA463" s="17">
        <f t="shared" si="282"/>
        <v>2.0545411089058669</v>
      </c>
      <c r="AB463" s="17">
        <f t="shared" si="283"/>
        <v>1.1021723357933477</v>
      </c>
      <c r="AC463" s="66" t="str">
        <f t="shared" si="284"/>
        <v>-0.104142304329127-0.00463832622372469i</v>
      </c>
      <c r="AD463" s="64">
        <f t="shared" si="285"/>
        <v>-19.638849928670719</v>
      </c>
      <c r="AE463" s="61">
        <f t="shared" si="286"/>
        <v>-177.44982595434467</v>
      </c>
      <c r="AF463" s="31" t="str">
        <f t="shared" si="272"/>
        <v>-9090.90909090909</v>
      </c>
      <c r="AG463" s="31" t="str">
        <f t="shared" si="273"/>
        <v>2.27623467397318E-08i</v>
      </c>
      <c r="AH463" s="31">
        <f t="shared" si="287"/>
        <v>2.27623467397318E-8</v>
      </c>
      <c r="AI463" s="31">
        <f t="shared" si="288"/>
        <v>1.5707963267948966</v>
      </c>
      <c r="AJ463" s="31" t="str">
        <f t="shared" si="274"/>
        <v>1+5114390080.99033i</v>
      </c>
      <c r="AK463" s="31">
        <f t="shared" si="289"/>
        <v>5114390080.9903297</v>
      </c>
      <c r="AL463" s="31">
        <f t="shared" si="290"/>
        <v>1.5707963265993699</v>
      </c>
      <c r="AM463" s="31" t="str">
        <f t="shared" si="275"/>
        <v>1+2333.61588064269i</v>
      </c>
      <c r="AN463" s="31">
        <f t="shared" si="291"/>
        <v>2333.6160949024497</v>
      </c>
      <c r="AO463" s="31">
        <f t="shared" si="292"/>
        <v>1.5703678072827159</v>
      </c>
      <c r="AS463" s="58" t="str">
        <f t="shared" si="293"/>
        <v>78.0901456502276+182232.487160909i</v>
      </c>
      <c r="AT463" s="49">
        <f t="shared" si="294"/>
        <v>105.21251684924292</v>
      </c>
      <c r="AU463" s="61">
        <f t="shared" si="295"/>
        <v>89.975447651715896</v>
      </c>
      <c r="AV463" s="58" t="str">
        <f t="shared" si="296"/>
        <v>837.121236299605-18978.4733441355i</v>
      </c>
      <c r="AW463" s="64">
        <f t="shared" si="297"/>
        <v>85.57366692057218</v>
      </c>
      <c r="AX463" s="61">
        <f t="shared" si="298"/>
        <v>-87.474378302628779</v>
      </c>
      <c r="AY463" s="310"/>
      <c r="BA463" s="31">
        <f t="shared" si="299"/>
        <v>0</v>
      </c>
      <c r="BB463" s="31">
        <f t="shared" si="300"/>
        <v>0</v>
      </c>
    </row>
    <row r="464" spans="14:54" x14ac:dyDescent="0.45">
      <c r="N464" s="10">
        <v>46</v>
      </c>
      <c r="O464" s="50">
        <f t="shared" si="301"/>
        <v>288403.1503126609</v>
      </c>
      <c r="P464" s="48" t="str">
        <f t="shared" si="267"/>
        <v>17.4002386318441</v>
      </c>
      <c r="Q464" s="17" t="str">
        <f t="shared" si="268"/>
        <v>1+155.191624292241i</v>
      </c>
      <c r="R464" s="17">
        <f t="shared" si="276"/>
        <v>155.19484608215598</v>
      </c>
      <c r="S464" s="17">
        <f t="shared" si="277"/>
        <v>1.5643527692594243</v>
      </c>
      <c r="T464" s="17" t="str">
        <f t="shared" si="269"/>
        <v>1+0.543627130976646i</v>
      </c>
      <c r="U464" s="17">
        <f t="shared" si="278"/>
        <v>1.1382137134712</v>
      </c>
      <c r="V464" s="17">
        <f t="shared" si="279"/>
        <v>0.49793725033725322</v>
      </c>
      <c r="W464" s="31" t="str">
        <f t="shared" si="270"/>
        <v>1-1.34119346599227i</v>
      </c>
      <c r="X464" s="17">
        <f t="shared" si="280"/>
        <v>1.6729614201231175</v>
      </c>
      <c r="Y464" s="17">
        <f t="shared" si="281"/>
        <v>-0.93011422254345066</v>
      </c>
      <c r="Z464" s="31" t="str">
        <f t="shared" si="271"/>
        <v>0.924556574049644+1.87573934511267i</v>
      </c>
      <c r="AA464" s="17">
        <f t="shared" si="282"/>
        <v>2.0912204449608183</v>
      </c>
      <c r="AB464" s="17">
        <f t="shared" si="283"/>
        <v>1.1128428385055029</v>
      </c>
      <c r="AC464" s="66" t="str">
        <f t="shared" si="284"/>
        <v>-0.102038100785288-0.00328881327333841i</v>
      </c>
      <c r="AD464" s="64">
        <f t="shared" si="285"/>
        <v>-19.820243333207543</v>
      </c>
      <c r="AE464" s="61">
        <f t="shared" si="286"/>
        <v>-178.15392576604944</v>
      </c>
      <c r="AF464" s="31" t="str">
        <f t="shared" si="272"/>
        <v>-9090.90909090909</v>
      </c>
      <c r="AG464" s="31" t="str">
        <f t="shared" si="273"/>
        <v>2.27623467397318E-08i</v>
      </c>
      <c r="AH464" s="31">
        <f t="shared" si="287"/>
        <v>2.27623467397318E-8</v>
      </c>
      <c r="AI464" s="31">
        <f t="shared" si="288"/>
        <v>1.5707963267948966</v>
      </c>
      <c r="AJ464" s="31" t="str">
        <f t="shared" si="274"/>
        <v>1+5233519529.66761i</v>
      </c>
      <c r="AK464" s="31">
        <f t="shared" si="289"/>
        <v>5233519529.6676102</v>
      </c>
      <c r="AL464" s="31">
        <f t="shared" si="290"/>
        <v>1.5707963266038205</v>
      </c>
      <c r="AM464" s="31" t="str">
        <f t="shared" si="275"/>
        <v>1+2387.97277733675i</v>
      </c>
      <c r="AN464" s="31">
        <f t="shared" si="291"/>
        <v>2387.9729867193619</v>
      </c>
      <c r="AO464" s="31">
        <f t="shared" si="292"/>
        <v>1.5703775615765341</v>
      </c>
      <c r="AS464" s="58" t="str">
        <f t="shared" si="293"/>
        <v>76.3125969192631+182232.487160909i</v>
      </c>
      <c r="AT464" s="49">
        <f t="shared" si="294"/>
        <v>105.21251681334995</v>
      </c>
      <c r="AU464" s="61">
        <f t="shared" si="295"/>
        <v>89.976006531328807</v>
      </c>
      <c r="AV464" s="58" t="str">
        <f t="shared" si="296"/>
        <v>591.541830152634-18594.9078691602i</v>
      </c>
      <c r="AW464" s="64">
        <f t="shared" si="297"/>
        <v>85.392273480142421</v>
      </c>
      <c r="AX464" s="61">
        <f t="shared" si="298"/>
        <v>-88.177919234720619</v>
      </c>
      <c r="AY464" s="310"/>
      <c r="BA464" s="31">
        <f t="shared" si="299"/>
        <v>0</v>
      </c>
      <c r="BB464" s="31">
        <f t="shared" si="300"/>
        <v>0</v>
      </c>
    </row>
    <row r="465" spans="14:54" x14ac:dyDescent="0.45">
      <c r="N465" s="10">
        <v>47</v>
      </c>
      <c r="O465" s="50">
        <f t="shared" si="301"/>
        <v>295120.92266663886</v>
      </c>
      <c r="P465" s="48" t="str">
        <f t="shared" si="267"/>
        <v>17.4002386318441</v>
      </c>
      <c r="Q465" s="17" t="str">
        <f t="shared" si="268"/>
        <v>1+158.806501598918i</v>
      </c>
      <c r="R465" s="17">
        <f t="shared" si="276"/>
        <v>158.8096500534119</v>
      </c>
      <c r="S465" s="17">
        <f t="shared" si="277"/>
        <v>1.5644994386135989</v>
      </c>
      <c r="T465" s="17" t="str">
        <f t="shared" si="269"/>
        <v>1+0.556289833542093i</v>
      </c>
      <c r="U465" s="17">
        <f t="shared" si="278"/>
        <v>1.1443156814892863</v>
      </c>
      <c r="V465" s="17">
        <f t="shared" si="279"/>
        <v>0.50765942869729075</v>
      </c>
      <c r="W465" s="31" t="str">
        <f t="shared" si="270"/>
        <v>1-1.37243387504262i</v>
      </c>
      <c r="X465" s="17">
        <f t="shared" si="280"/>
        <v>1.6981091665038799</v>
      </c>
      <c r="Y465" s="17">
        <f t="shared" si="281"/>
        <v>-0.94111121514894802</v>
      </c>
      <c r="Z465" s="31" t="str">
        <f t="shared" si="271"/>
        <v>0.921001034924618+1.91943092719909i</v>
      </c>
      <c r="AA465" s="17">
        <f t="shared" si="282"/>
        <v>2.1289570194394662</v>
      </c>
      <c r="AB465" s="17">
        <f t="shared" si="283"/>
        <v>1.1234143184184806</v>
      </c>
      <c r="AC465" s="66" t="str">
        <f t="shared" si="284"/>
        <v>-0.0999848107360268-0.00202267963355564i</v>
      </c>
      <c r="AD465" s="64">
        <f t="shared" si="285"/>
        <v>-19.999542446738921</v>
      </c>
      <c r="AE465" s="61">
        <f t="shared" si="286"/>
        <v>-178.84107195917639</v>
      </c>
      <c r="AF465" s="31" t="str">
        <f t="shared" si="272"/>
        <v>-9090.90909090909</v>
      </c>
      <c r="AG465" s="31" t="str">
        <f t="shared" si="273"/>
        <v>2.27623467397318E-08i</v>
      </c>
      <c r="AH465" s="31">
        <f t="shared" si="287"/>
        <v>2.27623467397318E-8</v>
      </c>
      <c r="AI465" s="31">
        <f t="shared" si="288"/>
        <v>1.5707963267948966</v>
      </c>
      <c r="AJ465" s="31" t="str">
        <f t="shared" si="274"/>
        <v>1+5355423859.67333i</v>
      </c>
      <c r="AK465" s="31">
        <f t="shared" si="289"/>
        <v>5355423859.6733303</v>
      </c>
      <c r="AL465" s="31">
        <f t="shared" si="290"/>
        <v>1.5707963266081701</v>
      </c>
      <c r="AM465" s="31" t="str">
        <f t="shared" si="275"/>
        <v>1+2443.5958088059i</v>
      </c>
      <c r="AN465" s="31">
        <f t="shared" si="291"/>
        <v>2443.5960134223828</v>
      </c>
      <c r="AO465" s="31">
        <f t="shared" si="292"/>
        <v>1.5703870938355944</v>
      </c>
      <c r="AS465" s="58" t="str">
        <f t="shared" si="293"/>
        <v>74.5755101373016+182232.487160908i</v>
      </c>
      <c r="AT465" s="49">
        <f t="shared" si="294"/>
        <v>105.21251677907242</v>
      </c>
      <c r="AU465" s="61">
        <f t="shared" si="295"/>
        <v>89.976552689292987</v>
      </c>
      <c r="AV465" s="58" t="str">
        <f t="shared" si="296"/>
        <v>361.141522085938-18220.6315811043i</v>
      </c>
      <c r="AW465" s="64">
        <f t="shared" si="297"/>
        <v>85.212974332333459</v>
      </c>
      <c r="AX465" s="61">
        <f t="shared" si="298"/>
        <v>-88.864519269883417</v>
      </c>
      <c r="AY465" s="310"/>
      <c r="BA465" s="31">
        <f t="shared" si="299"/>
        <v>0</v>
      </c>
      <c r="BB465" s="31">
        <f t="shared" si="300"/>
        <v>0</v>
      </c>
    </row>
    <row r="466" spans="14:54" x14ac:dyDescent="0.45">
      <c r="N466" s="10">
        <v>48</v>
      </c>
      <c r="O466" s="50">
        <f t="shared" si="301"/>
        <v>301995.17204020242</v>
      </c>
      <c r="P466" s="48" t="str">
        <f t="shared" si="267"/>
        <v>17.4002386318441</v>
      </c>
      <c r="Q466" s="17" t="str">
        <f t="shared" si="268"/>
        <v>1+162.505580214795i</v>
      </c>
      <c r="R466" s="17">
        <f t="shared" si="276"/>
        <v>162.50865700308762</v>
      </c>
      <c r="S466" s="17">
        <f t="shared" si="277"/>
        <v>1.5646427696274579</v>
      </c>
      <c r="T466" s="17" t="str">
        <f t="shared" si="269"/>
        <v>1+0.569247488340652i</v>
      </c>
      <c r="U466" s="17">
        <f t="shared" si="278"/>
        <v>1.1506705449354915</v>
      </c>
      <c r="V466" s="17">
        <f t="shared" si="279"/>
        <v>0.51750036838410318</v>
      </c>
      <c r="W466" s="31" t="str">
        <f t="shared" si="270"/>
        <v>1-1.40440196669984i</v>
      </c>
      <c r="X466" s="17">
        <f t="shared" si="280"/>
        <v>1.7240489796030676</v>
      </c>
      <c r="Y466" s="17">
        <f t="shared" si="281"/>
        <v>-0.95203090080276287</v>
      </c>
      <c r="Z466" s="31" t="str">
        <f t="shared" si="271"/>
        <v>0.917277928403092+1.96414021696977i</v>
      </c>
      <c r="AA466" s="17">
        <f t="shared" si="282"/>
        <v>2.1677743401594003</v>
      </c>
      <c r="AB466" s="17">
        <f t="shared" si="283"/>
        <v>1.1338852611445269</v>
      </c>
      <c r="AC466" s="66" t="str">
        <f t="shared" si="284"/>
        <v>-0.0979827022402787-0.000836213539241858i</v>
      </c>
      <c r="AD466" s="64">
        <f t="shared" si="285"/>
        <v>-20.176695444780698</v>
      </c>
      <c r="AE466" s="61">
        <f t="shared" si="286"/>
        <v>-179.51103263814585</v>
      </c>
      <c r="AF466" s="31" t="str">
        <f t="shared" si="272"/>
        <v>-9090.90909090909</v>
      </c>
      <c r="AG466" s="31" t="str">
        <f t="shared" si="273"/>
        <v>2.27623467397318E-08i</v>
      </c>
      <c r="AH466" s="31">
        <f t="shared" si="287"/>
        <v>2.27623467397318E-8</v>
      </c>
      <c r="AI466" s="31">
        <f t="shared" si="288"/>
        <v>1.5707963267948966</v>
      </c>
      <c r="AJ466" s="31" t="str">
        <f t="shared" si="274"/>
        <v>1+5480167706.29686i</v>
      </c>
      <c r="AK466" s="31">
        <f t="shared" si="289"/>
        <v>5480167706.2968597</v>
      </c>
      <c r="AL466" s="31">
        <f t="shared" si="290"/>
        <v>1.5707963266124205</v>
      </c>
      <c r="AM466" s="31" t="str">
        <f t="shared" si="275"/>
        <v>1+2500.5144671177i</v>
      </c>
      <c r="AN466" s="31">
        <f t="shared" si="291"/>
        <v>2500.5146670765434</v>
      </c>
      <c r="AO466" s="31">
        <f t="shared" si="292"/>
        <v>1.5703964091140199</v>
      </c>
      <c r="AS466" s="58" t="str">
        <f t="shared" si="293"/>
        <v>72.8779642779384+182232.487160907i</v>
      </c>
      <c r="AT466" s="49">
        <f t="shared" si="294"/>
        <v>105.2125167463376</v>
      </c>
      <c r="AU466" s="61">
        <f t="shared" si="295"/>
        <v>89.977086415188211</v>
      </c>
      <c r="AV466" s="58" t="str">
        <f t="shared" si="296"/>
        <v>145.244493179946-17855.692469533i</v>
      </c>
      <c r="AW466" s="64">
        <f t="shared" si="297"/>
        <v>85.035821301556908</v>
      </c>
      <c r="AX466" s="61">
        <f t="shared" si="298"/>
        <v>-89.533946222957624</v>
      </c>
      <c r="AY466" s="310"/>
      <c r="BA466" s="31">
        <f t="shared" si="299"/>
        <v>0</v>
      </c>
      <c r="BB466" s="31">
        <f t="shared" si="300"/>
        <v>0</v>
      </c>
    </row>
    <row r="467" spans="14:54" x14ac:dyDescent="0.45">
      <c r="N467" s="10">
        <v>49</v>
      </c>
      <c r="O467" s="50">
        <f t="shared" si="301"/>
        <v>309029.54325135931</v>
      </c>
      <c r="P467" s="48" t="str">
        <f t="shared" ref="P467:P530" si="302">COMPLEX(Adc,0)</f>
        <v>17.4002386318441</v>
      </c>
      <c r="Q467" s="17" t="str">
        <f t="shared" ref="Q467:Q530" si="303">IMSUM(COMPLEX(1,0),IMDIV(COMPLEX(0,2*PI()*O467),COMPLEX(wp_lf,0)))</f>
        <v>1+166.290821440318i</v>
      </c>
      <c r="R467" s="17">
        <f t="shared" si="276"/>
        <v>166.2938281936396</v>
      </c>
      <c r="S467" s="17">
        <f t="shared" si="277"/>
        <v>1.5647828382734323</v>
      </c>
      <c r="T467" s="17" t="str">
        <f t="shared" ref="T467:T530" si="304">IMSUM(COMPLEX(1,0),IMDIV(COMPLEX(0,2*PI()*O467),COMPLEX(wz_esr,0)))</f>
        <v>1+0.582506965692409i</v>
      </c>
      <c r="U467" s="17">
        <f t="shared" si="278"/>
        <v>1.157287503207469</v>
      </c>
      <c r="V467" s="17">
        <f t="shared" si="279"/>
        <v>0.52745766221213441</v>
      </c>
      <c r="W467" s="31" t="str">
        <f t="shared" ref="W467:W530" si="305">IMSUB(COMPLEX(1,0),IMDIV(COMPLEX(0,2*PI()*O467),COMPLEX(wz_rhp,0)))</f>
        <v>1-1.43711469086925i</v>
      </c>
      <c r="X467" s="17">
        <f t="shared" si="280"/>
        <v>1.7507994273223362</v>
      </c>
      <c r="Y467" s="17">
        <f t="shared" si="281"/>
        <v>-0.96286865302837621</v>
      </c>
      <c r="Z467" s="31" t="str">
        <f t="shared" ref="Z467:Z530" si="306">IMSUM(COMPLEX(1,0),IMDIV(COMPLEX(0,2*PI()*O467),COMPLEX(Q*(wsl/2),0)),IMDIV(IMPOWER(COMPLEX(0,2*PI()*O467),2),IMPOWER(COMPLEX(wsl/2,0),2)))</f>
        <v>0.913379357276967+2.00989091988197i</v>
      </c>
      <c r="AA467" s="17">
        <f t="shared" si="282"/>
        <v>2.2076963921979122</v>
      </c>
      <c r="AB467" s="17">
        <f t="shared" si="283"/>
        <v>1.1442543673043402</v>
      </c>
      <c r="AC467" s="66" t="str">
        <f t="shared" si="284"/>
        <v>-0.0960319204497759+0.000274224004768464i</v>
      </c>
      <c r="AD467" s="64">
        <f t="shared" si="285"/>
        <v>-20.351652307294184</v>
      </c>
      <c r="AE467" s="61">
        <f t="shared" si="286"/>
        <v>179.83638944909922</v>
      </c>
      <c r="AF467" s="31" t="str">
        <f t="shared" ref="AF467:AF530" si="307">COMPLEX(Adc_ea,0)</f>
        <v>-9090.90909090909</v>
      </c>
      <c r="AG467" s="31" t="str">
        <f t="shared" ref="AG467:AG530" si="308">COMPLEX(0,2*PI()*wp0_ea)</f>
        <v>2.27623467397318E-08i</v>
      </c>
      <c r="AH467" s="31">
        <f t="shared" si="287"/>
        <v>2.27623467397318E-8</v>
      </c>
      <c r="AI467" s="31">
        <f t="shared" si="288"/>
        <v>1.5707963267948966</v>
      </c>
      <c r="AJ467" s="31" t="str">
        <f t="shared" ref="AJ467:AJ530" si="309">IMSUM(COMPLEX(1,0),IMDIV(COMPLEX(0,2*PI()*O467),COMPLEX(wp1_ea,0)))</f>
        <v>1+5607817210.37687i</v>
      </c>
      <c r="AK467" s="31">
        <f t="shared" si="289"/>
        <v>5607817210.3768702</v>
      </c>
      <c r="AL467" s="31">
        <f t="shared" si="290"/>
        <v>1.5707963266165741</v>
      </c>
      <c r="AM467" s="31" t="str">
        <f t="shared" ref="AM467:AM530" si="310">IMSUM(COMPLEX(1,0),IMDIV(COMPLEX(0,2*PI()*O467),COMPLEX(wz_ea,0)))</f>
        <v>1+2558.75893129818i</v>
      </c>
      <c r="AN467" s="31">
        <f t="shared" si="291"/>
        <v>2558.7591267054045</v>
      </c>
      <c r="AO467" s="31">
        <f t="shared" si="292"/>
        <v>1.5704055123508878</v>
      </c>
      <c r="AS467" s="58" t="str">
        <f t="shared" si="293"/>
        <v>71.2190592798894+182232.487160906i</v>
      </c>
      <c r="AT467" s="49">
        <f t="shared" si="294"/>
        <v>105.21251671507611</v>
      </c>
      <c r="AU467" s="61">
        <f t="shared" si="295"/>
        <v>89.977607992002675</v>
      </c>
      <c r="AV467" s="58" t="str">
        <f t="shared" si="296"/>
        <v>-56.8118254634555-17500.1161804253i</v>
      </c>
      <c r="AW467" s="64">
        <f t="shared" si="297"/>
        <v>84.860864407781932</v>
      </c>
      <c r="AX467" s="61">
        <f t="shared" si="298"/>
        <v>-90.18600255889811</v>
      </c>
      <c r="AY467" s="310"/>
      <c r="BA467" s="31">
        <f t="shared" si="299"/>
        <v>0</v>
      </c>
      <c r="BB467" s="31">
        <f t="shared" si="300"/>
        <v>0</v>
      </c>
    </row>
    <row r="468" spans="14:54" x14ac:dyDescent="0.45">
      <c r="N468" s="10">
        <v>50</v>
      </c>
      <c r="O468" s="50">
        <f t="shared" si="301"/>
        <v>316227.7660168382</v>
      </c>
      <c r="P468" s="48" t="str">
        <f t="shared" si="302"/>
        <v>17.4002386318441</v>
      </c>
      <c r="Q468" s="17" t="str">
        <f t="shared" si="303"/>
        <v>1+170.164232260487i</v>
      </c>
      <c r="R468" s="17">
        <f t="shared" ref="R468:R531" si="311">IMABS(Q468)</f>
        <v>170.16717057294269</v>
      </c>
      <c r="S468" s="17">
        <f t="shared" ref="S468:S531" si="312">IMARGUMENT(Q468)</f>
        <v>1.5649197187957753</v>
      </c>
      <c r="T468" s="17" t="str">
        <f t="shared" si="304"/>
        <v>1+0.596075295947767i</v>
      </c>
      <c r="U468" s="17">
        <f t="shared" ref="U468:U531" si="313">IMABS(T468)</f>
        <v>1.1641759997694585</v>
      </c>
      <c r="V468" s="17">
        <f t="shared" ref="V468:V531" si="314">IMARGUMENT(T468)</f>
        <v>0.53752869110744983</v>
      </c>
      <c r="W468" s="31" t="str">
        <f t="shared" si="305"/>
        <v>1-1.47058939227023i</v>
      </c>
      <c r="X468" s="17">
        <f t="shared" ref="X468:X531" si="315">IMABS(W468)</f>
        <v>1.7783793635379728</v>
      </c>
      <c r="Y468" s="17">
        <f t="shared" ref="Y468:Y531" si="316">IMARGUMENT(W468)</f>
        <v>-0.97362003452926127</v>
      </c>
      <c r="Z468" s="31" t="str">
        <f t="shared" si="306"/>
        <v>0.909297052154195+2.05670729356393i</v>
      </c>
      <c r="AA468" s="17">
        <f t="shared" ref="AA468:AA531" si="317">IMABS(Z468)</f>
        <v>2.2487476560199844</v>
      </c>
      <c r="AB468" s="17">
        <f t="shared" ref="AB468:AB531" si="318">IMARGUMENT(Z468)</f>
        <v>1.1545205487595653</v>
      </c>
      <c r="AC468" s="66" t="str">
        <f t="shared" ref="AC468:AC531" si="319">(IMDIV(IMPRODUCT(P468,T468,W468),IMPRODUCT(Q468,Z468)))</f>
        <v>-0.0941324934967579+0.00131219380074528i</v>
      </c>
      <c r="AD468" s="64">
        <f t="shared" ref="AD468:AD531" si="320">20*LOG(IMABS(AC468))</f>
        <v>-20.524364902949284</v>
      </c>
      <c r="AE468" s="61">
        <f t="shared" ref="AE468:AE531" si="321">(180/PI())*IMARGUMENT(AC468)</f>
        <v>179.20135657089159</v>
      </c>
      <c r="AF468" s="31" t="str">
        <f t="shared" si="307"/>
        <v>-9090.90909090909</v>
      </c>
      <c r="AG468" s="31" t="str">
        <f t="shared" si="308"/>
        <v>2.27623467397318E-08i</v>
      </c>
      <c r="AH468" s="31">
        <f t="shared" ref="AH468:AH531" si="322">IMABS(AG468)</f>
        <v>2.27623467397318E-8</v>
      </c>
      <c r="AI468" s="31">
        <f t="shared" ref="AI468:AI531" si="323">IMARGUMENT(AG468)</f>
        <v>1.5707963267948966</v>
      </c>
      <c r="AJ468" s="31" t="str">
        <f t="shared" si="309"/>
        <v>1+5738440053.37005i</v>
      </c>
      <c r="AK468" s="31">
        <f t="shared" ref="AK468:AK531" si="324">IMABS(AJ468)</f>
        <v>5738440053.3700504</v>
      </c>
      <c r="AL468" s="31">
        <f t="shared" ref="AL468:AL531" si="325">IMARGUMENT(AJ468)</f>
        <v>1.5707963266206333</v>
      </c>
      <c r="AM468" s="31" t="str">
        <f t="shared" si="310"/>
        <v>1+2618.36008333322i</v>
      </c>
      <c r="AN468" s="31">
        <f t="shared" ref="AN468:AN531" si="326">IMABS(AM468)</f>
        <v>2618.3602742924336</v>
      </c>
      <c r="AO468" s="31">
        <f t="shared" ref="AO468:AO531" si="327">IMARGUMENT(AM468)</f>
        <v>1.5704144083728488</v>
      </c>
      <c r="AS468" s="58" t="str">
        <f t="shared" ref="AS468:AS531" si="328">IMPRODUCT(AF468,IMDIV(AM468,IMPRODUCT(AG468,AJ468)))</f>
        <v>69.5979155697665+182232.487160906i</v>
      </c>
      <c r="AT468" s="49">
        <f t="shared" ref="AT468:AT531" si="329">20*LOG(IMABS(AS468))</f>
        <v>105.21251668522166</v>
      </c>
      <c r="AU468" s="61">
        <f t="shared" ref="AU468:AU531" si="330">(180/PI())*IMARGUMENT(AS468)</f>
        <v>89.978117696282936</v>
      </c>
      <c r="AV468" s="58" t="str">
        <f t="shared" ref="AV468:AV531" si="331">IMPRODUCT(AC468,AS468)</f>
        <v>-245.675765281694-17153.9070866186i</v>
      </c>
      <c r="AW468" s="64">
        <f t="shared" ref="AW468:AW531" si="332">20*LOG(IMABS(AV468))</f>
        <v>84.688151782272328</v>
      </c>
      <c r="AX468" s="61">
        <f t="shared" ref="AX468:AX531" si="333">(180/PI())*IMARGUMENT(AV468)</f>
        <v>-90.820525732825473</v>
      </c>
      <c r="AY468" s="310"/>
      <c r="BA468" s="31">
        <f t="shared" ref="BA468:BA531" si="334">SUM((AW469&lt;0)*(AW468&gt;0))*O468</f>
        <v>0</v>
      </c>
      <c r="BB468" s="31">
        <f t="shared" ref="BB468:BB531" si="335">IF(BA468&gt;0,AX468,0)</f>
        <v>0</v>
      </c>
    </row>
    <row r="469" spans="14:54" x14ac:dyDescent="0.45">
      <c r="N469" s="10">
        <v>51</v>
      </c>
      <c r="O469" s="50">
        <f t="shared" si="301"/>
        <v>323593.65692962846</v>
      </c>
      <c r="P469" s="48" t="str">
        <f t="shared" si="302"/>
        <v>17.4002386318441</v>
      </c>
      <c r="Q469" s="17" t="str">
        <f t="shared" si="303"/>
        <v>1+174.127866408991i</v>
      </c>
      <c r="R469" s="17">
        <f t="shared" si="311"/>
        <v>174.13073783840522</v>
      </c>
      <c r="S469" s="17">
        <f t="shared" si="312"/>
        <v>1.5650534837498229</v>
      </c>
      <c r="T469" s="17" t="str">
        <f t="shared" si="304"/>
        <v>1+0.609959673215026i</v>
      </c>
      <c r="U469" s="17">
        <f t="shared" si="313"/>
        <v>1.1713457230675242</v>
      </c>
      <c r="V469" s="17">
        <f t="shared" si="314"/>
        <v>0.547710622630731</v>
      </c>
      <c r="W469" s="31" t="str">
        <f t="shared" si="305"/>
        <v>1-1.50484381963253i</v>
      </c>
      <c r="X469" s="17">
        <f t="shared" si="315"/>
        <v>1.8068079370774919</v>
      </c>
      <c r="Y469" s="17">
        <f t="shared" si="316"/>
        <v>-0.98428080365903226</v>
      </c>
      <c r="Z469" s="31" t="str">
        <f t="shared" si="306"/>
        <v>0.905022353918286+2.10461416067669i</v>
      </c>
      <c r="AA469" s="17">
        <f t="shared" si="317"/>
        <v>2.2909531261928175</v>
      </c>
      <c r="AB469" s="17">
        <f t="shared" si="318"/>
        <v>1.1646829243319046</v>
      </c>
      <c r="AC469" s="66" t="str">
        <f t="shared" si="319"/>
        <v>-0.0922843386287935+0.00228117364399984i</v>
      </c>
      <c r="AD469" s="64">
        <f t="shared" si="320"/>
        <v>-20.694787069692879</v>
      </c>
      <c r="AE469" s="61">
        <f t="shared" si="321"/>
        <v>178.58399579953212</v>
      </c>
      <c r="AF469" s="31" t="str">
        <f t="shared" si="307"/>
        <v>-9090.90909090909</v>
      </c>
      <c r="AG469" s="31" t="str">
        <f t="shared" si="308"/>
        <v>2.27623467397318E-08i</v>
      </c>
      <c r="AH469" s="31">
        <f t="shared" si="322"/>
        <v>2.27623467397318E-8</v>
      </c>
      <c r="AI469" s="31">
        <f t="shared" si="323"/>
        <v>1.5707963267948966</v>
      </c>
      <c r="AJ469" s="31" t="str">
        <f t="shared" si="309"/>
        <v>1+5872105493.23676i</v>
      </c>
      <c r="AK469" s="31">
        <f t="shared" si="324"/>
        <v>5872105493.2367601</v>
      </c>
      <c r="AL469" s="31">
        <f t="shared" si="325"/>
        <v>1.5707963266245999</v>
      </c>
      <c r="AM469" s="31" t="str">
        <f t="shared" si="310"/>
        <v>1+2679.34952454253i</v>
      </c>
      <c r="AN469" s="31">
        <f t="shared" si="326"/>
        <v>2679.3497111549814</v>
      </c>
      <c r="AO469" s="31">
        <f t="shared" si="327"/>
        <v>1.5704231018966861</v>
      </c>
      <c r="AS469" s="58" t="str">
        <f t="shared" si="328"/>
        <v>68.0136735957158+182232.487160905i</v>
      </c>
      <c r="AT469" s="49">
        <f t="shared" si="329"/>
        <v>105.2125166567108</v>
      </c>
      <c r="AU469" s="61">
        <f t="shared" si="330"/>
        <v>89.978615798280615</v>
      </c>
      <c r="AV469" s="58" t="str">
        <f t="shared" si="331"/>
        <v>-421.980543677491-16817.0494033246i</v>
      </c>
      <c r="AW469" s="64">
        <f t="shared" si="332"/>
        <v>84.517729587017939</v>
      </c>
      <c r="AX469" s="61">
        <f t="shared" si="333"/>
        <v>-91.437388402187267</v>
      </c>
      <c r="AY469" s="310"/>
      <c r="BA469" s="31">
        <f t="shared" si="334"/>
        <v>0</v>
      </c>
      <c r="BB469" s="31">
        <f t="shared" si="335"/>
        <v>0</v>
      </c>
    </row>
    <row r="470" spans="14:54" x14ac:dyDescent="0.45">
      <c r="N470" s="10">
        <v>52</v>
      </c>
      <c r="O470" s="50">
        <f t="shared" si="301"/>
        <v>331131.12148259126</v>
      </c>
      <c r="P470" s="48" t="str">
        <f t="shared" si="302"/>
        <v>17.4002386318441</v>
      </c>
      <c r="Q470" s="17" t="str">
        <f t="shared" si="303"/>
        <v>1+178.183825457121i</v>
      </c>
      <c r="R470" s="17">
        <f t="shared" si="311"/>
        <v>178.18663152586325</v>
      </c>
      <c r="S470" s="17">
        <f t="shared" si="312"/>
        <v>1.5651842040403652</v>
      </c>
      <c r="T470" s="17" t="str">
        <f t="shared" si="304"/>
        <v>1+0.624167459174797i</v>
      </c>
      <c r="U470" s="17">
        <f t="shared" si="313"/>
        <v>1.1788066071636694</v>
      </c>
      <c r="V470" s="17">
        <f t="shared" si="314"/>
        <v>0.55800041027660585</v>
      </c>
      <c r="W470" s="31" t="str">
        <f t="shared" si="305"/>
        <v>1-1.53989613510698i</v>
      </c>
      <c r="X470" s="17">
        <f t="shared" si="315"/>
        <v>1.8361046013006488</v>
      </c>
      <c r="Y470" s="17">
        <f t="shared" si="316"/>
        <v>-0.99484691989790108</v>
      </c>
      <c r="Z470" s="31" t="str">
        <f t="shared" si="306"/>
        <v>0.900546195361162+2.1536369220753i</v>
      </c>
      <c r="AA470" s="17">
        <f t="shared" si="317"/>
        <v>2.3343383306850436</v>
      </c>
      <c r="AB470" s="17">
        <f t="shared" si="318"/>
        <v>1.1747408150640597</v>
      </c>
      <c r="AC470" s="66" t="str">
        <f t="shared" si="319"/>
        <v>-0.0904872685286286+0.00318455411446029i</v>
      </c>
      <c r="AD470" s="64">
        <f t="shared" si="320"/>
        <v>-20.862874691790356</v>
      </c>
      <c r="AE470" s="61">
        <f t="shared" si="321"/>
        <v>177.98439892669376</v>
      </c>
      <c r="AF470" s="31" t="str">
        <f t="shared" si="307"/>
        <v>-9090.90909090909</v>
      </c>
      <c r="AG470" s="31" t="str">
        <f t="shared" si="308"/>
        <v>2.27623467397318E-08i</v>
      </c>
      <c r="AH470" s="31">
        <f t="shared" si="322"/>
        <v>2.27623467397318E-8</v>
      </c>
      <c r="AI470" s="31">
        <f t="shared" si="323"/>
        <v>1.5707963267948966</v>
      </c>
      <c r="AJ470" s="31" t="str">
        <f t="shared" si="309"/>
        <v>1+6008884401.16252i</v>
      </c>
      <c r="AK470" s="31">
        <f t="shared" si="324"/>
        <v>6008884401.1625204</v>
      </c>
      <c r="AL470" s="31">
        <f t="shared" si="325"/>
        <v>1.5707963266284763</v>
      </c>
      <c r="AM470" s="31" t="str">
        <f t="shared" si="310"/>
        <v>1+2741.75959233515i</v>
      </c>
      <c r="AN470" s="31">
        <f t="shared" si="326"/>
        <v>2741.759774699784</v>
      </c>
      <c r="AO470" s="31">
        <f t="shared" si="327"/>
        <v>1.5704315975318157</v>
      </c>
      <c r="AS470" s="58" t="str">
        <f t="shared" si="328"/>
        <v>66.4654933716726+182232.487160905i</v>
      </c>
      <c r="AT470" s="49">
        <f t="shared" si="329"/>
        <v>105.21251662948322</v>
      </c>
      <c r="AU470" s="61">
        <f t="shared" si="330"/>
        <v>89.979102562095733</v>
      </c>
      <c r="AV470" s="58" t="str">
        <f t="shared" si="331"/>
        <v>-586.343497723202-16489.5083374083i</v>
      </c>
      <c r="AW470" s="64">
        <f t="shared" si="332"/>
        <v>84.34964193769288</v>
      </c>
      <c r="AX470" s="61">
        <f t="shared" si="333"/>
        <v>-92.03649851121051</v>
      </c>
      <c r="AY470" s="310"/>
      <c r="BA470" s="31">
        <f t="shared" si="334"/>
        <v>0</v>
      </c>
      <c r="BB470" s="31">
        <f t="shared" si="335"/>
        <v>0</v>
      </c>
    </row>
    <row r="471" spans="14:54" x14ac:dyDescent="0.45">
      <c r="N471" s="10">
        <v>53</v>
      </c>
      <c r="O471" s="50">
        <f t="shared" si="301"/>
        <v>338844.15613920329</v>
      </c>
      <c r="P471" s="48" t="str">
        <f t="shared" si="302"/>
        <v>17.4002386318441</v>
      </c>
      <c r="Q471" s="17" t="str">
        <f t="shared" si="303"/>
        <v>1+182.334259928049i</v>
      </c>
      <c r="R471" s="17">
        <f t="shared" si="311"/>
        <v>182.33700212384028</v>
      </c>
      <c r="S471" s="17">
        <f t="shared" si="312"/>
        <v>1.5653119489591509</v>
      </c>
      <c r="T471" s="17" t="str">
        <f t="shared" si="304"/>
        <v>1+0.638706186983254i</v>
      </c>
      <c r="U471" s="17">
        <f t="shared" si="313"/>
        <v>1.1865688320913741</v>
      </c>
      <c r="V471" s="17">
        <f t="shared" si="314"/>
        <v>0.56839479359558065</v>
      </c>
      <c r="W471" s="31" t="str">
        <f t="shared" si="305"/>
        <v>1-1.57576492389519i</v>
      </c>
      <c r="X471" s="17">
        <f t="shared" si="315"/>
        <v>1.8662891242726605</v>
      </c>
      <c r="Y471" s="17">
        <f t="shared" si="316"/>
        <v>-1.0053145483409052</v>
      </c>
      <c r="Z471" s="31" t="str">
        <f t="shared" si="306"/>
        <v>0.895859081950395+2.20380157027675i</v>
      </c>
      <c r="AA471" s="17">
        <f t="shared" si="317"/>
        <v>2.3789293507515676</v>
      </c>
      <c r="AB471" s="17">
        <f t="shared" si="318"/>
        <v>1.1846937390772871</v>
      </c>
      <c r="AC471" s="66" t="str">
        <f t="shared" si="319"/>
        <v>-0.0887409977601062+0.00402563496487309i</v>
      </c>
      <c r="AD471" s="64">
        <f t="shared" si="320"/>
        <v>-21.028585773491773</v>
      </c>
      <c r="AE471" s="61">
        <f t="shared" si="321"/>
        <v>177.40262250574384</v>
      </c>
      <c r="AF471" s="31" t="str">
        <f t="shared" si="307"/>
        <v>-9090.90909090909</v>
      </c>
      <c r="AG471" s="31" t="str">
        <f t="shared" si="308"/>
        <v>2.27623467397318E-08i</v>
      </c>
      <c r="AH471" s="31">
        <f t="shared" si="322"/>
        <v>2.27623467397318E-8</v>
      </c>
      <c r="AI471" s="31">
        <f t="shared" si="323"/>
        <v>1.5707963267948966</v>
      </c>
      <c r="AJ471" s="31" t="str">
        <f t="shared" si="309"/>
        <v>1+6148849299.13475i</v>
      </c>
      <c r="AK471" s="31">
        <f t="shared" si="324"/>
        <v>6148849299.1347504</v>
      </c>
      <c r="AL471" s="31">
        <f t="shared" si="325"/>
        <v>1.5707963266322647</v>
      </c>
      <c r="AM471" s="31" t="str">
        <f t="shared" si="310"/>
        <v>1+2805.6233773551i</v>
      </c>
      <c r="AN471" s="31">
        <f t="shared" si="326"/>
        <v>2805.6235555686076</v>
      </c>
      <c r="AO471" s="31">
        <f t="shared" si="327"/>
        <v>1.5704398997827309</v>
      </c>
      <c r="AS471" s="58" t="str">
        <f t="shared" si="328"/>
        <v>64.9525540319902+182232.487160905i</v>
      </c>
      <c r="AT471" s="49">
        <f t="shared" si="329"/>
        <v>105.21251660348108</v>
      </c>
      <c r="AU471" s="61">
        <f t="shared" si="330"/>
        <v>89.979578245816569</v>
      </c>
      <c r="AV471" s="58" t="str">
        <f t="shared" si="331"/>
        <v>-739.365426502592-16171.2312596919i</v>
      </c>
      <c r="AW471" s="64">
        <f t="shared" si="332"/>
        <v>84.183930829989308</v>
      </c>
      <c r="AX471" s="61">
        <f t="shared" si="333"/>
        <v>-92.617799248439596</v>
      </c>
      <c r="AY471" s="310"/>
      <c r="BA471" s="31">
        <f t="shared" si="334"/>
        <v>0</v>
      </c>
      <c r="BB471" s="31">
        <f t="shared" si="335"/>
        <v>0</v>
      </c>
    </row>
    <row r="472" spans="14:54" x14ac:dyDescent="0.45">
      <c r="N472" s="10">
        <v>54</v>
      </c>
      <c r="O472" s="50">
        <f t="shared" si="301"/>
        <v>346736.85045253241</v>
      </c>
      <c r="P472" s="48" t="str">
        <f t="shared" si="302"/>
        <v>17.4002386318441</v>
      </c>
      <c r="Q472" s="17" t="str">
        <f t="shared" si="303"/>
        <v>1+186.58137043707i</v>
      </c>
      <c r="R472" s="17">
        <f t="shared" si="311"/>
        <v>186.58405021377132</v>
      </c>
      <c r="S472" s="17">
        <f t="shared" si="312"/>
        <v>1.5654367862215401</v>
      </c>
      <c r="T472" s="17" t="str">
        <f t="shared" si="304"/>
        <v>1+0.653583565266325i</v>
      </c>
      <c r="U472" s="17">
        <f t="shared" si="313"/>
        <v>1.1946428239378666</v>
      </c>
      <c r="V472" s="17">
        <f t="shared" si="314"/>
        <v>0.57889029918088575</v>
      </c>
      <c r="W472" s="31" t="str">
        <f t="shared" si="305"/>
        <v>1-1.61246920410377i</v>
      </c>
      <c r="X472" s="17">
        <f t="shared" si="315"/>
        <v>1.8973815995163033</v>
      </c>
      <c r="Y472" s="17">
        <f t="shared" si="316"/>
        <v>-1.0156800632115703</v>
      </c>
      <c r="Z472" s="31" t="str">
        <f t="shared" si="306"/>
        <v>0.89095107169003+2.25513470324152i</v>
      </c>
      <c r="AA472" s="17">
        <f t="shared" si="317"/>
        <v>2.4247528414066934</v>
      </c>
      <c r="AB472" s="17">
        <f t="shared" si="318"/>
        <v>1.1945414060791699</v>
      </c>
      <c r="AC472" s="66" t="str">
        <f t="shared" si="319"/>
        <v>-0.0870451492849088+0.00480762209154246i</v>
      </c>
      <c r="AD472" s="64">
        <f t="shared" si="320"/>
        <v>-21.19188050943654</v>
      </c>
      <c r="AE472" s="61">
        <f t="shared" si="321"/>
        <v>176.83868801954961</v>
      </c>
      <c r="AF472" s="31" t="str">
        <f t="shared" si="307"/>
        <v>-9090.90909090909</v>
      </c>
      <c r="AG472" s="31" t="str">
        <f t="shared" si="308"/>
        <v>2.27623467397318E-08i</v>
      </c>
      <c r="AH472" s="31">
        <f t="shared" si="322"/>
        <v>2.27623467397318E-8</v>
      </c>
      <c r="AI472" s="31">
        <f t="shared" si="323"/>
        <v>1.5707963267948966</v>
      </c>
      <c r="AJ472" s="31" t="str">
        <f t="shared" si="309"/>
        <v>1+6292074398.39502i</v>
      </c>
      <c r="AK472" s="31">
        <f t="shared" si="324"/>
        <v>6292074398.3950195</v>
      </c>
      <c r="AL472" s="31">
        <f t="shared" si="325"/>
        <v>1.5707963266359666</v>
      </c>
      <c r="AM472" s="31" t="str">
        <f t="shared" si="310"/>
        <v>1+2870.97474102654i</v>
      </c>
      <c r="AN472" s="31">
        <f t="shared" si="326"/>
        <v>2870.974915183413</v>
      </c>
      <c r="AO472" s="31">
        <f t="shared" si="327"/>
        <v>1.5704480130513903</v>
      </c>
      <c r="AS472" s="58" t="str">
        <f t="shared" si="328"/>
        <v>63.4740533962041+182232.487160905i</v>
      </c>
      <c r="AT472" s="49">
        <f t="shared" si="329"/>
        <v>105.21251657864921</v>
      </c>
      <c r="AU472" s="61">
        <f t="shared" si="330"/>
        <v>89.980043101656719</v>
      </c>
      <c r="AV472" s="58" t="str">
        <f t="shared" si="331"/>
        <v>-881.630039525086-15862.1488902199i</v>
      </c>
      <c r="AW472" s="64">
        <f t="shared" si="332"/>
        <v>84.020636069212713</v>
      </c>
      <c r="AX472" s="61">
        <f t="shared" si="333"/>
        <v>-93.181268878793674</v>
      </c>
      <c r="AY472" s="310"/>
      <c r="BA472" s="31">
        <f t="shared" si="334"/>
        <v>0</v>
      </c>
      <c r="BB472" s="31">
        <f t="shared" si="335"/>
        <v>0</v>
      </c>
    </row>
    <row r="473" spans="14:54" x14ac:dyDescent="0.45">
      <c r="N473" s="10">
        <v>55</v>
      </c>
      <c r="O473" s="50">
        <f t="shared" si="301"/>
        <v>354813.38923357555</v>
      </c>
      <c r="P473" s="48" t="str">
        <f t="shared" si="302"/>
        <v>17.4002386318441</v>
      </c>
      <c r="Q473" s="17" t="str">
        <f t="shared" si="303"/>
        <v>1+190.927408858392i</v>
      </c>
      <c r="R473" s="17">
        <f t="shared" si="311"/>
        <v>190.93002763677478</v>
      </c>
      <c r="S473" s="17">
        <f t="shared" si="312"/>
        <v>1.5655587820023285</v>
      </c>
      <c r="T473" s="17" t="str">
        <f t="shared" si="304"/>
        <v>1+0.668807482206898i</v>
      </c>
      <c r="U473" s="17">
        <f t="shared" si="313"/>
        <v>1.2030392546612643</v>
      </c>
      <c r="V473" s="17">
        <f t="shared" si="314"/>
        <v>0.58948324255773588</v>
      </c>
      <c r="W473" s="31" t="str">
        <f t="shared" si="305"/>
        <v>1-1.6500284368279i</v>
      </c>
      <c r="X473" s="17">
        <f t="shared" si="315"/>
        <v>1.9294024573273258</v>
      </c>
      <c r="Y473" s="17">
        <f t="shared" si="316"/>
        <v>-1.0259400504217862</v>
      </c>
      <c r="Z473" s="31" t="str">
        <f t="shared" si="306"/>
        <v>0.885811754032276+2.30766353847618i</v>
      </c>
      <c r="AA473" s="17">
        <f t="shared" si="317"/>
        <v>2.4718360524909699</v>
      </c>
      <c r="AB473" s="17">
        <f t="shared" si="318"/>
        <v>1.204283711573771</v>
      </c>
      <c r="AC473" s="66" t="str">
        <f t="shared" si="319"/>
        <v>-0.0853992609988106+0.00553362506904979i</v>
      </c>
      <c r="AD473" s="64">
        <f t="shared" si="320"/>
        <v>-21.352721351875324</v>
      </c>
      <c r="AE473" s="61">
        <f t="shared" si="321"/>
        <v>176.29258217173532</v>
      </c>
      <c r="AF473" s="31" t="str">
        <f t="shared" si="307"/>
        <v>-9090.90909090909</v>
      </c>
      <c r="AG473" s="31" t="str">
        <f t="shared" si="308"/>
        <v>2.27623467397318E-08i</v>
      </c>
      <c r="AH473" s="31">
        <f t="shared" si="322"/>
        <v>2.27623467397318E-8</v>
      </c>
      <c r="AI473" s="31">
        <f t="shared" si="323"/>
        <v>1.5707963267948966</v>
      </c>
      <c r="AJ473" s="31" t="str">
        <f t="shared" si="309"/>
        <v>1+6438635638.78673i</v>
      </c>
      <c r="AK473" s="31">
        <f t="shared" si="324"/>
        <v>6438635638.7867298</v>
      </c>
      <c r="AL473" s="31">
        <f t="shared" si="325"/>
        <v>1.5707963266395841</v>
      </c>
      <c r="AM473" s="31" t="str">
        <f t="shared" si="310"/>
        <v>1+2937.84833350749i</v>
      </c>
      <c r="AN473" s="31">
        <f t="shared" si="326"/>
        <v>2937.8485037000696</v>
      </c>
      <c r="AO473" s="31">
        <f t="shared" si="327"/>
        <v>1.5704559416395523</v>
      </c>
      <c r="AS473" s="58" t="str">
        <f t="shared" si="328"/>
        <v>62.0292075437077+182232.487160904i</v>
      </c>
      <c r="AT473" s="49">
        <f t="shared" si="329"/>
        <v>105.21251655493494</v>
      </c>
      <c r="AU473" s="61">
        <f t="shared" si="330"/>
        <v>89.980497376088607</v>
      </c>
      <c r="AV473" s="58" t="str">
        <f t="shared" si="331"/>
        <v>-1013.70350783345-15562.1764871386i</v>
      </c>
      <c r="AW473" s="64">
        <f t="shared" si="332"/>
        <v>83.859795203059633</v>
      </c>
      <c r="AX473" s="61">
        <f t="shared" si="333"/>
        <v>-93.726920452176074</v>
      </c>
      <c r="AY473" s="310"/>
      <c r="BA473" s="31">
        <f t="shared" si="334"/>
        <v>0</v>
      </c>
      <c r="BB473" s="31">
        <f t="shared" si="335"/>
        <v>0</v>
      </c>
    </row>
    <row r="474" spans="14:54" x14ac:dyDescent="0.45">
      <c r="N474" s="10">
        <v>56</v>
      </c>
      <c r="O474" s="50">
        <f t="shared" si="301"/>
        <v>363078.05477010203</v>
      </c>
      <c r="P474" s="48" t="str">
        <f t="shared" si="302"/>
        <v>17.4002386318441</v>
      </c>
      <c r="Q474" s="17" t="str">
        <f t="shared" si="303"/>
        <v>1+195.374679519116i</v>
      </c>
      <c r="R474" s="17">
        <f t="shared" si="311"/>
        <v>195.37723868761503</v>
      </c>
      <c r="S474" s="17">
        <f t="shared" si="312"/>
        <v>1.5656780009707605</v>
      </c>
      <c r="T474" s="17" t="str">
        <f t="shared" si="304"/>
        <v>1+0.684386009727256i</v>
      </c>
      <c r="U474" s="17">
        <f t="shared" si="313"/>
        <v>1.2117690416537286</v>
      </c>
      <c r="V474" s="17">
        <f t="shared" si="314"/>
        <v>0.60016973100707161</v>
      </c>
      <c r="W474" s="31" t="str">
        <f t="shared" si="305"/>
        <v>1-1.68846253646996i</v>
      </c>
      <c r="X474" s="17">
        <f t="shared" si="315"/>
        <v>1.9623724766370347</v>
      </c>
      <c r="Y474" s="17">
        <f t="shared" si="316"/>
        <v>-1.0360913092056201</v>
      </c>
      <c r="Z474" s="31" t="str">
        <f t="shared" si="306"/>
        <v>0.880430227795337+2.36141592746449i</v>
      </c>
      <c r="AA474" s="17">
        <f t="shared" si="317"/>
        <v>2.520206850339616</v>
      </c>
      <c r="AB474" s="17">
        <f t="shared" si="318"/>
        <v>1.2139207308244617</v>
      </c>
      <c r="AC474" s="66" t="str">
        <f t="shared" si="319"/>
        <v>-0.083802792240366+0.00620665522660861i</v>
      </c>
      <c r="AD474" s="64">
        <f t="shared" si="320"/>
        <v>-21.51107307474069</v>
      </c>
      <c r="AE474" s="61">
        <f t="shared" si="321"/>
        <v>175.76425729875891</v>
      </c>
      <c r="AF474" s="31" t="str">
        <f t="shared" si="307"/>
        <v>-9090.90909090909</v>
      </c>
      <c r="AG474" s="31" t="str">
        <f t="shared" si="308"/>
        <v>2.27623467397318E-08i</v>
      </c>
      <c r="AH474" s="31">
        <f t="shared" si="322"/>
        <v>2.27623467397318E-8</v>
      </c>
      <c r="AI474" s="31">
        <f t="shared" si="323"/>
        <v>1.5707963267948966</v>
      </c>
      <c r="AJ474" s="31" t="str">
        <f t="shared" si="309"/>
        <v>1+6588610729.0196i</v>
      </c>
      <c r="AK474" s="31">
        <f t="shared" si="324"/>
        <v>6588610729.0195999</v>
      </c>
      <c r="AL474" s="31">
        <f t="shared" si="325"/>
        <v>1.5707963266431195</v>
      </c>
      <c r="AM474" s="31" t="str">
        <f t="shared" si="310"/>
        <v>1+3006.27961206192i</v>
      </c>
      <c r="AN474" s="31">
        <f t="shared" si="326"/>
        <v>3006.2797783804435</v>
      </c>
      <c r="AO474" s="31">
        <f t="shared" si="327"/>
        <v>1.5704636897510551</v>
      </c>
      <c r="AS474" s="58" t="str">
        <f t="shared" si="328"/>
        <v>60.617250398104+182232.487160904i</v>
      </c>
      <c r="AT474" s="49">
        <f t="shared" si="329"/>
        <v>105.21251653228802</v>
      </c>
      <c r="AU474" s="61">
        <f t="shared" si="330"/>
        <v>89.980941309974355</v>
      </c>
      <c r="AV474" s="58" t="str">
        <f t="shared" si="331"/>
        <v>-1136.13411373641-15271.2150306164i</v>
      </c>
      <c r="AW474" s="64">
        <f t="shared" si="332"/>
        <v>83.701443457547327</v>
      </c>
      <c r="AX474" s="61">
        <f t="shared" si="333"/>
        <v>-94.254801391266739</v>
      </c>
      <c r="AY474" s="310"/>
      <c r="BA474" s="31">
        <f t="shared" si="334"/>
        <v>0</v>
      </c>
      <c r="BB474" s="31">
        <f t="shared" si="335"/>
        <v>0</v>
      </c>
    </row>
    <row r="475" spans="14:54" x14ac:dyDescent="0.45">
      <c r="N475" s="10">
        <v>57</v>
      </c>
      <c r="O475" s="50">
        <f t="shared" si="301"/>
        <v>371535.2290971732</v>
      </c>
      <c r="P475" s="48" t="str">
        <f t="shared" si="302"/>
        <v>17.4002386318441</v>
      </c>
      <c r="Q475" s="17" t="str">
        <f t="shared" si="303"/>
        <v>1+199.925540421009i</v>
      </c>
      <c r="R475" s="17">
        <f t="shared" si="311"/>
        <v>199.92804133645811</v>
      </c>
      <c r="S475" s="17">
        <f t="shared" si="312"/>
        <v>1.5657945063247476</v>
      </c>
      <c r="T475" s="17" t="str">
        <f t="shared" si="304"/>
        <v>1+0.700327407768889i</v>
      </c>
      <c r="U475" s="17">
        <f t="shared" si="313"/>
        <v>1.2208433470647624</v>
      </c>
      <c r="V475" s="17">
        <f t="shared" si="314"/>
        <v>0.61094566734954547</v>
      </c>
      <c r="W475" s="31" t="str">
        <f t="shared" si="305"/>
        <v>1-1.7277918812983i</v>
      </c>
      <c r="X475" s="17">
        <f t="shared" si="315"/>
        <v>1.9963127974043344</v>
      </c>
      <c r="Y475" s="17">
        <f t="shared" si="316"/>
        <v>-1.0461308528606001</v>
      </c>
      <c r="Z475" s="31" t="str">
        <f t="shared" si="306"/>
        <v>0.874795078040554+2.41642037043457i</v>
      </c>
      <c r="AA475" s="17">
        <f t="shared" si="317"/>
        <v>2.5698937400630255</v>
      </c>
      <c r="AB475" s="17">
        <f t="shared" si="318"/>
        <v>1.2234527126175254</v>
      </c>
      <c r="AC475" s="66" t="str">
        <f t="shared" si="319"/>
        <v>-0.0822551302293116+0.00682962424054447i</v>
      </c>
      <c r="AD475" s="64">
        <f t="shared" si="320"/>
        <v>-21.666902834551021</v>
      </c>
      <c r="AE475" s="61">
        <f t="shared" si="321"/>
        <v>175.25363189960424</v>
      </c>
      <c r="AF475" s="31" t="str">
        <f t="shared" si="307"/>
        <v>-9090.90909090909</v>
      </c>
      <c r="AG475" s="31" t="str">
        <f t="shared" si="308"/>
        <v>2.27623467397318E-08i</v>
      </c>
      <c r="AH475" s="31">
        <f t="shared" si="322"/>
        <v>2.27623467397318E-8</v>
      </c>
      <c r="AI475" s="31">
        <f t="shared" si="323"/>
        <v>1.5707963267948966</v>
      </c>
      <c r="AJ475" s="31" t="str">
        <f t="shared" si="309"/>
        <v>1+6742079187.87155i</v>
      </c>
      <c r="AK475" s="31">
        <f t="shared" si="324"/>
        <v>6742079187.8715496</v>
      </c>
      <c r="AL475" s="31">
        <f t="shared" si="325"/>
        <v>1.5707963266465743</v>
      </c>
      <c r="AM475" s="31" t="str">
        <f t="shared" si="310"/>
        <v>1+3076.30485985947i</v>
      </c>
      <c r="AN475" s="31">
        <f t="shared" si="326"/>
        <v>3076.3050223921218</v>
      </c>
      <c r="AO475" s="31">
        <f t="shared" si="327"/>
        <v>1.5704712614940464</v>
      </c>
      <c r="AS475" s="58" t="str">
        <f t="shared" si="328"/>
        <v>59.2374333210254+182232.487160903i</v>
      </c>
      <c r="AT475" s="49">
        <f t="shared" si="329"/>
        <v>105.21251651066032</v>
      </c>
      <c r="AU475" s="61">
        <f t="shared" si="330"/>
        <v>89.981375138693366</v>
      </c>
      <c r="AV475" s="58" t="str">
        <f t="shared" si="331"/>
        <v>-1249.45199452108-14989.1523940209i</v>
      </c>
      <c r="AW475" s="64">
        <f t="shared" si="332"/>
        <v>83.545613676109326</v>
      </c>
      <c r="AX475" s="61">
        <f t="shared" si="333"/>
        <v>-94.764992961702376</v>
      </c>
      <c r="AY475" s="310"/>
      <c r="BA475" s="31">
        <f t="shared" si="334"/>
        <v>0</v>
      </c>
      <c r="BB475" s="31">
        <f t="shared" si="335"/>
        <v>0</v>
      </c>
    </row>
    <row r="476" spans="14:54" x14ac:dyDescent="0.45">
      <c r="N476" s="10">
        <v>58</v>
      </c>
      <c r="O476" s="50">
        <f t="shared" si="301"/>
        <v>380189.39632056188</v>
      </c>
      <c r="P476" s="48" t="str">
        <f t="shared" si="302"/>
        <v>17.4002386318441</v>
      </c>
      <c r="Q476" s="17" t="str">
        <f t="shared" si="303"/>
        <v>1+204.582404490761i</v>
      </c>
      <c r="R476" s="17">
        <f t="shared" si="311"/>
        <v>204.58484847911231</v>
      </c>
      <c r="S476" s="17">
        <f t="shared" si="312"/>
        <v>1.565908359824312</v>
      </c>
      <c r="T476" s="17" t="str">
        <f t="shared" si="304"/>
        <v>1+0.71664012867205i</v>
      </c>
      <c r="U476" s="17">
        <f t="shared" si="313"/>
        <v>1.2302735769019393</v>
      </c>
      <c r="V476" s="17">
        <f t="shared" si="314"/>
        <v>0.62180675470872004</v>
      </c>
      <c r="W476" s="31" t="str">
        <f t="shared" si="305"/>
        <v>1-1.76803732425213i</v>
      </c>
      <c r="X476" s="17">
        <f t="shared" si="315"/>
        <v>2.0312449335194986</v>
      </c>
      <c r="Y476" s="17">
        <f t="shared" si="316"/>
        <v>-1.0560559086355124</v>
      </c>
      <c r="Z476" s="31" t="str">
        <f t="shared" si="306"/>
        <v>0.868894351859779+2.47270603147016i</v>
      </c>
      <c r="AA476" s="17">
        <f t="shared" si="317"/>
        <v>2.6209258884529207</v>
      </c>
      <c r="AB476" s="17">
        <f t="shared" si="318"/>
        <v>1.2328800728722857</v>
      </c>
      <c r="AC476" s="66" t="str">
        <f t="shared" si="319"/>
        <v>-0.0807555963963957+0.00740534321485625i</v>
      </c>
      <c r="AD476" s="64">
        <f t="shared" si="320"/>
        <v>-21.820180228080886</v>
      </c>
      <c r="AE476" s="61">
        <f t="shared" si="321"/>
        <v>174.76059127931842</v>
      </c>
      <c r="AF476" s="31" t="str">
        <f t="shared" si="307"/>
        <v>-9090.90909090909</v>
      </c>
      <c r="AG476" s="31" t="str">
        <f t="shared" si="308"/>
        <v>2.27623467397318E-08i</v>
      </c>
      <c r="AH476" s="31">
        <f t="shared" si="322"/>
        <v>2.27623467397318E-8</v>
      </c>
      <c r="AI476" s="31">
        <f t="shared" si="323"/>
        <v>1.5707963267948966</v>
      </c>
      <c r="AJ476" s="31" t="str">
        <f t="shared" si="309"/>
        <v>1+6899122386.35087i</v>
      </c>
      <c r="AK476" s="31">
        <f t="shared" si="324"/>
        <v>6899122386.3508701</v>
      </c>
      <c r="AL476" s="31">
        <f t="shared" si="325"/>
        <v>1.5707963266499507</v>
      </c>
      <c r="AM476" s="31" t="str">
        <f t="shared" si="310"/>
        <v>1+3147.96120521342i</v>
      </c>
      <c r="AN476" s="31">
        <f t="shared" si="326"/>
        <v>3147.9613640463767</v>
      </c>
      <c r="AO476" s="31">
        <f t="shared" si="327"/>
        <v>1.5704786608831609</v>
      </c>
      <c r="AS476" s="58" t="str">
        <f t="shared" si="328"/>
        <v>57.8890247151944+182232.487160903i</v>
      </c>
      <c r="AT476" s="49">
        <f t="shared" si="329"/>
        <v>105.21251649000607</v>
      </c>
      <c r="AU476" s="61">
        <f t="shared" si="330"/>
        <v>89.981799092267167</v>
      </c>
      <c r="AV476" s="58" t="str">
        <f t="shared" si="331"/>
        <v>-1354.16897503905-14715.8644953809i</v>
      </c>
      <c r="AW476" s="64">
        <f t="shared" si="332"/>
        <v>83.392336261925223</v>
      </c>
      <c r="AX476" s="61">
        <f t="shared" si="333"/>
        <v>-95.2576096284144</v>
      </c>
      <c r="AY476" s="310"/>
      <c r="BA476" s="31">
        <f t="shared" si="334"/>
        <v>0</v>
      </c>
      <c r="BB476" s="31">
        <f t="shared" si="335"/>
        <v>0</v>
      </c>
    </row>
    <row r="477" spans="14:54" x14ac:dyDescent="0.45">
      <c r="N477" s="10">
        <v>59</v>
      </c>
      <c r="O477" s="50">
        <f t="shared" si="301"/>
        <v>389045.14499428123</v>
      </c>
      <c r="P477" s="48" t="str">
        <f t="shared" si="302"/>
        <v>17.4002386318441</v>
      </c>
      <c r="Q477" s="17" t="str">
        <f t="shared" si="303"/>
        <v>1+209.347740859343i</v>
      </c>
      <c r="R477" s="17">
        <f t="shared" si="311"/>
        <v>209.35012921636957</v>
      </c>
      <c r="S477" s="17">
        <f t="shared" si="312"/>
        <v>1.566019621824273</v>
      </c>
      <c r="T477" s="17" t="str">
        <f t="shared" si="304"/>
        <v>1+0.733332821657287i</v>
      </c>
      <c r="U477" s="17">
        <f t="shared" si="313"/>
        <v>1.2400713799293321</v>
      </c>
      <c r="V477" s="17">
        <f t="shared" si="314"/>
        <v>0.63274850226478863</v>
      </c>
      <c r="W477" s="31" t="str">
        <f t="shared" si="305"/>
        <v>1-1.80922020399802i</v>
      </c>
      <c r="X477" s="17">
        <f t="shared" si="315"/>
        <v>2.0671907862010794</v>
      </c>
      <c r="Y477" s="17">
        <f t="shared" si="316"/>
        <v>-1.0658639168081228</v>
      </c>
      <c r="Z477" s="31" t="str">
        <f t="shared" si="306"/>
        <v>0.862715533021659+2.53030275397377i</v>
      </c>
      <c r="AA477" s="17">
        <f t="shared" si="317"/>
        <v>2.673333147530268</v>
      </c>
      <c r="AB477" s="17">
        <f t="shared" si="318"/>
        <v>1.2422033881407886</v>
      </c>
      <c r="AC477" s="66" t="str">
        <f t="shared" si="319"/>
        <v>-0.0793034525707901+0.00793652221985535i</v>
      </c>
      <c r="AD477" s="64">
        <f t="shared" si="320"/>
        <v>-21.970877346679096</v>
      </c>
      <c r="AE477" s="61">
        <f t="shared" si="321"/>
        <v>174.28498830208537</v>
      </c>
      <c r="AF477" s="31" t="str">
        <f t="shared" si="307"/>
        <v>-9090.90909090909</v>
      </c>
      <c r="AG477" s="31" t="str">
        <f t="shared" si="308"/>
        <v>2.27623467397318E-08i</v>
      </c>
      <c r="AH477" s="31">
        <f t="shared" si="322"/>
        <v>2.27623467397318E-8</v>
      </c>
      <c r="AI477" s="31">
        <f t="shared" si="323"/>
        <v>1.5707963267948966</v>
      </c>
      <c r="AJ477" s="31" t="str">
        <f t="shared" si="309"/>
        <v>1+7059823590.84012i</v>
      </c>
      <c r="AK477" s="31">
        <f t="shared" si="324"/>
        <v>7059823590.8401203</v>
      </c>
      <c r="AL477" s="31">
        <f t="shared" si="325"/>
        <v>1.5707963266532501</v>
      </c>
      <c r="AM477" s="31" t="str">
        <f t="shared" si="310"/>
        <v>1+3221.28664126657i</v>
      </c>
      <c r="AN477" s="31">
        <f t="shared" si="326"/>
        <v>3221.286796484048</v>
      </c>
      <c r="AO477" s="31">
        <f t="shared" si="327"/>
        <v>1.5704858918416496</v>
      </c>
      <c r="AS477" s="58" t="str">
        <f t="shared" si="328"/>
        <v>56.5713096365186+182232.487160903i</v>
      </c>
      <c r="AT477" s="49">
        <f t="shared" si="329"/>
        <v>105.21251647028144</v>
      </c>
      <c r="AU477" s="61">
        <f t="shared" si="330"/>
        <v>89.982213395481367</v>
      </c>
      <c r="AV477" s="58" t="str">
        <f t="shared" si="331"/>
        <v>-1450.77848370264-14451.2164229659i</v>
      </c>
      <c r="AW477" s="64">
        <f t="shared" si="332"/>
        <v>83.241639123602368</v>
      </c>
      <c r="AX477" s="61">
        <f t="shared" si="333"/>
        <v>-95.732798302433253</v>
      </c>
      <c r="AY477" s="310"/>
      <c r="BA477" s="31">
        <f t="shared" si="334"/>
        <v>0</v>
      </c>
      <c r="BB477" s="31">
        <f t="shared" si="335"/>
        <v>0</v>
      </c>
    </row>
    <row r="478" spans="14:54" x14ac:dyDescent="0.45">
      <c r="N478" s="10">
        <v>60</v>
      </c>
      <c r="O478" s="50">
        <f t="shared" si="301"/>
        <v>398107.17055349716</v>
      </c>
      <c r="P478" s="48" t="str">
        <f t="shared" si="302"/>
        <v>17.4002386318441</v>
      </c>
      <c r="Q478" s="17" t="str">
        <f t="shared" si="303"/>
        <v>1+214.224076171172i</v>
      </c>
      <c r="R478" s="17">
        <f t="shared" si="311"/>
        <v>214.22641016315447</v>
      </c>
      <c r="S478" s="17">
        <f t="shared" si="312"/>
        <v>1.5661283513061905</v>
      </c>
      <c r="T478" s="17" t="str">
        <f t="shared" si="304"/>
        <v>1+0.750414337411372i</v>
      </c>
      <c r="U478" s="17">
        <f t="shared" si="313"/>
        <v>1.2502486463870091</v>
      </c>
      <c r="V478" s="17">
        <f t="shared" si="314"/>
        <v>0.64376623200212657</v>
      </c>
      <c r="W478" s="31" t="str">
        <f t="shared" si="305"/>
        <v>1-1.85136235624393i</v>
      </c>
      <c r="X478" s="17">
        <f t="shared" si="315"/>
        <v>2.1041726578674758</v>
      </c>
      <c r="Y478" s="17">
        <f t="shared" si="316"/>
        <v>-1.0755525290001027</v>
      </c>
      <c r="Z478" s="31" t="str">
        <f t="shared" si="306"/>
        <v>0.856245515423029+2.58924107649004i</v>
      </c>
      <c r="AA478" s="17">
        <f t="shared" si="317"/>
        <v>2.7271460787543726</v>
      </c>
      <c r="AB478" s="17">
        <f t="shared" si="318"/>
        <v>1.2514233890373796</v>
      </c>
      <c r="AC478" s="66" t="str">
        <f t="shared" si="319"/>
        <v>-0.0778979069955984+0.00842577025746542i</v>
      </c>
      <c r="AD478" s="64">
        <f t="shared" si="320"/>
        <v>-22.118968827065892</v>
      </c>
      <c r="AE478" s="61">
        <f t="shared" si="321"/>
        <v>173.82664424900707</v>
      </c>
      <c r="AF478" s="31" t="str">
        <f t="shared" si="307"/>
        <v>-9090.90909090909</v>
      </c>
      <c r="AG478" s="31" t="str">
        <f t="shared" si="308"/>
        <v>2.27623467397318E-08i</v>
      </c>
      <c r="AH478" s="31">
        <f t="shared" si="322"/>
        <v>2.27623467397318E-8</v>
      </c>
      <c r="AI478" s="31">
        <f t="shared" si="323"/>
        <v>1.5707963267948966</v>
      </c>
      <c r="AJ478" s="31" t="str">
        <f t="shared" si="309"/>
        <v>1+7224268007.24503i</v>
      </c>
      <c r="AK478" s="31">
        <f t="shared" si="324"/>
        <v>7224268007.2450304</v>
      </c>
      <c r="AL478" s="31">
        <f t="shared" si="325"/>
        <v>1.5707963266564744</v>
      </c>
      <c r="AM478" s="31" t="str">
        <f t="shared" si="310"/>
        <v>1+3296.32004613568i</v>
      </c>
      <c r="AN478" s="31">
        <f t="shared" si="326"/>
        <v>3296.3201978199768</v>
      </c>
      <c r="AO478" s="31">
        <f t="shared" si="327"/>
        <v>1.5704929582034595</v>
      </c>
      <c r="AS478" s="58" t="str">
        <f t="shared" si="328"/>
        <v>55.2835894150221+182232.487160902i</v>
      </c>
      <c r="AT478" s="49">
        <f t="shared" si="329"/>
        <v>105.21251645144449</v>
      </c>
      <c r="AU478" s="61">
        <f t="shared" si="330"/>
        <v>89.982618268004828</v>
      </c>
      <c r="AV478" s="58" t="str">
        <f t="shared" si="331"/>
        <v>-1539.75554617091-14195.0635296131i</v>
      </c>
      <c r="AW478" s="64">
        <f t="shared" si="332"/>
        <v>83.093547624378616</v>
      </c>
      <c r="AX478" s="61">
        <f t="shared" si="333"/>
        <v>-96.190737482988084</v>
      </c>
      <c r="AY478" s="310"/>
      <c r="BA478" s="31">
        <f t="shared" si="334"/>
        <v>0</v>
      </c>
      <c r="BB478" s="31">
        <f t="shared" si="335"/>
        <v>0</v>
      </c>
    </row>
    <row r="479" spans="14:54" x14ac:dyDescent="0.45">
      <c r="N479" s="10">
        <v>61</v>
      </c>
      <c r="O479" s="50">
        <f t="shared" si="301"/>
        <v>407380.27780411334</v>
      </c>
      <c r="P479" s="48" t="str">
        <f t="shared" si="302"/>
        <v>17.4002386318441</v>
      </c>
      <c r="Q479" s="17" t="str">
        <f t="shared" si="303"/>
        <v>1+219.213995923779i</v>
      </c>
      <c r="R479" s="17">
        <f t="shared" si="311"/>
        <v>219.21627678817694</v>
      </c>
      <c r="S479" s="17">
        <f t="shared" si="312"/>
        <v>1.566234605909586</v>
      </c>
      <c r="T479" s="17" t="str">
        <f t="shared" si="304"/>
        <v>1+0.767893732780063i</v>
      </c>
      <c r="U479" s="17">
        <f t="shared" si="313"/>
        <v>1.2608175065579075</v>
      </c>
      <c r="V479" s="17">
        <f t="shared" si="314"/>
        <v>0.65485508644540102</v>
      </c>
      <c r="W479" s="31" t="str">
        <f t="shared" si="305"/>
        <v>1-1.8944861253168i</v>
      </c>
      <c r="X479" s="17">
        <f t="shared" si="315"/>
        <v>2.1422132664648172</v>
      </c>
      <c r="Y479" s="17">
        <f t="shared" si="316"/>
        <v>-1.085119605779463</v>
      </c>
      <c r="Z479" s="31" t="str">
        <f t="shared" si="306"/>
        <v>0.84947057528911+2.64955224889774i</v>
      </c>
      <c r="AA479" s="17">
        <f t="shared" si="317"/>
        <v>2.7823959779156313</v>
      </c>
      <c r="AB479" s="17">
        <f t="shared" si="318"/>
        <v>1.2605409536356096</v>
      </c>
      <c r="AC479" s="66" t="str">
        <f t="shared" si="319"/>
        <v>-0.0765381201462093+0.00887559562086269i</v>
      </c>
      <c r="AD479" s="64">
        <f t="shared" si="320"/>
        <v>-22.264431898395152</v>
      </c>
      <c r="AE479" s="61">
        <f t="shared" si="321"/>
        <v>173.38534977526186</v>
      </c>
      <c r="AF479" s="31" t="str">
        <f t="shared" si="307"/>
        <v>-9090.90909090909</v>
      </c>
      <c r="AG479" s="31" t="str">
        <f t="shared" si="308"/>
        <v>2.27623467397318E-08i</v>
      </c>
      <c r="AH479" s="31">
        <f t="shared" si="322"/>
        <v>2.27623467397318E-8</v>
      </c>
      <c r="AI479" s="31">
        <f t="shared" si="323"/>
        <v>1.5707963267948966</v>
      </c>
      <c r="AJ479" s="31" t="str">
        <f t="shared" si="309"/>
        <v>1+7392542826.1719i</v>
      </c>
      <c r="AK479" s="31">
        <f t="shared" si="324"/>
        <v>7392542826.1718998</v>
      </c>
      <c r="AL479" s="31">
        <f t="shared" si="325"/>
        <v>1.5707963266596252</v>
      </c>
      <c r="AM479" s="31" t="str">
        <f t="shared" si="310"/>
        <v>1+3373.10120352522i</v>
      </c>
      <c r="AN479" s="31">
        <f t="shared" si="326"/>
        <v>3373.1013517567612</v>
      </c>
      <c r="AO479" s="31">
        <f t="shared" si="327"/>
        <v>1.5704998637152658</v>
      </c>
      <c r="AS479" s="58" t="str">
        <f t="shared" si="328"/>
        <v>54.0251812843982+182232.487160901i</v>
      </c>
      <c r="AT479" s="49">
        <f t="shared" si="329"/>
        <v>105.21251643345536</v>
      </c>
      <c r="AU479" s="61">
        <f t="shared" si="330"/>
        <v>89.983013924506196</v>
      </c>
      <c r="AV479" s="58" t="str">
        <f t="shared" si="331"/>
        <v>-1621.55685084028-13947.2524912012i</v>
      </c>
      <c r="AW479" s="64">
        <f t="shared" si="332"/>
        <v>82.948084535060232</v>
      </c>
      <c r="AX479" s="61">
        <f t="shared" si="333"/>
        <v>-96.631636300231946</v>
      </c>
      <c r="AY479" s="310"/>
      <c r="BA479" s="31">
        <f t="shared" si="334"/>
        <v>0</v>
      </c>
      <c r="BB479" s="31">
        <f t="shared" si="335"/>
        <v>0</v>
      </c>
    </row>
    <row r="480" spans="14:54" x14ac:dyDescent="0.45">
      <c r="N480" s="10">
        <v>62</v>
      </c>
      <c r="O480" s="50">
        <f t="shared" si="301"/>
        <v>416869.38347033598</v>
      </c>
      <c r="P480" s="48" t="str">
        <f t="shared" si="302"/>
        <v>17.4002386318441</v>
      </c>
      <c r="Q480" s="17" t="str">
        <f t="shared" si="303"/>
        <v>1+224.320145838665i</v>
      </c>
      <c r="R480" s="17">
        <f t="shared" si="311"/>
        <v>224.32237478477251</v>
      </c>
      <c r="S480" s="17">
        <f t="shared" si="312"/>
        <v>1.566338441962454</v>
      </c>
      <c r="T480" s="17" t="str">
        <f t="shared" si="304"/>
        <v>1+0.78578027557015i</v>
      </c>
      <c r="U480" s="17">
        <f t="shared" si="313"/>
        <v>1.2717903292111876</v>
      </c>
      <c r="V480" s="17">
        <f t="shared" si="314"/>
        <v>0.66601003737000841</v>
      </c>
      <c r="W480" s="31" t="str">
        <f t="shared" si="305"/>
        <v>1-1.9386143760098i</v>
      </c>
      <c r="X480" s="17">
        <f t="shared" si="315"/>
        <v>2.1813357602331345</v>
      </c>
      <c r="Y480" s="17">
        <f t="shared" si="316"/>
        <v>-1.0945632136030796</v>
      </c>
      <c r="Z480" s="31" t="str">
        <f t="shared" si="306"/>
        <v>0.842376342063548+2.71126824897877i</v>
      </c>
      <c r="AA480" s="17">
        <f t="shared" si="317"/>
        <v>2.8391149007373353</v>
      </c>
      <c r="AB480" s="17">
        <f t="shared" si="318"/>
        <v>1.269557100866946</v>
      </c>
      <c r="AC480" s="66" t="str">
        <f t="shared" si="319"/>
        <v>-0.0752232103303549+0.00928840661569473i</v>
      </c>
      <c r="AD480" s="64">
        <f t="shared" si="320"/>
        <v>-22.407246425321162</v>
      </c>
      <c r="AE480" s="61">
        <f t="shared" si="321"/>
        <v>172.96086596083271</v>
      </c>
      <c r="AF480" s="31" t="str">
        <f t="shared" si="307"/>
        <v>-9090.90909090909</v>
      </c>
      <c r="AG480" s="31" t="str">
        <f t="shared" si="308"/>
        <v>2.27623467397318E-08i</v>
      </c>
      <c r="AH480" s="31">
        <f t="shared" si="322"/>
        <v>2.27623467397318E-8</v>
      </c>
      <c r="AI480" s="31">
        <f t="shared" si="323"/>
        <v>1.5707963267948966</v>
      </c>
      <c r="AJ480" s="31" t="str">
        <f t="shared" si="309"/>
        <v>1+7564737269.15708i</v>
      </c>
      <c r="AK480" s="31">
        <f t="shared" si="324"/>
        <v>7564737269.1570797</v>
      </c>
      <c r="AL480" s="31">
        <f t="shared" si="325"/>
        <v>1.5707963266627043</v>
      </c>
      <c r="AM480" s="31" t="str">
        <f t="shared" si="310"/>
        <v>1+3451.67082382114i</v>
      </c>
      <c r="AN480" s="31">
        <f t="shared" si="326"/>
        <v>3451.6709686785193</v>
      </c>
      <c r="AO480" s="31">
        <f t="shared" si="327"/>
        <v>1.5705066120384603</v>
      </c>
      <c r="AS480" s="58" t="str">
        <f t="shared" si="328"/>
        <v>52.7954180199993+182232.487160902i</v>
      </c>
      <c r="AT480" s="49">
        <f t="shared" si="329"/>
        <v>105.21251641627597</v>
      </c>
      <c r="AU480" s="61">
        <f t="shared" si="330"/>
        <v>89.9834005747676</v>
      </c>
      <c r="AV480" s="58" t="str">
        <f t="shared" si="331"/>
        <v>-1696.62088017402-13707.6223254182i</v>
      </c>
      <c r="AW480" s="64">
        <f t="shared" si="332"/>
        <v>82.805269990954784</v>
      </c>
      <c r="AX480" s="61">
        <f t="shared" si="333"/>
        <v>-97.05573346439968</v>
      </c>
      <c r="AY480" s="310"/>
      <c r="BA480" s="31">
        <f t="shared" si="334"/>
        <v>0</v>
      </c>
      <c r="BB480" s="31">
        <f t="shared" si="335"/>
        <v>0</v>
      </c>
    </row>
    <row r="481" spans="14:54" x14ac:dyDescent="0.45">
      <c r="N481" s="10">
        <v>63</v>
      </c>
      <c r="O481" s="50">
        <f t="shared" si="301"/>
        <v>426579.51880159322</v>
      </c>
      <c r="P481" s="48" t="str">
        <f t="shared" si="302"/>
        <v>17.4002386318441</v>
      </c>
      <c r="Q481" s="17" t="str">
        <f t="shared" si="303"/>
        <v>1+229.545233264103i</v>
      </c>
      <c r="R481" s="17">
        <f t="shared" si="311"/>
        <v>229.54741147368981</v>
      </c>
      <c r="S481" s="17">
        <f t="shared" si="312"/>
        <v>1.5664399145110828</v>
      </c>
      <c r="T481" s="17" t="str">
        <f t="shared" si="304"/>
        <v>1+0.804083449463374i</v>
      </c>
      <c r="U481" s="17">
        <f t="shared" si="313"/>
        <v>1.2831797199538801</v>
      </c>
      <c r="V481" s="17">
        <f t="shared" si="314"/>
        <v>0.67722589546349232</v>
      </c>
      <c r="W481" s="31" t="str">
        <f t="shared" si="305"/>
        <v>1-1.98377050570556i</v>
      </c>
      <c r="X481" s="17">
        <f t="shared" si="315"/>
        <v>2.2215637328934075</v>
      </c>
      <c r="Y481" s="17">
        <f t="shared" si="316"/>
        <v>-1.1038816211535178</v>
      </c>
      <c r="Z481" s="31" t="str">
        <f t="shared" si="306"/>
        <v>0.834947767926532+2.77442179937329i</v>
      </c>
      <c r="AA481" s="17">
        <f t="shared" si="317"/>
        <v>2.8973356892157356</v>
      </c>
      <c r="AB481" s="17">
        <f t="shared" si="318"/>
        <v>1.2784729839528786</v>
      </c>
      <c r="AC481" s="66" t="str">
        <f t="shared" si="319"/>
        <v>-0.0739522590525724+0.00966651261006773i</v>
      </c>
      <c r="AD481" s="64">
        <f t="shared" si="320"/>
        <v>-22.547394946777235</v>
      </c>
      <c r="AE481" s="61">
        <f t="shared" si="321"/>
        <v>172.55292544855513</v>
      </c>
      <c r="AF481" s="31" t="str">
        <f t="shared" si="307"/>
        <v>-9090.90909090909</v>
      </c>
      <c r="AG481" s="31" t="str">
        <f t="shared" si="308"/>
        <v>2.27623467397318E-08i</v>
      </c>
      <c r="AH481" s="31">
        <f t="shared" si="322"/>
        <v>2.27623467397318E-8</v>
      </c>
      <c r="AI481" s="31">
        <f t="shared" si="323"/>
        <v>1.5707963267948966</v>
      </c>
      <c r="AJ481" s="31" t="str">
        <f t="shared" si="309"/>
        <v>1+7740942635.97348i</v>
      </c>
      <c r="AK481" s="31">
        <f t="shared" si="324"/>
        <v>7740942635.9734802</v>
      </c>
      <c r="AL481" s="31">
        <f t="shared" si="325"/>
        <v>1.5707963266657134</v>
      </c>
      <c r="AM481" s="31" t="str">
        <f t="shared" si="310"/>
        <v>1+3532.07056567611i</v>
      </c>
      <c r="AN481" s="31">
        <f t="shared" si="326"/>
        <v>3532.0707072361333</v>
      </c>
      <c r="AO481" s="31">
        <f t="shared" si="327"/>
        <v>1.5705132067510903</v>
      </c>
      <c r="AS481" s="58" t="str">
        <f t="shared" si="328"/>
        <v>51.5936475850643+182232.487160901i</v>
      </c>
      <c r="AT481" s="49">
        <f t="shared" si="329"/>
        <v>105.21251639986968</v>
      </c>
      <c r="AU481" s="61">
        <f t="shared" si="330"/>
        <v>89.983778423795997</v>
      </c>
      <c r="AV481" s="58" t="str">
        <f t="shared" si="331"/>
        <v>-1765.36810189653-13476.0053676725i</v>
      </c>
      <c r="AW481" s="64">
        <f t="shared" si="332"/>
        <v>82.665121453092411</v>
      </c>
      <c r="AX481" s="61">
        <f t="shared" si="333"/>
        <v>-97.463296127648889</v>
      </c>
      <c r="AY481" s="310"/>
      <c r="BA481" s="31">
        <f t="shared" si="334"/>
        <v>0</v>
      </c>
      <c r="BB481" s="31">
        <f t="shared" si="335"/>
        <v>0</v>
      </c>
    </row>
    <row r="482" spans="14:54" x14ac:dyDescent="0.45">
      <c r="N482" s="10">
        <v>64</v>
      </c>
      <c r="O482" s="50">
        <f t="shared" si="301"/>
        <v>436515.83224016649</v>
      </c>
      <c r="P482" s="48" t="str">
        <f t="shared" si="302"/>
        <v>17.4002386318441</v>
      </c>
      <c r="Q482" s="17" t="str">
        <f t="shared" si="303"/>
        <v>1+234.892028610607i</v>
      </c>
      <c r="R482" s="17">
        <f t="shared" si="311"/>
        <v>234.89415723854484</v>
      </c>
      <c r="S482" s="17">
        <f t="shared" si="312"/>
        <v>1.566539077349197</v>
      </c>
      <c r="T482" s="17" t="str">
        <f t="shared" si="304"/>
        <v>1+0.822812959044805i</v>
      </c>
      <c r="U482" s="17">
        <f t="shared" si="313"/>
        <v>1.2949985195250486</v>
      </c>
      <c r="V482" s="17">
        <f t="shared" si="314"/>
        <v>0.68849732090524318</v>
      </c>
      <c r="W482" s="31" t="str">
        <f t="shared" si="305"/>
        <v>1-2.02997845678174i</v>
      </c>
      <c r="X482" s="17">
        <f t="shared" si="315"/>
        <v>2.2629212392387794</v>
      </c>
      <c r="Y482" s="17">
        <f t="shared" si="316"/>
        <v>-1.1130732951252642</v>
      </c>
      <c r="Z482" s="31" t="str">
        <f t="shared" si="306"/>
        <v>0.82716909587635+2.83904638492964i</v>
      </c>
      <c r="AA482" s="17">
        <f t="shared" si="317"/>
        <v>2.9570919987303328</v>
      </c>
      <c r="AB482" s="17">
        <f t="shared" si="318"/>
        <v>1.2872898838989799</v>
      </c>
      <c r="AC482" s="66" t="str">
        <f t="shared" si="319"/>
        <v>-0.0727243161294433+0.010012125380825i</v>
      </c>
      <c r="AD482" s="64">
        <f t="shared" si="320"/>
        <v>-22.684862710140852</v>
      </c>
      <c r="AE482" s="61">
        <f t="shared" si="321"/>
        <v>172.16123366281323</v>
      </c>
      <c r="AF482" s="31" t="str">
        <f t="shared" si="307"/>
        <v>-9090.90909090909</v>
      </c>
      <c r="AG482" s="31" t="str">
        <f t="shared" si="308"/>
        <v>2.27623467397318E-08i</v>
      </c>
      <c r="AH482" s="31">
        <f t="shared" si="322"/>
        <v>2.27623467397318E-8</v>
      </c>
      <c r="AI482" s="31">
        <f t="shared" si="323"/>
        <v>1.5707963267948966</v>
      </c>
      <c r="AJ482" s="31" t="str">
        <f t="shared" si="309"/>
        <v>1+7921252353.03896i</v>
      </c>
      <c r="AK482" s="31">
        <f t="shared" si="324"/>
        <v>7921252353.0389605</v>
      </c>
      <c r="AL482" s="31">
        <f t="shared" si="325"/>
        <v>1.570796326668654</v>
      </c>
      <c r="AM482" s="31" t="str">
        <f t="shared" si="310"/>
        <v>1+3614.34305809747i</v>
      </c>
      <c r="AN482" s="31">
        <f t="shared" si="326"/>
        <v>3614.343196435193</v>
      </c>
      <c r="AO482" s="31">
        <f t="shared" si="327"/>
        <v>1.5705196513497577</v>
      </c>
      <c r="AS482" s="58" t="str">
        <f t="shared" si="328"/>
        <v>50.4192327850019+182232.487160901i</v>
      </c>
      <c r="AT482" s="49">
        <f t="shared" si="329"/>
        <v>105.21251638420182</v>
      </c>
      <c r="AU482" s="61">
        <f t="shared" si="330"/>
        <v>89.984147671931822</v>
      </c>
      <c r="AV482" s="58" t="str">
        <f t="shared" si="331"/>
        <v>-1828.20121413858-13252.2282016638i</v>
      </c>
      <c r="AW482" s="64">
        <f t="shared" si="332"/>
        <v>82.527653674060957</v>
      </c>
      <c r="AX482" s="61">
        <f t="shared" si="333"/>
        <v>-97.854618665254947</v>
      </c>
      <c r="AY482" s="310"/>
      <c r="BA482" s="31">
        <f t="shared" si="334"/>
        <v>0</v>
      </c>
      <c r="BB482" s="31">
        <f t="shared" si="335"/>
        <v>0</v>
      </c>
    </row>
    <row r="483" spans="14:54" x14ac:dyDescent="0.45">
      <c r="N483" s="10">
        <v>65</v>
      </c>
      <c r="O483" s="50">
        <f t="shared" si="301"/>
        <v>446683.59215096442</v>
      </c>
      <c r="P483" s="48" t="str">
        <f t="shared" si="302"/>
        <v>17.4002386318441</v>
      </c>
      <c r="Q483" s="17" t="str">
        <f t="shared" si="303"/>
        <v>1+240.363366819846i</v>
      </c>
      <c r="R483" s="17">
        <f t="shared" si="311"/>
        <v>240.36544699472063</v>
      </c>
      <c r="S483" s="17">
        <f t="shared" si="312"/>
        <v>1.5666359830464411</v>
      </c>
      <c r="T483" s="17" t="str">
        <f t="shared" si="304"/>
        <v>1+0.841978734948343i</v>
      </c>
      <c r="U483" s="17">
        <f t="shared" si="313"/>
        <v>1.307259802068897</v>
      </c>
      <c r="V483" s="17">
        <f t="shared" si="314"/>
        <v>0.69981883482250851</v>
      </c>
      <c r="W483" s="31" t="str">
        <f t="shared" si="305"/>
        <v>1-2.07726272930566i</v>
      </c>
      <c r="X483" s="17">
        <f t="shared" si="315"/>
        <v>2.3054328111143034</v>
      </c>
      <c r="Y483" s="17">
        <f t="shared" si="316"/>
        <v>-1.1221368955158362</v>
      </c>
      <c r="Z483" s="31" t="str">
        <f t="shared" si="306"/>
        <v>0.819023826306677+2.90517627045852i</v>
      </c>
      <c r="AA483" s="17">
        <f t="shared" si="317"/>
        <v>3.0184183259603543</v>
      </c>
      <c r="AB483" s="17">
        <f t="shared" si="318"/>
        <v>1.2960092030766506</v>
      </c>
      <c r="AC483" s="66" t="str">
        <f t="shared" si="319"/>
        <v>-0.0715384045453622+0.0103273607242792i</v>
      </c>
      <c r="AD483" s="64">
        <f t="shared" si="320"/>
        <v>-22.819637700440424</v>
      </c>
      <c r="AE483" s="61">
        <f t="shared" si="321"/>
        <v>171.78547010182731</v>
      </c>
      <c r="AF483" s="31" t="str">
        <f t="shared" si="307"/>
        <v>-9090.90909090909</v>
      </c>
      <c r="AG483" s="31" t="str">
        <f t="shared" si="308"/>
        <v>2.27623467397318E-08i</v>
      </c>
      <c r="AH483" s="31">
        <f t="shared" si="322"/>
        <v>2.27623467397318E-8</v>
      </c>
      <c r="AI483" s="31">
        <f t="shared" si="323"/>
        <v>1.5707963267948966</v>
      </c>
      <c r="AJ483" s="31" t="str">
        <f t="shared" si="309"/>
        <v>1+8105762022.95223i</v>
      </c>
      <c r="AK483" s="31">
        <f t="shared" si="324"/>
        <v>8105762022.9522305</v>
      </c>
      <c r="AL483" s="31">
        <f t="shared" si="325"/>
        <v>1.5707963266715277</v>
      </c>
      <c r="AM483" s="31" t="str">
        <f t="shared" si="310"/>
        <v>1+3698.53192304975i</v>
      </c>
      <c r="AN483" s="31">
        <f t="shared" si="326"/>
        <v>3698.532058238522</v>
      </c>
      <c r="AO483" s="31">
        <f t="shared" si="327"/>
        <v>1.5705259492514718</v>
      </c>
      <c r="AS483" s="58" t="str">
        <f t="shared" si="328"/>
        <v>49.271550929539+182232.4871609i</v>
      </c>
      <c r="AT483" s="49">
        <f t="shared" si="329"/>
        <v>105.2125163692391</v>
      </c>
      <c r="AU483" s="61">
        <f t="shared" si="330"/>
        <v>89.984508514955181</v>
      </c>
      <c r="AV483" s="58" t="str">
        <f t="shared" si="331"/>
        <v>-1885.50543873617-13036.1125427441i</v>
      </c>
      <c r="AW483" s="64">
        <f t="shared" si="332"/>
        <v>82.392878668798687</v>
      </c>
      <c r="AX483" s="61">
        <f t="shared" si="333"/>
        <v>-98.230021383217505</v>
      </c>
      <c r="AY483" s="310"/>
      <c r="BA483" s="31">
        <f t="shared" si="334"/>
        <v>0</v>
      </c>
      <c r="BB483" s="31">
        <f t="shared" si="335"/>
        <v>0</v>
      </c>
    </row>
    <row r="484" spans="14:54" x14ac:dyDescent="0.45">
      <c r="N484" s="10">
        <v>66</v>
      </c>
      <c r="O484" s="50">
        <f t="shared" ref="O484:O518" si="336">10^(5+(N484/100))</f>
        <v>457088.18961487547</v>
      </c>
      <c r="P484" s="48" t="str">
        <f t="shared" si="302"/>
        <v>17.4002386318441</v>
      </c>
      <c r="Q484" s="17" t="str">
        <f t="shared" si="303"/>
        <v>1+245.962148867756i</v>
      </c>
      <c r="R484" s="17">
        <f t="shared" si="311"/>
        <v>245.9641816924655</v>
      </c>
      <c r="S484" s="17">
        <f t="shared" si="312"/>
        <v>1.5667306829762142</v>
      </c>
      <c r="T484" s="17" t="str">
        <f t="shared" si="304"/>
        <v>1+0.861590939122051i</v>
      </c>
      <c r="U484" s="17">
        <f t="shared" si="313"/>
        <v>1.3199768734251436</v>
      </c>
      <c r="V484" s="17">
        <f t="shared" si="314"/>
        <v>0.7111848315715914</v>
      </c>
      <c r="W484" s="31" t="str">
        <f t="shared" si="305"/>
        <v>1-2.12564839402447i</v>
      </c>
      <c r="X484" s="17">
        <f t="shared" si="315"/>
        <v>2.3491234737703355</v>
      </c>
      <c r="Y484" s="17">
        <f t="shared" si="316"/>
        <v>-1.1310712704768995</v>
      </c>
      <c r="Z484" s="31" t="str">
        <f t="shared" si="306"/>
        <v>0.810494682008704+2.97284651890053i</v>
      </c>
      <c r="AA484" s="17">
        <f t="shared" si="317"/>
        <v>3.0813500376463874</v>
      </c>
      <c r="AB484" s="17">
        <f t="shared" si="318"/>
        <v>1.3046324589153826</v>
      </c>
      <c r="AC484" s="66" t="str">
        <f t="shared" si="319"/>
        <v>-0.0703935250417257+0.0106142403004594i</v>
      </c>
      <c r="AD484" s="64">
        <f t="shared" si="320"/>
        <v>-22.951710664245574</v>
      </c>
      <c r="AE484" s="61">
        <f t="shared" si="321"/>
        <v>171.42528969613593</v>
      </c>
      <c r="AF484" s="31" t="str">
        <f t="shared" si="307"/>
        <v>-9090.90909090909</v>
      </c>
      <c r="AG484" s="31" t="str">
        <f t="shared" si="308"/>
        <v>2.27623467397318E-08i</v>
      </c>
      <c r="AH484" s="31">
        <f t="shared" si="322"/>
        <v>2.27623467397318E-8</v>
      </c>
      <c r="AI484" s="31">
        <f t="shared" si="323"/>
        <v>1.5707963267948966</v>
      </c>
      <c r="AJ484" s="31" t="str">
        <f t="shared" si="309"/>
        <v>1+8294569475.18246i</v>
      </c>
      <c r="AK484" s="31">
        <f t="shared" si="324"/>
        <v>8294569475.1824598</v>
      </c>
      <c r="AL484" s="31">
        <f t="shared" si="325"/>
        <v>1.5707963266743359</v>
      </c>
      <c r="AM484" s="31" t="str">
        <f t="shared" si="310"/>
        <v>1+3784.68179858346i</v>
      </c>
      <c r="AN484" s="31">
        <f t="shared" si="326"/>
        <v>3784.681930694961</v>
      </c>
      <c r="AO484" s="31">
        <f t="shared" si="327"/>
        <v>1.5705321037954616</v>
      </c>
      <c r="AS484" s="58" t="str">
        <f t="shared" si="328"/>
        <v>48.1499935025657+182232.487160901i</v>
      </c>
      <c r="AT484" s="49">
        <f t="shared" si="329"/>
        <v>105.21251635494991</v>
      </c>
      <c r="AU484" s="61">
        <f t="shared" si="330"/>
        <v>89.984861144189722</v>
      </c>
      <c r="AV484" s="58" t="str">
        <f t="shared" si="331"/>
        <v>-1937.64885704957-12827.4760727753i</v>
      </c>
      <c r="AW484" s="64">
        <f t="shared" si="332"/>
        <v>82.260805690704316</v>
      </c>
      <c r="AX484" s="61">
        <f t="shared" si="333"/>
        <v>-98.589849159674387</v>
      </c>
      <c r="AY484" s="310"/>
      <c r="BA484" s="31">
        <f t="shared" si="334"/>
        <v>0</v>
      </c>
      <c r="BB484" s="31">
        <f t="shared" si="335"/>
        <v>0</v>
      </c>
    </row>
    <row r="485" spans="14:54" x14ac:dyDescent="0.45">
      <c r="N485" s="10">
        <v>67</v>
      </c>
      <c r="O485" s="50">
        <f t="shared" si="336"/>
        <v>467735.14128719864</v>
      </c>
      <c r="P485" s="48" t="str">
        <f t="shared" si="302"/>
        <v>17.4002386318441</v>
      </c>
      <c r="Q485" s="17" t="str">
        <f t="shared" si="303"/>
        <v>1+251.69134330269i</v>
      </c>
      <c r="R485" s="17">
        <f t="shared" si="311"/>
        <v>251.69332985502925</v>
      </c>
      <c r="S485" s="17">
        <f t="shared" si="312"/>
        <v>1.5668232273428742</v>
      </c>
      <c r="T485" s="17" t="str">
        <f t="shared" si="304"/>
        <v>1+0.881659970216188i</v>
      </c>
      <c r="U485" s="17">
        <f t="shared" si="313"/>
        <v>1.3331632694766271</v>
      </c>
      <c r="V485" s="17">
        <f t="shared" si="314"/>
        <v>0.72258959178433457</v>
      </c>
      <c r="W485" s="31" t="str">
        <f t="shared" si="305"/>
        <v>1-2.17516110565808i</v>
      </c>
      <c r="X485" s="17">
        <f t="shared" si="315"/>
        <v>2.3940187625763678</v>
      </c>
      <c r="Y485" s="17">
        <f t="shared" si="316"/>
        <v>-1.1398754507798705</v>
      </c>
      <c r="Z485" s="31" t="str">
        <f t="shared" si="306"/>
        <v>0.801563571523851+3.04209300991715i</v>
      </c>
      <c r="AA485" s="17">
        <f t="shared" si="317"/>
        <v>3.1459234002405174</v>
      </c>
      <c r="AB485" s="17">
        <f t="shared" si="318"/>
        <v>1.3131612777257138</v>
      </c>
      <c r="AC485" s="66" t="str">
        <f t="shared" si="319"/>
        <v>-0.0692886604352648+0.0108746936810735i</v>
      </c>
      <c r="AD485" s="64">
        <f t="shared" si="320"/>
        <v>-23.081075127882613</v>
      </c>
      <c r="AE485" s="61">
        <f t="shared" si="321"/>
        <v>171.0803242255613</v>
      </c>
      <c r="AF485" s="31" t="str">
        <f t="shared" si="307"/>
        <v>-9090.90909090909</v>
      </c>
      <c r="AG485" s="31" t="str">
        <f t="shared" si="308"/>
        <v>2.27623467397318E-08i</v>
      </c>
      <c r="AH485" s="31">
        <f t="shared" si="322"/>
        <v>2.27623467397318E-8</v>
      </c>
      <c r="AI485" s="31">
        <f t="shared" si="323"/>
        <v>1.5707963267948966</v>
      </c>
      <c r="AJ485" s="31" t="str">
        <f t="shared" si="309"/>
        <v>1+8487774817.94005i</v>
      </c>
      <c r="AK485" s="31">
        <f t="shared" si="324"/>
        <v>8487774817.9400501</v>
      </c>
      <c r="AL485" s="31">
        <f t="shared" si="325"/>
        <v>1.5707963266770801</v>
      </c>
      <c r="AM485" s="31" t="str">
        <f t="shared" si="310"/>
        <v>1+3872.83836250297i</v>
      </c>
      <c r="AN485" s="31">
        <f t="shared" si="326"/>
        <v>3872.8384916072455</v>
      </c>
      <c r="AO485" s="31">
        <f t="shared" si="327"/>
        <v>1.5705381182449458</v>
      </c>
      <c r="AS485" s="58" t="str">
        <f t="shared" si="328"/>
        <v>47.0539658394877+182232.4871609i</v>
      </c>
      <c r="AT485" s="49">
        <f t="shared" si="329"/>
        <v>105.21251634130374</v>
      </c>
      <c r="AU485" s="61">
        <f t="shared" si="330"/>
        <v>89.985205746604009</v>
      </c>
      <c r="AV485" s="58" t="str">
        <f t="shared" si="331"/>
        <v>-1984.98278287613-12626.1332257004i</v>
      </c>
      <c r="AW485" s="64">
        <f t="shared" si="332"/>
        <v>82.131441213421141</v>
      </c>
      <c r="AX485" s="61">
        <f t="shared" si="333"/>
        <v>-98.934470027834649</v>
      </c>
      <c r="AY485" s="310"/>
      <c r="BA485" s="31">
        <f t="shared" si="334"/>
        <v>0</v>
      </c>
      <c r="BB485" s="31">
        <f t="shared" si="335"/>
        <v>0</v>
      </c>
    </row>
    <row r="486" spans="14:54" x14ac:dyDescent="0.45">
      <c r="N486" s="10">
        <v>68</v>
      </c>
      <c r="O486" s="50">
        <f t="shared" si="336"/>
        <v>478630.09232263872</v>
      </c>
      <c r="P486" s="48" t="str">
        <f t="shared" si="302"/>
        <v>17.4002386318441</v>
      </c>
      <c r="Q486" s="17" t="str">
        <f t="shared" si="303"/>
        <v>1+257.553987819372i</v>
      </c>
      <c r="R486" s="17">
        <f t="shared" si="311"/>
        <v>257.55592915260411</v>
      </c>
      <c r="S486" s="17">
        <f t="shared" si="312"/>
        <v>1.5669136652083249</v>
      </c>
      <c r="T486" s="17" t="str">
        <f t="shared" si="304"/>
        <v>1+0.902196469096684i</v>
      </c>
      <c r="U486" s="17">
        <f t="shared" si="313"/>
        <v>1.346832754595211</v>
      </c>
      <c r="V486" s="17">
        <f t="shared" si="314"/>
        <v>0.7340272961114821</v>
      </c>
      <c r="W486" s="31" t="str">
        <f t="shared" si="305"/>
        <v>1-2.22582711650157i</v>
      </c>
      <c r="X486" s="17">
        <f t="shared" si="315"/>
        <v>2.4401447400827876</v>
      </c>
      <c r="Y486" s="17">
        <f t="shared" si="316"/>
        <v>-1.1485486439491122</v>
      </c>
      <c r="Z486" s="31" t="str">
        <f t="shared" si="306"/>
        <v>0.792211550769363+3.11295245891448i</v>
      </c>
      <c r="AA486" s="17">
        <f t="shared" si="317"/>
        <v>3.212175610491137</v>
      </c>
      <c r="AB486" s="17">
        <f t="shared" si="318"/>
        <v>1.3215973886702967</v>
      </c>
      <c r="AC486" s="66" t="str">
        <f t="shared" si="319"/>
        <v>-0.0682227796638463+0.0111105605726843i</v>
      </c>
      <c r="AD486" s="64">
        <f t="shared" si="320"/>
        <v>-23.20772740962143</v>
      </c>
      <c r="AE486" s="61">
        <f t="shared" si="321"/>
        <v>170.75018378669895</v>
      </c>
      <c r="AF486" s="31" t="str">
        <f t="shared" si="307"/>
        <v>-9090.90909090909</v>
      </c>
      <c r="AG486" s="31" t="str">
        <f t="shared" si="308"/>
        <v>2.27623467397318E-08i</v>
      </c>
      <c r="AH486" s="31">
        <f t="shared" si="322"/>
        <v>2.27623467397318E-8</v>
      </c>
      <c r="AI486" s="31">
        <f t="shared" si="323"/>
        <v>1.5707963267948966</v>
      </c>
      <c r="AJ486" s="31" t="str">
        <f t="shared" si="309"/>
        <v>1+8685480491.25512i</v>
      </c>
      <c r="AK486" s="31">
        <f t="shared" si="324"/>
        <v>8685480491.2551193</v>
      </c>
      <c r="AL486" s="31">
        <f t="shared" si="325"/>
        <v>1.570796326679762</v>
      </c>
      <c r="AM486" s="31" t="str">
        <f t="shared" si="310"/>
        <v>1+3963.04835658536i</v>
      </c>
      <c r="AN486" s="31">
        <f t="shared" si="326"/>
        <v>3963.048482750864</v>
      </c>
      <c r="AO486" s="31">
        <f t="shared" si="327"/>
        <v>1.5705439957888632</v>
      </c>
      <c r="AS486" s="58" t="str">
        <f t="shared" si="328"/>
        <v>45.9828868119305+182232.487160899i</v>
      </c>
      <c r="AT486" s="49">
        <f t="shared" si="329"/>
        <v>105.21251632827175</v>
      </c>
      <c r="AU486" s="61">
        <f t="shared" si="330"/>
        <v>89.98554250491074</v>
      </c>
      <c r="AV486" s="58" t="str">
        <f t="shared" si="331"/>
        <v>-2027.84216726736-12431.8959235235i</v>
      </c>
      <c r="AW486" s="64">
        <f t="shared" si="332"/>
        <v>82.004788918650334</v>
      </c>
      <c r="AX486" s="61">
        <f t="shared" si="333"/>
        <v>-99.264273708390306</v>
      </c>
      <c r="AY486" s="310"/>
      <c r="BA486" s="31">
        <f t="shared" si="334"/>
        <v>0</v>
      </c>
      <c r="BB486" s="31">
        <f t="shared" si="335"/>
        <v>0</v>
      </c>
    </row>
    <row r="487" spans="14:54" x14ac:dyDescent="0.45">
      <c r="N487" s="10">
        <v>69</v>
      </c>
      <c r="O487" s="50">
        <f t="shared" si="336"/>
        <v>489778.81936844654</v>
      </c>
      <c r="P487" s="48" t="str">
        <f t="shared" si="302"/>
        <v>17.4002386318441</v>
      </c>
      <c r="Q487" s="17" t="str">
        <f t="shared" si="303"/>
        <v>1+263.553190869526i</v>
      </c>
      <c r="R487" s="17">
        <f t="shared" si="311"/>
        <v>263.55508801294047</v>
      </c>
      <c r="S487" s="17">
        <f t="shared" si="312"/>
        <v>1.5670020445179991</v>
      </c>
      <c r="T487" s="17" t="str">
        <f t="shared" si="304"/>
        <v>1+0.923211324487078i</v>
      </c>
      <c r="U487" s="17">
        <f t="shared" si="313"/>
        <v>1.3609993202280393</v>
      </c>
      <c r="V487" s="17">
        <f t="shared" si="314"/>
        <v>0.74549203958683852</v>
      </c>
      <c r="W487" s="31" t="str">
        <f t="shared" si="305"/>
        <v>1-2.27767329034454i</v>
      </c>
      <c r="X487" s="17">
        <f t="shared" si="315"/>
        <v>2.4875280134199338</v>
      </c>
      <c r="Y487" s="17">
        <f t="shared" si="316"/>
        <v>-1.1570902281143234</v>
      </c>
      <c r="Z487" s="31" t="str">
        <f t="shared" si="306"/>
        <v>0.782418782855375+3.18546243651034i</v>
      </c>
      <c r="AA487" s="17">
        <f t="shared" si="317"/>
        <v>3.2801448270134776</v>
      </c>
      <c r="AB487" s="17">
        <f t="shared" si="318"/>
        <v>1.3299426178981029</v>
      </c>
      <c r="AC487" s="66" t="str">
        <f t="shared" si="319"/>
        <v>-0.0671948415603418+0.0113235931880586i</v>
      </c>
      <c r="AD487" s="64">
        <f t="shared" si="320"/>
        <v>-23.331666625500347</v>
      </c>
      <c r="AE487" s="61">
        <f t="shared" si="321"/>
        <v>170.43445830275144</v>
      </c>
      <c r="AF487" s="31" t="str">
        <f t="shared" si="307"/>
        <v>-9090.90909090909</v>
      </c>
      <c r="AG487" s="31" t="str">
        <f t="shared" si="308"/>
        <v>2.27623467397318E-08i</v>
      </c>
      <c r="AH487" s="31">
        <f t="shared" si="322"/>
        <v>2.27623467397318E-8</v>
      </c>
      <c r="AI487" s="31">
        <f t="shared" si="323"/>
        <v>1.5707963267948966</v>
      </c>
      <c r="AJ487" s="31" t="str">
        <f t="shared" si="309"/>
        <v>1+8887791321.29257i</v>
      </c>
      <c r="AK487" s="31">
        <f t="shared" si="324"/>
        <v>8887791321.2925701</v>
      </c>
      <c r="AL487" s="31">
        <f t="shared" si="325"/>
        <v>1.5707963266823828</v>
      </c>
      <c r="AM487" s="31" t="str">
        <f t="shared" si="310"/>
        <v>1+4055.35961136356i</v>
      </c>
      <c r="AN487" s="31">
        <f t="shared" si="326"/>
        <v>4055.3597346571864</v>
      </c>
      <c r="AO487" s="31">
        <f t="shared" si="327"/>
        <v>1.5705497395435639</v>
      </c>
      <c r="AS487" s="58" t="str">
        <f t="shared" si="328"/>
        <v>44.9361885196165+182232.487160899i</v>
      </c>
      <c r="AT487" s="49">
        <f t="shared" si="329"/>
        <v>105.21251631582635</v>
      </c>
      <c r="AU487" s="61">
        <f t="shared" si="330"/>
        <v>89.98587159766349</v>
      </c>
      <c r="AV487" s="58" t="str">
        <f t="shared" si="331"/>
        <v>-2066.54603032603-12244.5742628054i</v>
      </c>
      <c r="AW487" s="64">
        <f t="shared" si="332"/>
        <v>81.880849690325988</v>
      </c>
      <c r="AX487" s="61">
        <f t="shared" si="333"/>
        <v>-99.579670099585073</v>
      </c>
      <c r="AY487" s="310"/>
      <c r="BA487" s="31">
        <f t="shared" si="334"/>
        <v>0</v>
      </c>
      <c r="BB487" s="31">
        <f t="shared" si="335"/>
        <v>0</v>
      </c>
    </row>
    <row r="488" spans="14:54" x14ac:dyDescent="0.45">
      <c r="N488" s="10">
        <v>70</v>
      </c>
      <c r="O488" s="50">
        <f t="shared" si="336"/>
        <v>501187.23362727347</v>
      </c>
      <c r="P488" s="48" t="str">
        <f t="shared" si="302"/>
        <v>17.4002386318441</v>
      </c>
      <c r="Q488" s="17" t="str">
        <f t="shared" si="303"/>
        <v>1+269.692133310019i</v>
      </c>
      <c r="R488" s="17">
        <f t="shared" si="311"/>
        <v>269.69398726947747</v>
      </c>
      <c r="S488" s="17">
        <f t="shared" si="312"/>
        <v>1.5670884121262503</v>
      </c>
      <c r="T488" s="17" t="str">
        <f t="shared" si="304"/>
        <v>1+0.944715678741862i</v>
      </c>
      <c r="U488" s="17">
        <f t="shared" si="313"/>
        <v>1.3756771836665378</v>
      </c>
      <c r="V488" s="17">
        <f t="shared" si="314"/>
        <v>0.75697784652898403</v>
      </c>
      <c r="W488" s="31" t="str">
        <f t="shared" si="305"/>
        <v>1-2.33072711671461i</v>
      </c>
      <c r="X488" s="17">
        <f t="shared" si="315"/>
        <v>2.5361957520248311</v>
      </c>
      <c r="Y488" s="17">
        <f t="shared" si="316"/>
        <v>-1.1654997456316534</v>
      </c>
      <c r="Z488" s="31" t="str">
        <f t="shared" si="306"/>
        <v>0.7721644960082+3.25966138845461i</v>
      </c>
      <c r="AA488" s="17">
        <f t="shared" si="317"/>
        <v>3.3498702029000222</v>
      </c>
      <c r="AB488" s="17">
        <f t="shared" si="318"/>
        <v>1.3381988828543141</v>
      </c>
      <c r="AC488" s="66" t="str">
        <f t="shared" si="319"/>
        <v>-0.0662037983572093+0.011515458740192i</v>
      </c>
      <c r="AD488" s="64">
        <f t="shared" si="320"/>
        <v>-23.452894688481454</v>
      </c>
      <c r="AE488" s="61">
        <f t="shared" si="321"/>
        <v>170.13271906738206</v>
      </c>
      <c r="AF488" s="31" t="str">
        <f t="shared" si="307"/>
        <v>-9090.90909090909</v>
      </c>
      <c r="AG488" s="31" t="str">
        <f t="shared" si="308"/>
        <v>2.27623467397318E-08i</v>
      </c>
      <c r="AH488" s="31">
        <f t="shared" si="322"/>
        <v>2.27623467397318E-8</v>
      </c>
      <c r="AI488" s="31">
        <f t="shared" si="323"/>
        <v>1.5707963267948966</v>
      </c>
      <c r="AJ488" s="31" t="str">
        <f t="shared" si="309"/>
        <v>1+9094814575.93241i</v>
      </c>
      <c r="AK488" s="31">
        <f t="shared" si="324"/>
        <v>9094814575.9324093</v>
      </c>
      <c r="AL488" s="31">
        <f t="shared" si="325"/>
        <v>1.5707963266849438</v>
      </c>
      <c r="AM488" s="31" t="str">
        <f t="shared" si="310"/>
        <v>1+4149.82107148675i</v>
      </c>
      <c r="AN488" s="31">
        <f t="shared" si="326"/>
        <v>4149.8211919738706</v>
      </c>
      <c r="AO488" s="31">
        <f t="shared" si="327"/>
        <v>1.5705553525544613</v>
      </c>
      <c r="AS488" s="58" t="str">
        <f t="shared" si="328"/>
        <v>43.9133159892565+182232.4871609i</v>
      </c>
      <c r="AT488" s="49">
        <f t="shared" si="329"/>
        <v>105.21251630394111</v>
      </c>
      <c r="AU488" s="61">
        <f t="shared" si="330"/>
        <v>89.986193199351519</v>
      </c>
      <c r="AV488" s="58" t="str">
        <f t="shared" si="331"/>
        <v>-2101.39791534086-12063.9771521545i</v>
      </c>
      <c r="AW488" s="64">
        <f t="shared" si="332"/>
        <v>81.75962161545965</v>
      </c>
      <c r="AX488" s="61">
        <f t="shared" si="333"/>
        <v>-99.88108773326644</v>
      </c>
      <c r="AY488" s="310"/>
      <c r="BA488" s="31">
        <f t="shared" si="334"/>
        <v>0</v>
      </c>
      <c r="BB488" s="31">
        <f t="shared" si="335"/>
        <v>0</v>
      </c>
    </row>
    <row r="489" spans="14:54" x14ac:dyDescent="0.45">
      <c r="N489" s="10">
        <v>71</v>
      </c>
      <c r="O489" s="50">
        <f t="shared" si="336"/>
        <v>512861.38399136515</v>
      </c>
      <c r="P489" s="48" t="str">
        <f t="shared" si="302"/>
        <v>17.4002386318441</v>
      </c>
      <c r="Q489" s="17" t="str">
        <f t="shared" si="303"/>
        <v>1+275.974070089388i</v>
      </c>
      <c r="R489" s="17">
        <f t="shared" si="311"/>
        <v>275.97588184785724</v>
      </c>
      <c r="S489" s="17">
        <f t="shared" si="312"/>
        <v>1.5671728138211711</v>
      </c>
      <c r="T489" s="17" t="str">
        <f t="shared" si="304"/>
        <v>1+0.9667209337543i</v>
      </c>
      <c r="U489" s="17">
        <f t="shared" si="313"/>
        <v>1.3908807870406386</v>
      </c>
      <c r="V489" s="17">
        <f t="shared" si="314"/>
        <v>0.76847868589112478</v>
      </c>
      <c r="W489" s="31" t="str">
        <f t="shared" si="305"/>
        <v>1-2.38501672545278i</v>
      </c>
      <c r="X489" s="17">
        <f t="shared" si="315"/>
        <v>2.5861757056877437</v>
      </c>
      <c r="Y489" s="17">
        <f t="shared" si="316"/>
        <v>-1.1737768965208866</v>
      </c>
      <c r="Z489" s="31" t="str">
        <f t="shared" si="306"/>
        <v>0.761426939510624+3.33558865601374i</v>
      </c>
      <c r="AA489" s="17">
        <f t="shared" si="317"/>
        <v>3.4213919194298783</v>
      </c>
      <c r="AB489" s="17">
        <f t="shared" si="318"/>
        <v>1.3463681867762614</v>
      </c>
      <c r="AC489" s="66" t="str">
        <f t="shared" si="319"/>
        <v>-0.065248598926194+0.0116877420351513i</v>
      </c>
      <c r="AD489" s="64">
        <f t="shared" si="320"/>
        <v>-23.571416300665888</v>
      </c>
      <c r="AE489" s="61">
        <f t="shared" si="321"/>
        <v>169.84452031415461</v>
      </c>
      <c r="AF489" s="31" t="str">
        <f t="shared" si="307"/>
        <v>-9090.90909090909</v>
      </c>
      <c r="AG489" s="31" t="str">
        <f t="shared" si="308"/>
        <v>2.27623467397318E-08i</v>
      </c>
      <c r="AH489" s="31">
        <f t="shared" si="322"/>
        <v>2.27623467397318E-8</v>
      </c>
      <c r="AI489" s="31">
        <f t="shared" si="323"/>
        <v>1.5707963267948966</v>
      </c>
      <c r="AJ489" s="31" t="str">
        <f t="shared" si="309"/>
        <v>1+9306660021.64446i</v>
      </c>
      <c r="AK489" s="31">
        <f t="shared" si="324"/>
        <v>9306660021.6444607</v>
      </c>
      <c r="AL489" s="31">
        <f t="shared" si="325"/>
        <v>1.5707963266874467</v>
      </c>
      <c r="AM489" s="31" t="str">
        <f t="shared" si="310"/>
        <v>1+4246.48282167138i</v>
      </c>
      <c r="AN489" s="31">
        <f t="shared" si="326"/>
        <v>4246.4829394158796</v>
      </c>
      <c r="AO489" s="31">
        <f t="shared" si="327"/>
        <v>1.5705608377976465</v>
      </c>
      <c r="AS489" s="58" t="str">
        <f t="shared" si="328"/>
        <v>42.9137268802954+182232.487160899i</v>
      </c>
      <c r="AT489" s="49">
        <f t="shared" si="329"/>
        <v>105.21251629259072</v>
      </c>
      <c r="AU489" s="61">
        <f t="shared" si="330"/>
        <v>89.986507480492236</v>
      </c>
      <c r="AV489" s="58" t="str">
        <f t="shared" si="331"/>
        <v>-2132.68636091425-11889.9129015148i</v>
      </c>
      <c r="AW489" s="64">
        <f t="shared" si="332"/>
        <v>81.641099991924875</v>
      </c>
      <c r="AX489" s="61">
        <f t="shared" si="333"/>
        <v>-100.16897220535311</v>
      </c>
      <c r="AY489" s="310"/>
      <c r="BA489" s="31">
        <f t="shared" si="334"/>
        <v>0</v>
      </c>
      <c r="BB489" s="31">
        <f t="shared" si="335"/>
        <v>0</v>
      </c>
    </row>
    <row r="490" spans="14:54" x14ac:dyDescent="0.45">
      <c r="N490" s="10">
        <v>72</v>
      </c>
      <c r="O490" s="50">
        <f t="shared" si="336"/>
        <v>524807.46024977288</v>
      </c>
      <c r="P490" s="48" t="str">
        <f t="shared" si="302"/>
        <v>17.4002386318441</v>
      </c>
      <c r="Q490" s="17" t="str">
        <f t="shared" si="303"/>
        <v>1+282.402331973669i</v>
      </c>
      <c r="R490" s="17">
        <f t="shared" si="311"/>
        <v>282.40410249174209</v>
      </c>
      <c r="S490" s="17">
        <f t="shared" si="312"/>
        <v>1.5672552943488445</v>
      </c>
      <c r="T490" s="17" t="str">
        <f t="shared" si="304"/>
        <v>1+0.989238757001884i</v>
      </c>
      <c r="U490" s="17">
        <f t="shared" si="313"/>
        <v>1.406624796580322</v>
      </c>
      <c r="V490" s="17">
        <f t="shared" si="314"/>
        <v>0.77998848696441792</v>
      </c>
      <c r="W490" s="31" t="str">
        <f t="shared" si="305"/>
        <v>1-2.44057090162823i</v>
      </c>
      <c r="X490" s="17">
        <f t="shared" si="315"/>
        <v>2.6374962229118797</v>
      </c>
      <c r="Y490" s="17">
        <f t="shared" si="316"/>
        <v>-1.1819215317634879</v>
      </c>
      <c r="Z490" s="31" t="str">
        <f t="shared" si="306"/>
        <v>0.750183337565699+3.41328449683005i</v>
      </c>
      <c r="AA490" s="17">
        <f t="shared" si="317"/>
        <v>3.4947512209399938</v>
      </c>
      <c r="AB490" s="17">
        <f t="shared" si="318"/>
        <v>1.3544526133836567</v>
      </c>
      <c r="AC490" s="66" t="str">
        <f t="shared" si="319"/>
        <v>-0.0643281917590744+0.0118419481415314i</v>
      </c>
      <c r="AD490" s="64">
        <f t="shared" si="320"/>
        <v>-23.687238938344784</v>
      </c>
      <c r="AE490" s="61">
        <f t="shared" si="321"/>
        <v>169.56940080310028</v>
      </c>
      <c r="AF490" s="31" t="str">
        <f t="shared" si="307"/>
        <v>-9090.90909090909</v>
      </c>
      <c r="AG490" s="31" t="str">
        <f t="shared" si="308"/>
        <v>2.27623467397318E-08i</v>
      </c>
      <c r="AH490" s="31">
        <f t="shared" si="322"/>
        <v>2.27623467397318E-8</v>
      </c>
      <c r="AI490" s="31">
        <f t="shared" si="323"/>
        <v>1.5707963267948966</v>
      </c>
      <c r="AJ490" s="31" t="str">
        <f t="shared" si="309"/>
        <v>1+9523439981.68825i</v>
      </c>
      <c r="AK490" s="31">
        <f t="shared" si="324"/>
        <v>9523439981.6882496</v>
      </c>
      <c r="AL490" s="31">
        <f t="shared" si="325"/>
        <v>1.5707963266898926</v>
      </c>
      <c r="AM490" s="31" t="str">
        <f t="shared" si="310"/>
        <v>1+4345.39611325694i</v>
      </c>
      <c r="AN490" s="31">
        <f t="shared" si="326"/>
        <v>4345.3962283212468</v>
      </c>
      <c r="AO490" s="31">
        <f t="shared" si="327"/>
        <v>1.5705661981814669</v>
      </c>
      <c r="AS490" s="58" t="str">
        <f t="shared" si="328"/>
        <v>41.9368911973564+182232.487160899i</v>
      </c>
      <c r="AT490" s="49">
        <f t="shared" si="329"/>
        <v>105.21251628175122</v>
      </c>
      <c r="AU490" s="61">
        <f t="shared" si="330"/>
        <v>89.98681460772157</v>
      </c>
      <c r="AV490" s="58" t="str">
        <f t="shared" si="331"/>
        <v>-2160.68538704038-11722.1897643286i</v>
      </c>
      <c r="AW490" s="64">
        <f t="shared" si="332"/>
        <v>81.525277343406444</v>
      </c>
      <c r="AX490" s="61">
        <f t="shared" si="333"/>
        <v>-100.44378458917819</v>
      </c>
      <c r="AY490" s="310"/>
      <c r="BA490" s="31">
        <f t="shared" si="334"/>
        <v>0</v>
      </c>
      <c r="BB490" s="31">
        <f t="shared" si="335"/>
        <v>0</v>
      </c>
    </row>
    <row r="491" spans="14:54" x14ac:dyDescent="0.45">
      <c r="N491" s="10">
        <v>73</v>
      </c>
      <c r="O491" s="50">
        <f t="shared" si="336"/>
        <v>537031.7963702539</v>
      </c>
      <c r="P491" s="48" t="str">
        <f t="shared" si="302"/>
        <v>17.4002386318441</v>
      </c>
      <c r="Q491" s="17" t="str">
        <f t="shared" si="303"/>
        <v>1+288.980327312399i</v>
      </c>
      <c r="R491" s="17">
        <f t="shared" si="311"/>
        <v>288.98205752880455</v>
      </c>
      <c r="S491" s="17">
        <f t="shared" si="312"/>
        <v>1.5673358974370462</v>
      </c>
      <c r="T491" s="17" t="str">
        <f t="shared" si="304"/>
        <v>1+1.01228108773255i</v>
      </c>
      <c r="U491" s="17">
        <f t="shared" si="313"/>
        <v>1.4229241021857051</v>
      </c>
      <c r="V491" s="17">
        <f t="shared" si="314"/>
        <v>0.79150115533587651</v>
      </c>
      <c r="W491" s="31" t="str">
        <f t="shared" si="305"/>
        <v>1-2.49741910080049i</v>
      </c>
      <c r="X491" s="17">
        <f t="shared" si="315"/>
        <v>2.6901862695811842</v>
      </c>
      <c r="Y491" s="17">
        <f t="shared" si="316"/>
        <v>-1.1899336465036674</v>
      </c>
      <c r="Z491" s="31" t="str">
        <f t="shared" si="306"/>
        <v>0.738409840986249+3.49279010626673i</v>
      </c>
      <c r="AA491" s="17">
        <f t="shared" si="317"/>
        <v>3.5699904509256171</v>
      </c>
      <c r="AB491" s="17">
        <f t="shared" si="318"/>
        <v>1.3624543217693732</v>
      </c>
      <c r="AC491" s="66" t="str">
        <f t="shared" si="319"/>
        <v>-0.0634415276966781+0.0119795051160267i</v>
      </c>
      <c r="AD491" s="64">
        <f t="shared" si="320"/>
        <v>-23.800372829712231</v>
      </c>
      <c r="AE491" s="61">
        <f t="shared" si="321"/>
        <v>169.30688541596598</v>
      </c>
      <c r="AF491" s="31" t="str">
        <f t="shared" si="307"/>
        <v>-9090.90909090909</v>
      </c>
      <c r="AG491" s="31" t="str">
        <f t="shared" si="308"/>
        <v>2.27623467397318E-08i</v>
      </c>
      <c r="AH491" s="31">
        <f t="shared" si="322"/>
        <v>2.27623467397318E-8</v>
      </c>
      <c r="AI491" s="31">
        <f t="shared" si="323"/>
        <v>1.5707963267948966</v>
      </c>
      <c r="AJ491" s="31" t="str">
        <f t="shared" si="309"/>
        <v>1+9745269395.66795i</v>
      </c>
      <c r="AK491" s="31">
        <f t="shared" si="324"/>
        <v>9745269395.6679497</v>
      </c>
      <c r="AL491" s="31">
        <f t="shared" si="325"/>
        <v>1.5707963266922826</v>
      </c>
      <c r="AM491" s="31" t="str">
        <f t="shared" si="310"/>
        <v>1+4446.61339137985i</v>
      </c>
      <c r="AN491" s="31">
        <f t="shared" si="326"/>
        <v>4446.613503824974</v>
      </c>
      <c r="AO491" s="31">
        <f t="shared" si="327"/>
        <v>1.5705714365480674</v>
      </c>
      <c r="AS491" s="58" t="str">
        <f t="shared" si="328"/>
        <v>40.9822910092309+182232.487160898i</v>
      </c>
      <c r="AT491" s="49">
        <f t="shared" si="329"/>
        <v>105.21251627139954</v>
      </c>
      <c r="AU491" s="61">
        <f t="shared" si="330"/>
        <v>89.987114743882373</v>
      </c>
      <c r="AV491" s="58" t="str">
        <f t="shared" si="331"/>
        <v>-2185.65499140038-11560.6164338878i</v>
      </c>
      <c r="AW491" s="64">
        <f t="shared" si="332"/>
        <v>81.412143441687277</v>
      </c>
      <c r="AX491" s="61">
        <f t="shared" si="333"/>
        <v>-100.70599984015168</v>
      </c>
      <c r="AY491" s="310"/>
      <c r="BA491" s="31">
        <f t="shared" si="334"/>
        <v>0</v>
      </c>
      <c r="BB491" s="31">
        <f t="shared" si="335"/>
        <v>0</v>
      </c>
    </row>
    <row r="492" spans="14:54" x14ac:dyDescent="0.45">
      <c r="N492" s="10">
        <v>74</v>
      </c>
      <c r="O492" s="50">
        <f t="shared" si="336"/>
        <v>549540.87385762564</v>
      </c>
      <c r="P492" s="48" t="str">
        <f t="shared" si="302"/>
        <v>17.4002386318441</v>
      </c>
      <c r="Q492" s="17" t="str">
        <f t="shared" si="303"/>
        <v>1+295.711543845776i</v>
      </c>
      <c r="R492" s="17">
        <f t="shared" si="311"/>
        <v>295.71323467787556</v>
      </c>
      <c r="S492" s="17">
        <f t="shared" si="312"/>
        <v>1.5674146658184092</v>
      </c>
      <c r="T492" s="17" t="str">
        <f t="shared" si="304"/>
        <v>1+1.03586014329506i</v>
      </c>
      <c r="U492" s="17">
        <f t="shared" si="313"/>
        <v>1.4397938173458249</v>
      </c>
      <c r="V492" s="17">
        <f t="shared" si="314"/>
        <v>0.80301058899903521</v>
      </c>
      <c r="W492" s="31" t="str">
        <f t="shared" si="305"/>
        <v>1-2.55559146463724i</v>
      </c>
      <c r="X492" s="17">
        <f t="shared" si="315"/>
        <v>2.74427544793279</v>
      </c>
      <c r="Y492" s="17">
        <f t="shared" si="316"/>
        <v>-1.1978133731918414</v>
      </c>
      <c r="Z492" s="31" t="str">
        <f t="shared" si="306"/>
        <v>0.726081476607526+3.57414763925029i</v>
      </c>
      <c r="AA492" s="17">
        <f t="shared" si="317"/>
        <v>3.6471530894426394</v>
      </c>
      <c r="AB492" s="17">
        <f t="shared" si="318"/>
        <v>1.3703755414953211</v>
      </c>
      <c r="AC492" s="66" t="str">
        <f t="shared" si="319"/>
        <v>-0.0625875624144381+0.0121017667662846i</v>
      </c>
      <c r="AD492" s="64">
        <f t="shared" si="320"/>
        <v>-23.910830925129464</v>
      </c>
      <c r="AE492" s="61">
        <f t="shared" si="321"/>
        <v>169.05648675179805</v>
      </c>
      <c r="AF492" s="31" t="str">
        <f t="shared" si="307"/>
        <v>-9090.90909090909</v>
      </c>
      <c r="AG492" s="31" t="str">
        <f t="shared" si="308"/>
        <v>2.27623467397318E-08i</v>
      </c>
      <c r="AH492" s="31">
        <f t="shared" si="322"/>
        <v>2.27623467397318E-8</v>
      </c>
      <c r="AI492" s="31">
        <f t="shared" si="323"/>
        <v>1.5707963267948966</v>
      </c>
      <c r="AJ492" s="31" t="str">
        <f t="shared" si="309"/>
        <v>1+9972265880.47509i</v>
      </c>
      <c r="AK492" s="31">
        <f t="shared" si="324"/>
        <v>9972265880.47509</v>
      </c>
      <c r="AL492" s="31">
        <f t="shared" si="325"/>
        <v>1.5707963266946185</v>
      </c>
      <c r="AM492" s="31" t="str">
        <f t="shared" si="310"/>
        <v>1+4550.18832278076i</v>
      </c>
      <c r="AN492" s="31">
        <f t="shared" si="326"/>
        <v>4550.1884326663212</v>
      </c>
      <c r="AO492" s="31">
        <f t="shared" si="327"/>
        <v>1.5705765556748985</v>
      </c>
      <c r="AS492" s="58" t="str">
        <f t="shared" si="328"/>
        <v>40.0494201742631+182232.487160898i</v>
      </c>
      <c r="AT492" s="49">
        <f t="shared" si="329"/>
        <v>105.2125162615138</v>
      </c>
      <c r="AU492" s="61">
        <f t="shared" si="330"/>
        <v>89.987408048110751</v>
      </c>
      <c r="AV492" s="58" t="str">
        <f t="shared" si="331"/>
        <v>-2207.84165244596-11405.0024953789i</v>
      </c>
      <c r="AW492" s="64">
        <f t="shared" si="332"/>
        <v>81.301685336384324</v>
      </c>
      <c r="AX492" s="61">
        <f t="shared" si="333"/>
        <v>-100.9561052000912</v>
      </c>
      <c r="AY492" s="310"/>
      <c r="BA492" s="31">
        <f t="shared" si="334"/>
        <v>0</v>
      </c>
      <c r="BB492" s="31">
        <f t="shared" si="335"/>
        <v>0</v>
      </c>
    </row>
    <row r="493" spans="14:54" x14ac:dyDescent="0.45">
      <c r="N493" s="10">
        <v>75</v>
      </c>
      <c r="O493" s="50">
        <f t="shared" si="336"/>
        <v>562341.32519035018</v>
      </c>
      <c r="P493" s="48" t="str">
        <f t="shared" si="302"/>
        <v>17.4002386318441</v>
      </c>
      <c r="Q493" s="17" t="str">
        <f t="shared" si="303"/>
        <v>1+302.599550553907i</v>
      </c>
      <c r="R493" s="17">
        <f t="shared" si="311"/>
        <v>302.60120289818167</v>
      </c>
      <c r="S493" s="17">
        <f t="shared" si="312"/>
        <v>1.5674916412530597</v>
      </c>
      <c r="T493" s="17" t="str">
        <f t="shared" si="304"/>
        <v>1+1.05998842561677i</v>
      </c>
      <c r="U493" s="17">
        <f t="shared" si="313"/>
        <v>1.4572492794445013</v>
      </c>
      <c r="V493" s="17">
        <f t="shared" si="314"/>
        <v>0.81451069451359437</v>
      </c>
      <c r="W493" s="31" t="str">
        <f t="shared" si="305"/>
        <v>1-2.6151188368958i</v>
      </c>
      <c r="X493" s="17">
        <f t="shared" si="315"/>
        <v>2.7997940158317434</v>
      </c>
      <c r="Y493" s="17">
        <f t="shared" si="316"/>
        <v>-1.205560974706924</v>
      </c>
      <c r="Z493" s="31" t="str">
        <f t="shared" si="306"/>
        <v>0.713172094315792+3.65740023262163i</v>
      </c>
      <c r="AA493" s="17">
        <f t="shared" si="317"/>
        <v>3.7262837918885787</v>
      </c>
      <c r="AB493" s="17">
        <f t="shared" si="318"/>
        <v>1.3782185678961936</v>
      </c>
      <c r="AC493" s="66" t="str">
        <f t="shared" si="319"/>
        <v>-0.0617652586736408+0.0122100154338781i</v>
      </c>
      <c r="AD493" s="64">
        <f t="shared" si="320"/>
        <v>-24.018628859891567</v>
      </c>
      <c r="AE493" s="61">
        <f t="shared" si="321"/>
        <v>168.81770671466273</v>
      </c>
      <c r="AF493" s="31" t="str">
        <f t="shared" si="307"/>
        <v>-9090.90909090909</v>
      </c>
      <c r="AG493" s="31" t="str">
        <f t="shared" si="308"/>
        <v>2.27623467397318E-08i</v>
      </c>
      <c r="AH493" s="31">
        <f t="shared" si="322"/>
        <v>2.27623467397318E-8</v>
      </c>
      <c r="AI493" s="31">
        <f t="shared" si="323"/>
        <v>1.5707963267948966</v>
      </c>
      <c r="AJ493" s="31" t="str">
        <f t="shared" si="309"/>
        <v>1+10204549792.6507i</v>
      </c>
      <c r="AK493" s="31">
        <f t="shared" si="324"/>
        <v>10204549792.6507</v>
      </c>
      <c r="AL493" s="31">
        <f t="shared" si="325"/>
        <v>1.5707963266969012</v>
      </c>
      <c r="AM493" s="31" t="str">
        <f t="shared" si="310"/>
        <v>1+4656.17582425928i</v>
      </c>
      <c r="AN493" s="31">
        <f t="shared" si="326"/>
        <v>4656.17593164354</v>
      </c>
      <c r="AO493" s="31">
        <f t="shared" si="327"/>
        <v>1.5705815582761877</v>
      </c>
      <c r="AS493" s="58" t="str">
        <f t="shared" si="328"/>
        <v>39.1377840719883+182232.487160898i</v>
      </c>
      <c r="AT493" s="49">
        <f t="shared" si="329"/>
        <v>105.21251625207299</v>
      </c>
      <c r="AU493" s="61">
        <f t="shared" si="330"/>
        <v>89.987694675920423</v>
      </c>
      <c r="AV493" s="58" t="str">
        <f t="shared" si="331"/>
        <v>-2227.47883614568-11255.1588352862i</v>
      </c>
      <c r="AW493" s="64">
        <f t="shared" si="332"/>
        <v>81.193887392181395</v>
      </c>
      <c r="AX493" s="61">
        <f t="shared" si="333"/>
        <v>-101.19459860941687</v>
      </c>
      <c r="AY493" s="310"/>
      <c r="BA493" s="31">
        <f t="shared" si="334"/>
        <v>0</v>
      </c>
      <c r="BB493" s="31">
        <f t="shared" si="335"/>
        <v>0</v>
      </c>
    </row>
    <row r="494" spans="14:54" x14ac:dyDescent="0.45">
      <c r="N494" s="10">
        <v>76</v>
      </c>
      <c r="O494" s="50">
        <f t="shared" si="336"/>
        <v>575439.93733715697</v>
      </c>
      <c r="P494" s="48" t="str">
        <f t="shared" si="302"/>
        <v>17.4002386318441</v>
      </c>
      <c r="Q494" s="17" t="str">
        <f t="shared" si="303"/>
        <v>1+309.647999549118i</v>
      </c>
      <c r="R494" s="17">
        <f t="shared" si="311"/>
        <v>309.64961428164349</v>
      </c>
      <c r="S494" s="17">
        <f t="shared" si="312"/>
        <v>1.5675668645507412</v>
      </c>
      <c r="T494" s="17" t="str">
        <f t="shared" si="304"/>
        <v>1+1.08467872783235i</v>
      </c>
      <c r="U494" s="17">
        <f t="shared" si="313"/>
        <v>1.4753060504898654</v>
      </c>
      <c r="V494" s="17">
        <f t="shared" si="314"/>
        <v>0.82599540310980835</v>
      </c>
      <c r="W494" s="31" t="str">
        <f t="shared" si="305"/>
        <v>1-2.67603277977687i</v>
      </c>
      <c r="X494" s="17">
        <f t="shared" si="315"/>
        <v>2.8567729063473566</v>
      </c>
      <c r="Y494" s="17">
        <f t="shared" si="316"/>
        <v>-1.2131768374910086</v>
      </c>
      <c r="Z494" s="31" t="str">
        <f t="shared" si="306"/>
        <v>0.699654311580415+3.74259202800771i</v>
      </c>
      <c r="AA494" s="17">
        <f t="shared" si="317"/>
        <v>3.8074284292445899</v>
      </c>
      <c r="AB494" s="17">
        <f t="shared" si="318"/>
        <v>1.3859857575924253</v>
      </c>
      <c r="AC494" s="66" t="str">
        <f t="shared" si="319"/>
        <v>-0.0609735883481886+0.0123054647818408i</v>
      </c>
      <c r="AD494" s="64">
        <f t="shared" si="320"/>
        <v>-24.123784909518029</v>
      </c>
      <c r="AE494" s="61">
        <f t="shared" si="321"/>
        <v>168.59003808553484</v>
      </c>
      <c r="AF494" s="31" t="str">
        <f t="shared" si="307"/>
        <v>-9090.90909090909</v>
      </c>
      <c r="AG494" s="31" t="str">
        <f t="shared" si="308"/>
        <v>2.27623467397318E-08i</v>
      </c>
      <c r="AH494" s="31">
        <f t="shared" si="322"/>
        <v>2.27623467397318E-8</v>
      </c>
      <c r="AI494" s="31">
        <f t="shared" si="323"/>
        <v>1.5707963267948966</v>
      </c>
      <c r="AJ494" s="31" t="str">
        <f t="shared" si="309"/>
        <v>1+10442244292.1994i</v>
      </c>
      <c r="AK494" s="31">
        <f t="shared" si="324"/>
        <v>10442244292.1994</v>
      </c>
      <c r="AL494" s="31">
        <f t="shared" si="325"/>
        <v>1.5707963266991318</v>
      </c>
      <c r="AM494" s="31" t="str">
        <f t="shared" si="310"/>
        <v>1+4764.63209179157i</v>
      </c>
      <c r="AN494" s="31">
        <f t="shared" si="326"/>
        <v>4764.6321967314652</v>
      </c>
      <c r="AO494" s="31">
        <f t="shared" si="327"/>
        <v>1.5705864470043793</v>
      </c>
      <c r="AS494" s="58" t="str">
        <f t="shared" si="328"/>
        <v>38.2468993408786+182232.487160898i</v>
      </c>
      <c r="AT494" s="49">
        <f t="shared" si="329"/>
        <v>105.21251624305708</v>
      </c>
      <c r="AU494" s="61">
        <f t="shared" si="330"/>
        <v>89.987974779285196</v>
      </c>
      <c r="AV494" s="58" t="str">
        <f t="shared" si="331"/>
        <v>-2244.78750356169-11110.8980099423i</v>
      </c>
      <c r="AW494" s="64">
        <f t="shared" si="332"/>
        <v>81.088731333539044</v>
      </c>
      <c r="AX494" s="61">
        <f t="shared" si="333"/>
        <v>-101.42198713517993</v>
      </c>
      <c r="AY494" s="310"/>
      <c r="BA494" s="31">
        <f t="shared" si="334"/>
        <v>0</v>
      </c>
      <c r="BB494" s="31">
        <f t="shared" si="335"/>
        <v>0</v>
      </c>
    </row>
    <row r="495" spans="14:54" x14ac:dyDescent="0.45">
      <c r="N495" s="10">
        <v>77</v>
      </c>
      <c r="O495" s="50">
        <f t="shared" si="336"/>
        <v>588843.65535558888</v>
      </c>
      <c r="P495" s="48" t="str">
        <f t="shared" si="302"/>
        <v>17.4002386318441</v>
      </c>
      <c r="Q495" s="17" t="str">
        <f t="shared" si="303"/>
        <v>1+316.860628012366i</v>
      </c>
      <c r="R495" s="17">
        <f t="shared" si="311"/>
        <v>316.86220598927696</v>
      </c>
      <c r="S495" s="17">
        <f t="shared" si="312"/>
        <v>1.5676403755924346</v>
      </c>
      <c r="T495" s="17" t="str">
        <f t="shared" si="304"/>
        <v>1+1.10994414106685i</v>
      </c>
      <c r="U495" s="17">
        <f t="shared" si="313"/>
        <v>1.4939799183016576</v>
      </c>
      <c r="V495" s="17">
        <f t="shared" si="314"/>
        <v>0.83745868663392231</v>
      </c>
      <c r="W495" s="31" t="str">
        <f t="shared" si="305"/>
        <v>1-2.73836559065925i</v>
      </c>
      <c r="X495" s="17">
        <f t="shared" si="315"/>
        <v>2.9152437476318478</v>
      </c>
      <c r="Y495" s="17">
        <f t="shared" si="316"/>
        <v>-1.2206614647270571</v>
      </c>
      <c r="Z495" s="31" t="str">
        <f t="shared" si="306"/>
        <v>0.685499455371853+3.82976819522611i</v>
      </c>
      <c r="AA495" s="17">
        <f t="shared" si="317"/>
        <v>3.8906341298663079</v>
      </c>
      <c r="AB495" s="17">
        <f t="shared" si="318"/>
        <v>1.3936795242123019</v>
      </c>
      <c r="AC495" s="66" t="str">
        <f t="shared" si="319"/>
        <v>-0.0602115342371971+0.0123892625727827i</v>
      </c>
      <c r="AD495" s="64">
        <f t="shared" si="320"/>
        <v>-24.226319937660655</v>
      </c>
      <c r="AE495" s="61">
        <f t="shared" si="321"/>
        <v>168.37296607065991</v>
      </c>
      <c r="AF495" s="31" t="str">
        <f t="shared" si="307"/>
        <v>-9090.90909090909</v>
      </c>
      <c r="AG495" s="31" t="str">
        <f t="shared" si="308"/>
        <v>2.27623467397318E-08i</v>
      </c>
      <c r="AH495" s="31">
        <f t="shared" si="322"/>
        <v>2.27623467397318E-8</v>
      </c>
      <c r="AI495" s="31">
        <f t="shared" si="323"/>
        <v>1.5707963267948966</v>
      </c>
      <c r="AJ495" s="31" t="str">
        <f t="shared" si="309"/>
        <v>1+10685475407.8914i</v>
      </c>
      <c r="AK495" s="31">
        <f t="shared" si="324"/>
        <v>10685475407.891399</v>
      </c>
      <c r="AL495" s="31">
        <f t="shared" si="325"/>
        <v>1.5707963267013116</v>
      </c>
      <c r="AM495" s="31" t="str">
        <f t="shared" si="310"/>
        <v>1+4875.61463032631i</v>
      </c>
      <c r="AN495" s="31">
        <f t="shared" si="326"/>
        <v>4875.6147328774823</v>
      </c>
      <c r="AO495" s="31">
        <f t="shared" si="327"/>
        <v>1.5705912244515412</v>
      </c>
      <c r="AS495" s="58" t="str">
        <f t="shared" si="328"/>
        <v>37.3762936220567+182232.487160897i</v>
      </c>
      <c r="AT495" s="49">
        <f t="shared" si="329"/>
        <v>105.21251623444691</v>
      </c>
      <c r="AU495" s="61">
        <f t="shared" si="330"/>
        <v>89.988248506719515</v>
      </c>
      <c r="AV495" s="58" t="str">
        <f t="shared" si="331"/>
        <v>-2259.97661671069-10972.0345751022i</v>
      </c>
      <c r="AW495" s="64">
        <f t="shared" si="332"/>
        <v>80.986196296786218</v>
      </c>
      <c r="AX495" s="61">
        <f t="shared" si="333"/>
        <v>-101.63878542262061</v>
      </c>
      <c r="AY495" s="310"/>
      <c r="BA495" s="31">
        <f t="shared" si="334"/>
        <v>0</v>
      </c>
      <c r="BB495" s="31">
        <f t="shared" si="335"/>
        <v>0</v>
      </c>
    </row>
    <row r="496" spans="14:54" x14ac:dyDescent="0.45">
      <c r="N496" s="10">
        <v>78</v>
      </c>
      <c r="O496" s="50">
        <f t="shared" si="336"/>
        <v>602559.58607435878</v>
      </c>
      <c r="P496" s="48" t="str">
        <f t="shared" si="302"/>
        <v>17.4002386318441</v>
      </c>
      <c r="Q496" s="17" t="str">
        <f t="shared" si="303"/>
        <v>1+324.241260174733i</v>
      </c>
      <c r="R496" s="17">
        <f t="shared" si="311"/>
        <v>324.24280223267704</v>
      </c>
      <c r="S496" s="17">
        <f t="shared" si="312"/>
        <v>1.5677122133514876</v>
      </c>
      <c r="T496" s="17" t="str">
        <f t="shared" si="304"/>
        <v>1+1.13579806137679i</v>
      </c>
      <c r="U496" s="17">
        <f t="shared" si="313"/>
        <v>1.5132868981879393</v>
      </c>
      <c r="V496" s="17">
        <f t="shared" si="314"/>
        <v>0.8488945732329618</v>
      </c>
      <c r="W496" s="31" t="str">
        <f t="shared" si="305"/>
        <v>1-2.80215031922436i</v>
      </c>
      <c r="X496" s="17">
        <f t="shared" si="315"/>
        <v>2.9752388831032008</v>
      </c>
      <c r="Y496" s="17">
        <f t="shared" si="316"/>
        <v>-1.2280154695872916</v>
      </c>
      <c r="Z496" s="31" t="str">
        <f t="shared" si="306"/>
        <v>0.670677501342312+3.91897495623458i</v>
      </c>
      <c r="AA496" s="17">
        <f t="shared" si="317"/>
        <v>3.975949322916553</v>
      </c>
      <c r="AB496" s="17">
        <f t="shared" si="318"/>
        <v>1.4013023343219049</v>
      </c>
      <c r="AC496" s="66" t="str">
        <f t="shared" si="319"/>
        <v>-0.0594780916741244+0.0124624934250972i</v>
      </c>
      <c r="AD496" s="64">
        <f t="shared" si="320"/>
        <v>-24.326257336791951</v>
      </c>
      <c r="AE496" s="61">
        <f t="shared" si="321"/>
        <v>168.16596981905167</v>
      </c>
      <c r="AF496" s="31" t="str">
        <f t="shared" si="307"/>
        <v>-9090.90909090909</v>
      </c>
      <c r="AG496" s="31" t="str">
        <f t="shared" si="308"/>
        <v>2.27623467397318E-08i</v>
      </c>
      <c r="AH496" s="31">
        <f t="shared" si="322"/>
        <v>2.27623467397318E-8</v>
      </c>
      <c r="AI496" s="31">
        <f t="shared" si="323"/>
        <v>1.5707963267948966</v>
      </c>
      <c r="AJ496" s="31" t="str">
        <f t="shared" si="309"/>
        <v>1+10934372104.0836i</v>
      </c>
      <c r="AK496" s="31">
        <f t="shared" si="324"/>
        <v>10934372104.083599</v>
      </c>
      <c r="AL496" s="31">
        <f t="shared" si="325"/>
        <v>1.5707963267034419</v>
      </c>
      <c r="AM496" s="31" t="str">
        <f t="shared" si="310"/>
        <v>1+4989.18228427443i</v>
      </c>
      <c r="AN496" s="31">
        <f t="shared" si="326"/>
        <v>4989.1823844912524</v>
      </c>
      <c r="AO496" s="31">
        <f t="shared" si="327"/>
        <v>1.570595893150738</v>
      </c>
      <c r="AS496" s="58" t="str">
        <f t="shared" si="328"/>
        <v>36.525505308847+182232.487160896i</v>
      </c>
      <c r="AT496" s="49">
        <f t="shared" si="329"/>
        <v>105.21251622622427</v>
      </c>
      <c r="AU496" s="61">
        <f t="shared" si="330"/>
        <v>89.988516003357248</v>
      </c>
      <c r="AV496" s="58" t="str">
        <f t="shared" si="331"/>
        <v>-2273.24364043498-10838.3853784897i</v>
      </c>
      <c r="AW496" s="64">
        <f t="shared" si="332"/>
        <v>80.886258889432298</v>
      </c>
      <c r="AX496" s="61">
        <f t="shared" si="333"/>
        <v>-101.84551417759108</v>
      </c>
      <c r="AY496" s="310"/>
      <c r="BA496" s="31">
        <f t="shared" si="334"/>
        <v>0</v>
      </c>
      <c r="BB496" s="31">
        <f t="shared" si="335"/>
        <v>0</v>
      </c>
    </row>
    <row r="497" spans="14:54" x14ac:dyDescent="0.45">
      <c r="N497" s="10">
        <v>79</v>
      </c>
      <c r="O497" s="50">
        <f t="shared" si="336"/>
        <v>616595.00186148309</v>
      </c>
      <c r="P497" s="48" t="str">
        <f t="shared" si="302"/>
        <v>17.4002386318441</v>
      </c>
      <c r="Q497" s="17" t="str">
        <f t="shared" si="303"/>
        <v>1+331.793809345085i</v>
      </c>
      <c r="R497" s="17">
        <f t="shared" si="311"/>
        <v>331.79531630166599</v>
      </c>
      <c r="S497" s="17">
        <f t="shared" si="312"/>
        <v>1.5677824159142635</v>
      </c>
      <c r="T497" s="17" t="str">
        <f t="shared" si="304"/>
        <v>1+1.16225419685293i</v>
      </c>
      <c r="U497" s="17">
        <f t="shared" si="313"/>
        <v>1.5332432351398944</v>
      </c>
      <c r="V497" s="17">
        <f t="shared" si="314"/>
        <v>0.86029716268022949</v>
      </c>
      <c r="W497" s="31" t="str">
        <f t="shared" si="305"/>
        <v>1-2.86742078497957i</v>
      </c>
      <c r="X497" s="17">
        <f t="shared" si="315"/>
        <v>3.0367913919353851</v>
      </c>
      <c r="Y497" s="17">
        <f t="shared" si="316"/>
        <v>-1.235239568577136</v>
      </c>
      <c r="Z497" s="31" t="str">
        <f t="shared" si="306"/>
        <v>0.65515701014008+4.01025960963863i</v>
      </c>
      <c r="AA497" s="17">
        <f t="shared" si="317"/>
        <v>4.0634237835395242</v>
      </c>
      <c r="AB497" s="17">
        <f t="shared" si="318"/>
        <v>1.4088567035604873</v>
      </c>
      <c r="AC497" s="66" t="str">
        <f t="shared" si="319"/>
        <v>-0.0587722699433199+0.0125261815362005i</v>
      </c>
      <c r="AD497" s="64">
        <f t="shared" si="320"/>
        <v>-24.423622961912944</v>
      </c>
      <c r="AE497" s="61">
        <f t="shared" si="321"/>
        <v>167.96852390218544</v>
      </c>
      <c r="AF497" s="31" t="str">
        <f t="shared" si="307"/>
        <v>-9090.90909090909</v>
      </c>
      <c r="AG497" s="31" t="str">
        <f t="shared" si="308"/>
        <v>2.27623467397318E-08i</v>
      </c>
      <c r="AH497" s="31">
        <f t="shared" si="322"/>
        <v>2.27623467397318E-8</v>
      </c>
      <c r="AI497" s="31">
        <f t="shared" si="323"/>
        <v>1.5707963267948966</v>
      </c>
      <c r="AJ497" s="31" t="str">
        <f t="shared" si="309"/>
        <v>1+11189066349.0989i</v>
      </c>
      <c r="AK497" s="31">
        <f t="shared" si="324"/>
        <v>11189066349.0989</v>
      </c>
      <c r="AL497" s="31">
        <f t="shared" si="325"/>
        <v>1.5707963267055236</v>
      </c>
      <c r="AM497" s="31" t="str">
        <f t="shared" si="310"/>
        <v>1+5105.39526870931i</v>
      </c>
      <c r="AN497" s="31">
        <f t="shared" si="326"/>
        <v>5105.3953666449179</v>
      </c>
      <c r="AO497" s="31">
        <f t="shared" si="327"/>
        <v>1.5706004555773749</v>
      </c>
      <c r="AS497" s="58" t="str">
        <f t="shared" si="328"/>
        <v>35.6940833020244+182232.487160897i</v>
      </c>
      <c r="AT497" s="49">
        <f t="shared" si="329"/>
        <v>105.21251621837179</v>
      </c>
      <c r="AU497" s="61">
        <f t="shared" si="330"/>
        <v>89.988777411028622</v>
      </c>
      <c r="AV497" s="58" t="str">
        <f t="shared" si="331"/>
        <v>-2284.77503826993-10709.7698172956i</v>
      </c>
      <c r="AW497" s="64">
        <f t="shared" si="332"/>
        <v>80.788893256458834</v>
      </c>
      <c r="AX497" s="61">
        <f t="shared" si="333"/>
        <v>-102.04269868678597</v>
      </c>
      <c r="AY497" s="310"/>
      <c r="BA497" s="31">
        <f t="shared" si="334"/>
        <v>0</v>
      </c>
      <c r="BB497" s="31">
        <f t="shared" si="335"/>
        <v>0</v>
      </c>
    </row>
    <row r="498" spans="14:54" x14ac:dyDescent="0.45">
      <c r="N498" s="10">
        <v>80</v>
      </c>
      <c r="O498" s="50">
        <f t="shared" si="336"/>
        <v>630957.34448019415</v>
      </c>
      <c r="P498" s="48" t="str">
        <f t="shared" si="302"/>
        <v>17.4002386318441</v>
      </c>
      <c r="Q498" s="17" t="str">
        <f t="shared" si="303"/>
        <v>1+339.522279984962i</v>
      </c>
      <c r="R498" s="17">
        <f t="shared" si="311"/>
        <v>339.52375263917384</v>
      </c>
      <c r="S498" s="17">
        <f t="shared" si="312"/>
        <v>1.5678510205003202</v>
      </c>
      <c r="T498" s="17" t="str">
        <f t="shared" si="304"/>
        <v>1+1.1893265748885i</v>
      </c>
      <c r="U498" s="17">
        <f t="shared" si="313"/>
        <v>1.553865406570341</v>
      </c>
      <c r="V498" s="17">
        <f t="shared" si="314"/>
        <v>0.87166064124712828</v>
      </c>
      <c r="W498" s="31" t="str">
        <f t="shared" si="305"/>
        <v>1-2.93421159518977i</v>
      </c>
      <c r="X498" s="17">
        <f t="shared" si="315"/>
        <v>3.0999351098605423</v>
      </c>
      <c r="Y498" s="17">
        <f t="shared" si="316"/>
        <v>-1.2423345749968047</v>
      </c>
      <c r="Z498" s="31" t="str">
        <f t="shared" si="306"/>
        <v>0.638905060722452+4.10367055576976i</v>
      </c>
      <c r="AA498" s="17">
        <f t="shared" si="317"/>
        <v>4.1531086798816679</v>
      </c>
      <c r="AB498" s="17">
        <f t="shared" si="318"/>
        <v>1.4163451929778532</v>
      </c>
      <c r="AC498" s="66" t="str">
        <f t="shared" si="319"/>
        <v>-0.0580930935150022+0.0125812933630939i</v>
      </c>
      <c r="AD498" s="64">
        <f t="shared" si="320"/>
        <v>-24.518445057585815</v>
      </c>
      <c r="AE498" s="61">
        <f t="shared" si="321"/>
        <v>167.78009974941114</v>
      </c>
      <c r="AF498" s="31" t="str">
        <f t="shared" si="307"/>
        <v>-9090.90909090909</v>
      </c>
      <c r="AG498" s="31" t="str">
        <f t="shared" si="308"/>
        <v>2.27623467397318E-08i</v>
      </c>
      <c r="AH498" s="31">
        <f t="shared" si="322"/>
        <v>2.27623467397318E-8</v>
      </c>
      <c r="AI498" s="31">
        <f t="shared" si="323"/>
        <v>1.5707963267948966</v>
      </c>
      <c r="AJ498" s="31" t="str">
        <f t="shared" si="309"/>
        <v>1+11449693185.1973i</v>
      </c>
      <c r="AK498" s="31">
        <f t="shared" si="324"/>
        <v>11449693185.1973</v>
      </c>
      <c r="AL498" s="31">
        <f t="shared" si="325"/>
        <v>1.570796326707558</v>
      </c>
      <c r="AM498" s="31" t="str">
        <f t="shared" si="310"/>
        <v>1+5224.31520129355i</v>
      </c>
      <c r="AN498" s="31">
        <f t="shared" si="326"/>
        <v>5224.3152969998719</v>
      </c>
      <c r="AO498" s="31">
        <f t="shared" si="327"/>
        <v>1.5706049141505103</v>
      </c>
      <c r="AS498" s="58" t="str">
        <f t="shared" si="328"/>
        <v>34.8815867706356+182232.487160897i</v>
      </c>
      <c r="AT498" s="49">
        <f t="shared" si="329"/>
        <v>105.21251621087268</v>
      </c>
      <c r="AU498" s="61">
        <f t="shared" si="330"/>
        <v>89.989032868335357</v>
      </c>
      <c r="AV498" s="58" t="str">
        <f t="shared" si="331"/>
        <v>-2294.74676053971-10586.0100626333i</v>
      </c>
      <c r="AW498" s="64">
        <f t="shared" si="332"/>
        <v>80.69407115328687</v>
      </c>
      <c r="AX498" s="61">
        <f t="shared" si="333"/>
        <v>-102.23086738225352</v>
      </c>
      <c r="AY498" s="310"/>
      <c r="BA498" s="31">
        <f t="shared" si="334"/>
        <v>0</v>
      </c>
      <c r="BB498" s="31">
        <f t="shared" si="335"/>
        <v>0</v>
      </c>
    </row>
    <row r="499" spans="14:54" x14ac:dyDescent="0.45">
      <c r="N499" s="10">
        <v>81</v>
      </c>
      <c r="O499" s="50">
        <f t="shared" si="336"/>
        <v>645654.22903465747</v>
      </c>
      <c r="P499" s="48" t="str">
        <f t="shared" si="302"/>
        <v>17.4002386318441</v>
      </c>
      <c r="Q499" s="17" t="str">
        <f t="shared" si="303"/>
        <v>1+347.430769831797i</v>
      </c>
      <c r="R499" s="17">
        <f t="shared" si="311"/>
        <v>347.43220896444694</v>
      </c>
      <c r="S499" s="17">
        <f t="shared" si="312"/>
        <v>1.5679180634821335</v>
      </c>
      <c r="T499" s="17" t="str">
        <f t="shared" si="304"/>
        <v>1+1.21702954961668i</v>
      </c>
      <c r="U499" s="17">
        <f t="shared" si="313"/>
        <v>1.5751701256182391</v>
      </c>
      <c r="V499" s="17">
        <f t="shared" si="314"/>
        <v>0.88297929603220282</v>
      </c>
      <c r="W499" s="31" t="str">
        <f t="shared" si="305"/>
        <v>1-3.00255816322663i</v>
      </c>
      <c r="X499" s="17">
        <f t="shared" si="315"/>
        <v>3.1647046502886922</v>
      </c>
      <c r="Y499" s="17">
        <f t="shared" si="316"/>
        <v>-1.2493013925399317</v>
      </c>
      <c r="Z499" s="31" t="str">
        <f t="shared" si="306"/>
        <v>0.621887180525771+4.19925732234807i</v>
      </c>
      <c r="AA499" s="17">
        <f t="shared" si="317"/>
        <v>4.2450566220718633</v>
      </c>
      <c r="AB499" s="17">
        <f t="shared" si="318"/>
        <v>1.4237704055694675</v>
      </c>
      <c r="AC499" s="66" t="str">
        <f t="shared" si="319"/>
        <v>-0.0574396031096552+0.0126287402518107i</v>
      </c>
      <c r="AD499" s="64">
        <f t="shared" si="320"/>
        <v>-24.610754178665658</v>
      </c>
      <c r="AE499" s="61">
        <f t="shared" si="321"/>
        <v>167.60016703311175</v>
      </c>
      <c r="AF499" s="31" t="str">
        <f t="shared" si="307"/>
        <v>-9090.90909090909</v>
      </c>
      <c r="AG499" s="31" t="str">
        <f t="shared" si="308"/>
        <v>2.27623467397318E-08i</v>
      </c>
      <c r="AH499" s="31">
        <f t="shared" si="322"/>
        <v>2.27623467397318E-8</v>
      </c>
      <c r="AI499" s="31">
        <f t="shared" si="323"/>
        <v>1.5707963267948966</v>
      </c>
      <c r="AJ499" s="31" t="str">
        <f t="shared" si="309"/>
        <v>1+11716390800.1771i</v>
      </c>
      <c r="AK499" s="31">
        <f t="shared" si="324"/>
        <v>11716390800.177099</v>
      </c>
      <c r="AL499" s="31">
        <f t="shared" si="325"/>
        <v>1.5707963267095462</v>
      </c>
      <c r="AM499" s="31" t="str">
        <f t="shared" si="310"/>
        <v>1+5346.00513494952i</v>
      </c>
      <c r="AN499" s="31">
        <f t="shared" si="326"/>
        <v>5346.005228477301</v>
      </c>
      <c r="AO499" s="31">
        <f t="shared" si="327"/>
        <v>1.570609271234138</v>
      </c>
      <c r="AS499" s="58" t="str">
        <f t="shared" si="328"/>
        <v>34.0875849182649+182232.487160897i</v>
      </c>
      <c r="AT499" s="49">
        <f t="shared" si="329"/>
        <v>105.2125162037111</v>
      </c>
      <c r="AU499" s="61">
        <f t="shared" si="330"/>
        <v>89.989282510724294</v>
      </c>
      <c r="AV499" s="58" t="str">
        <f t="shared" si="331"/>
        <v>-2303.32472314507-10466.9312529515i</v>
      </c>
      <c r="AW499" s="64">
        <f t="shared" si="332"/>
        <v>80.601762025045431</v>
      </c>
      <c r="AX499" s="61">
        <f t="shared" si="333"/>
        <v>-102.41055045616397</v>
      </c>
      <c r="AY499" s="310"/>
      <c r="BA499" s="31">
        <f t="shared" si="334"/>
        <v>0</v>
      </c>
      <c r="BB499" s="31">
        <f t="shared" si="335"/>
        <v>0</v>
      </c>
    </row>
    <row r="500" spans="14:54" x14ac:dyDescent="0.45">
      <c r="N500" s="10">
        <v>82</v>
      </c>
      <c r="O500" s="50">
        <f t="shared" si="336"/>
        <v>660693.44800759677</v>
      </c>
      <c r="P500" s="48" t="str">
        <f t="shared" si="302"/>
        <v>17.4002386318441</v>
      </c>
      <c r="Q500" s="17" t="str">
        <f t="shared" si="303"/>
        <v>1+355.523472071584i</v>
      </c>
      <c r="R500" s="17">
        <f t="shared" si="311"/>
        <v>355.52487844570652</v>
      </c>
      <c r="S500" s="17">
        <f t="shared" si="312"/>
        <v>1.5679835804043671</v>
      </c>
      <c r="T500" s="17" t="str">
        <f t="shared" si="304"/>
        <v>1+1.24537780952135i</v>
      </c>
      <c r="U500" s="17">
        <f t="shared" si="313"/>
        <v>1.5971743450381977</v>
      </c>
      <c r="V500" s="17">
        <f t="shared" si="314"/>
        <v>0.89424752866462676</v>
      </c>
      <c r="W500" s="31" t="str">
        <f t="shared" si="305"/>
        <v>1-3.07249672734518i</v>
      </c>
      <c r="X500" s="17">
        <f t="shared" si="315"/>
        <v>3.2311354257515794</v>
      </c>
      <c r="Y500" s="17">
        <f t="shared" si="316"/>
        <v>-1.2561410090460845</v>
      </c>
      <c r="Z500" s="31" t="str">
        <f t="shared" si="306"/>
        <v>0.604067272344521+4.29707059074241i</v>
      </c>
      <c r="AA500" s="17">
        <f t="shared" si="317"/>
        <v>4.3393217132797473</v>
      </c>
      <c r="AB500" s="17">
        <f t="shared" si="318"/>
        <v>1.4311349830041971</v>
      </c>
      <c r="AC500" s="66" t="str">
        <f t="shared" si="319"/>
        <v>-0.0568108566027364+0.0126693810084826i</v>
      </c>
      <c r="AD500" s="64">
        <f t="shared" si="320"/>
        <v>-24.700583105167595</v>
      </c>
      <c r="AE500" s="61">
        <f t="shared" si="321"/>
        <v>167.42819499819271</v>
      </c>
      <c r="AF500" s="31" t="str">
        <f t="shared" si="307"/>
        <v>-9090.90909090909</v>
      </c>
      <c r="AG500" s="31" t="str">
        <f t="shared" si="308"/>
        <v>2.27623467397318E-08i</v>
      </c>
      <c r="AH500" s="31">
        <f t="shared" si="322"/>
        <v>2.27623467397318E-8</v>
      </c>
      <c r="AI500" s="31">
        <f t="shared" si="323"/>
        <v>1.5707963267948966</v>
      </c>
      <c r="AJ500" s="31" t="str">
        <f t="shared" si="309"/>
        <v>1+11989300600.6439i</v>
      </c>
      <c r="AK500" s="31">
        <f t="shared" si="324"/>
        <v>11989300600.6439</v>
      </c>
      <c r="AL500" s="31">
        <f t="shared" si="325"/>
        <v>1.5707963267114888</v>
      </c>
      <c r="AM500" s="31" t="str">
        <f t="shared" si="310"/>
        <v>1+5470.52959129076i</v>
      </c>
      <c r="AN500" s="31">
        <f t="shared" si="326"/>
        <v>5470.5296826895892</v>
      </c>
      <c r="AO500" s="31">
        <f t="shared" si="327"/>
        <v>1.5706135291384404</v>
      </c>
      <c r="AS500" s="58" t="str">
        <f t="shared" si="328"/>
        <v>33.3116567546205+182232.487160897i</v>
      </c>
      <c r="AT500" s="49">
        <f t="shared" si="329"/>
        <v>105.21251619687185</v>
      </c>
      <c r="AU500" s="61">
        <f t="shared" si="330"/>
        <v>89.989526470559099</v>
      </c>
      <c r="AV500" s="58" t="str">
        <f t="shared" si="331"/>
        <v>-2310.6652757199-10352.3616583863i</v>
      </c>
      <c r="AW500" s="64">
        <f t="shared" si="332"/>
        <v>80.511933091704265</v>
      </c>
      <c r="AX500" s="61">
        <f t="shared" si="333"/>
        <v>-102.58227853124814</v>
      </c>
      <c r="AY500" s="310"/>
      <c r="BA500" s="31">
        <f t="shared" si="334"/>
        <v>0</v>
      </c>
      <c r="BB500" s="31">
        <f t="shared" si="335"/>
        <v>0</v>
      </c>
    </row>
    <row r="501" spans="14:54" x14ac:dyDescent="0.45">
      <c r="N501" s="10">
        <v>83</v>
      </c>
      <c r="O501" s="50">
        <f t="shared" si="336"/>
        <v>676082.97539198259</v>
      </c>
      <c r="P501" s="48" t="str">
        <f t="shared" si="302"/>
        <v>17.4002386318441</v>
      </c>
      <c r="Q501" s="17" t="str">
        <f t="shared" si="303"/>
        <v>1+363.804677562175i</v>
      </c>
      <c r="R501" s="17">
        <f t="shared" si="311"/>
        <v>363.80605192343643</v>
      </c>
      <c r="S501" s="17">
        <f t="shared" si="312"/>
        <v>1.5680476060027095</v>
      </c>
      <c r="T501" s="17" t="str">
        <f t="shared" si="304"/>
        <v>1+1.27438638522515i</v>
      </c>
      <c r="U501" s="17">
        <f t="shared" si="313"/>
        <v>1.6198952616904663</v>
      </c>
      <c r="V501" s="17">
        <f t="shared" si="314"/>
        <v>0.9054598683064442</v>
      </c>
      <c r="W501" s="31" t="str">
        <f t="shared" si="305"/>
        <v>1-3.14406436989787i</v>
      </c>
      <c r="X501" s="17">
        <f t="shared" si="315"/>
        <v>3.2992636696786284</v>
      </c>
      <c r="Y501" s="17">
        <f t="shared" si="316"/>
        <v>-1.2628544904215968</v>
      </c>
      <c r="Z501" s="31" t="str">
        <f t="shared" si="306"/>
        <v>0.585407537764285+4.39716222284243i</v>
      </c>
      <c r="AA501" s="17">
        <f t="shared" si="317"/>
        <v>4.4359596029792492</v>
      </c>
      <c r="AB501" s="17">
        <f t="shared" si="318"/>
        <v>1.4384416025389704</v>
      </c>
      <c r="AC501" s="66" t="str">
        <f t="shared" si="319"/>
        <v>-0.0562059297804182+0.012704024405869i</v>
      </c>
      <c r="AD501" s="64">
        <f t="shared" si="320"/>
        <v>-24.787966751761878</v>
      </c>
      <c r="AE501" s="61">
        <f t="shared" si="321"/>
        <v>167.26365373106336</v>
      </c>
      <c r="AF501" s="31" t="str">
        <f t="shared" si="307"/>
        <v>-9090.90909090909</v>
      </c>
      <c r="AG501" s="31" t="str">
        <f t="shared" si="308"/>
        <v>2.27623467397318E-08i</v>
      </c>
      <c r="AH501" s="31">
        <f t="shared" si="322"/>
        <v>2.27623467397318E-8</v>
      </c>
      <c r="AI501" s="31">
        <f t="shared" si="323"/>
        <v>1.5707963267948966</v>
      </c>
      <c r="AJ501" s="31" t="str">
        <f t="shared" si="309"/>
        <v>1+12268567286.9863i</v>
      </c>
      <c r="AK501" s="31">
        <f t="shared" si="324"/>
        <v>12268567286.9863</v>
      </c>
      <c r="AL501" s="31">
        <f t="shared" si="325"/>
        <v>1.5707963267133875</v>
      </c>
      <c r="AM501" s="31" t="str">
        <f t="shared" si="310"/>
        <v>1+5597.95459483233i</v>
      </c>
      <c r="AN501" s="31">
        <f t="shared" si="326"/>
        <v>5597.9546841506681</v>
      </c>
      <c r="AO501" s="31">
        <f t="shared" si="327"/>
        <v>1.5706176901210147</v>
      </c>
      <c r="AS501" s="58" t="str">
        <f t="shared" si="328"/>
        <v>32.5533908723193+182232.487160897i</v>
      </c>
      <c r="AT501" s="49">
        <f t="shared" si="329"/>
        <v>105.21251619034039</v>
      </c>
      <c r="AU501" s="61">
        <f t="shared" si="330"/>
        <v>89.989764877190439</v>
      </c>
      <c r="AV501" s="58" t="str">
        <f t="shared" si="331"/>
        <v>-2316.91565803573-10242.1328180042i</v>
      </c>
      <c r="AW501" s="64">
        <f t="shared" si="332"/>
        <v>80.424549438578509</v>
      </c>
      <c r="AX501" s="61">
        <f t="shared" si="333"/>
        <v>-102.7465813917462</v>
      </c>
      <c r="AY501" s="310"/>
      <c r="BA501" s="31">
        <f t="shared" si="334"/>
        <v>0</v>
      </c>
      <c r="BB501" s="31">
        <f t="shared" si="335"/>
        <v>0</v>
      </c>
    </row>
    <row r="502" spans="14:54" x14ac:dyDescent="0.45">
      <c r="N502" s="10">
        <v>84</v>
      </c>
      <c r="O502" s="50">
        <f t="shared" si="336"/>
        <v>691830.97091893724</v>
      </c>
      <c r="P502" s="48" t="str">
        <f t="shared" si="302"/>
        <v>17.4002386318441</v>
      </c>
      <c r="Q502" s="17" t="str">
        <f t="shared" si="303"/>
        <v>1+372.278777108333i</v>
      </c>
      <c r="R502" s="17">
        <f t="shared" si="311"/>
        <v>372.28012018542688</v>
      </c>
      <c r="S502" s="17">
        <f t="shared" si="312"/>
        <v>1.5681101742222796</v>
      </c>
      <c r="T502" s="17" t="str">
        <f t="shared" si="304"/>
        <v>1+1.3040706574589i</v>
      </c>
      <c r="U502" s="17">
        <f t="shared" si="313"/>
        <v>1.6433503216433456</v>
      </c>
      <c r="V502" s="17">
        <f t="shared" si="314"/>
        <v>0.91661098388568674</v>
      </c>
      <c r="W502" s="31" t="str">
        <f t="shared" si="305"/>
        <v>1-3.2172990369961i</v>
      </c>
      <c r="X502" s="17">
        <f t="shared" si="315"/>
        <v>3.3691264585135472</v>
      </c>
      <c r="Y502" s="17">
        <f t="shared" si="316"/>
        <v>-1.2694429747408242</v>
      </c>
      <c r="Z502" s="31" t="str">
        <f t="shared" si="306"/>
        <v>0.565868396986269+4.49958528855632i</v>
      </c>
      <c r="AA502" s="17">
        <f t="shared" si="317"/>
        <v>4.535027542551453</v>
      </c>
      <c r="AB502" s="17">
        <f t="shared" si="318"/>
        <v>1.4456929741139788</v>
      </c>
      <c r="AC502" s="66" t="str">
        <f t="shared" si="319"/>
        <v>-0.0556239169568418+0.0127334316201947i</v>
      </c>
      <c r="AD502" s="64">
        <f t="shared" si="320"/>
        <v>-24.872942072439873</v>
      </c>
      <c r="AE502" s="61">
        <f t="shared" si="321"/>
        <v>167.10601536389456</v>
      </c>
      <c r="AF502" s="31" t="str">
        <f t="shared" si="307"/>
        <v>-9090.90909090909</v>
      </c>
      <c r="AG502" s="31" t="str">
        <f t="shared" si="308"/>
        <v>2.27623467397318E-08i</v>
      </c>
      <c r="AH502" s="31">
        <f t="shared" si="322"/>
        <v>2.27623467397318E-8</v>
      </c>
      <c r="AI502" s="31">
        <f t="shared" si="323"/>
        <v>1.5707963267948966</v>
      </c>
      <c r="AJ502" s="31" t="str">
        <f t="shared" si="309"/>
        <v>1+12554338930.098i</v>
      </c>
      <c r="AK502" s="31">
        <f t="shared" si="324"/>
        <v>12554338930.098</v>
      </c>
      <c r="AL502" s="31">
        <f t="shared" si="325"/>
        <v>1.5707963267152429</v>
      </c>
      <c r="AM502" s="31" t="str">
        <f t="shared" si="310"/>
        <v>1+5728.34770799777i</v>
      </c>
      <c r="AN502" s="31">
        <f t="shared" si="326"/>
        <v>5728.3477952829735</v>
      </c>
      <c r="AO502" s="31">
        <f t="shared" si="327"/>
        <v>1.5706217563880678</v>
      </c>
      <c r="AS502" s="58" t="str">
        <f t="shared" si="328"/>
        <v>31.8123852287535+182232.487160897i</v>
      </c>
      <c r="AT502" s="49">
        <f t="shared" si="329"/>
        <v>105.21251618410291</v>
      </c>
      <c r="AU502" s="61">
        <f t="shared" si="330"/>
        <v>89.989997857024662</v>
      </c>
      <c r="AV502" s="58" t="str">
        <f t="shared" si="331"/>
        <v>-2322.21444371545-10136.0796518445i</v>
      </c>
      <c r="AW502" s="64">
        <f t="shared" si="332"/>
        <v>80.339574111663055</v>
      </c>
      <c r="AX502" s="61">
        <f t="shared" si="333"/>
        <v>-102.90398677908077</v>
      </c>
      <c r="AY502" s="310"/>
      <c r="BA502" s="31">
        <f t="shared" si="334"/>
        <v>0</v>
      </c>
      <c r="BB502" s="31">
        <f t="shared" si="335"/>
        <v>0</v>
      </c>
    </row>
    <row r="503" spans="14:54" x14ac:dyDescent="0.45">
      <c r="N503" s="10">
        <v>85</v>
      </c>
      <c r="O503" s="50">
        <f t="shared" si="336"/>
        <v>707945.78438413853</v>
      </c>
      <c r="P503" s="48" t="str">
        <f t="shared" si="302"/>
        <v>17.4002386318441</v>
      </c>
      <c r="Q503" s="17" t="str">
        <f t="shared" si="303"/>
        <v>1+380.950263789806i</v>
      </c>
      <c r="R503" s="17">
        <f t="shared" si="311"/>
        <v>380.9515762948393</v>
      </c>
      <c r="S503" s="17">
        <f t="shared" si="312"/>
        <v>1.5681713182356147</v>
      </c>
      <c r="T503" s="17" t="str">
        <f t="shared" si="304"/>
        <v>1+1.33444636521665i</v>
      </c>
      <c r="U503" s="17">
        <f t="shared" si="313"/>
        <v>1.6675572258965894</v>
      </c>
      <c r="V503" s="17">
        <f t="shared" si="314"/>
        <v>0.92769569550095687</v>
      </c>
      <c r="W503" s="31" t="str">
        <f t="shared" si="305"/>
        <v>1-3.29223955862973i</v>
      </c>
      <c r="X503" s="17">
        <f t="shared" si="315"/>
        <v>3.4407617341813252</v>
      </c>
      <c r="Y503" s="17">
        <f t="shared" si="316"/>
        <v>-1.2759076665378108</v>
      </c>
      <c r="Z503" s="31" t="str">
        <f t="shared" si="306"/>
        <v>0.545408404873221+4.60439409394927i</v>
      </c>
      <c r="AA503" s="17">
        <f t="shared" si="317"/>
        <v>4.6365844433700625</v>
      </c>
      <c r="AB503" s="17">
        <f t="shared" si="318"/>
        <v>1.4528918376216167</v>
      </c>
      <c r="AC503" s="66" t="str">
        <f t="shared" si="319"/>
        <v>-0.0550639314630654+0.0127583185940744i</v>
      </c>
      <c r="AD503" s="64">
        <f t="shared" si="320"/>
        <v>-24.955547960937537</v>
      </c>
      <c r="AE503" s="61">
        <f t="shared" si="321"/>
        <v>166.95475521056397</v>
      </c>
      <c r="AF503" s="31" t="str">
        <f t="shared" si="307"/>
        <v>-9090.90909090909</v>
      </c>
      <c r="AG503" s="31" t="str">
        <f t="shared" si="308"/>
        <v>2.27623467397318E-08i</v>
      </c>
      <c r="AH503" s="31">
        <f t="shared" si="322"/>
        <v>2.27623467397318E-8</v>
      </c>
      <c r="AI503" s="31">
        <f t="shared" si="323"/>
        <v>1.5707963267948966</v>
      </c>
      <c r="AJ503" s="31" t="str">
        <f t="shared" si="309"/>
        <v>1+12846767049.8868i</v>
      </c>
      <c r="AK503" s="31">
        <f t="shared" si="324"/>
        <v>12846767049.886801</v>
      </c>
      <c r="AL503" s="31">
        <f t="shared" si="325"/>
        <v>1.5707963267170559</v>
      </c>
      <c r="AM503" s="31" t="str">
        <f t="shared" si="310"/>
        <v>1+5861.77806694165i</v>
      </c>
      <c r="AN503" s="31">
        <f t="shared" si="326"/>
        <v>5861.778152240001</v>
      </c>
      <c r="AO503" s="31">
        <f t="shared" si="327"/>
        <v>1.5706257300955881</v>
      </c>
      <c r="AS503" s="58" t="str">
        <f t="shared" si="328"/>
        <v>31.0882469329226+182232.487160896i</v>
      </c>
      <c r="AT503" s="49">
        <f t="shared" si="329"/>
        <v>105.21251617814612</v>
      </c>
      <c r="AU503" s="61">
        <f t="shared" si="330"/>
        <v>89.990225533590703</v>
      </c>
      <c r="AV503" s="58" t="str">
        <f t="shared" si="331"/>
        <v>-2326.69197048771-10034.0405496126i</v>
      </c>
      <c r="AW503" s="64">
        <f t="shared" si="332"/>
        <v>80.256968217208566</v>
      </c>
      <c r="AX503" s="61">
        <f t="shared" si="333"/>
        <v>-103.05501925584538</v>
      </c>
      <c r="AY503" s="310"/>
      <c r="BA503" s="31">
        <f t="shared" si="334"/>
        <v>0</v>
      </c>
      <c r="BB503" s="31">
        <f t="shared" si="335"/>
        <v>0</v>
      </c>
    </row>
    <row r="504" spans="14:54" x14ac:dyDescent="0.45">
      <c r="N504" s="10">
        <v>86</v>
      </c>
      <c r="O504" s="50">
        <f t="shared" si="336"/>
        <v>724435.96007499192</v>
      </c>
      <c r="P504" s="48" t="str">
        <f t="shared" si="302"/>
        <v>17.4002386318441</v>
      </c>
      <c r="Q504" s="17" t="str">
        <f t="shared" si="303"/>
        <v>1+389.823735343614i</v>
      </c>
      <c r="R504" s="17">
        <f t="shared" si="311"/>
        <v>389.82501797248466</v>
      </c>
      <c r="S504" s="17">
        <f t="shared" si="312"/>
        <v>1.5682310704602502</v>
      </c>
      <c r="T504" s="17" t="str">
        <f t="shared" si="304"/>
        <v>1+1.36552961410072i</v>
      </c>
      <c r="U504" s="17">
        <f t="shared" si="313"/>
        <v>1.6925339367309777</v>
      </c>
      <c r="V504" s="17">
        <f t="shared" si="314"/>
        <v>0.93870898494692456</v>
      </c>
      <c r="W504" s="31" t="str">
        <f t="shared" si="305"/>
        <v>1-3.36892566925529i</v>
      </c>
      <c r="X504" s="17">
        <f t="shared" si="315"/>
        <v>3.5142083269162065</v>
      </c>
      <c r="Y504" s="17">
        <f t="shared" si="316"/>
        <v>-1.2822498312963484</v>
      </c>
      <c r="Z504" s="31" t="str">
        <f t="shared" si="306"/>
        <v>0.523984163038752+4.71164421003718i</v>
      </c>
      <c r="AA504" s="17">
        <f t="shared" si="317"/>
        <v>4.7406909375208484</v>
      </c>
      <c r="AB504" s="17">
        <f t="shared" si="318"/>
        <v>1.4600409603418543</v>
      </c>
      <c r="AC504" s="66" t="str">
        <f t="shared" si="319"/>
        <v>-0.0545251060175574+0.0127793583221426i</v>
      </c>
      <c r="AD504" s="64">
        <f t="shared" si="320"/>
        <v>-25.035825147536862</v>
      </c>
      <c r="AE504" s="61">
        <f t="shared" si="321"/>
        <v>166.80935283135429</v>
      </c>
      <c r="AF504" s="31" t="str">
        <f t="shared" si="307"/>
        <v>-9090.90909090909</v>
      </c>
      <c r="AG504" s="31" t="str">
        <f t="shared" si="308"/>
        <v>2.27623467397318E-08i</v>
      </c>
      <c r="AH504" s="31">
        <f t="shared" si="322"/>
        <v>2.27623467397318E-8</v>
      </c>
      <c r="AI504" s="31">
        <f t="shared" si="323"/>
        <v>1.5707963267948966</v>
      </c>
      <c r="AJ504" s="31" t="str">
        <f t="shared" si="309"/>
        <v>1+13146006695.6125i</v>
      </c>
      <c r="AK504" s="31">
        <f t="shared" si="324"/>
        <v>13146006695.612499</v>
      </c>
      <c r="AL504" s="31">
        <f t="shared" si="325"/>
        <v>1.5707963267188279</v>
      </c>
      <c r="AM504" s="31" t="str">
        <f t="shared" si="310"/>
        <v>1+5998.31641820642i</v>
      </c>
      <c r="AN504" s="31">
        <f t="shared" si="326"/>
        <v>5998.316501563143</v>
      </c>
      <c r="AO504" s="31">
        <f t="shared" si="327"/>
        <v>1.5706296133504873</v>
      </c>
      <c r="AS504" s="58" t="str">
        <f t="shared" si="328"/>
        <v>30.3805920371172+182232.487160895i</v>
      </c>
      <c r="AT504" s="49">
        <f t="shared" si="329"/>
        <v>105.21251617245741</v>
      </c>
      <c r="AU504" s="61">
        <f t="shared" si="330"/>
        <v>89.99044802760568</v>
      </c>
      <c r="AV504" s="58" t="str">
        <f t="shared" si="331"/>
        <v>-2330.47075636603-9935.85743781928i</v>
      </c>
      <c r="AW504" s="64">
        <f t="shared" si="332"/>
        <v>80.176691024920558</v>
      </c>
      <c r="AX504" s="61">
        <f t="shared" si="333"/>
        <v>-103.20019914104006</v>
      </c>
      <c r="AY504" s="310"/>
      <c r="BA504" s="31">
        <f t="shared" si="334"/>
        <v>0</v>
      </c>
      <c r="BB504" s="31">
        <f t="shared" si="335"/>
        <v>0</v>
      </c>
    </row>
    <row r="505" spans="14:54" x14ac:dyDescent="0.45">
      <c r="N505" s="10">
        <v>87</v>
      </c>
      <c r="O505" s="50">
        <f t="shared" si="336"/>
        <v>741310.24130091805</v>
      </c>
      <c r="P505" s="48" t="str">
        <f t="shared" si="302"/>
        <v>17.4002386318441</v>
      </c>
      <c r="Q505" s="17" t="str">
        <f t="shared" si="303"/>
        <v>1+398.903896601826i</v>
      </c>
      <c r="R505" s="17">
        <f t="shared" si="311"/>
        <v>398.90515003459194</v>
      </c>
      <c r="S505" s="17">
        <f t="shared" si="312"/>
        <v>1.5682894625758994</v>
      </c>
      <c r="T505" s="17" t="str">
        <f t="shared" si="304"/>
        <v>1+1.39733688486111i</v>
      </c>
      <c r="U505" s="17">
        <f t="shared" si="313"/>
        <v>1.7182986846859167</v>
      </c>
      <c r="V505" s="17">
        <f t="shared" si="314"/>
        <v>0.94964600531930254</v>
      </c>
      <c r="W505" s="31" t="str">
        <f t="shared" si="305"/>
        <v>1-3.44739802886368i</v>
      </c>
      <c r="X505" s="17">
        <f t="shared" si="315"/>
        <v>3.5895059784618257</v>
      </c>
      <c r="Y505" s="17">
        <f t="shared" si="316"/>
        <v>-1.2884707901445442</v>
      </c>
      <c r="Z505" s="31" t="str">
        <f t="shared" si="306"/>
        <v>0.501550227793538+4.82139250225123i</v>
      </c>
      <c r="AA505" s="17">
        <f t="shared" si="317"/>
        <v>4.8474094413164774</v>
      </c>
      <c r="AB505" s="17">
        <f t="shared" si="318"/>
        <v>1.4671431345364281</v>
      </c>
      <c r="AC505" s="66" t="str">
        <f t="shared" si="319"/>
        <v>-0.0540065929877103+0.0127971830567758i</v>
      </c>
      <c r="AD505" s="64">
        <f t="shared" si="320"/>
        <v>-25.113816092893252</v>
      </c>
      <c r="AE505" s="61">
        <f t="shared" si="321"/>
        <v>166.66929302411475</v>
      </c>
      <c r="AF505" s="31" t="str">
        <f t="shared" si="307"/>
        <v>-9090.90909090909</v>
      </c>
      <c r="AG505" s="31" t="str">
        <f t="shared" si="308"/>
        <v>2.27623467397318E-08i</v>
      </c>
      <c r="AH505" s="31">
        <f t="shared" si="322"/>
        <v>2.27623467397318E-8</v>
      </c>
      <c r="AI505" s="31">
        <f t="shared" si="323"/>
        <v>1.5707963267948966</v>
      </c>
      <c r="AJ505" s="31" t="str">
        <f t="shared" si="309"/>
        <v>1+13452216528.0961i</v>
      </c>
      <c r="AK505" s="31">
        <f t="shared" si="324"/>
        <v>13452216528.0961</v>
      </c>
      <c r="AL505" s="31">
        <f t="shared" si="325"/>
        <v>1.5707963267205594</v>
      </c>
      <c r="AM505" s="31" t="str">
        <f t="shared" si="310"/>
        <v>1+6138.03515623321i</v>
      </c>
      <c r="AN505" s="31">
        <f t="shared" si="326"/>
        <v>6138.0352376925021</v>
      </c>
      <c r="AO505" s="31">
        <f t="shared" si="327"/>
        <v>1.5706334082117182</v>
      </c>
      <c r="AS505" s="58" t="str">
        <f t="shared" si="328"/>
        <v>29.6890453333448+182232.487160896i</v>
      </c>
      <c r="AT505" s="49">
        <f t="shared" si="329"/>
        <v>105.21251616702486</v>
      </c>
      <c r="AU505" s="61">
        <f t="shared" si="330"/>
        <v>89.99066545703883</v>
      </c>
      <c r="AV505" s="58" t="str">
        <f t="shared" si="331"/>
        <v>-2333.66590127704-9841.37582708874i</v>
      </c>
      <c r="AW505" s="64">
        <f t="shared" si="332"/>
        <v>80.098700074131585</v>
      </c>
      <c r="AX505" s="61">
        <f t="shared" si="333"/>
        <v>-103.34004151884639</v>
      </c>
      <c r="AY505" s="310"/>
      <c r="BA505" s="31">
        <f t="shared" si="334"/>
        <v>0</v>
      </c>
      <c r="BB505" s="31">
        <f t="shared" si="335"/>
        <v>0</v>
      </c>
    </row>
    <row r="506" spans="14:54" x14ac:dyDescent="0.45">
      <c r="N506" s="10">
        <v>88</v>
      </c>
      <c r="O506" s="50">
        <f t="shared" si="336"/>
        <v>758577.57502918423</v>
      </c>
      <c r="P506" s="48" t="str">
        <f t="shared" si="302"/>
        <v>17.4002386318441</v>
      </c>
      <c r="Q506" s="17" t="str">
        <f t="shared" si="303"/>
        <v>1+408.195561986135i</v>
      </c>
      <c r="R506" s="17">
        <f t="shared" si="311"/>
        <v>408.19678688737446</v>
      </c>
      <c r="S506" s="17">
        <f t="shared" si="312"/>
        <v>1.5683465255412405</v>
      </c>
      <c r="T506" s="17" t="str">
        <f t="shared" si="304"/>
        <v>1+1.42988504213379i</v>
      </c>
      <c r="U506" s="17">
        <f t="shared" si="313"/>
        <v>1.7448699761638258</v>
      </c>
      <c r="V506" s="17">
        <f t="shared" si="314"/>
        <v>0.96050208966717532</v>
      </c>
      <c r="W506" s="31" t="str">
        <f t="shared" si="305"/>
        <v>1-3.52769824453869i</v>
      </c>
      <c r="X506" s="17">
        <f t="shared" si="315"/>
        <v>3.6666953656557504</v>
      </c>
      <c r="Y506" s="17">
        <f t="shared" si="316"/>
        <v>-1.294571914758345</v>
      </c>
      <c r="Z506" s="31" t="str">
        <f t="shared" si="306"/>
        <v>0.478059013753145+4.93369716058865i</v>
      </c>
      <c r="AA506" s="17">
        <f t="shared" si="317"/>
        <v>4.9568042217774897</v>
      </c>
      <c r="AB506" s="17">
        <f t="shared" si="318"/>
        <v>1.4742011751939006</v>
      </c>
      <c r="AC506" s="66" t="str">
        <f t="shared" si="319"/>
        <v>-0.0535075645514505+0.0128123864319815i</v>
      </c>
      <c r="AD506" s="64">
        <f t="shared" si="320"/>
        <v>-25.189564879555533</v>
      </c>
      <c r="AE506" s="61">
        <f t="shared" si="321"/>
        <v>166.53406674024612</v>
      </c>
      <c r="AF506" s="31" t="str">
        <f t="shared" si="307"/>
        <v>-9090.90909090909</v>
      </c>
      <c r="AG506" s="31" t="str">
        <f t="shared" si="308"/>
        <v>2.27623467397318E-08i</v>
      </c>
      <c r="AH506" s="31">
        <f t="shared" si="322"/>
        <v>2.27623467397318E-8</v>
      </c>
      <c r="AI506" s="31">
        <f t="shared" si="323"/>
        <v>1.5707963267948966</v>
      </c>
      <c r="AJ506" s="31" t="str">
        <f t="shared" si="309"/>
        <v>1+13765558903.844i</v>
      </c>
      <c r="AK506" s="31">
        <f t="shared" si="324"/>
        <v>13765558903.844</v>
      </c>
      <c r="AL506" s="31">
        <f t="shared" si="325"/>
        <v>1.5707963267222516</v>
      </c>
      <c r="AM506" s="31" t="str">
        <f t="shared" si="310"/>
        <v>1+6281.00836174635i</v>
      </c>
      <c r="AN506" s="31">
        <f t="shared" si="326"/>
        <v>6281.0084413514023</v>
      </c>
      <c r="AO506" s="31">
        <f t="shared" si="327"/>
        <v>1.570637116691366</v>
      </c>
      <c r="AS506" s="58" t="str">
        <f t="shared" si="328"/>
        <v>29.013240154389+182232.487160897i</v>
      </c>
      <c r="AT506" s="49">
        <f t="shared" si="329"/>
        <v>105.21251616183679</v>
      </c>
      <c r="AU506" s="61">
        <f t="shared" si="330"/>
        <v>89.990877937174105</v>
      </c>
      <c r="AV506" s="58" t="str">
        <f t="shared" si="331"/>
        <v>-2336.38547378693-9750.44484128857i</v>
      </c>
      <c r="AW506" s="64">
        <f t="shared" si="332"/>
        <v>80.022951282281255</v>
      </c>
      <c r="AX506" s="61">
        <f t="shared" si="333"/>
        <v>-103.47505532257978</v>
      </c>
      <c r="AY506" s="310"/>
      <c r="BA506" s="31">
        <f t="shared" si="334"/>
        <v>0</v>
      </c>
      <c r="BB506" s="31">
        <f t="shared" si="335"/>
        <v>0</v>
      </c>
    </row>
    <row r="507" spans="14:54" x14ac:dyDescent="0.45">
      <c r="N507" s="10">
        <v>89</v>
      </c>
      <c r="O507" s="50">
        <f t="shared" si="336"/>
        <v>776247.11662869214</v>
      </c>
      <c r="P507" s="48" t="str">
        <f t="shared" si="302"/>
        <v>17.4002386318441</v>
      </c>
      <c r="Q507" s="17" t="str">
        <f t="shared" si="303"/>
        <v>1+417.703658060517i</v>
      </c>
      <c r="R507" s="17">
        <f t="shared" si="311"/>
        <v>417.70485507968101</v>
      </c>
      <c r="S507" s="17">
        <f t="shared" si="312"/>
        <v>1.5684022896103262</v>
      </c>
      <c r="T507" s="17" t="str">
        <f t="shared" si="304"/>
        <v>1+1.46319134338258i</v>
      </c>
      <c r="U507" s="17">
        <f t="shared" si="313"/>
        <v>1.7722666016572448</v>
      </c>
      <c r="V507" s="17">
        <f t="shared" si="314"/>
        <v>0.97127275866988649</v>
      </c>
      <c r="W507" s="31" t="str">
        <f t="shared" si="305"/>
        <v>1-3.60986889251756i</v>
      </c>
      <c r="X507" s="17">
        <f t="shared" si="315"/>
        <v>3.7458181244110018</v>
      </c>
      <c r="Y507" s="17">
        <f t="shared" si="316"/>
        <v>-1.3005546224768794</v>
      </c>
      <c r="Z507" s="31" t="str">
        <f t="shared" si="306"/>
        <v>0.453460692903076+5.04861773046582i</v>
      </c>
      <c r="AA507" s="17">
        <f t="shared" si="317"/>
        <v>5.0689414662611751</v>
      </c>
      <c r="AB507" s="17">
        <f t="shared" si="318"/>
        <v>1.4812179179173866</v>
      </c>
      <c r="AC507" s="66" t="str">
        <f t="shared" si="319"/>
        <v>-0.05302721276762+0.0128255255041419i</v>
      </c>
      <c r="AD507" s="64">
        <f t="shared" si="320"/>
        <v>-25.26311710185286</v>
      </c>
      <c r="AE507" s="61">
        <f t="shared" si="321"/>
        <v>166.40317192450942</v>
      </c>
      <c r="AF507" s="31" t="str">
        <f t="shared" si="307"/>
        <v>-9090.90909090909</v>
      </c>
      <c r="AG507" s="31" t="str">
        <f t="shared" si="308"/>
        <v>2.27623467397318E-08i</v>
      </c>
      <c r="AH507" s="31">
        <f t="shared" si="322"/>
        <v>2.27623467397318E-8</v>
      </c>
      <c r="AI507" s="31">
        <f t="shared" si="323"/>
        <v>1.5707963267948966</v>
      </c>
      <c r="AJ507" s="31" t="str">
        <f t="shared" si="309"/>
        <v>1+14086199961.1316i</v>
      </c>
      <c r="AK507" s="31">
        <f t="shared" si="324"/>
        <v>14086199961.131599</v>
      </c>
      <c r="AL507" s="31">
        <f t="shared" si="325"/>
        <v>1.5707963267239051</v>
      </c>
      <c r="AM507" s="31" t="str">
        <f t="shared" si="310"/>
        <v>1+6427.31184103186i</v>
      </c>
      <c r="AN507" s="31">
        <f t="shared" si="326"/>
        <v>6427.3119188248802</v>
      </c>
      <c r="AO507" s="31">
        <f t="shared" si="327"/>
        <v>1.570640740755715</v>
      </c>
      <c r="AS507" s="58" t="str">
        <f t="shared" si="328"/>
        <v>28.3528181793985+182232.487160895i</v>
      </c>
      <c r="AT507" s="49">
        <f t="shared" si="329"/>
        <v>105.21251615688209</v>
      </c>
      <c r="AU507" s="61">
        <f t="shared" si="330"/>
        <v>89.991085580671253</v>
      </c>
      <c r="AV507" s="58" t="str">
        <f t="shared" si="331"/>
        <v>-2338.73088268743-9662.91723006068i</v>
      </c>
      <c r="AW507" s="64">
        <f t="shared" si="332"/>
        <v>79.949399055029218</v>
      </c>
      <c r="AX507" s="61">
        <f t="shared" si="333"/>
        <v>-103.6057424948193</v>
      </c>
      <c r="AY507" s="310"/>
      <c r="BA507" s="31">
        <f t="shared" si="334"/>
        <v>0</v>
      </c>
      <c r="BB507" s="31">
        <f t="shared" si="335"/>
        <v>0</v>
      </c>
    </row>
    <row r="508" spans="14:54" x14ac:dyDescent="0.45">
      <c r="N508" s="10">
        <v>90</v>
      </c>
      <c r="O508" s="50">
        <f t="shared" si="336"/>
        <v>794328.23472428333</v>
      </c>
      <c r="P508" s="48" t="str">
        <f t="shared" si="302"/>
        <v>17.4002386318441</v>
      </c>
      <c r="Q508" s="17" t="str">
        <f t="shared" si="303"/>
        <v>1+427.433226143364i</v>
      </c>
      <c r="R508" s="17">
        <f t="shared" si="311"/>
        <v>427.43439591512072</v>
      </c>
      <c r="S508" s="17">
        <f t="shared" si="312"/>
        <v>1.5684567843486161</v>
      </c>
      <c r="T508" s="17" t="str">
        <f t="shared" si="304"/>
        <v>1+1.49727344804926i</v>
      </c>
      <c r="U508" s="17">
        <f t="shared" si="313"/>
        <v>1.8005076445917469</v>
      </c>
      <c r="V508" s="17">
        <f t="shared" si="314"/>
        <v>0.9819537273247928</v>
      </c>
      <c r="W508" s="31" t="str">
        <f t="shared" si="305"/>
        <v>1-3.69395354076551i</v>
      </c>
      <c r="X508" s="17">
        <f t="shared" si="315"/>
        <v>3.8269168741081963</v>
      </c>
      <c r="Y508" s="17">
        <f t="shared" si="316"/>
        <v>-1.3064203716311122</v>
      </c>
      <c r="Z508" s="31" t="str">
        <f t="shared" si="306"/>
        <v>0.427703088906852+5.16621514429005i</v>
      </c>
      <c r="AA508" s="17">
        <f t="shared" si="317"/>
        <v>5.1838893554311447</v>
      </c>
      <c r="AB508" s="17">
        <f t="shared" si="318"/>
        <v>1.488196216946575</v>
      </c>
      <c r="AC508" s="66" t="str">
        <f t="shared" si="319"/>
        <v>-0.0525647495633541+0.0128371227088544i</v>
      </c>
      <c r="AD508" s="64">
        <f t="shared" si="320"/>
        <v>-25.334519754827909</v>
      </c>
      <c r="AE508" s="61">
        <f t="shared" si="321"/>
        <v>166.27611427826494</v>
      </c>
      <c r="AF508" s="31" t="str">
        <f t="shared" si="307"/>
        <v>-9090.90909090909</v>
      </c>
      <c r="AG508" s="31" t="str">
        <f t="shared" si="308"/>
        <v>2.27623467397318E-08i</v>
      </c>
      <c r="AH508" s="31">
        <f t="shared" si="322"/>
        <v>2.27623467397318E-8</v>
      </c>
      <c r="AI508" s="31">
        <f t="shared" si="323"/>
        <v>1.5707963267948966</v>
      </c>
      <c r="AJ508" s="31" t="str">
        <f t="shared" si="309"/>
        <v>1+14414309708.0914i</v>
      </c>
      <c r="AK508" s="31">
        <f t="shared" si="324"/>
        <v>14414309708.0914</v>
      </c>
      <c r="AL508" s="31">
        <f t="shared" si="325"/>
        <v>1.5707963267255212</v>
      </c>
      <c r="AM508" s="31" t="str">
        <f t="shared" si="310"/>
        <v>1+6577.02316613103i</v>
      </c>
      <c r="AN508" s="31">
        <f t="shared" si="326"/>
        <v>6577.0232421532646</v>
      </c>
      <c r="AO508" s="31">
        <f t="shared" si="327"/>
        <v>1.5706442823262921</v>
      </c>
      <c r="AS508" s="58" t="str">
        <f t="shared" si="328"/>
        <v>27.7074292439008+182232.487160896i</v>
      </c>
      <c r="AT508" s="49">
        <f t="shared" si="329"/>
        <v>105.21251615215051</v>
      </c>
      <c r="AU508" s="61">
        <f t="shared" si="330"/>
        <v>89.991288497625575</v>
      </c>
      <c r="AV508" s="58" t="str">
        <f t="shared" si="331"/>
        <v>-2340.79723330341-9578.64936625049i</v>
      </c>
      <c r="AW508" s="64">
        <f t="shared" si="332"/>
        <v>79.877996397322605</v>
      </c>
      <c r="AX508" s="61">
        <f t="shared" si="333"/>
        <v>-103.73259722410951</v>
      </c>
      <c r="AY508" s="310"/>
      <c r="BA508" s="31">
        <f t="shared" si="334"/>
        <v>0</v>
      </c>
      <c r="BB508" s="31">
        <f t="shared" si="335"/>
        <v>0</v>
      </c>
    </row>
    <row r="509" spans="14:54" x14ac:dyDescent="0.45">
      <c r="N509" s="10">
        <v>91</v>
      </c>
      <c r="O509" s="50">
        <f t="shared" si="336"/>
        <v>812830.51616410096</v>
      </c>
      <c r="P509" s="48" t="str">
        <f t="shared" si="302"/>
        <v>17.4002386318441</v>
      </c>
      <c r="Q509" s="17" t="str">
        <f t="shared" si="303"/>
        <v>1+437.389424980459i</v>
      </c>
      <c r="R509" s="17">
        <f t="shared" si="311"/>
        <v>437.39056812503003</v>
      </c>
      <c r="S509" s="17">
        <f t="shared" si="312"/>
        <v>1.5685100386486459</v>
      </c>
      <c r="T509" s="17" t="str">
        <f t="shared" si="304"/>
        <v>1+1.53214942691685i</v>
      </c>
      <c r="U509" s="17">
        <f t="shared" si="313"/>
        <v>1.8296124907754736</v>
      </c>
      <c r="V509" s="17">
        <f t="shared" si="314"/>
        <v>0.99254091064116312</v>
      </c>
      <c r="W509" s="31" t="str">
        <f t="shared" si="305"/>
        <v>1-3.77999677207603i</v>
      </c>
      <c r="X509" s="17">
        <f t="shared" si="315"/>
        <v>3.9100352424121714</v>
      </c>
      <c r="Y509" s="17">
        <f t="shared" si="316"/>
        <v>-1.3121706570860123</v>
      </c>
      <c r="Z509" s="31" t="str">
        <f t="shared" si="306"/>
        <v>0.400731566433017+5.28655175376671i</v>
      </c>
      <c r="AA509" s="17">
        <f t="shared" si="317"/>
        <v>5.3017181397722135</v>
      </c>
      <c r="AB509" s="17">
        <f t="shared" si="318"/>
        <v>1.49513894330547</v>
      </c>
      <c r="AC509" s="66" t="str">
        <f t="shared" si="319"/>
        <v>-0.0521194066462718+0.0128476677335862i</v>
      </c>
      <c r="AD509" s="64">
        <f t="shared" si="320"/>
        <v>-25.403821122885727</v>
      </c>
      <c r="AE509" s="61">
        <f t="shared" si="321"/>
        <v>166.15240794635142</v>
      </c>
      <c r="AF509" s="31" t="str">
        <f t="shared" si="307"/>
        <v>-9090.90909090909</v>
      </c>
      <c r="AG509" s="31" t="str">
        <f t="shared" si="308"/>
        <v>2.27623467397318E-08i</v>
      </c>
      <c r="AH509" s="31">
        <f t="shared" si="322"/>
        <v>2.27623467397318E-8</v>
      </c>
      <c r="AI509" s="31">
        <f t="shared" si="323"/>
        <v>1.5707963267948966</v>
      </c>
      <c r="AJ509" s="31" t="str">
        <f t="shared" si="309"/>
        <v>1+14750062112.8544i</v>
      </c>
      <c r="AK509" s="31">
        <f t="shared" si="324"/>
        <v>14750062112.854401</v>
      </c>
      <c r="AL509" s="31">
        <f t="shared" si="325"/>
        <v>1.5707963267271003</v>
      </c>
      <c r="AM509" s="31" t="str">
        <f t="shared" si="310"/>
        <v>1+6730.22171597005i</v>
      </c>
      <c r="AN509" s="31">
        <f t="shared" si="326"/>
        <v>6730.2217902618086</v>
      </c>
      <c r="AO509" s="31">
        <f t="shared" si="327"/>
        <v>1.5706477432808843</v>
      </c>
      <c r="AS509" s="58" t="str">
        <f t="shared" si="328"/>
        <v>27.0767311541394+182232.487160895i</v>
      </c>
      <c r="AT509" s="49">
        <f t="shared" si="329"/>
        <v>105.21251614763182</v>
      </c>
      <c r="AU509" s="61">
        <f t="shared" si="330"/>
        <v>89.991486795626315</v>
      </c>
      <c r="AV509" s="58" t="str">
        <f t="shared" si="331"/>
        <v>-2342.67366846987-9497.50122965501i</v>
      </c>
      <c r="AW509" s="64">
        <f t="shared" si="332"/>
        <v>79.808695024746086</v>
      </c>
      <c r="AX509" s="61">
        <f t="shared" si="333"/>
        <v>-103.8561052580223</v>
      </c>
      <c r="AY509" s="310"/>
      <c r="BA509" s="31">
        <f t="shared" si="334"/>
        <v>0</v>
      </c>
      <c r="BB509" s="31">
        <f t="shared" si="335"/>
        <v>0</v>
      </c>
    </row>
    <row r="510" spans="14:54" x14ac:dyDescent="0.45">
      <c r="N510" s="10">
        <v>92</v>
      </c>
      <c r="O510" s="50">
        <f t="shared" si="336"/>
        <v>831763.77110267128</v>
      </c>
      <c r="P510" s="48" t="str">
        <f t="shared" si="302"/>
        <v>17.4002386318441</v>
      </c>
      <c r="Q510" s="17" t="str">
        <f t="shared" si="303"/>
        <v>1+447.577533480212i</v>
      </c>
      <c r="R510" s="17">
        <f t="shared" si="311"/>
        <v>447.57865060370153</v>
      </c>
      <c r="S510" s="17">
        <f t="shared" si="312"/>
        <v>1.5685620807453418</v>
      </c>
      <c r="T510" s="17" t="str">
        <f t="shared" si="304"/>
        <v>1+1.56783777169098i</v>
      </c>
      <c r="U510" s="17">
        <f t="shared" si="313"/>
        <v>1.8596008384438143</v>
      </c>
      <c r="V510" s="17">
        <f t="shared" si="314"/>
        <v>1.0030304283439899</v>
      </c>
      <c r="W510" s="31" t="str">
        <f t="shared" si="305"/>
        <v>1-3.86804420770926i</v>
      </c>
      <c r="X510" s="17">
        <f t="shared" si="315"/>
        <v>3.9952178905277687</v>
      </c>
      <c r="Y510" s="17">
        <f t="shared" si="316"/>
        <v>-1.3178070059953166</v>
      </c>
      <c r="Z510" s="31" t="str">
        <f t="shared" si="306"/>
        <v>0.37248891526627+5.409691362959i</v>
      </c>
      <c r="AA510" s="17">
        <f t="shared" si="317"/>
        <v>5.4225002198680867</v>
      </c>
      <c r="AB510" s="17">
        <f t="shared" si="318"/>
        <v>1.5020489830671839</v>
      </c>
      <c r="AC510" s="66" t="str">
        <f t="shared" si="319"/>
        <v>-0.051690435348858+0.0128576193062877i</v>
      </c>
      <c r="AD510" s="64">
        <f t="shared" si="320"/>
        <v>-25.471070668813933</v>
      </c>
      <c r="AE510" s="61">
        <f t="shared" si="321"/>
        <v>166.03157612837325</v>
      </c>
      <c r="AF510" s="31" t="str">
        <f t="shared" si="307"/>
        <v>-9090.90909090909</v>
      </c>
      <c r="AG510" s="31" t="str">
        <f t="shared" si="308"/>
        <v>2.27623467397318E-08i</v>
      </c>
      <c r="AH510" s="31">
        <f t="shared" si="322"/>
        <v>2.27623467397318E-8</v>
      </c>
      <c r="AI510" s="31">
        <f t="shared" si="323"/>
        <v>1.5707963267948966</v>
      </c>
      <c r="AJ510" s="31" t="str">
        <f t="shared" si="309"/>
        <v>1+15093635195.7897i</v>
      </c>
      <c r="AK510" s="31">
        <f t="shared" si="324"/>
        <v>15093635195.7897</v>
      </c>
      <c r="AL510" s="31">
        <f t="shared" si="325"/>
        <v>1.5707963267286436</v>
      </c>
      <c r="AM510" s="31" t="str">
        <f t="shared" si="310"/>
        <v>1+6886.98871844789i</v>
      </c>
      <c r="AN510" s="31">
        <f t="shared" si="326"/>
        <v>6886.9887910485595</v>
      </c>
      <c r="AO510" s="31">
        <f t="shared" si="327"/>
        <v>1.5706511254545352</v>
      </c>
      <c r="AS510" s="58" t="str">
        <f t="shared" si="328"/>
        <v>26.4603895056388+182232.487160895i</v>
      </c>
      <c r="AT510" s="49">
        <f t="shared" si="329"/>
        <v>105.21251614331653</v>
      </c>
      <c r="AU510" s="61">
        <f t="shared" si="330"/>
        <v>89.991680579813689</v>
      </c>
      <c r="AV510" s="58" t="str">
        <f t="shared" si="331"/>
        <v>-2344.4436942058-9419.33637843688i</v>
      </c>
      <c r="AW510" s="64">
        <f t="shared" si="332"/>
        <v>79.741445474502598</v>
      </c>
      <c r="AX510" s="61">
        <f t="shared" si="333"/>
        <v>-103.97674329181309</v>
      </c>
      <c r="AY510" s="310"/>
      <c r="BA510" s="31">
        <f t="shared" si="334"/>
        <v>0</v>
      </c>
      <c r="BB510" s="31">
        <f t="shared" si="335"/>
        <v>0</v>
      </c>
    </row>
    <row r="511" spans="14:54" x14ac:dyDescent="0.45">
      <c r="N511" s="10">
        <v>93</v>
      </c>
      <c r="O511" s="50">
        <f t="shared" si="336"/>
        <v>851138.03820237669</v>
      </c>
      <c r="P511" s="48" t="str">
        <f t="shared" si="302"/>
        <v>17.4002386318441</v>
      </c>
      <c r="Q511" s="17" t="str">
        <f t="shared" si="303"/>
        <v>1+458.002953512605i</v>
      </c>
      <c r="R511" s="17">
        <f t="shared" si="311"/>
        <v>458.00404520732064</v>
      </c>
      <c r="S511" s="17">
        <f t="shared" si="312"/>
        <v>1.5686129382309839</v>
      </c>
      <c r="T511" s="17" t="str">
        <f t="shared" si="304"/>
        <v>1+1.60435740480445i</v>
      </c>
      <c r="U511" s="17">
        <f t="shared" si="313"/>
        <v>1.890492708885932</v>
      </c>
      <c r="V511" s="17">
        <f t="shared" si="314"/>
        <v>1.0134186085995587</v>
      </c>
      <c r="W511" s="31" t="str">
        <f t="shared" si="305"/>
        <v>1-3.95814253158105i</v>
      </c>
      <c r="X511" s="17">
        <f t="shared" si="315"/>
        <v>4.0825105389099541</v>
      </c>
      <c r="Y511" s="17">
        <f t="shared" si="316"/>
        <v>-1.3233309737669776</v>
      </c>
      <c r="Z511" s="31" t="str">
        <f t="shared" si="306"/>
        <v>0.342915228956925+5.53569926211766i</v>
      </c>
      <c r="AA511" s="17">
        <f t="shared" si="317"/>
        <v>5.5463102306723338</v>
      </c>
      <c r="AB511" s="17">
        <f t="shared" si="318"/>
        <v>1.5089292357269946</v>
      </c>
      <c r="AC511" s="66" t="str">
        <f t="shared" si="319"/>
        <v>-0.0512771064119733+0.0128674069004762i</v>
      </c>
      <c r="AD511" s="64">
        <f t="shared" si="320"/>
        <v>-25.536318923811177</v>
      </c>
      <c r="AE511" s="61">
        <f t="shared" si="321"/>
        <v>165.91315161568127</v>
      </c>
      <c r="AF511" s="31" t="str">
        <f t="shared" si="307"/>
        <v>-9090.90909090909</v>
      </c>
      <c r="AG511" s="31" t="str">
        <f t="shared" si="308"/>
        <v>2.27623467397318E-08i</v>
      </c>
      <c r="AH511" s="31">
        <f t="shared" si="322"/>
        <v>2.27623467397318E-8</v>
      </c>
      <c r="AI511" s="31">
        <f t="shared" si="323"/>
        <v>1.5707963267948966</v>
      </c>
      <c r="AJ511" s="31" t="str">
        <f t="shared" si="309"/>
        <v>1+15445211123.8937i</v>
      </c>
      <c r="AK511" s="31">
        <f t="shared" si="324"/>
        <v>15445211123.8937</v>
      </c>
      <c r="AL511" s="31">
        <f t="shared" si="325"/>
        <v>1.5707963267301517</v>
      </c>
      <c r="AM511" s="31" t="str">
        <f t="shared" si="310"/>
        <v>1+7047.40729350434i</v>
      </c>
      <c r="AN511" s="31">
        <f t="shared" si="326"/>
        <v>7047.4073644524178</v>
      </c>
      <c r="AO511" s="31">
        <f t="shared" si="327"/>
        <v>1.5706544306405179</v>
      </c>
      <c r="AS511" s="58" t="str">
        <f t="shared" si="328"/>
        <v>25.8580775058989+182232.487160896i</v>
      </c>
      <c r="AT511" s="49">
        <f t="shared" si="329"/>
        <v>105.21251613919551</v>
      </c>
      <c r="AU511" s="61">
        <f t="shared" si="330"/>
        <v>89.991869952934593</v>
      </c>
      <c r="AV511" s="58" t="str">
        <f t="shared" si="331"/>
        <v>-2346.18549017693-9344.02190946289i</v>
      </c>
      <c r="AW511" s="64">
        <f t="shared" si="332"/>
        <v>79.676197215384349</v>
      </c>
      <c r="AX511" s="61">
        <f t="shared" si="333"/>
        <v>-104.09497843138413</v>
      </c>
      <c r="AY511" s="310"/>
      <c r="BA511" s="31">
        <f t="shared" si="334"/>
        <v>0</v>
      </c>
      <c r="BB511" s="31">
        <f t="shared" si="335"/>
        <v>0</v>
      </c>
    </row>
    <row r="512" spans="14:54" x14ac:dyDescent="0.45">
      <c r="N512" s="10">
        <v>94</v>
      </c>
      <c r="O512" s="50">
        <f t="shared" si="336"/>
        <v>870963.58995608077</v>
      </c>
      <c r="P512" s="48" t="str">
        <f t="shared" si="302"/>
        <v>17.4002386318441</v>
      </c>
      <c r="Q512" s="17" t="str">
        <f t="shared" si="303"/>
        <v>1+468.671212773336i</v>
      </c>
      <c r="R512" s="17">
        <f t="shared" si="311"/>
        <v>468.67227961810329</v>
      </c>
      <c r="S512" s="17">
        <f t="shared" si="312"/>
        <v>1.5686626380698316</v>
      </c>
      <c r="T512" s="17" t="str">
        <f t="shared" si="304"/>
        <v>1+1.64172768945013i</v>
      </c>
      <c r="U512" s="17">
        <f t="shared" si="313"/>
        <v>1.9223084576381757</v>
      </c>
      <c r="V512" s="17">
        <f t="shared" si="314"/>
        <v>1.023701990782097</v>
      </c>
      <c r="W512" s="31" t="str">
        <f t="shared" si="305"/>
        <v>1-4.05033951501529i</v>
      </c>
      <c r="X512" s="17">
        <f t="shared" si="315"/>
        <v>4.1719599934436449</v>
      </c>
      <c r="Y512" s="17">
        <f t="shared" si="316"/>
        <v>-1.3287441402364788</v>
      </c>
      <c r="Z512" s="31" t="str">
        <f t="shared" si="306"/>
        <v>0.311947777751308+5.66464226229874i</v>
      </c>
      <c r="AA512" s="17">
        <f t="shared" si="317"/>
        <v>5.6732251300177534</v>
      </c>
      <c r="AB512" s="17">
        <f t="shared" si="318"/>
        <v>1.5157826126748215</v>
      </c>
      <c r="AC512" s="66" t="str">
        <f t="shared" si="319"/>
        <v>-0.0508787097140241+0.012877432357615i</v>
      </c>
      <c r="AD512" s="64">
        <f t="shared" si="320"/>
        <v>-25.599617379130493</v>
      </c>
      <c r="AE512" s="61">
        <f t="shared" si="321"/>
        <v>165.79667725582547</v>
      </c>
      <c r="AF512" s="31" t="str">
        <f t="shared" si="307"/>
        <v>-9090.90909090909</v>
      </c>
      <c r="AG512" s="31" t="str">
        <f t="shared" si="308"/>
        <v>2.27623467397318E-08i</v>
      </c>
      <c r="AH512" s="31">
        <f t="shared" si="322"/>
        <v>2.27623467397318E-8</v>
      </c>
      <c r="AI512" s="31">
        <f t="shared" si="323"/>
        <v>1.5707963267948966</v>
      </c>
      <c r="AJ512" s="31" t="str">
        <f t="shared" si="309"/>
        <v>1+15804976307.3772i</v>
      </c>
      <c r="AK512" s="31">
        <f t="shared" si="324"/>
        <v>15804976307.377199</v>
      </c>
      <c r="AL512" s="31">
        <f t="shared" si="325"/>
        <v>1.5707963267316254</v>
      </c>
      <c r="AM512" s="31" t="str">
        <f t="shared" si="310"/>
        <v>1+7211.56249719126i</v>
      </c>
      <c r="AN512" s="31">
        <f t="shared" si="326"/>
        <v>7211.5625665243624</v>
      </c>
      <c r="AO512" s="31">
        <f t="shared" si="327"/>
        <v>1.5706576605912854</v>
      </c>
      <c r="AS512" s="58" t="str">
        <f t="shared" si="328"/>
        <v>25.2694758011245+182232.487160895i</v>
      </c>
      <c r="AT512" s="49">
        <f t="shared" si="329"/>
        <v>105.21251613525989</v>
      </c>
      <c r="AU512" s="61">
        <f t="shared" si="330"/>
        <v>89.992055015397156</v>
      </c>
      <c r="AV512" s="58" t="str">
        <f t="shared" si="331"/>
        <v>-2347.97220509828-9271.42840875846i</v>
      </c>
      <c r="AW512" s="64">
        <f t="shared" si="332"/>
        <v>79.612898756129397</v>
      </c>
      <c r="AX512" s="61">
        <f t="shared" si="333"/>
        <v>-104.21126772877737</v>
      </c>
      <c r="AY512" s="310"/>
      <c r="BA512" s="31">
        <f t="shared" si="334"/>
        <v>0</v>
      </c>
      <c r="BB512" s="31">
        <f t="shared" si="335"/>
        <v>0</v>
      </c>
    </row>
    <row r="513" spans="14:54" x14ac:dyDescent="0.45">
      <c r="N513" s="10">
        <v>95</v>
      </c>
      <c r="O513" s="50">
        <f t="shared" si="336"/>
        <v>891250.93813374708</v>
      </c>
      <c r="P513" s="48" t="str">
        <f t="shared" si="302"/>
        <v>17.4002386318441</v>
      </c>
      <c r="Q513" s="17" t="str">
        <f t="shared" si="303"/>
        <v>1+479.587967714678i</v>
      </c>
      <c r="R513" s="17">
        <f t="shared" si="311"/>
        <v>479.5890102751469</v>
      </c>
      <c r="S513" s="17">
        <f t="shared" si="312"/>
        <v>1.5687112066124145</v>
      </c>
      <c r="T513" s="17" t="str">
        <f t="shared" si="304"/>
        <v>1+1.6799684398476i</v>
      </c>
      <c r="U513" s="17">
        <f t="shared" si="313"/>
        <v>1.9550687862282443</v>
      </c>
      <c r="V513" s="17">
        <f t="shared" si="314"/>
        <v>1.033877327307734</v>
      </c>
      <c r="W513" s="31" t="str">
        <f t="shared" si="305"/>
        <v>1-4.14468404207298i</v>
      </c>
      <c r="X513" s="17">
        <f t="shared" si="315"/>
        <v>4.2636141721096674</v>
      </c>
      <c r="Y513" s="17">
        <f t="shared" si="316"/>
        <v>-1.3340481060444738</v>
      </c>
      <c r="Z513" s="31" t="str">
        <f t="shared" si="306"/>
        <v>0.279520875533531+5.79658873078771i</v>
      </c>
      <c r="AA513" s="17">
        <f t="shared" si="317"/>
        <v>5.8033242916240777</v>
      </c>
      <c r="AB513" s="17">
        <f t="shared" si="318"/>
        <v>1.5226120357582265</v>
      </c>
      <c r="AC513" s="66" t="str">
        <f t="shared" si="319"/>
        <v>-0.0504945539519113+0.0128880714278822i</v>
      </c>
      <c r="AD513" s="64">
        <f t="shared" si="320"/>
        <v>-25.66101837991134</v>
      </c>
      <c r="AE513" s="61">
        <f t="shared" si="321"/>
        <v>165.6817063466946</v>
      </c>
      <c r="AF513" s="31" t="str">
        <f t="shared" si="307"/>
        <v>-9090.90909090909</v>
      </c>
      <c r="AG513" s="31" t="str">
        <f t="shared" si="308"/>
        <v>2.27623467397318E-08i</v>
      </c>
      <c r="AH513" s="31">
        <f t="shared" si="322"/>
        <v>2.27623467397318E-8</v>
      </c>
      <c r="AI513" s="31">
        <f t="shared" si="323"/>
        <v>1.5707963267948966</v>
      </c>
      <c r="AJ513" s="31" t="str">
        <f t="shared" si="309"/>
        <v>1+16173121498.5025i</v>
      </c>
      <c r="AK513" s="31">
        <f t="shared" si="324"/>
        <v>16173121498.502501</v>
      </c>
      <c r="AL513" s="31">
        <f t="shared" si="325"/>
        <v>1.5707963267330656</v>
      </c>
      <c r="AM513" s="31" t="str">
        <f t="shared" si="310"/>
        <v>1+7379.54136677053i</v>
      </c>
      <c r="AN513" s="31">
        <f t="shared" si="326"/>
        <v>7379.5414345254167</v>
      </c>
      <c r="AO513" s="31">
        <f t="shared" si="327"/>
        <v>1.5706608170194001</v>
      </c>
      <c r="AS513" s="58" t="str">
        <f t="shared" si="328"/>
        <v>24.6942723069009+182232.487160895i</v>
      </c>
      <c r="AT513" s="49">
        <f t="shared" si="329"/>
        <v>105.21251613150143</v>
      </c>
      <c r="AU513" s="61">
        <f t="shared" si="330"/>
        <v>89.992235865323934</v>
      </c>
      <c r="AV513" s="58" t="str">
        <f t="shared" si="331"/>
        <v>-2349.87223727554-9201.42989319144i</v>
      </c>
      <c r="AW513" s="64">
        <f t="shared" si="332"/>
        <v>79.551497751590091</v>
      </c>
      <c r="AX513" s="61">
        <f t="shared" si="333"/>
        <v>-104.32605778798145</v>
      </c>
      <c r="AY513" s="310"/>
      <c r="BA513" s="31">
        <f t="shared" si="334"/>
        <v>0</v>
      </c>
      <c r="BB513" s="31">
        <f t="shared" si="335"/>
        <v>0</v>
      </c>
    </row>
    <row r="514" spans="14:54" x14ac:dyDescent="0.45">
      <c r="N514" s="10">
        <v>96</v>
      </c>
      <c r="O514" s="50">
        <f t="shared" si="336"/>
        <v>912010.83935591124</v>
      </c>
      <c r="P514" s="48" t="str">
        <f t="shared" si="302"/>
        <v>17.4002386318441</v>
      </c>
      <c r="Q514" s="17" t="str">
        <f t="shared" si="303"/>
        <v>1+490.759006544599i</v>
      </c>
      <c r="R514" s="17">
        <f t="shared" si="311"/>
        <v>490.76002537354418</v>
      </c>
      <c r="S514" s="17">
        <f t="shared" si="312"/>
        <v>1.5687586696094993</v>
      </c>
      <c r="T514" s="17" t="str">
        <f t="shared" si="304"/>
        <v>1+1.71909993174888i</v>
      </c>
      <c r="U514" s="17">
        <f t="shared" si="313"/>
        <v>1.988794754452808</v>
      </c>
      <c r="V514" s="17">
        <f t="shared" si="314"/>
        <v>1.0439415845681268</v>
      </c>
      <c r="W514" s="31" t="str">
        <f t="shared" si="305"/>
        <v>1-4.24122613547115i</v>
      </c>
      <c r="X514" s="17">
        <f t="shared" si="315"/>
        <v>4.3575221321530373</v>
      </c>
      <c r="Y514" s="17">
        <f t="shared" si="316"/>
        <v>-1.3392444892145074</v>
      </c>
      <c r="Z514" s="31" t="str">
        <f t="shared" si="306"/>
        <v>0.245565740496442+5.93160862734865i</v>
      </c>
      <c r="AA514" s="17">
        <f t="shared" si="317"/>
        <v>5.936689602879917</v>
      </c>
      <c r="AB514" s="17">
        <f t="shared" si="318"/>
        <v>1.5294204359269996</v>
      </c>
      <c r="AC514" s="66" t="str">
        <f t="shared" si="319"/>
        <v>-0.0501239662794729+0.0128996752306481i</v>
      </c>
      <c r="AD514" s="64">
        <f t="shared" si="320"/>
        <v>-25.720575021737318</v>
      </c>
      <c r="AE514" s="61">
        <f t="shared" si="321"/>
        <v>165.56780296295034</v>
      </c>
      <c r="AF514" s="31" t="str">
        <f t="shared" si="307"/>
        <v>-9090.90909090909</v>
      </c>
      <c r="AG514" s="31" t="str">
        <f t="shared" si="308"/>
        <v>2.27623467397318E-08i</v>
      </c>
      <c r="AH514" s="31">
        <f t="shared" si="322"/>
        <v>2.27623467397318E-8</v>
      </c>
      <c r="AI514" s="31">
        <f t="shared" si="323"/>
        <v>1.5707963267948966</v>
      </c>
      <c r="AJ514" s="31" t="str">
        <f t="shared" si="309"/>
        <v>1+16549841892.7228i</v>
      </c>
      <c r="AK514" s="31">
        <f t="shared" si="324"/>
        <v>16549841892.722799</v>
      </c>
      <c r="AL514" s="31">
        <f t="shared" si="325"/>
        <v>1.5707963267344731</v>
      </c>
      <c r="AM514" s="31" t="str">
        <f t="shared" si="310"/>
        <v>1+7551.43296686222i</v>
      </c>
      <c r="AN514" s="31">
        <f t="shared" si="326"/>
        <v>7551.4330330748189</v>
      </c>
      <c r="AO514" s="31">
        <f t="shared" si="327"/>
        <v>1.5706639015984414</v>
      </c>
      <c r="AS514" s="58" t="str">
        <f t="shared" si="328"/>
        <v>24.1321620427219+182232.487160895i</v>
      </c>
      <c r="AT514" s="49">
        <f t="shared" si="329"/>
        <v>105.21251612791215</v>
      </c>
      <c r="AU514" s="61">
        <f t="shared" si="330"/>
        <v>89.992412598603948</v>
      </c>
      <c r="AV514" s="58" t="str">
        <f t="shared" si="331"/>
        <v>-2351.94950052528-9133.90374442421i</v>
      </c>
      <c r="AW514" s="64">
        <f t="shared" si="332"/>
        <v>79.491941106174821</v>
      </c>
      <c r="AX514" s="61">
        <f t="shared" si="333"/>
        <v>-104.43978443844574</v>
      </c>
      <c r="AY514" s="310"/>
      <c r="BA514" s="31">
        <f t="shared" si="334"/>
        <v>0</v>
      </c>
      <c r="BB514" s="31">
        <f t="shared" si="335"/>
        <v>0</v>
      </c>
    </row>
    <row r="515" spans="14:54" x14ac:dyDescent="0.45">
      <c r="N515" s="10">
        <v>97</v>
      </c>
      <c r="O515" s="50">
        <f t="shared" si="336"/>
        <v>933254.30079699249</v>
      </c>
      <c r="P515" s="48" t="str">
        <f t="shared" si="302"/>
        <v>17.4002386318441</v>
      </c>
      <c r="Q515" s="17" t="str">
        <f t="shared" si="303"/>
        <v>1+502.190252295753i</v>
      </c>
      <c r="R515" s="17">
        <f t="shared" si="311"/>
        <v>502.19124793336658</v>
      </c>
      <c r="S515" s="17">
        <f t="shared" si="312"/>
        <v>1.56880505222574</v>
      </c>
      <c r="T515" s="17" t="str">
        <f t="shared" si="304"/>
        <v>1+1.75914291318895i</v>
      </c>
      <c r="U515" s="17">
        <f t="shared" si="313"/>
        <v>2.0235077931707863</v>
      </c>
      <c r="V515" s="17">
        <f t="shared" si="314"/>
        <v>1.0538919430016314</v>
      </c>
      <c r="W515" s="31" t="str">
        <f t="shared" si="305"/>
        <v>1-4.34001698310561i</v>
      </c>
      <c r="X515" s="17">
        <f t="shared" si="315"/>
        <v>4.4537340977706688</v>
      </c>
      <c r="Y515" s="17">
        <f t="shared" si="316"/>
        <v>-1.3443349219260485</v>
      </c>
      <c r="Z515" s="31" t="str">
        <f t="shared" si="306"/>
        <v>0.210010349246183+6.06977354131794i</v>
      </c>
      <c r="AA515" s="17">
        <f t="shared" si="317"/>
        <v>6.0734055676921361</v>
      </c>
      <c r="AB515" s="17">
        <f t="shared" si="318"/>
        <v>1.5362107519503931</v>
      </c>
      <c r="AC515" s="66" t="str">
        <f t="shared" si="319"/>
        <v>-0.0497662919087554+0.0129125716361636i</v>
      </c>
      <c r="AD515" s="64">
        <f t="shared" si="320"/>
        <v>-25.778341050414099</v>
      </c>
      <c r="AE515" s="61">
        <f t="shared" si="321"/>
        <v>165.45454221771212</v>
      </c>
      <c r="AF515" s="31" t="str">
        <f t="shared" si="307"/>
        <v>-9090.90909090909</v>
      </c>
      <c r="AG515" s="31" t="str">
        <f t="shared" si="308"/>
        <v>2.27623467397318E-08i</v>
      </c>
      <c r="AH515" s="31">
        <f t="shared" si="322"/>
        <v>2.27623467397318E-8</v>
      </c>
      <c r="AI515" s="31">
        <f t="shared" si="323"/>
        <v>1.5707963267948966</v>
      </c>
      <c r="AJ515" s="31" t="str">
        <f t="shared" si="309"/>
        <v>1+16935337232.1777i</v>
      </c>
      <c r="AK515" s="31">
        <f t="shared" si="324"/>
        <v>16935337232.1777</v>
      </c>
      <c r="AL515" s="31">
        <f t="shared" si="325"/>
        <v>1.5707963267358485</v>
      </c>
      <c r="AM515" s="31" t="str">
        <f t="shared" si="310"/>
        <v>1+7727.32843666797i</v>
      </c>
      <c r="AN515" s="31">
        <f t="shared" si="326"/>
        <v>7727.3285013733848</v>
      </c>
      <c r="AO515" s="31">
        <f t="shared" si="327"/>
        <v>1.5706669159638942</v>
      </c>
      <c r="AS515" s="58" t="str">
        <f t="shared" si="328"/>
        <v>23.5828469702849+182232.487160895i</v>
      </c>
      <c r="AT515" s="49">
        <f t="shared" si="329"/>
        <v>105.21251612448438</v>
      </c>
      <c r="AU515" s="61">
        <f t="shared" si="330"/>
        <v>89.99258530894349</v>
      </c>
      <c r="AV515" s="58" t="str">
        <f t="shared" si="331"/>
        <v>-2354.26367574768-9068.73063610673i</v>
      </c>
      <c r="AW515" s="64">
        <f t="shared" si="332"/>
        <v>79.434175074070282</v>
      </c>
      <c r="AX515" s="61">
        <f t="shared" si="333"/>
        <v>-104.55287247334441</v>
      </c>
      <c r="AY515" s="310"/>
      <c r="BA515" s="31">
        <f t="shared" si="334"/>
        <v>0</v>
      </c>
      <c r="BB515" s="31">
        <f t="shared" si="335"/>
        <v>0</v>
      </c>
    </row>
    <row r="516" spans="14:54" x14ac:dyDescent="0.45">
      <c r="N516" s="10">
        <v>98</v>
      </c>
      <c r="O516" s="50">
        <f t="shared" si="336"/>
        <v>954992.58602143743</v>
      </c>
      <c r="P516" s="48" t="str">
        <f t="shared" si="302"/>
        <v>17.4002386318441</v>
      </c>
      <c r="Q516" s="17" t="str">
        <f t="shared" si="303"/>
        <v>1+513.887765965947i</v>
      </c>
      <c r="R516" s="17">
        <f t="shared" si="311"/>
        <v>513.88873894012499</v>
      </c>
      <c r="S516" s="17">
        <f t="shared" si="312"/>
        <v>1.5688503790530148</v>
      </c>
      <c r="T516" s="17" t="str">
        <f t="shared" si="304"/>
        <v>1+1.8001186154866i</v>
      </c>
      <c r="U516" s="17">
        <f t="shared" si="313"/>
        <v>2.0592297175937886</v>
      </c>
      <c r="V516" s="17">
        <f t="shared" si="314"/>
        <v>1.0637257963445201</v>
      </c>
      <c r="W516" s="31" t="str">
        <f t="shared" si="305"/>
        <v>1-4.44110896519143i</v>
      </c>
      <c r="X516" s="17">
        <f t="shared" si="315"/>
        <v>4.5523014883357291</v>
      </c>
      <c r="Y516" s="17">
        <f t="shared" si="316"/>
        <v>-1.3493210474775756</v>
      </c>
      <c r="Z516" s="31" t="str">
        <f t="shared" si="306"/>
        <v>0.17277928403092+6.21115672956179i</v>
      </c>
      <c r="AA516" s="17">
        <f t="shared" si="317"/>
        <v>6.2135594147131927</v>
      </c>
      <c r="AB516" s="17">
        <f t="shared" si="318"/>
        <v>1.5429859291980281</v>
      </c>
      <c r="AC516" s="66" t="str">
        <f t="shared" si="319"/>
        <v>-0.0494208936790899+0.0129270665701172i</v>
      </c>
      <c r="AD516" s="64">
        <f t="shared" si="320"/>
        <v>-25.834370765415873</v>
      </c>
      <c r="AE516" s="61">
        <f t="shared" si="321"/>
        <v>165.34151046274124</v>
      </c>
      <c r="AF516" s="31" t="str">
        <f t="shared" si="307"/>
        <v>-9090.90909090909</v>
      </c>
      <c r="AG516" s="31" t="str">
        <f t="shared" si="308"/>
        <v>2.27623467397318E-08i</v>
      </c>
      <c r="AH516" s="31">
        <f t="shared" si="322"/>
        <v>2.27623467397318E-8</v>
      </c>
      <c r="AI516" s="31">
        <f t="shared" si="323"/>
        <v>1.5707963267948966</v>
      </c>
      <c r="AJ516" s="31" t="str">
        <f t="shared" si="309"/>
        <v>1+17329811911.5987i</v>
      </c>
      <c r="AK516" s="31">
        <f t="shared" si="324"/>
        <v>17329811911.598701</v>
      </c>
      <c r="AL516" s="31">
        <f t="shared" si="325"/>
        <v>1.5707963267371925</v>
      </c>
      <c r="AM516" s="31" t="str">
        <f t="shared" si="310"/>
        <v>1+7907.32103829413i</v>
      </c>
      <c r="AN516" s="31">
        <f t="shared" si="326"/>
        <v>7907.3211015266706</v>
      </c>
      <c r="AO516" s="31">
        <f t="shared" si="327"/>
        <v>1.5706698617140145</v>
      </c>
      <c r="AS516" s="58" t="str">
        <f t="shared" si="328"/>
        <v>23.0460358354674+182232.487160896i</v>
      </c>
      <c r="AT516" s="49">
        <f t="shared" si="329"/>
        <v>105.21251612121097</v>
      </c>
      <c r="AU516" s="61">
        <f t="shared" si="330"/>
        <v>89.99275408791587</v>
      </c>
      <c r="AV516" s="58" t="str">
        <f t="shared" si="331"/>
        <v>-2356.87044845368-9005.79445521533i</v>
      </c>
      <c r="AW516" s="64">
        <f t="shared" si="332"/>
        <v>79.378145355795084</v>
      </c>
      <c r="AX516" s="61">
        <f t="shared" si="333"/>
        <v>-104.66573544934288</v>
      </c>
      <c r="AY516" s="310"/>
      <c r="BA516" s="31">
        <f t="shared" si="334"/>
        <v>0</v>
      </c>
      <c r="BB516" s="31">
        <f t="shared" si="335"/>
        <v>0</v>
      </c>
    </row>
    <row r="517" spans="14:54" x14ac:dyDescent="0.45">
      <c r="N517" s="10">
        <v>99</v>
      </c>
      <c r="O517" s="50">
        <f t="shared" si="336"/>
        <v>977237.22095581202</v>
      </c>
      <c r="P517" s="48" t="str">
        <f t="shared" si="302"/>
        <v>17.4002386318441</v>
      </c>
      <c r="Q517" s="17" t="str">
        <f t="shared" si="303"/>
        <v>1+525.857749731766i</v>
      </c>
      <c r="R517" s="17">
        <f t="shared" si="311"/>
        <v>525.85870055838825</v>
      </c>
      <c r="S517" s="17">
        <f t="shared" si="312"/>
        <v>1.568894674123462</v>
      </c>
      <c r="T517" s="17" t="str">
        <f t="shared" si="304"/>
        <v>1+1.84204876450157i</v>
      </c>
      <c r="U517" s="17">
        <f t="shared" si="313"/>
        <v>2.0959827410553169</v>
      </c>
      <c r="V517" s="17">
        <f t="shared" si="314"/>
        <v>1.073440750108783</v>
      </c>
      <c r="W517" s="31" t="str">
        <f t="shared" si="305"/>
        <v>1-4.54455568203562i</v>
      </c>
      <c r="X517" s="17">
        <f t="shared" si="315"/>
        <v>4.6532769471762832</v>
      </c>
      <c r="Y517" s="17">
        <f t="shared" si="316"/>
        <v>-1.3542045174340867</v>
      </c>
      <c r="Z517" s="31" t="str">
        <f t="shared" si="306"/>
        <v>0.133793572769671+6.35583315531802i</v>
      </c>
      <c r="AA517" s="17">
        <f t="shared" si="317"/>
        <v>6.3572412112766559</v>
      </c>
      <c r="AB517" s="17">
        <f t="shared" si="318"/>
        <v>1.54974891847553</v>
      </c>
      <c r="AC517" s="66" t="str">
        <f t="shared" si="319"/>
        <v>-0.0490871515985935+0.0129434452428292i</v>
      </c>
      <c r="AD517" s="64">
        <f t="shared" si="320"/>
        <v>-25.888718927402689</v>
      </c>
      <c r="AE517" s="61">
        <f t="shared" si="321"/>
        <v>165.22830543062824</v>
      </c>
      <c r="AF517" s="31" t="str">
        <f t="shared" si="307"/>
        <v>-9090.90909090909</v>
      </c>
      <c r="AG517" s="31" t="str">
        <f t="shared" si="308"/>
        <v>2.27623467397318E-08i</v>
      </c>
      <c r="AH517" s="31">
        <f t="shared" si="322"/>
        <v>2.27623467397318E-8</v>
      </c>
      <c r="AI517" s="31">
        <f t="shared" si="323"/>
        <v>1.5707963267948966</v>
      </c>
      <c r="AJ517" s="31" t="str">
        <f t="shared" si="309"/>
        <v>1+17733475086.6825i</v>
      </c>
      <c r="AK517" s="31">
        <f t="shared" si="324"/>
        <v>17733475086.682499</v>
      </c>
      <c r="AL517" s="31">
        <f t="shared" si="325"/>
        <v>1.5707963267385061</v>
      </c>
      <c r="AM517" s="31" t="str">
        <f t="shared" si="310"/>
        <v>1+8091.50620620056i</v>
      </c>
      <c r="AN517" s="31">
        <f t="shared" si="326"/>
        <v>8091.5062679937519</v>
      </c>
      <c r="AO517" s="31">
        <f t="shared" si="327"/>
        <v>1.5706727404106777</v>
      </c>
      <c r="AS517" s="58" t="str">
        <f t="shared" si="328"/>
        <v>22.5214440139003+182232.487160896i</v>
      </c>
      <c r="AT517" s="49">
        <f t="shared" si="329"/>
        <v>105.21251611808481</v>
      </c>
      <c r="AU517" s="61">
        <f t="shared" si="330"/>
        <v>89.992919025009911</v>
      </c>
      <c r="AV517" s="58" t="str">
        <f t="shared" si="331"/>
        <v>-2359.82173256816-8944.98221837826i</v>
      </c>
      <c r="AW517" s="64">
        <f t="shared" si="332"/>
        <v>79.323797190682114</v>
      </c>
      <c r="AX517" s="61">
        <f t="shared" si="333"/>
        <v>-104.77877554436182</v>
      </c>
      <c r="AY517" s="310"/>
      <c r="BA517" s="31">
        <f t="shared" si="334"/>
        <v>0</v>
      </c>
      <c r="BB517" s="31">
        <f t="shared" si="335"/>
        <v>0</v>
      </c>
    </row>
    <row r="518" spans="14:54" x14ac:dyDescent="0.45">
      <c r="N518" s="10">
        <v>100</v>
      </c>
      <c r="O518" s="50">
        <f t="shared" si="336"/>
        <v>1000000</v>
      </c>
      <c r="P518" s="48" t="str">
        <f t="shared" si="302"/>
        <v>17.4002386318441</v>
      </c>
      <c r="Q518" s="17" t="str">
        <f t="shared" si="303"/>
        <v>1+538.106550237043i</v>
      </c>
      <c r="R518" s="17">
        <f t="shared" si="311"/>
        <v>538.10747942024682</v>
      </c>
      <c r="S518" s="17">
        <f t="shared" si="312"/>
        <v>1.5689379609222183</v>
      </c>
      <c r="T518" s="17" t="str">
        <f t="shared" si="304"/>
        <v>1+1.88495559215388i</v>
      </c>
      <c r="U518" s="17">
        <f t="shared" si="313"/>
        <v>2.1337894892402542</v>
      </c>
      <c r="V518" s="17">
        <f t="shared" si="314"/>
        <v>1.0830346193361864</v>
      </c>
      <c r="W518" s="31" t="str">
        <f t="shared" si="305"/>
        <v>1-4.65041198245673i</v>
      </c>
      <c r="X518" s="17">
        <f t="shared" si="315"/>
        <v>4.7567143709263373</v>
      </c>
      <c r="Y518" s="17">
        <f t="shared" si="316"/>
        <v>-1.3589869889530921</v>
      </c>
      <c r="Z518" s="31" t="str">
        <f t="shared" si="306"/>
        <v>0.092970521541949+6.5038795279426i</v>
      </c>
      <c r="AA518" s="17">
        <f t="shared" si="317"/>
        <v>6.5045439833908922</v>
      </c>
      <c r="AB518" s="17">
        <f t="shared" si="318"/>
        <v>1.556502674905919</v>
      </c>
      <c r="AC518" s="66" t="str">
        <f t="shared" si="319"/>
        <v>-0.0487644623623916+0.0129619733049471i</v>
      </c>
      <c r="AD518" s="64">
        <f t="shared" si="320"/>
        <v>-25.941440670161263</v>
      </c>
      <c r="AE518" s="61">
        <f t="shared" si="321"/>
        <v>165.11453632268044</v>
      </c>
      <c r="AF518" s="31" t="str">
        <f t="shared" si="307"/>
        <v>-9090.90909090909</v>
      </c>
      <c r="AG518" s="31" t="str">
        <f t="shared" si="308"/>
        <v>2.27623467397318E-08i</v>
      </c>
      <c r="AH518" s="31">
        <f t="shared" si="322"/>
        <v>2.27623467397318E-8</v>
      </c>
      <c r="AI518" s="31">
        <f t="shared" si="323"/>
        <v>1.5707963267948966</v>
      </c>
      <c r="AJ518" s="31" t="str">
        <f t="shared" si="309"/>
        <v>1+18146540784.9876i</v>
      </c>
      <c r="AK518" s="31">
        <f t="shared" si="324"/>
        <v>18146540784.987598</v>
      </c>
      <c r="AL518" s="31">
        <f t="shared" si="325"/>
        <v>1.5707963267397897</v>
      </c>
      <c r="AM518" s="31" t="str">
        <f t="shared" si="310"/>
        <v>1+8279.98159780126i</v>
      </c>
      <c r="AN518" s="31">
        <f t="shared" si="326"/>
        <v>8279.9816581878677</v>
      </c>
      <c r="AO518" s="31">
        <f t="shared" si="327"/>
        <v>1.5706755535802068</v>
      </c>
      <c r="AS518" s="58" t="str">
        <f t="shared" si="328"/>
        <v>22.0087933600556+182232.487160895i</v>
      </c>
      <c r="AT518" s="49">
        <f t="shared" si="329"/>
        <v>105.21251611509932</v>
      </c>
      <c r="AU518" s="61">
        <f t="shared" si="330"/>
        <v>89.993080207677451</v>
      </c>
      <c r="AV518" s="58" t="str">
        <f t="shared" si="331"/>
        <v>-2363.16588084908-8886.18398397047i</v>
      </c>
      <c r="AW518" s="64">
        <f t="shared" si="332"/>
        <v>79.271075444938063</v>
      </c>
      <c r="AX518" s="61">
        <f t="shared" si="333"/>
        <v>-104.89238346964208</v>
      </c>
      <c r="AY518" s="310"/>
      <c r="BA518" s="31">
        <f t="shared" si="334"/>
        <v>0</v>
      </c>
      <c r="BB518" s="31">
        <f t="shared" si="335"/>
        <v>0</v>
      </c>
    </row>
    <row r="519" spans="14:54" x14ac:dyDescent="0.45">
      <c r="N519" s="10">
        <v>1</v>
      </c>
      <c r="O519" s="50">
        <f>10^(6+(N519/100))</f>
        <v>1023292.9922807553</v>
      </c>
      <c r="P519" s="48" t="str">
        <f t="shared" si="302"/>
        <v>17.4002386318441</v>
      </c>
      <c r="Q519" s="17" t="str">
        <f t="shared" si="303"/>
        <v>1+550.640661957938i</v>
      </c>
      <c r="R519" s="17">
        <f t="shared" si="311"/>
        <v>550.64156999038516</v>
      </c>
      <c r="S519" s="17">
        <f t="shared" si="312"/>
        <v>1.5689802623998685</v>
      </c>
      <c r="T519" s="17" t="str">
        <f t="shared" si="304"/>
        <v>1+1.92886184821149i</v>
      </c>
      <c r="U519" s="17">
        <f t="shared" si="313"/>
        <v>2.1726730148565485</v>
      </c>
      <c r="V519" s="17">
        <f t="shared" si="314"/>
        <v>1.0925054256807498</v>
      </c>
      <c r="W519" s="31" t="str">
        <f t="shared" si="305"/>
        <v>1-4.75873399286643i</v>
      </c>
      <c r="X519" s="17">
        <f t="shared" si="315"/>
        <v>4.8626689394675511</v>
      </c>
      <c r="Y519" s="17">
        <f t="shared" si="316"/>
        <v>-1.3636701222829126</v>
      </c>
      <c r="Z519" s="31" t="str">
        <f t="shared" si="306"/>
        <v>0.050223539182855+6.65537434358193i</v>
      </c>
      <c r="AA519" s="17">
        <f t="shared" si="317"/>
        <v>6.6555638421621843</v>
      </c>
      <c r="AB519" s="17">
        <f t="shared" si="318"/>
        <v>1.5632501568478177</v>
      </c>
      <c r="AC519" s="66" t="str">
        <f t="shared" si="319"/>
        <v>-0.0484522388515508+0.0129828979315696i</v>
      </c>
      <c r="AD519" s="64">
        <f t="shared" si="320"/>
        <v>-25.992591417271676</v>
      </c>
      <c r="AE519" s="61">
        <f t="shared" si="321"/>
        <v>164.9998238463657</v>
      </c>
      <c r="AF519" s="31" t="str">
        <f t="shared" si="307"/>
        <v>-9090.90909090909</v>
      </c>
      <c r="AG519" s="31" t="str">
        <f t="shared" si="308"/>
        <v>2.27623467397318E-08i</v>
      </c>
      <c r="AH519" s="31">
        <f t="shared" si="322"/>
        <v>2.27623467397318E-8</v>
      </c>
      <c r="AI519" s="31">
        <f t="shared" si="323"/>
        <v>1.5707963267948966</v>
      </c>
      <c r="AJ519" s="31" t="str">
        <f t="shared" si="309"/>
        <v>1+18569228019.4147i</v>
      </c>
      <c r="AK519" s="31">
        <f t="shared" si="324"/>
        <v>18569228019.4147</v>
      </c>
      <c r="AL519" s="31">
        <f t="shared" si="325"/>
        <v>1.5707963267410441</v>
      </c>
      <c r="AM519" s="31" t="str">
        <f t="shared" si="310"/>
        <v>1+8472.84714524364i</v>
      </c>
      <c r="AN519" s="31">
        <f t="shared" si="326"/>
        <v>8472.8472042556805</v>
      </c>
      <c r="AO519" s="31">
        <f t="shared" si="327"/>
        <v>1.5706783027141815</v>
      </c>
      <c r="AS519" s="58" t="str">
        <f t="shared" si="328"/>
        <v>21.5078120597715+182232.487160895i</v>
      </c>
      <c r="AT519" s="49">
        <f t="shared" si="329"/>
        <v>105.21251611224824</v>
      </c>
      <c r="AU519" s="61">
        <f t="shared" si="330"/>
        <v>89.993237721379643</v>
      </c>
      <c r="AV519" s="58" t="str">
        <f t="shared" si="331"/>
        <v>-2366.94788227306-8829.29276070315i</v>
      </c>
      <c r="AW519" s="64">
        <f t="shared" si="332"/>
        <v>79.219924694976555</v>
      </c>
      <c r="AX519" s="61">
        <f t="shared" si="333"/>
        <v>-105.00693843225463</v>
      </c>
      <c r="AY519" s="310"/>
      <c r="BA519" s="31">
        <f t="shared" si="334"/>
        <v>0</v>
      </c>
      <c r="BB519" s="31">
        <f t="shared" si="335"/>
        <v>0</v>
      </c>
    </row>
    <row r="520" spans="14:54" x14ac:dyDescent="0.45">
      <c r="N520" s="10">
        <v>2</v>
      </c>
      <c r="O520" s="50">
        <f t="shared" ref="O520:O560" si="337">10^(6+(N520/100))</f>
        <v>1047128.5480509007</v>
      </c>
      <c r="P520" s="48" t="str">
        <f t="shared" si="302"/>
        <v>17.4002386318441</v>
      </c>
      <c r="Q520" s="17" t="str">
        <f t="shared" si="303"/>
        <v>1+563.466730646393i</v>
      </c>
      <c r="R520" s="17">
        <f t="shared" si="311"/>
        <v>563.46761800953107</v>
      </c>
      <c r="S520" s="17">
        <f t="shared" si="312"/>
        <v>1.5690216009846101</v>
      </c>
      <c r="T520" s="17" t="str">
        <f t="shared" si="304"/>
        <v>1+1.97379081235251i</v>
      </c>
      <c r="U520" s="17">
        <f t="shared" si="313"/>
        <v>2.2126568127315136</v>
      </c>
      <c r="V520" s="17">
        <f t="shared" si="314"/>
        <v>1.1018513938735395</v>
      </c>
      <c r="W520" s="31" t="str">
        <f t="shared" si="305"/>
        <v>1-4.86957914702842i</v>
      </c>
      <c r="X520" s="17">
        <f t="shared" si="315"/>
        <v>4.9711971464803169</v>
      </c>
      <c r="Y520" s="17">
        <f t="shared" si="316"/>
        <v>-1.3682555784269337</v>
      </c>
      <c r="Z520" s="31" t="str">
        <f t="shared" si="306"/>
        <v>0.00546195361162205+6.81039792679251i</v>
      </c>
      <c r="AA520" s="17">
        <f t="shared" si="317"/>
        <v>6.8104001170413611</v>
      </c>
      <c r="AB520" s="17">
        <f t="shared" si="318"/>
        <v>1.5699943248415191</v>
      </c>
      <c r="AC520" s="66" t="str">
        <f t="shared" si="319"/>
        <v>-0.0481499096164162+0.0130064488367654i</v>
      </c>
      <c r="AD520" s="64">
        <f t="shared" si="320"/>
        <v>-26.042226803753913</v>
      </c>
      <c r="AE520" s="61">
        <f t="shared" si="321"/>
        <v>164.88380020627835</v>
      </c>
      <c r="AF520" s="31" t="str">
        <f t="shared" si="307"/>
        <v>-9090.90909090909</v>
      </c>
      <c r="AG520" s="31" t="str">
        <f t="shared" si="308"/>
        <v>2.27623467397318E-08i</v>
      </c>
      <c r="AH520" s="31">
        <f t="shared" si="322"/>
        <v>2.27623467397318E-8</v>
      </c>
      <c r="AI520" s="31">
        <f t="shared" si="323"/>
        <v>1.5707963267948966</v>
      </c>
      <c r="AJ520" s="31" t="str">
        <f t="shared" si="309"/>
        <v>1+19001760904.3305i</v>
      </c>
      <c r="AK520" s="31">
        <f t="shared" si="324"/>
        <v>19001760904.330502</v>
      </c>
      <c r="AL520" s="31">
        <f t="shared" si="325"/>
        <v>1.57079632674227</v>
      </c>
      <c r="AM520" s="31" t="str">
        <f t="shared" si="310"/>
        <v>1+8670.2051083938i</v>
      </c>
      <c r="AN520" s="31">
        <f t="shared" si="326"/>
        <v>8670.2051660625621</v>
      </c>
      <c r="AO520" s="31">
        <f t="shared" si="327"/>
        <v>1.5706809892702287</v>
      </c>
      <c r="AS520" s="58" t="str">
        <f t="shared" si="328"/>
        <v>21.018234486131+182232.487160895i</v>
      </c>
      <c r="AT520" s="49">
        <f t="shared" si="329"/>
        <v>105.21251610952548</v>
      </c>
      <c r="AU520" s="61">
        <f t="shared" si="330"/>
        <v>89.993391649632329</v>
      </c>
      <c r="AV520" s="58" t="str">
        <f t="shared" si="331"/>
        <v>-2371.20954674549-8774.20441338034i</v>
      </c>
      <c r="AW520" s="64">
        <f t="shared" si="332"/>
        <v>79.170289305771576</v>
      </c>
      <c r="AX520" s="61">
        <f t="shared" si="333"/>
        <v>-105.12280814408929</v>
      </c>
      <c r="AY520" s="310"/>
      <c r="BA520" s="31">
        <f t="shared" si="334"/>
        <v>0</v>
      </c>
      <c r="BB520" s="31">
        <f t="shared" si="335"/>
        <v>0</v>
      </c>
    </row>
    <row r="521" spans="14:54" x14ac:dyDescent="0.45">
      <c r="N521" s="10">
        <v>3</v>
      </c>
      <c r="O521" s="50">
        <f t="shared" si="337"/>
        <v>1071519.3052376076</v>
      </c>
      <c r="P521" s="48" t="str">
        <f t="shared" si="302"/>
        <v>17.4002386318441</v>
      </c>
      <c r="Q521" s="17" t="str">
        <f t="shared" si="303"/>
        <v>1+576.591556853801i</v>
      </c>
      <c r="R521" s="17">
        <f t="shared" si="311"/>
        <v>576.59242401811866</v>
      </c>
      <c r="S521" s="17">
        <f t="shared" si="312"/>
        <v>1.5690619985941423</v>
      </c>
      <c r="T521" s="17" t="str">
        <f t="shared" si="304"/>
        <v>1+2.01976630650847i</v>
      </c>
      <c r="U521" s="17">
        <f t="shared" si="313"/>
        <v>2.2537648353159798</v>
      </c>
      <c r="V521" s="17">
        <f t="shared" si="314"/>
        <v>1.1110709476247769</v>
      </c>
      <c r="W521" s="31" t="str">
        <f t="shared" si="305"/>
        <v>1-4.98300621651068i</v>
      </c>
      <c r="X521" s="17">
        <f t="shared" si="315"/>
        <v>5.0823568306233753</v>
      </c>
      <c r="Y521" s="17">
        <f t="shared" si="316"/>
        <v>-1.3727450169673536</v>
      </c>
      <c r="Z521" s="31" t="str">
        <f t="shared" si="306"/>
        <v>-0.0414091804960399+6.96903247313015i</v>
      </c>
      <c r="AA521" s="17">
        <f t="shared" si="317"/>
        <v>6.9691554963117222</v>
      </c>
      <c r="AB521" s="17">
        <f t="shared" si="318"/>
        <v>1.5767381405739864</v>
      </c>
      <c r="AC521" s="66" t="str">
        <f t="shared" si="319"/>
        <v>-0.0478569183477875+0.0130328392204841i</v>
      </c>
      <c r="AD521" s="64">
        <f t="shared" si="320"/>
        <v>-26.090402602897015</v>
      </c>
      <c r="AE521" s="61">
        <f t="shared" si="321"/>
        <v>164.76610905265596</v>
      </c>
      <c r="AF521" s="31" t="str">
        <f t="shared" si="307"/>
        <v>-9090.90909090909</v>
      </c>
      <c r="AG521" s="31" t="str">
        <f t="shared" si="308"/>
        <v>2.27623467397318E-08i</v>
      </c>
      <c r="AH521" s="31">
        <f t="shared" si="322"/>
        <v>2.27623467397318E-8</v>
      </c>
      <c r="AI521" s="31">
        <f t="shared" si="323"/>
        <v>1.5707963267948966</v>
      </c>
      <c r="AJ521" s="31" t="str">
        <f t="shared" si="309"/>
        <v>1+19444368774.3958i</v>
      </c>
      <c r="AK521" s="31">
        <f t="shared" si="324"/>
        <v>19444368774.395802</v>
      </c>
      <c r="AL521" s="31">
        <f t="shared" si="325"/>
        <v>1.5707963267434679</v>
      </c>
      <c r="AM521" s="31" t="str">
        <f t="shared" si="310"/>
        <v>1+8872.16012905617i</v>
      </c>
      <c r="AN521" s="31">
        <f t="shared" si="326"/>
        <v>8872.1601854122309</v>
      </c>
      <c r="AO521" s="31">
        <f t="shared" si="327"/>
        <v>1.5706836146727956</v>
      </c>
      <c r="AS521" s="58" t="str">
        <f t="shared" si="328"/>
        <v>20.5398010586243+182232.487160895i</v>
      </c>
      <c r="AT521" s="49">
        <f t="shared" si="329"/>
        <v>105.21251610692528</v>
      </c>
      <c r="AU521" s="61">
        <f t="shared" si="330"/>
        <v>89.99354207405031</v>
      </c>
      <c r="AV521" s="58" t="str">
        <f t="shared" si="331"/>
        <v>-2375.98967749902-8720.81756644837i</v>
      </c>
      <c r="AW521" s="64">
        <f t="shared" si="332"/>
        <v>79.122113504028249</v>
      </c>
      <c r="AX521" s="61">
        <f t="shared" si="333"/>
        <v>-105.24034887329375</v>
      </c>
      <c r="AY521" s="310"/>
      <c r="BA521" s="31">
        <f t="shared" si="334"/>
        <v>0</v>
      </c>
      <c r="BB521" s="31">
        <f t="shared" si="335"/>
        <v>0</v>
      </c>
    </row>
    <row r="522" spans="14:54" x14ac:dyDescent="0.45">
      <c r="N522" s="10">
        <v>4</v>
      </c>
      <c r="O522" s="50">
        <f t="shared" si="337"/>
        <v>1096478.196143186</v>
      </c>
      <c r="P522" s="48" t="str">
        <f t="shared" si="302"/>
        <v>17.4002386318441</v>
      </c>
      <c r="Q522" s="17" t="str">
        <f t="shared" si="303"/>
        <v>1+590.022099536745i</v>
      </c>
      <c r="R522" s="17">
        <f t="shared" si="311"/>
        <v>590.02294696202171</v>
      </c>
      <c r="S522" s="17">
        <f t="shared" si="312"/>
        <v>1.5691014766472846</v>
      </c>
      <c r="T522" s="17" t="str">
        <f t="shared" si="304"/>
        <v>1+2.06681270749489i</v>
      </c>
      <c r="U522" s="17">
        <f t="shared" si="313"/>
        <v>2.2960215085800826</v>
      </c>
      <c r="V522" s="17">
        <f t="shared" si="314"/>
        <v>1.1201627050186227</v>
      </c>
      <c r="W522" s="31" t="str">
        <f t="shared" si="305"/>
        <v>1-5.09907534184681i</v>
      </c>
      <c r="X522" s="17">
        <f t="shared" si="315"/>
        <v>5.1962072073609766</v>
      </c>
      <c r="Y522" s="17">
        <f t="shared" si="316"/>
        <v>-1.3771400940418816</v>
      </c>
      <c r="Z522" s="31" t="str">
        <f t="shared" si="306"/>
        <v>-0.0904892830996999+7.13136209273109i</v>
      </c>
      <c r="AA522" s="17">
        <f t="shared" si="317"/>
        <v>7.1319361752610941</v>
      </c>
      <c r="AB522" s="17">
        <f t="shared" si="318"/>
        <v>1.5834845658538423</v>
      </c>
      <c r="AC522" s="66" t="str">
        <f t="shared" si="319"/>
        <v>-0.0475727233391101+0.0130622666498561i</v>
      </c>
      <c r="AD522" s="64">
        <f t="shared" si="320"/>
        <v>-26.137174658427618</v>
      </c>
      <c r="AE522" s="61">
        <f t="shared" si="321"/>
        <v>164.64640539151034</v>
      </c>
      <c r="AF522" s="31" t="str">
        <f t="shared" si="307"/>
        <v>-9090.90909090909</v>
      </c>
      <c r="AG522" s="31" t="str">
        <f t="shared" si="308"/>
        <v>2.27623467397318E-08i</v>
      </c>
      <c r="AH522" s="31">
        <f t="shared" si="322"/>
        <v>2.27623467397318E-8</v>
      </c>
      <c r="AI522" s="31">
        <f t="shared" si="323"/>
        <v>1.5707963267948966</v>
      </c>
      <c r="AJ522" s="31" t="str">
        <f t="shared" si="309"/>
        <v>1+19897286306.1619i</v>
      </c>
      <c r="AK522" s="31">
        <f t="shared" si="324"/>
        <v>19897286306.1619</v>
      </c>
      <c r="AL522" s="31">
        <f t="shared" si="325"/>
        <v>1.5707963267446385</v>
      </c>
      <c r="AM522" s="31" t="str">
        <f t="shared" si="310"/>
        <v>1+9078.81928645589i</v>
      </c>
      <c r="AN522" s="31">
        <f t="shared" si="326"/>
        <v>9078.8193415291298</v>
      </c>
      <c r="AO522" s="31">
        <f t="shared" si="327"/>
        <v>1.5706861803139056</v>
      </c>
      <c r="AS522" s="58" t="str">
        <f t="shared" si="328"/>
        <v>20.0722581055152+182232.487160895i</v>
      </c>
      <c r="AT522" s="49">
        <f t="shared" si="329"/>
        <v>105.21251610444209</v>
      </c>
      <c r="AU522" s="61">
        <f t="shared" si="330"/>
        <v>89.993689074390588</v>
      </c>
      <c r="AV522" s="58" t="str">
        <f t="shared" si="331"/>
        <v>-2381.32423154373-8669.03350591555i</v>
      </c>
      <c r="AW522" s="64">
        <f t="shared" si="332"/>
        <v>79.075341446014448</v>
      </c>
      <c r="AX522" s="61">
        <f t="shared" si="333"/>
        <v>-105.35990553409904</v>
      </c>
      <c r="AY522" s="310"/>
      <c r="BA522" s="31">
        <f t="shared" si="334"/>
        <v>0</v>
      </c>
      <c r="BB522" s="31">
        <f t="shared" si="335"/>
        <v>0</v>
      </c>
    </row>
    <row r="523" spans="14:54" x14ac:dyDescent="0.45">
      <c r="N523" s="10">
        <v>5</v>
      </c>
      <c r="O523" s="50">
        <f t="shared" si="337"/>
        <v>1122018.4543019643</v>
      </c>
      <c r="P523" s="48" t="str">
        <f t="shared" si="302"/>
        <v>17.4002386318441</v>
      </c>
      <c r="Q523" s="17" t="str">
        <f t="shared" si="303"/>
        <v>1+603.765479746728i</v>
      </c>
      <c r="R523" s="17">
        <f t="shared" si="311"/>
        <v>603.76630788227715</v>
      </c>
      <c r="S523" s="17">
        <f t="shared" si="312"/>
        <v>1.569140056075331</v>
      </c>
      <c r="T523" s="17" t="str">
        <f t="shared" si="304"/>
        <v>1+2.11495495993634i</v>
      </c>
      <c r="U523" s="17">
        <f t="shared" si="313"/>
        <v>2.3394517482861934</v>
      </c>
      <c r="V523" s="17">
        <f t="shared" si="314"/>
        <v>1.1291254734560194</v>
      </c>
      <c r="W523" s="31" t="str">
        <f t="shared" si="305"/>
        <v>1-5.21784806442343i</v>
      </c>
      <c r="X523" s="17">
        <f t="shared" si="315"/>
        <v>5.312808901457621</v>
      </c>
      <c r="Y523" s="17">
        <f t="shared" si="316"/>
        <v>-1.3814424604668469</v>
      </c>
      <c r="Z523" s="31" t="str">
        <f t="shared" si="306"/>
        <v>-0.14188245967725+7.29747285490834i</v>
      </c>
      <c r="AA523" s="17">
        <f t="shared" si="317"/>
        <v>7.2988520125077301</v>
      </c>
      <c r="AB523" s="17">
        <f t="shared" si="318"/>
        <v>1.5902365615874179</v>
      </c>
      <c r="AC523" s="66" t="str">
        <f t="shared" si="319"/>
        <v>-0.0472967969426434+0.013094913876875i</v>
      </c>
      <c r="AD523" s="64">
        <f t="shared" si="320"/>
        <v>-26.182598822125392</v>
      </c>
      <c r="AE523" s="61">
        <f t="shared" si="321"/>
        <v>164.52435546042977</v>
      </c>
      <c r="AF523" s="31" t="str">
        <f t="shared" si="307"/>
        <v>-9090.90909090909</v>
      </c>
      <c r="AG523" s="31" t="str">
        <f t="shared" si="308"/>
        <v>2.27623467397318E-08i</v>
      </c>
      <c r="AH523" s="31">
        <f t="shared" si="322"/>
        <v>2.27623467397318E-8</v>
      </c>
      <c r="AI523" s="31">
        <f t="shared" si="323"/>
        <v>1.5707963267948966</v>
      </c>
      <c r="AJ523" s="31" t="str">
        <f t="shared" si="309"/>
        <v>1+20360753642.4993i</v>
      </c>
      <c r="AK523" s="31">
        <f t="shared" si="324"/>
        <v>20360753642.499298</v>
      </c>
      <c r="AL523" s="31">
        <f t="shared" si="325"/>
        <v>1.5707963267457825</v>
      </c>
      <c r="AM523" s="31" t="str">
        <f t="shared" si="310"/>
        <v>1+9290.29215401367i</v>
      </c>
      <c r="AN523" s="31">
        <f t="shared" si="326"/>
        <v>9290.2922078332904</v>
      </c>
      <c r="AO523" s="31">
        <f t="shared" si="327"/>
        <v>1.5706886875538955</v>
      </c>
      <c r="AS523" s="58" t="str">
        <f t="shared" si="328"/>
        <v>19.6153577293415+182232.487160895i</v>
      </c>
      <c r="AT523" s="49">
        <f t="shared" si="329"/>
        <v>105.21251610207065</v>
      </c>
      <c r="AU523" s="61">
        <f t="shared" si="330"/>
        <v>89.993832728594668</v>
      </c>
      <c r="AV523" s="58" t="str">
        <f t="shared" si="331"/>
        <v>-2387.24646853213-8618.75608018159i</v>
      </c>
      <c r="AW523" s="64">
        <f t="shared" si="332"/>
        <v>79.029917279945266</v>
      </c>
      <c r="AX523" s="61">
        <f t="shared" si="333"/>
        <v>-105.48181181097554</v>
      </c>
      <c r="AY523" s="310"/>
      <c r="BA523" s="31">
        <f t="shared" si="334"/>
        <v>0</v>
      </c>
      <c r="BB523" s="31">
        <f t="shared" si="335"/>
        <v>0</v>
      </c>
    </row>
    <row r="524" spans="14:54" x14ac:dyDescent="0.45">
      <c r="N524" s="10">
        <v>6</v>
      </c>
      <c r="O524" s="50">
        <f t="shared" si="337"/>
        <v>1148153.6214968837</v>
      </c>
      <c r="P524" s="48" t="str">
        <f t="shared" si="302"/>
        <v>17.4002386318441</v>
      </c>
      <c r="Q524" s="17" t="str">
        <f t="shared" si="303"/>
        <v>1+617.828984405855i</v>
      </c>
      <c r="R524" s="17">
        <f t="shared" si="311"/>
        <v>617.82979369076259</v>
      </c>
      <c r="S524" s="17">
        <f t="shared" si="312"/>
        <v>1.5691777573331454</v>
      </c>
      <c r="T524" s="17" t="str">
        <f t="shared" si="304"/>
        <v>1+2.16421858949228i</v>
      </c>
      <c r="U524" s="17">
        <f t="shared" si="313"/>
        <v>2.3840809766247357</v>
      </c>
      <c r="V524" s="17">
        <f t="shared" si="314"/>
        <v>1.1379582442000997</v>
      </c>
      <c r="W524" s="31" t="str">
        <f t="shared" si="305"/>
        <v>1-5.3393873591102i</v>
      </c>
      <c r="X524" s="17">
        <f t="shared" si="315"/>
        <v>5.4322239801600398</v>
      </c>
      <c r="Y524" s="17">
        <f t="shared" si="316"/>
        <v>-1.3856537600001695</v>
      </c>
      <c r="Z524" s="31" t="str">
        <f t="shared" si="306"/>
        <v>-0.19569772204663+7.46745283378673i</v>
      </c>
      <c r="AA524" s="17">
        <f t="shared" si="317"/>
        <v>7.470016694977577</v>
      </c>
      <c r="AB524" s="17">
        <f t="shared" si="318"/>
        <v>1.5969970867469441</v>
      </c>
      <c r="AC524" s="66" t="str">
        <f t="shared" si="319"/>
        <v>-0.0470286250223386+0.0131309495944407i</v>
      </c>
      <c r="AD524" s="64">
        <f t="shared" si="320"/>
        <v>-26.226730896952112</v>
      </c>
      <c r="AE524" s="61">
        <f t="shared" si="321"/>
        <v>164.39963657405943</v>
      </c>
      <c r="AF524" s="31" t="str">
        <f t="shared" si="307"/>
        <v>-9090.90909090909</v>
      </c>
      <c r="AG524" s="31" t="str">
        <f t="shared" si="308"/>
        <v>2.27623467397318E-08i</v>
      </c>
      <c r="AH524" s="31">
        <f t="shared" si="322"/>
        <v>2.27623467397318E-8</v>
      </c>
      <c r="AI524" s="31">
        <f t="shared" si="323"/>
        <v>1.5707963267948966</v>
      </c>
      <c r="AJ524" s="31" t="str">
        <f t="shared" si="309"/>
        <v>1+20835016519.9244i</v>
      </c>
      <c r="AK524" s="31">
        <f t="shared" si="324"/>
        <v>20835016519.9244</v>
      </c>
      <c r="AL524" s="31">
        <f t="shared" si="325"/>
        <v>1.5707963267469005</v>
      </c>
      <c r="AM524" s="31" t="str">
        <f t="shared" si="310"/>
        <v>1+9506.69085744306i</v>
      </c>
      <c r="AN524" s="31">
        <f t="shared" si="326"/>
        <v>9506.690910037596</v>
      </c>
      <c r="AO524" s="31">
        <f t="shared" si="327"/>
        <v>1.5706911377221364</v>
      </c>
      <c r="AS524" s="58" t="str">
        <f t="shared" si="328"/>
        <v>19.1688576754756+182232.487160895i</v>
      </c>
      <c r="AT524" s="49">
        <f t="shared" si="329"/>
        <v>105.21251609980597</v>
      </c>
      <c r="AU524" s="61">
        <f t="shared" si="330"/>
        <v>89.993973112829934</v>
      </c>
      <c r="AV524" s="58" t="str">
        <f t="shared" si="331"/>
        <v>-2393.787088399-8569.89160027394i</v>
      </c>
      <c r="AW524" s="64">
        <f t="shared" si="332"/>
        <v>78.985785202853847</v>
      </c>
      <c r="AX524" s="61">
        <f t="shared" si="333"/>
        <v>-105.60639031311064</v>
      </c>
      <c r="AY524" s="310"/>
      <c r="BA524" s="31">
        <f t="shared" si="334"/>
        <v>0</v>
      </c>
      <c r="BB524" s="31">
        <f t="shared" si="335"/>
        <v>0</v>
      </c>
    </row>
    <row r="525" spans="14:54" x14ac:dyDescent="0.45">
      <c r="N525" s="10">
        <v>7</v>
      </c>
      <c r="O525" s="50">
        <f t="shared" si="337"/>
        <v>1174897.5549395324</v>
      </c>
      <c r="P525" s="48" t="str">
        <f t="shared" si="302"/>
        <v>17.4002386318441</v>
      </c>
      <c r="Q525" s="17" t="str">
        <f t="shared" si="303"/>
        <v>1+632.220070170448i</v>
      </c>
      <c r="R525" s="17">
        <f t="shared" si="311"/>
        <v>632.22086103380536</v>
      </c>
      <c r="S525" s="17">
        <f t="shared" si="312"/>
        <v>1.5692146004100043</v>
      </c>
      <c r="T525" s="17" t="str">
        <f t="shared" si="304"/>
        <v>1+2.21462971639119i</v>
      </c>
      <c r="U525" s="17">
        <f t="shared" si="313"/>
        <v>2.4299351392008228</v>
      </c>
      <c r="V525" s="17">
        <f t="shared" si="314"/>
        <v>1.1466601865777428</v>
      </c>
      <c r="W525" s="31" t="str">
        <f t="shared" si="305"/>
        <v>1-5.46375766764992i</v>
      </c>
      <c r="X525" s="17">
        <f t="shared" si="315"/>
        <v>5.554515987086841</v>
      </c>
      <c r="Y525" s="17">
        <f t="shared" si="316"/>
        <v>-1.3897756277377153</v>
      </c>
      <c r="Z525" s="31" t="str">
        <f t="shared" si="306"/>
        <v>-0.25204921959446+7.64139215500104i</v>
      </c>
      <c r="AA525" s="17">
        <f t="shared" si="317"/>
        <v>7.6455479120602998</v>
      </c>
      <c r="AB525" s="17">
        <f t="shared" si="318"/>
        <v>1.6037690973219261</v>
      </c>
      <c r="AC525" s="66" t="str">
        <f t="shared" si="319"/>
        <v>-0.0467677064059969+0.0131705291327047i</v>
      </c>
      <c r="AD525" s="64">
        <f t="shared" si="320"/>
        <v>-26.269626585714647</v>
      </c>
      <c r="AE525" s="61">
        <f t="shared" si="321"/>
        <v>164.2719369432192</v>
      </c>
      <c r="AF525" s="31" t="str">
        <f t="shared" si="307"/>
        <v>-9090.90909090909</v>
      </c>
      <c r="AG525" s="31" t="str">
        <f t="shared" si="308"/>
        <v>2.27623467397318E-08i</v>
      </c>
      <c r="AH525" s="31">
        <f t="shared" si="322"/>
        <v>2.27623467397318E-8</v>
      </c>
      <c r="AI525" s="31">
        <f t="shared" si="323"/>
        <v>1.5707963267948966</v>
      </c>
      <c r="AJ525" s="31" t="str">
        <f t="shared" si="309"/>
        <v>1+21320326398.8924i</v>
      </c>
      <c r="AK525" s="31">
        <f t="shared" si="324"/>
        <v>21320326398.892399</v>
      </c>
      <c r="AL525" s="31">
        <f t="shared" si="325"/>
        <v>1.570796326747993</v>
      </c>
      <c r="AM525" s="31" t="str">
        <f t="shared" si="310"/>
        <v>1+9728.13013420102i</v>
      </c>
      <c r="AN525" s="31">
        <f t="shared" si="326"/>
        <v>9728.1301855983584</v>
      </c>
      <c r="AO525" s="31">
        <f t="shared" si="327"/>
        <v>1.5706935321177404</v>
      </c>
      <c r="AS525" s="58" t="str">
        <f t="shared" si="328"/>
        <v>18.7325212036793+182232.487160895i</v>
      </c>
      <c r="AT525" s="49">
        <f t="shared" si="329"/>
        <v>105.2125160976432</v>
      </c>
      <c r="AU525" s="61">
        <f t="shared" si="330"/>
        <v>89.994110301529915</v>
      </c>
      <c r="AV525" s="58" t="str">
        <f t="shared" si="331"/>
        <v>-2400.9743581297-8522.3487399591i</v>
      </c>
      <c r="AW525" s="64">
        <f t="shared" si="332"/>
        <v>78.942889511928556</v>
      </c>
      <c r="AX525" s="61">
        <f t="shared" si="333"/>
        <v>-105.73395275525087</v>
      </c>
      <c r="AY525" s="310"/>
      <c r="BA525" s="31">
        <f t="shared" si="334"/>
        <v>0</v>
      </c>
      <c r="BB525" s="31">
        <f t="shared" si="335"/>
        <v>0</v>
      </c>
    </row>
    <row r="526" spans="14:54" x14ac:dyDescent="0.45">
      <c r="N526" s="10">
        <v>8</v>
      </c>
      <c r="O526" s="50">
        <f t="shared" si="337"/>
        <v>1202264.4346174158</v>
      </c>
      <c r="P526" s="48" t="str">
        <f t="shared" si="302"/>
        <v>17.4002386318441</v>
      </c>
      <c r="Q526" s="17" t="str">
        <f t="shared" si="303"/>
        <v>1+646.946367384666i</v>
      </c>
      <c r="R526" s="17">
        <f t="shared" si="311"/>
        <v>646.94714024579719</v>
      </c>
      <c r="S526" s="17">
        <f t="shared" si="312"/>
        <v>1.5692506048401949</v>
      </c>
      <c r="T526" s="17" t="str">
        <f t="shared" si="304"/>
        <v>1+2.26621506927982i</v>
      </c>
      <c r="U526" s="17">
        <f t="shared" si="313"/>
        <v>2.4770407223602398</v>
      </c>
      <c r="V526" s="17">
        <f t="shared" si="314"/>
        <v>1.1552306418891436</v>
      </c>
      <c r="W526" s="31" t="str">
        <f t="shared" si="305"/>
        <v>1-5.5910249328264i</v>
      </c>
      <c r="X526" s="17">
        <f t="shared" si="315"/>
        <v>5.6797499768463799</v>
      </c>
      <c r="Y526" s="17">
        <f t="shared" si="316"/>
        <v>-1.3938096886366338</v>
      </c>
      <c r="Z526" s="31" t="str">
        <f t="shared" si="306"/>
        <v>-0.31105648140221+7.81938304348169i</v>
      </c>
      <c r="AA526" s="17">
        <f t="shared" si="317"/>
        <v>7.8255675395022513</v>
      </c>
      <c r="AB526" s="17">
        <f t="shared" si="318"/>
        <v>1.6105555452447906</v>
      </c>
      <c r="AC526" s="66" t="str">
        <f t="shared" si="319"/>
        <v>-0.0465135523390837+0.0132137950976364i</v>
      </c>
      <c r="AD526" s="64">
        <f t="shared" si="320"/>
        <v>-26.311341445246374</v>
      </c>
      <c r="AE526" s="61">
        <f t="shared" si="321"/>
        <v>164.14095547150202</v>
      </c>
      <c r="AF526" s="31" t="str">
        <f t="shared" si="307"/>
        <v>-9090.90909090909</v>
      </c>
      <c r="AG526" s="31" t="str">
        <f t="shared" si="308"/>
        <v>2.27623467397318E-08i</v>
      </c>
      <c r="AH526" s="31">
        <f t="shared" si="322"/>
        <v>2.27623467397318E-8</v>
      </c>
      <c r="AI526" s="31">
        <f t="shared" si="323"/>
        <v>1.5707963267948966</v>
      </c>
      <c r="AJ526" s="31" t="str">
        <f t="shared" si="309"/>
        <v>1+21816940597.1249i</v>
      </c>
      <c r="AK526" s="31">
        <f t="shared" si="324"/>
        <v>21816940597.124901</v>
      </c>
      <c r="AL526" s="31">
        <f t="shared" si="325"/>
        <v>1.5707963267490608</v>
      </c>
      <c r="AM526" s="31" t="str">
        <f t="shared" si="310"/>
        <v>1+9954.72739432313i</v>
      </c>
      <c r="AN526" s="31">
        <f t="shared" si="326"/>
        <v>9954.7274445505227</v>
      </c>
      <c r="AO526" s="31">
        <f t="shared" si="327"/>
        <v>1.5706958720102475</v>
      </c>
      <c r="AS526" s="58" t="str">
        <f t="shared" si="328"/>
        <v>18.3061169625794+182232.487160895i</v>
      </c>
      <c r="AT526" s="49">
        <f t="shared" si="329"/>
        <v>105.21251609557778</v>
      </c>
      <c r="AU526" s="61">
        <f t="shared" si="330"/>
        <v>89.994244367433922</v>
      </c>
      <c r="AV526" s="58" t="str">
        <f t="shared" si="331"/>
        <v>-2408.83422800619-8476.03843616111i</v>
      </c>
      <c r="AW526" s="64">
        <f t="shared" si="332"/>
        <v>78.901174650331399</v>
      </c>
      <c r="AX526" s="61">
        <f t="shared" si="333"/>
        <v>-105.8648001610641</v>
      </c>
      <c r="AY526" s="310"/>
      <c r="BA526" s="31">
        <f t="shared" si="334"/>
        <v>0</v>
      </c>
      <c r="BB526" s="31">
        <f t="shared" si="335"/>
        <v>0</v>
      </c>
    </row>
    <row r="527" spans="14:54" x14ac:dyDescent="0.45">
      <c r="N527" s="10">
        <v>9</v>
      </c>
      <c r="O527" s="50">
        <f t="shared" si="337"/>
        <v>1230268.770812382</v>
      </c>
      <c r="P527" s="48" t="str">
        <f t="shared" si="302"/>
        <v>17.4002386318441</v>
      </c>
      <c r="Q527" s="17" t="str">
        <f t="shared" si="303"/>
        <v>1+662.015684126218i</v>
      </c>
      <c r="R527" s="17">
        <f t="shared" si="311"/>
        <v>662.01643939490248</v>
      </c>
      <c r="S527" s="17">
        <f t="shared" si="312"/>
        <v>1.5692857897133685</v>
      </c>
      <c r="T527" s="17" t="str">
        <f t="shared" si="304"/>
        <v>1+2.31900199939508i</v>
      </c>
      <c r="U527" s="17">
        <f t="shared" si="313"/>
        <v>2.52542477084517</v>
      </c>
      <c r="V527" s="17">
        <f t="shared" si="314"/>
        <v>1.1636691170754603</v>
      </c>
      <c r="W527" s="31" t="str">
        <f t="shared" si="305"/>
        <v>1-5.72125663342822i</v>
      </c>
      <c r="X527" s="17">
        <f t="shared" si="315"/>
        <v>5.8079925504038323</v>
      </c>
      <c r="Y527" s="17">
        <f t="shared" si="316"/>
        <v>-1.397757556159382</v>
      </c>
      <c r="Z527" s="31" t="str">
        <f t="shared" si="306"/>
        <v>-0.37284466978341+8.00151987235376i</v>
      </c>
      <c r="AA527" s="17">
        <f t="shared" si="317"/>
        <v>8.0102018336280416</v>
      </c>
      <c r="AB527" s="17">
        <f t="shared" si="318"/>
        <v>1.6173593772818462</v>
      </c>
      <c r="AC527" s="66" t="str">
        <f t="shared" si="319"/>
        <v>-0.0462656859424396+0.0132608779536782i</v>
      </c>
      <c r="AD527" s="64">
        <f t="shared" si="320"/>
        <v>-26.351930846052575</v>
      </c>
      <c r="AE527" s="61">
        <f t="shared" si="321"/>
        <v>164.00640153309877</v>
      </c>
      <c r="AF527" s="31" t="str">
        <f t="shared" si="307"/>
        <v>-9090.90909090909</v>
      </c>
      <c r="AG527" s="31" t="str">
        <f t="shared" si="308"/>
        <v>2.27623467397318E-08i</v>
      </c>
      <c r="AH527" s="31">
        <f t="shared" si="322"/>
        <v>2.27623467397318E-8</v>
      </c>
      <c r="AI527" s="31">
        <f t="shared" si="323"/>
        <v>1.5707963267948966</v>
      </c>
      <c r="AJ527" s="31" t="str">
        <f t="shared" si="309"/>
        <v>1+22325122426.0434i</v>
      </c>
      <c r="AK527" s="31">
        <f t="shared" si="324"/>
        <v>22325122426.0434</v>
      </c>
      <c r="AL527" s="31">
        <f t="shared" si="325"/>
        <v>1.5707963267501039</v>
      </c>
      <c r="AM527" s="31" t="str">
        <f t="shared" si="310"/>
        <v>1+10186.6027826761i</v>
      </c>
      <c r="AN527" s="31">
        <f t="shared" si="326"/>
        <v>10186.602831760176</v>
      </c>
      <c r="AO527" s="31">
        <f t="shared" si="327"/>
        <v>1.5706981586402997</v>
      </c>
      <c r="AS527" s="58" t="str">
        <f t="shared" si="328"/>
        <v>17.8894188670031+182232.487160895i</v>
      </c>
      <c r="AT527" s="49">
        <f t="shared" si="329"/>
        <v>105.21251609360532</v>
      </c>
      <c r="AU527" s="61">
        <f t="shared" si="330"/>
        <v>89.994375381625446</v>
      </c>
      <c r="AV527" s="58" t="str">
        <f t="shared" si="331"/>
        <v>-2417.39043767085-8430.87379009537i</v>
      </c>
      <c r="AW527" s="64">
        <f t="shared" si="332"/>
        <v>78.860585247552734</v>
      </c>
      <c r="AX527" s="61">
        <f t="shared" si="333"/>
        <v>-105.99922308527579</v>
      </c>
      <c r="AY527" s="310"/>
      <c r="BA527" s="31">
        <f t="shared" si="334"/>
        <v>0</v>
      </c>
      <c r="BB527" s="31">
        <f t="shared" si="335"/>
        <v>0</v>
      </c>
    </row>
    <row r="528" spans="14:54" x14ac:dyDescent="0.45">
      <c r="N528" s="10">
        <v>10</v>
      </c>
      <c r="O528" s="50">
        <f t="shared" si="337"/>
        <v>1258925.4117941677</v>
      </c>
      <c r="P528" s="48" t="str">
        <f t="shared" si="302"/>
        <v>17.4002386318441</v>
      </c>
      <c r="Q528" s="17" t="str">
        <f t="shared" si="303"/>
        <v>1+677.436010346307i</v>
      </c>
      <c r="R528" s="17">
        <f t="shared" si="311"/>
        <v>677.43674842299617</v>
      </c>
      <c r="S528" s="17">
        <f t="shared" si="312"/>
        <v>1.5693201736846627</v>
      </c>
      <c r="T528" s="17" t="str">
        <f t="shared" si="304"/>
        <v>1+2.37301849506604i</v>
      </c>
      <c r="U528" s="17">
        <f t="shared" si="313"/>
        <v>2.5751149057712923</v>
      </c>
      <c r="V528" s="17">
        <f t="shared" si="314"/>
        <v>1.1719752781923602</v>
      </c>
      <c r="W528" s="31" t="str">
        <f t="shared" si="305"/>
        <v>1-5.85452182002687i</v>
      </c>
      <c r="X528" s="17">
        <f t="shared" si="315"/>
        <v>5.9393118912186056</v>
      </c>
      <c r="Y528" s="17">
        <f t="shared" si="316"/>
        <v>-1.4016208310322722</v>
      </c>
      <c r="Z528" s="31" t="str">
        <f t="shared" si="306"/>
        <v>-0.43754484576972+8.18789921297479i</v>
      </c>
      <c r="AA528" s="17">
        <f t="shared" si="317"/>
        <v>8.1995816365161485</v>
      </c>
      <c r="AB528" s="17">
        <f t="shared" si="318"/>
        <v>1.624183533880615</v>
      </c>
      <c r="AC528" s="66" t="str">
        <f t="shared" si="319"/>
        <v>-0.0460236416759898+0.0133118965523202i</v>
      </c>
      <c r="AD528" s="64">
        <f t="shared" si="320"/>
        <v>-26.391449937332233</v>
      </c>
      <c r="AE528" s="61">
        <f t="shared" si="321"/>
        <v>163.86799473545338</v>
      </c>
      <c r="AF528" s="31" t="str">
        <f t="shared" si="307"/>
        <v>-9090.90909090909</v>
      </c>
      <c r="AG528" s="31" t="str">
        <f t="shared" si="308"/>
        <v>2.27623467397318E-08i</v>
      </c>
      <c r="AH528" s="31">
        <f t="shared" si="322"/>
        <v>2.27623467397318E-8</v>
      </c>
      <c r="AI528" s="31">
        <f t="shared" si="323"/>
        <v>1.5707963267948966</v>
      </c>
      <c r="AJ528" s="31" t="str">
        <f t="shared" si="309"/>
        <v>1+22845141330.3801i</v>
      </c>
      <c r="AK528" s="31">
        <f t="shared" si="324"/>
        <v>22845141330.3801</v>
      </c>
      <c r="AL528" s="31">
        <f t="shared" si="325"/>
        <v>1.5707963267511236</v>
      </c>
      <c r="AM528" s="31" t="str">
        <f t="shared" si="310"/>
        <v>1+10423.8792426601i</v>
      </c>
      <c r="AN528" s="31">
        <f t="shared" si="326"/>
        <v>10423.879290626886</v>
      </c>
      <c r="AO528" s="31">
        <f t="shared" si="327"/>
        <v>1.5707003932202981</v>
      </c>
      <c r="AS528" s="58" t="str">
        <f t="shared" si="328"/>
        <v>17.4822059781045+182232.487160895i</v>
      </c>
      <c r="AT528" s="49">
        <f t="shared" si="329"/>
        <v>105.21251609172162</v>
      </c>
      <c r="AU528" s="61">
        <f t="shared" si="330"/>
        <v>89.994503413569916</v>
      </c>
      <c r="AV528" s="58" t="str">
        <f t="shared" si="331"/>
        <v>-2426.6646123415-8386.76996949996i</v>
      </c>
      <c r="AW528" s="64">
        <f t="shared" si="332"/>
        <v>78.821066154389399</v>
      </c>
      <c r="AX528" s="61">
        <f t="shared" si="333"/>
        <v>-106.13750185097672</v>
      </c>
      <c r="AY528" s="310"/>
      <c r="BA528" s="31">
        <f t="shared" si="334"/>
        <v>0</v>
      </c>
      <c r="BB528" s="31">
        <f t="shared" si="335"/>
        <v>0</v>
      </c>
    </row>
    <row r="529" spans="14:54" x14ac:dyDescent="0.45">
      <c r="N529" s="10">
        <v>11</v>
      </c>
      <c r="O529" s="50">
        <f t="shared" si="337"/>
        <v>1288249.5516931366</v>
      </c>
      <c r="P529" s="48" t="str">
        <f t="shared" si="302"/>
        <v>17.4002386318441</v>
      </c>
      <c r="Q529" s="17" t="str">
        <f t="shared" si="303"/>
        <v>1+693.21552210601i</v>
      </c>
      <c r="R529" s="17">
        <f t="shared" si="311"/>
        <v>693.21624338204026</v>
      </c>
      <c r="S529" s="17">
        <f t="shared" si="312"/>
        <v>1.5693537749845881</v>
      </c>
      <c r="T529" s="17" t="str">
        <f t="shared" si="304"/>
        <v>1+2.4282931965537i</v>
      </c>
      <c r="U529" s="17">
        <f t="shared" si="313"/>
        <v>2.6261393429193713</v>
      </c>
      <c r="V529" s="17">
        <f t="shared" si="314"/>
        <v>1.1801489437348374</v>
      </c>
      <c r="W529" s="31" t="str">
        <f t="shared" si="305"/>
        <v>1-5.99089115158827i</v>
      </c>
      <c r="X529" s="17">
        <f t="shared" si="315"/>
        <v>6.0737778021737538</v>
      </c>
      <c r="Y529" s="17">
        <f t="shared" si="316"/>
        <v>-1.4054011001125237</v>
      </c>
      <c r="Z529" s="31" t="str">
        <f t="shared" si="306"/>
        <v>-0.5052942471089+8.37861988613822i</v>
      </c>
      <c r="AA529" s="17">
        <f t="shared" si="317"/>
        <v>8.3938425927909908</v>
      </c>
      <c r="AB529" s="17">
        <f t="shared" si="318"/>
        <v>1.6310309479645644</v>
      </c>
      <c r="AC529" s="66" t="str">
        <f t="shared" si="319"/>
        <v>-0.0457869648104338+0.0133669586083765i</v>
      </c>
      <c r="AD529" s="64">
        <f t="shared" si="320"/>
        <v>-26.429953617258523</v>
      </c>
      <c r="AE529" s="61">
        <f t="shared" si="321"/>
        <v>163.72546467020607</v>
      </c>
      <c r="AF529" s="31" t="str">
        <f t="shared" si="307"/>
        <v>-9090.90909090909</v>
      </c>
      <c r="AG529" s="31" t="str">
        <f t="shared" si="308"/>
        <v>2.27623467397318E-08i</v>
      </c>
      <c r="AH529" s="31">
        <f t="shared" si="322"/>
        <v>2.27623467397318E-8</v>
      </c>
      <c r="AI529" s="31">
        <f t="shared" si="323"/>
        <v>1.5707963267948966</v>
      </c>
      <c r="AJ529" s="31" t="str">
        <f t="shared" si="309"/>
        <v>1+23377273031.0414i</v>
      </c>
      <c r="AK529" s="31">
        <f t="shared" si="324"/>
        <v>23377273031.041401</v>
      </c>
      <c r="AL529" s="31">
        <f t="shared" si="325"/>
        <v>1.5707963267521201</v>
      </c>
      <c r="AM529" s="31" t="str">
        <f t="shared" si="310"/>
        <v>1+10666.6825813949i</v>
      </c>
      <c r="AN529" s="31">
        <f t="shared" si="326"/>
        <v>10666.682628269829</v>
      </c>
      <c r="AO529" s="31">
        <f t="shared" si="327"/>
        <v>1.5707025769350467</v>
      </c>
      <c r="AS529" s="58" t="str">
        <f t="shared" si="328"/>
        <v>17.08426238622+182232.487160895i</v>
      </c>
      <c r="AT529" s="49">
        <f t="shared" si="329"/>
        <v>105.21251608992272</v>
      </c>
      <c r="AU529" s="61">
        <f t="shared" si="330"/>
        <v>89.994628531151562</v>
      </c>
      <c r="AV529" s="58" t="str">
        <f t="shared" si="331"/>
        <v>-2436.67634950188-8343.64411232556i</v>
      </c>
      <c r="AW529" s="64">
        <f t="shared" si="332"/>
        <v>78.782562472664196</v>
      </c>
      <c r="AX529" s="61">
        <f t="shared" si="333"/>
        <v>-106.27990679864239</v>
      </c>
      <c r="AY529" s="310"/>
      <c r="BA529" s="31">
        <f t="shared" si="334"/>
        <v>0</v>
      </c>
      <c r="BB529" s="31">
        <f t="shared" si="335"/>
        <v>0</v>
      </c>
    </row>
    <row r="530" spans="14:54" x14ac:dyDescent="0.45">
      <c r="N530" s="10">
        <v>12</v>
      </c>
      <c r="O530" s="50">
        <f t="shared" si="337"/>
        <v>1318256.7385564097</v>
      </c>
      <c r="P530" s="48" t="str">
        <f t="shared" si="302"/>
        <v>17.4002386318441</v>
      </c>
      <c r="Q530" s="17" t="str">
        <f t="shared" si="303"/>
        <v>1+709.362585911325i</v>
      </c>
      <c r="R530" s="17">
        <f t="shared" si="311"/>
        <v>709.36329076912477</v>
      </c>
      <c r="S530" s="17">
        <f t="shared" si="312"/>
        <v>1.5693866114286954</v>
      </c>
      <c r="T530" s="17" t="str">
        <f t="shared" si="304"/>
        <v>1+2.48485541123644i</v>
      </c>
      <c r="U530" s="17">
        <f t="shared" si="313"/>
        <v>2.6785269113359709</v>
      </c>
      <c r="V530" s="17">
        <f t="shared" si="314"/>
        <v>1.1881900778560635</v>
      </c>
      <c r="W530" s="31" t="str">
        <f t="shared" si="305"/>
        <v>1-6.13043693293706i</v>
      </c>
      <c r="X530" s="17">
        <f t="shared" si="315"/>
        <v>6.2114617433192603</v>
      </c>
      <c r="Y530" s="17">
        <f t="shared" si="316"/>
        <v>-1.4090999353579663</v>
      </c>
      <c r="Z530" s="31" t="str">
        <f t="shared" si="306"/>
        <v>-0.57623657936452+8.57378301446942i</v>
      </c>
      <c r="AA530" s="17">
        <f t="shared" si="317"/>
        <v>8.5931253787316546</v>
      </c>
      <c r="AB530" s="17">
        <f t="shared" si="318"/>
        <v>1.6379045436663036</v>
      </c>
      <c r="AC530" s="66" t="str">
        <f t="shared" si="319"/>
        <v>-0.0455552109088044+0.0134261611257016i</v>
      </c>
      <c r="AD530" s="64">
        <f t="shared" si="320"/>
        <v>-26.467496508371301</v>
      </c>
      <c r="AE530" s="61">
        <f t="shared" si="321"/>
        <v>163.57855065572235</v>
      </c>
      <c r="AF530" s="31" t="str">
        <f t="shared" si="307"/>
        <v>-9090.90909090909</v>
      </c>
      <c r="AG530" s="31" t="str">
        <f t="shared" si="308"/>
        <v>2.27623467397318E-08i</v>
      </c>
      <c r="AH530" s="31">
        <f t="shared" si="322"/>
        <v>2.27623467397318E-8</v>
      </c>
      <c r="AI530" s="31">
        <f t="shared" si="323"/>
        <v>1.5707963267948966</v>
      </c>
      <c r="AJ530" s="31" t="str">
        <f t="shared" si="309"/>
        <v>1+23921799671.2986i</v>
      </c>
      <c r="AK530" s="31">
        <f t="shared" si="324"/>
        <v>23921799671.298599</v>
      </c>
      <c r="AL530" s="31">
        <f t="shared" si="325"/>
        <v>1.5707963267530938</v>
      </c>
      <c r="AM530" s="31" t="str">
        <f t="shared" si="310"/>
        <v>1+10915.1415364246i</v>
      </c>
      <c r="AN530" s="31">
        <f t="shared" si="326"/>
        <v>10915.141582232527</v>
      </c>
      <c r="AO530" s="31">
        <f t="shared" si="327"/>
        <v>1.5707047109423797</v>
      </c>
      <c r="AS530" s="58" t="str">
        <f t="shared" si="328"/>
        <v>16.6953770963895+182232.487160895i</v>
      </c>
      <c r="AT530" s="49">
        <f t="shared" si="329"/>
        <v>105.21251608820477</v>
      </c>
      <c r="AU530" s="61">
        <f t="shared" si="330"/>
        <v>89.994750800709411</v>
      </c>
      <c r="AV530" s="58" t="str">
        <f t="shared" si="331"/>
        <v>-2447.44329638435-8301.41523222761i</v>
      </c>
      <c r="AW530" s="64">
        <f t="shared" si="332"/>
        <v>78.745019579833468</v>
      </c>
      <c r="AX530" s="61">
        <f t="shared" si="333"/>
        <v>-106.42669854356821</v>
      </c>
      <c r="AY530" s="310"/>
      <c r="BA530" s="31">
        <f t="shared" si="334"/>
        <v>0</v>
      </c>
      <c r="BB530" s="31">
        <f t="shared" si="335"/>
        <v>0</v>
      </c>
    </row>
    <row r="531" spans="14:54" x14ac:dyDescent="0.45">
      <c r="N531" s="10">
        <v>13</v>
      </c>
      <c r="O531" s="50">
        <f t="shared" si="337"/>
        <v>1348962.8825916562</v>
      </c>
      <c r="P531" s="48" t="str">
        <f t="shared" ref="P531:P560" si="338">COMPLEX(Adc,0)</f>
        <v>17.4002386318441</v>
      </c>
      <c r="Q531" s="17" t="str">
        <f t="shared" ref="Q531:Q560" si="339">IMSUM(COMPLEX(1,0),IMDIV(COMPLEX(0,2*PI()*O531),COMPLEX(wp_lf,0)))</f>
        <v>1+725.885763149212i</v>
      </c>
      <c r="R531" s="17">
        <f t="shared" si="311"/>
        <v>725.88645196250491</v>
      </c>
      <c r="S531" s="17">
        <f t="shared" si="312"/>
        <v>1.5694187004270184</v>
      </c>
      <c r="T531" s="17" t="str">
        <f t="shared" ref="T531:T560" si="340">IMSUM(COMPLEX(1,0),IMDIV(COMPLEX(0,2*PI()*O531),COMPLEX(wz_esr,0)))</f>
        <v>1+2.54273512914916i</v>
      </c>
      <c r="U531" s="17">
        <f t="shared" si="313"/>
        <v>2.7323070722393545</v>
      </c>
      <c r="V531" s="17">
        <f t="shared" si="314"/>
        <v>1.1960987835202341</v>
      </c>
      <c r="W531" s="31" t="str">
        <f t="shared" ref="W531:W560" si="341">IMSUB(COMPLEX(1,0),IMDIV(COMPLEX(0,2*PI()*O531),COMPLEX(wz_rhp,0)))</f>
        <v>1-6.27323315309361i</v>
      </c>
      <c r="X531" s="17">
        <f t="shared" si="315"/>
        <v>6.3524368704515917</v>
      </c>
      <c r="Y531" s="17">
        <f t="shared" si="316"/>
        <v>-1.4127188928937131</v>
      </c>
      <c r="Z531" s="31" t="str">
        <f t="shared" ref="Z531:Z560" si="342">IMSUM(COMPLEX(1,0),IMDIV(COMPLEX(0,2*PI()*O531),COMPLEX(Q*(wsl/2),0)),IMDIV(IMPOWER(COMPLEX(0,2*PI()*O531),2),IMPOWER(COMPLEX(wsl/2,0),2)))</f>
        <v>-0.65052232073468+8.7734920760423i</v>
      </c>
      <c r="AA531" s="17">
        <f t="shared" si="317"/>
        <v>8.7975759444378259</v>
      </c>
      <c r="AB531" s="17">
        <f t="shared" si="318"/>
        <v>1.6448072349902556</v>
      </c>
      <c r="AC531" s="66" t="str">
        <f t="shared" si="319"/>
        <v>-0.0453279453196935+0.0134895907740379i</v>
      </c>
      <c r="AD531" s="64">
        <f t="shared" si="320"/>
        <v>-26.504132937911212</v>
      </c>
      <c r="AE531" s="61">
        <f t="shared" si="321"/>
        <v>163.42700147433843</v>
      </c>
      <c r="AF531" s="31" t="str">
        <f t="shared" ref="AF531:AF560" si="343">COMPLEX(Adc_ea,0)</f>
        <v>-9090.90909090909</v>
      </c>
      <c r="AG531" s="31" t="str">
        <f t="shared" ref="AG531:AG560" si="344">COMPLEX(0,2*PI()*wp0_ea)</f>
        <v>2.27623467397318E-08i</v>
      </c>
      <c r="AH531" s="31">
        <f t="shared" si="322"/>
        <v>2.27623467397318E-8</v>
      </c>
      <c r="AI531" s="31">
        <f t="shared" si="323"/>
        <v>1.5707963267948966</v>
      </c>
      <c r="AJ531" s="31" t="str">
        <f t="shared" ref="AJ531:AJ560" si="345">IMSUM(COMPLEX(1,0),IMDIV(COMPLEX(0,2*PI()*O531),COMPLEX(wp1_ea,0)))</f>
        <v>1+24479009966.3839i</v>
      </c>
      <c r="AK531" s="31">
        <f t="shared" si="324"/>
        <v>24479009966.3839</v>
      </c>
      <c r="AL531" s="31">
        <f t="shared" si="325"/>
        <v>1.5707963267540452</v>
      </c>
      <c r="AM531" s="31" t="str">
        <f t="shared" ref="AM531:AM560" si="346">IMSUM(COMPLEX(1,0),IMDIV(COMPLEX(0,2*PI()*O531),COMPLEX(wz_ea,0)))</f>
        <v>1+11169.3878439758i</v>
      </c>
      <c r="AN531" s="31">
        <f t="shared" si="326"/>
        <v>11169.387888741008</v>
      </c>
      <c r="AO531" s="31">
        <f t="shared" si="327"/>
        <v>1.5707067963737762</v>
      </c>
      <c r="AS531" s="58" t="str">
        <f t="shared" si="328"/>
        <v>16.3153439164849+182232.487160894i</v>
      </c>
      <c r="AT531" s="49">
        <f t="shared" si="329"/>
        <v>105.21251608656411</v>
      </c>
      <c r="AU531" s="61">
        <f t="shared" si="330"/>
        <v>89.994870287072388</v>
      </c>
      <c r="AV531" s="58" t="str">
        <f t="shared" si="331"/>
        <v>-2458.98121855249-8260.00412618798i</v>
      </c>
      <c r="AW531" s="64">
        <f t="shared" si="332"/>
        <v>78.708383148652885</v>
      </c>
      <c r="AX531" s="61">
        <f t="shared" si="333"/>
        <v>-106.57812823858917</v>
      </c>
      <c r="AY531" s="310"/>
      <c r="BA531" s="31">
        <f t="shared" si="334"/>
        <v>0</v>
      </c>
      <c r="BB531" s="31">
        <f t="shared" si="335"/>
        <v>0</v>
      </c>
    </row>
    <row r="532" spans="14:54" x14ac:dyDescent="0.45">
      <c r="N532" s="10">
        <v>14</v>
      </c>
      <c r="O532" s="50">
        <f t="shared" si="337"/>
        <v>1380384.2646028849</v>
      </c>
      <c r="P532" s="48" t="str">
        <f t="shared" si="338"/>
        <v>17.4002386318441</v>
      </c>
      <c r="Q532" s="17" t="str">
        <f t="shared" si="339"/>
        <v>1+742.793814626955i</v>
      </c>
      <c r="R532" s="17">
        <f t="shared" ref="R532:R560" si="347">IMABS(Q532)</f>
        <v>742.79448776095762</v>
      </c>
      <c r="S532" s="17">
        <f t="shared" ref="S532:S560" si="348">IMARGUMENT(Q532)</f>
        <v>1.5694500589933043</v>
      </c>
      <c r="T532" s="17" t="str">
        <f t="shared" si="340"/>
        <v>1+2.60196303888442i</v>
      </c>
      <c r="U532" s="17">
        <f t="shared" ref="U532:U560" si="349">IMABS(T532)</f>
        <v>2.7875099382281392</v>
      </c>
      <c r="V532" s="17">
        <f t="shared" ref="V532:V560" si="350">IMARGUMENT(T532)</f>
        <v>1.2038752956265328</v>
      </c>
      <c r="W532" s="31" t="str">
        <f t="shared" si="341"/>
        <v>1-6.41935552450397i</v>
      </c>
      <c r="X532" s="17">
        <f t="shared" ref="X532:X560" si="351">IMABS(W532)</f>
        <v>6.4967780745520036</v>
      </c>
      <c r="Y532" s="17">
        <f t="shared" ref="Y532:Y560" si="352">IMARGUMENT(W532)</f>
        <v>-1.416259512170309</v>
      </c>
      <c r="Z532" s="31" t="str">
        <f t="shared" si="342"/>
        <v>-0.7283090412365+8.9778529592448i</v>
      </c>
      <c r="AA532" s="17">
        <f t="shared" ref="AA532:AA560" si="353">IMABS(Z532)</f>
        <v>9.0073457698351653</v>
      </c>
      <c r="AB532" s="17">
        <f t="shared" ref="AB532:AB560" si="354">IMARGUMENT(Z532)</f>
        <v>1.6517419243958804</v>
      </c>
      <c r="AC532" s="66" t="str">
        <f t="shared" ref="AC532:AC560" si="355">(IMDIV(IMPRODUCT(P532,T532,W532),IMPRODUCT(Q532,Z532)))</f>
        <v>-0.0451047426838764+0.0135573242186474i</v>
      </c>
      <c r="AD532" s="64">
        <f t="shared" ref="AD532:AD560" si="356">20*LOG(IMABS(AC532))</f>
        <v>-26.539916922902375</v>
      </c>
      <c r="AE532" s="61">
        <f t="shared" ref="AE532:AE560" si="357">(180/PI())*IMARGUMENT(AC532)</f>
        <v>163.27057510727397</v>
      </c>
      <c r="AF532" s="31" t="str">
        <f t="shared" si="343"/>
        <v>-9090.90909090909</v>
      </c>
      <c r="AG532" s="31" t="str">
        <f t="shared" si="344"/>
        <v>2.27623467397318E-08i</v>
      </c>
      <c r="AH532" s="31">
        <f t="shared" ref="AH532:AH560" si="358">IMABS(AG532)</f>
        <v>2.27623467397318E-8</v>
      </c>
      <c r="AI532" s="31">
        <f t="shared" ref="AI532:AI560" si="359">IMARGUMENT(AG532)</f>
        <v>1.5707963267948966</v>
      </c>
      <c r="AJ532" s="31" t="str">
        <f t="shared" si="345"/>
        <v>1+25049199356.5713i</v>
      </c>
      <c r="AK532" s="31">
        <f t="shared" ref="AK532:AK560" si="360">IMABS(AJ532)</f>
        <v>25049199356.571301</v>
      </c>
      <c r="AL532" s="31">
        <f t="shared" ref="AL532:AL560" si="361">IMARGUMENT(AJ532)</f>
        <v>1.5707963267549752</v>
      </c>
      <c r="AM532" s="31" t="str">
        <f t="shared" si="346"/>
        <v>1+11429.5563088063i</v>
      </c>
      <c r="AN532" s="31">
        <f t="shared" ref="AN532:AN560" si="362">IMABS(AM532)</f>
        <v>11429.55635255253</v>
      </c>
      <c r="AO532" s="31">
        <f t="shared" ref="AO532:AO560" si="363">IMARGUMENT(AM532)</f>
        <v>1.5707088343349593</v>
      </c>
      <c r="AS532" s="58" t="str">
        <f t="shared" ref="AS532:AS560" si="364">IMPRODUCT(AF532,IMDIV(AM532,IMPRODUCT(AG532,AJ532)))</f>
        <v>15.943961347884+182232.487160895i</v>
      </c>
      <c r="AT532" s="49">
        <f t="shared" ref="AT532:AT560" si="365">20*LOG(IMABS(AS532))</f>
        <v>105.21251608499736</v>
      </c>
      <c r="AU532" s="61">
        <f t="shared" ref="AU532:AU560" si="366">(180/PI())*IMARGUMENT(AS532)</f>
        <v>89.994987053593704</v>
      </c>
      <c r="AV532" s="58" t="str">
        <f t="shared" ref="AV532:AV560" si="367">IMPRODUCT(AC532,AS532)</f>
        <v>-2471.30405988471-8219.33328458166i</v>
      </c>
      <c r="AW532" s="64">
        <f t="shared" ref="AW532:AW560" si="368">20*LOG(IMABS(AV532))</f>
        <v>78.672599162094997</v>
      </c>
      <c r="AX532" s="61">
        <f t="shared" ref="AX532:AX560" si="369">(180/PI())*IMARGUMENT(AV532)</f>
        <v>-106.73443783913233</v>
      </c>
      <c r="AY532" s="310"/>
      <c r="BA532" s="31">
        <f t="shared" ref="BA532:BA559" si="370">SUM((AW533&lt;0)*(AW532&gt;0))*O532</f>
        <v>0</v>
      </c>
      <c r="BB532" s="31">
        <f t="shared" ref="BB532:BB559" si="371">IF(BA532&gt;0,AX532,0)</f>
        <v>0</v>
      </c>
    </row>
    <row r="533" spans="14:54" x14ac:dyDescent="0.45">
      <c r="N533" s="10">
        <v>15</v>
      </c>
      <c r="O533" s="50">
        <f t="shared" si="337"/>
        <v>1412537.5446227565</v>
      </c>
      <c r="P533" s="48" t="str">
        <f t="shared" si="338"/>
        <v>17.4002386318441</v>
      </c>
      <c r="Q533" s="17" t="str">
        <f t="shared" si="339"/>
        <v>1+760.095705217254i</v>
      </c>
      <c r="R533" s="17">
        <f t="shared" si="347"/>
        <v>760.09636302886929</v>
      </c>
      <c r="S533" s="17">
        <f t="shared" si="348"/>
        <v>1.569480703754033</v>
      </c>
      <c r="T533" s="17" t="str">
        <f t="shared" si="340"/>
        <v>1+2.66257054386397i</v>
      </c>
      <c r="U533" s="17">
        <f t="shared" si="349"/>
        <v>2.8441662927916287</v>
      </c>
      <c r="V533" s="17">
        <f t="shared" si="350"/>
        <v>1.2115199741383846</v>
      </c>
      <c r="W533" s="31" t="str">
        <f t="shared" si="341"/>
        <v>1-6.56888152318367i</v>
      </c>
      <c r="X533" s="17">
        <f t="shared" si="351"/>
        <v>6.6445620221067845</v>
      </c>
      <c r="Y533" s="17">
        <f t="shared" si="352"/>
        <v>-1.4197233152080448</v>
      </c>
      <c r="Z533" s="31" t="str">
        <f t="shared" si="342"/>
        <v>-0.80976173693323+9.18697401892225i</v>
      </c>
      <c r="AA533" s="17">
        <f t="shared" si="353"/>
        <v>9.2225921353464155</v>
      </c>
      <c r="AB533" s="17">
        <f t="shared" si="354"/>
        <v>1.6587115012924893</v>
      </c>
      <c r="AC533" s="66" t="str">
        <f t="shared" si="355"/>
        <v>-0.0448851864560103+0.0136294284043398i</v>
      </c>
      <c r="AD533" s="64">
        <f t="shared" si="356"/>
        <v>-26.57490215977143</v>
      </c>
      <c r="AE533" s="61">
        <f t="shared" si="357"/>
        <v>163.10903846998912</v>
      </c>
      <c r="AF533" s="31" t="str">
        <f t="shared" si="343"/>
        <v>-9090.90909090909</v>
      </c>
      <c r="AG533" s="31" t="str">
        <f t="shared" si="344"/>
        <v>2.27623467397318E-08i</v>
      </c>
      <c r="AH533" s="31">
        <f t="shared" si="358"/>
        <v>2.27623467397318E-8</v>
      </c>
      <c r="AI533" s="31">
        <f t="shared" si="359"/>
        <v>1.5707963267948966</v>
      </c>
      <c r="AJ533" s="31" t="str">
        <f t="shared" si="345"/>
        <v>1+25632670163.823i</v>
      </c>
      <c r="AK533" s="31">
        <f t="shared" si="360"/>
        <v>25632670163.823002</v>
      </c>
      <c r="AL533" s="31">
        <f t="shared" si="361"/>
        <v>1.570796326755884</v>
      </c>
      <c r="AM533" s="31" t="str">
        <f t="shared" si="346"/>
        <v>1+11695.7848756798i</v>
      </c>
      <c r="AN533" s="31">
        <f t="shared" si="362"/>
        <v>11695.784918430245</v>
      </c>
      <c r="AO533" s="31">
        <f t="shared" si="363"/>
        <v>1.5707108259064833</v>
      </c>
      <c r="AS533" s="58" t="str">
        <f t="shared" si="364"/>
        <v>15.5810324786331+182232.487160895i</v>
      </c>
      <c r="AT533" s="49">
        <f t="shared" si="365"/>
        <v>105.2125160835011</v>
      </c>
      <c r="AU533" s="61">
        <f t="shared" si="366"/>
        <v>89.995101162184554</v>
      </c>
      <c r="AV533" s="58" t="str">
        <f t="shared" si="367"/>
        <v>-2484.42399425217-8179.32680399264i</v>
      </c>
      <c r="AW533" s="64">
        <f t="shared" si="368"/>
        <v>78.63761392372966</v>
      </c>
      <c r="AX533" s="61">
        <f t="shared" si="369"/>
        <v>-106.89586036782633</v>
      </c>
      <c r="AY533" s="310"/>
      <c r="BA533" s="31">
        <f t="shared" si="370"/>
        <v>0</v>
      </c>
      <c r="BB533" s="31">
        <f t="shared" si="371"/>
        <v>0</v>
      </c>
    </row>
    <row r="534" spans="14:54" x14ac:dyDescent="0.45">
      <c r="N534" s="10">
        <v>16</v>
      </c>
      <c r="O534" s="50">
        <f t="shared" si="337"/>
        <v>1445439.7707459298</v>
      </c>
      <c r="P534" s="48" t="str">
        <f t="shared" si="338"/>
        <v>17.4002386318441</v>
      </c>
      <c r="Q534" s="17" t="str">
        <f t="shared" si="339"/>
        <v>1+777.800608611514i</v>
      </c>
      <c r="R534" s="17">
        <f t="shared" si="347"/>
        <v>777.80125144952137</v>
      </c>
      <c r="S534" s="17">
        <f t="shared" si="348"/>
        <v>1.5695106509572323</v>
      </c>
      <c r="T534" s="17" t="str">
        <f t="shared" si="340"/>
        <v>1+2.72458977898916i</v>
      </c>
      <c r="U534" s="17">
        <f t="shared" si="349"/>
        <v>2.9023076101220218</v>
      </c>
      <c r="V534" s="17">
        <f t="shared" si="350"/>
        <v>1.219033297249241</v>
      </c>
      <c r="W534" s="31" t="str">
        <f t="shared" si="341"/>
        <v>1-6.72189042979638i</v>
      </c>
      <c r="X534" s="17">
        <f t="shared" si="351"/>
        <v>6.7958671963324999</v>
      </c>
      <c r="Y534" s="17">
        <f t="shared" si="352"/>
        <v>-1.4231118059223253</v>
      </c>
      <c r="Z534" s="31" t="str">
        <f t="shared" si="342"/>
        <v>-0.89505317991297+9.4009661338285i</v>
      </c>
      <c r="AA534" s="17">
        <f t="shared" si="353"/>
        <v>9.443478408100626</v>
      </c>
      <c r="AB534" s="17">
        <f t="shared" si="354"/>
        <v>1.6657188404367498</v>
      </c>
      <c r="AC534" s="66" t="str">
        <f t="shared" si="355"/>
        <v>-0.0446688684430346+0.0137059607954784i</v>
      </c>
      <c r="AD534" s="64">
        <f t="shared" si="356"/>
        <v>-26.609142018274863</v>
      </c>
      <c r="AE534" s="61">
        <f t="shared" si="357"/>
        <v>162.94216715057723</v>
      </c>
      <c r="AF534" s="31" t="str">
        <f t="shared" si="343"/>
        <v>-9090.90909090909</v>
      </c>
      <c r="AG534" s="31" t="str">
        <f t="shared" si="344"/>
        <v>2.27623467397318E-08i</v>
      </c>
      <c r="AH534" s="31">
        <f t="shared" si="358"/>
        <v>2.27623467397318E-8</v>
      </c>
      <c r="AI534" s="31">
        <f t="shared" si="359"/>
        <v>1.5707963267948966</v>
      </c>
      <c r="AJ534" s="31" t="str">
        <f t="shared" si="345"/>
        <v>1+26229731752.0841i</v>
      </c>
      <c r="AK534" s="31">
        <f t="shared" si="360"/>
        <v>26229731752.084099</v>
      </c>
      <c r="AL534" s="31">
        <f t="shared" si="361"/>
        <v>1.5707963267567719</v>
      </c>
      <c r="AM534" s="31" t="str">
        <f t="shared" si="346"/>
        <v>1+11968.2147025064i</v>
      </c>
      <c r="AN534" s="31">
        <f t="shared" si="362"/>
        <v>11968.214744283725</v>
      </c>
      <c r="AO534" s="31">
        <f t="shared" si="363"/>
        <v>1.570712772144305</v>
      </c>
      <c r="AS534" s="58" t="str">
        <f t="shared" si="364"/>
        <v>15.2263648790415+182232.487160895i</v>
      </c>
      <c r="AT534" s="49">
        <f t="shared" si="365"/>
        <v>105.21251608207217</v>
      </c>
      <c r="AU534" s="61">
        <f t="shared" si="366"/>
        <v>89.995212673346799</v>
      </c>
      <c r="AV534" s="58" t="str">
        <f t="shared" si="367"/>
        <v>-2498.3514691794-8139.91030307692i</v>
      </c>
      <c r="AW534" s="64">
        <f t="shared" si="368"/>
        <v>78.603374063797304</v>
      </c>
      <c r="AX534" s="61">
        <f t="shared" si="369"/>
        <v>-107.062620176076</v>
      </c>
      <c r="AY534" s="310"/>
      <c r="BA534" s="31">
        <f t="shared" si="370"/>
        <v>0</v>
      </c>
      <c r="BB534" s="31">
        <f t="shared" si="371"/>
        <v>0</v>
      </c>
    </row>
    <row r="535" spans="14:54" x14ac:dyDescent="0.45">
      <c r="N535" s="10">
        <v>17</v>
      </c>
      <c r="O535" s="50">
        <f t="shared" si="337"/>
        <v>1479108.3881682095</v>
      </c>
      <c r="P535" s="48" t="str">
        <f t="shared" si="338"/>
        <v>17.4002386318441</v>
      </c>
      <c r="Q535" s="17" t="str">
        <f t="shared" si="339"/>
        <v>1+795.917912183867i</v>
      </c>
      <c r="R535" s="17">
        <f t="shared" si="347"/>
        <v>795.91854038910662</v>
      </c>
      <c r="S535" s="17">
        <f t="shared" si="348"/>
        <v>1.5695399164810904</v>
      </c>
      <c r="T535" s="17" t="str">
        <f t="shared" si="340"/>
        <v>1+2.78805362767937i</v>
      </c>
      <c r="U535" s="17">
        <f t="shared" si="349"/>
        <v>2.9619660752304533</v>
      </c>
      <c r="V535" s="17">
        <f t="shared" si="350"/>
        <v>1.2264158546132706</v>
      </c>
      <c r="W535" s="31" t="str">
        <f t="shared" si="341"/>
        <v>1-6.8784633716897i</v>
      </c>
      <c r="X535" s="17">
        <f t="shared" si="351"/>
        <v>6.9507739393305581</v>
      </c>
      <c r="Y535" s="17">
        <f t="shared" si="352"/>
        <v>-1.4264264695251894</v>
      </c>
      <c r="Z535" s="31" t="str">
        <f t="shared" si="342"/>
        <v>-0.9843642847615+9.61994276541539i</v>
      </c>
      <c r="AA535" s="17">
        <f t="shared" si="353"/>
        <v>9.6701743446011328</v>
      </c>
      <c r="AB535" s="17">
        <f t="shared" si="354"/>
        <v>1.6727668002240337</v>
      </c>
      <c r="AC535" s="66" t="str">
        <f t="shared" si="355"/>
        <v>-0.0444553883608778+0.0137869695735188i</v>
      </c>
      <c r="AD535" s="64">
        <f t="shared" si="356"/>
        <v>-26.642689539490924</v>
      </c>
      <c r="AE535" s="61">
        <f t="shared" si="357"/>
        <v>162.76974515360797</v>
      </c>
      <c r="AF535" s="31" t="str">
        <f t="shared" si="343"/>
        <v>-9090.90909090909</v>
      </c>
      <c r="AG535" s="31" t="str">
        <f t="shared" si="344"/>
        <v>2.27623467397318E-08i</v>
      </c>
      <c r="AH535" s="31">
        <f t="shared" si="358"/>
        <v>2.27623467397318E-8</v>
      </c>
      <c r="AI535" s="31">
        <f t="shared" si="359"/>
        <v>1.5707963267948966</v>
      </c>
      <c r="AJ535" s="31" t="str">
        <f t="shared" si="345"/>
        <v>1+26840700691.3116i</v>
      </c>
      <c r="AK535" s="31">
        <f t="shared" si="360"/>
        <v>26840700691.3116</v>
      </c>
      <c r="AL535" s="31">
        <f t="shared" si="361"/>
        <v>1.5707963267576397</v>
      </c>
      <c r="AM535" s="31" t="str">
        <f t="shared" si="346"/>
        <v>1+12246.9902351862i</v>
      </c>
      <c r="AN535" s="31">
        <f t="shared" si="362"/>
        <v>12246.990276012559</v>
      </c>
      <c r="AO535" s="31">
        <f t="shared" si="363"/>
        <v>1.5707146740803459</v>
      </c>
      <c r="AS535" s="58" t="str">
        <f t="shared" si="364"/>
        <v>14.8797704996537+182232.487160894i</v>
      </c>
      <c r="AT535" s="49">
        <f t="shared" si="365"/>
        <v>105.2125160807075</v>
      </c>
      <c r="AU535" s="61">
        <f t="shared" si="366"/>
        <v>89.995321646205127</v>
      </c>
      <c r="AV535" s="58" t="str">
        <f t="shared" si="367"/>
        <v>-2513.09524177018-8101.01084176308i</v>
      </c>
      <c r="AW535" s="64">
        <f t="shared" si="368"/>
        <v>78.569826541216571</v>
      </c>
      <c r="AX535" s="61">
        <f t="shared" si="369"/>
        <v>-107.23493320018687</v>
      </c>
      <c r="AY535" s="310"/>
      <c r="BA535" s="31">
        <f t="shared" si="370"/>
        <v>0</v>
      </c>
      <c r="BB535" s="31">
        <f t="shared" si="371"/>
        <v>0</v>
      </c>
    </row>
    <row r="536" spans="14:54" x14ac:dyDescent="0.45">
      <c r="N536" s="10">
        <v>18</v>
      </c>
      <c r="O536" s="50">
        <f t="shared" si="337"/>
        <v>1513561.2484362102</v>
      </c>
      <c r="P536" s="48" t="str">
        <f t="shared" si="338"/>
        <v>17.4002386318441</v>
      </c>
      <c r="Q536" s="17" t="str">
        <f t="shared" si="339"/>
        <v>1+814.45722196848i</v>
      </c>
      <c r="R536" s="17">
        <f t="shared" si="347"/>
        <v>814.45783587403332</v>
      </c>
      <c r="S536" s="17">
        <f t="shared" si="348"/>
        <v>1.5695685158423749</v>
      </c>
      <c r="T536" s="17" t="str">
        <f t="shared" si="340"/>
        <v>1+2.85299573930724i</v>
      </c>
      <c r="U536" s="17">
        <f t="shared" si="349"/>
        <v>3.0231746043695957</v>
      </c>
      <c r="V536" s="17">
        <f t="shared" si="350"/>
        <v>1.2336683406663926</v>
      </c>
      <c r="W536" s="31" t="str">
        <f t="shared" si="341"/>
        <v>1-7.03868336590992i</v>
      </c>
      <c r="X536" s="17">
        <f t="shared" si="351"/>
        <v>7.1093644951948409</v>
      </c>
      <c r="Y536" s="17">
        <f t="shared" si="352"/>
        <v>-1.4296687719982601</v>
      </c>
      <c r="Z536" s="31" t="str">
        <f t="shared" si="342"/>
        <v>-1.07788449230637+9.84402001799151i</v>
      </c>
      <c r="AA536" s="17">
        <f t="shared" si="353"/>
        <v>9.9028564108226931</v>
      </c>
      <c r="AB536" s="17">
        <f t="shared" si="354"/>
        <v>1.679858220864793</v>
      </c>
      <c r="AC536" s="66" t="str">
        <f t="shared" si="355"/>
        <v>-0.0442443534110481+0.0138724937936184i</v>
      </c>
      <c r="AD536" s="64">
        <f t="shared" si="356"/>
        <v>-26.675597437621615</v>
      </c>
      <c r="AE536" s="61">
        <f t="shared" si="357"/>
        <v>162.59156465165182</v>
      </c>
      <c r="AF536" s="31" t="str">
        <f t="shared" si="343"/>
        <v>-9090.90909090909</v>
      </c>
      <c r="AG536" s="31" t="str">
        <f t="shared" si="344"/>
        <v>2.27623467397318E-08i</v>
      </c>
      <c r="AH536" s="31">
        <f t="shared" si="358"/>
        <v>2.27623467397318E-8</v>
      </c>
      <c r="AI536" s="31">
        <f t="shared" si="359"/>
        <v>1.5707963267948966</v>
      </c>
      <c r="AJ536" s="31" t="str">
        <f t="shared" si="345"/>
        <v>1+27465900925.3244i</v>
      </c>
      <c r="AK536" s="31">
        <f t="shared" si="360"/>
        <v>27465900925.324402</v>
      </c>
      <c r="AL536" s="31">
        <f t="shared" si="361"/>
        <v>1.5707963267584879</v>
      </c>
      <c r="AM536" s="31" t="str">
        <f t="shared" si="346"/>
        <v>1+12532.2592841969i</v>
      </c>
      <c r="AN536" s="31">
        <f t="shared" si="362"/>
        <v>12532.259324093937</v>
      </c>
      <c r="AO536" s="31">
        <f t="shared" si="363"/>
        <v>1.5707165327230377</v>
      </c>
      <c r="AS536" s="58" t="str">
        <f t="shared" si="364"/>
        <v>14.5410655715419+182232.487160895i</v>
      </c>
      <c r="AT536" s="49">
        <f t="shared" si="365"/>
        <v>105.21251607940435</v>
      </c>
      <c r="AU536" s="61">
        <f t="shared" si="366"/>
        <v>89.995428138538401</v>
      </c>
      <c r="AV536" s="58" t="str">
        <f t="shared" si="367"/>
        <v>-2528.66240717928-8062.55684407903i</v>
      </c>
      <c r="AW536" s="64">
        <f t="shared" si="368"/>
        <v>78.536918641782748</v>
      </c>
      <c r="AX536" s="61">
        <f t="shared" si="369"/>
        <v>-107.41300720980978</v>
      </c>
      <c r="AY536" s="310"/>
      <c r="BA536" s="31">
        <f t="shared" si="370"/>
        <v>0</v>
      </c>
      <c r="BB536" s="31">
        <f t="shared" si="371"/>
        <v>0</v>
      </c>
    </row>
    <row r="537" spans="14:54" x14ac:dyDescent="0.45">
      <c r="N537" s="10">
        <v>19</v>
      </c>
      <c r="O537" s="50">
        <f t="shared" si="337"/>
        <v>1548816.6189124861</v>
      </c>
      <c r="P537" s="48" t="str">
        <f t="shared" si="338"/>
        <v>17.4002386318441</v>
      </c>
      <c r="Q537" s="17" t="str">
        <f t="shared" si="339"/>
        <v>1+833.428367752798i</v>
      </c>
      <c r="R537" s="17">
        <f t="shared" si="347"/>
        <v>833.42896768416517</v>
      </c>
      <c r="S537" s="17">
        <f t="shared" si="348"/>
        <v>1.5695964642046585</v>
      </c>
      <c r="T537" s="17" t="str">
        <f t="shared" si="340"/>
        <v>1+2.91945054703995i</v>
      </c>
      <c r="U537" s="17">
        <f t="shared" si="349"/>
        <v>3.0859668657670101</v>
      </c>
      <c r="V537" s="17">
        <f t="shared" si="350"/>
        <v>1.2407915480603384</v>
      </c>
      <c r="W537" s="31" t="str">
        <f t="shared" si="341"/>
        <v>1-7.20263536321875i</v>
      </c>
      <c r="X537" s="17">
        <f t="shared" si="351"/>
        <v>7.2717230540972393</v>
      </c>
      <c r="Y537" s="17">
        <f t="shared" si="352"/>
        <v>-1.4328401596326223</v>
      </c>
      <c r="Z537" s="31" t="str">
        <f t="shared" si="342"/>
        <v>-1.17581217144626+10.0733167002822i</v>
      </c>
      <c r="AA537" s="17">
        <f t="shared" si="353"/>
        <v>10.141708120760795</v>
      </c>
      <c r="AB537" s="17">
        <f t="shared" si="354"/>
        <v>1.6869959224372588</v>
      </c>
      <c r="AC537" s="66" t="str">
        <f t="shared" si="355"/>
        <v>-0.0440353778786771+0.0139625635018448i</v>
      </c>
      <c r="AD537" s="64">
        <f t="shared" si="356"/>
        <v>-26.707918105339758</v>
      </c>
      <c r="AE537" s="61">
        <f t="shared" si="357"/>
        <v>162.40742574654297</v>
      </c>
      <c r="AF537" s="31" t="str">
        <f t="shared" si="343"/>
        <v>-9090.90909090909</v>
      </c>
      <c r="AG537" s="31" t="str">
        <f t="shared" si="344"/>
        <v>2.27623467397318E-08i</v>
      </c>
      <c r="AH537" s="31">
        <f t="shared" si="358"/>
        <v>2.27623467397318E-8</v>
      </c>
      <c r="AI537" s="31">
        <f t="shared" si="359"/>
        <v>1.5707963267948966</v>
      </c>
      <c r="AJ537" s="31" t="str">
        <f t="shared" si="345"/>
        <v>1+28105663943.562i</v>
      </c>
      <c r="AK537" s="31">
        <f t="shared" si="360"/>
        <v>28105663943.562</v>
      </c>
      <c r="AL537" s="31">
        <f t="shared" si="361"/>
        <v>1.5707963267593166</v>
      </c>
      <c r="AM537" s="31" t="str">
        <f t="shared" si="346"/>
        <v>1+12824.1731029641i</v>
      </c>
      <c r="AN537" s="31">
        <f t="shared" si="362"/>
        <v>12824.173141952966</v>
      </c>
      <c r="AO537" s="31">
        <f t="shared" si="363"/>
        <v>1.5707183490578571</v>
      </c>
      <c r="AS537" s="58" t="str">
        <f t="shared" si="364"/>
        <v>14.2100705088698+182232.487160894i</v>
      </c>
      <c r="AT537" s="49">
        <f t="shared" si="365"/>
        <v>105.21251607815977</v>
      </c>
      <c r="AU537" s="61">
        <f t="shared" si="366"/>
        <v>89.995532206810239</v>
      </c>
      <c r="AV537" s="58" t="str">
        <f t="shared" si="367"/>
        <v>-2545.05841990764-8024.47802488929i</v>
      </c>
      <c r="AW537" s="64">
        <f t="shared" si="368"/>
        <v>78.504597972820008</v>
      </c>
      <c r="AX537" s="61">
        <f t="shared" si="369"/>
        <v>-107.59704204664679</v>
      </c>
      <c r="AY537" s="310"/>
      <c r="BA537" s="31">
        <f t="shared" si="370"/>
        <v>0</v>
      </c>
      <c r="BB537" s="31">
        <f t="shared" si="371"/>
        <v>0</v>
      </c>
    </row>
    <row r="538" spans="14:54" x14ac:dyDescent="0.45">
      <c r="N538" s="10">
        <v>20</v>
      </c>
      <c r="O538" s="50">
        <f t="shared" si="337"/>
        <v>1584893.1924611153</v>
      </c>
      <c r="P538" s="48" t="str">
        <f t="shared" si="338"/>
        <v>17.4002386318441</v>
      </c>
      <c r="Q538" s="17" t="str">
        <f t="shared" si="339"/>
        <v>1+852.841408289424i</v>
      </c>
      <c r="R538" s="17">
        <f t="shared" si="347"/>
        <v>852.84199456469548</v>
      </c>
      <c r="S538" s="17">
        <f t="shared" si="348"/>
        <v>1.5696237763863579</v>
      </c>
      <c r="T538" s="17" t="str">
        <f t="shared" si="340"/>
        <v>1+2.98745328609619i</v>
      </c>
      <c r="U538" s="17">
        <f t="shared" si="349"/>
        <v>3.1503773006747817</v>
      </c>
      <c r="V538" s="17">
        <f t="shared" si="350"/>
        <v>1.2477863612297395</v>
      </c>
      <c r="W538" s="31" t="str">
        <f t="shared" si="341"/>
        <v>1-7.37040629313527i</v>
      </c>
      <c r="X538" s="17">
        <f t="shared" si="351"/>
        <v>7.4379357973760429</v>
      </c>
      <c r="Y538" s="17">
        <f t="shared" si="352"/>
        <v>-1.4359420586313107</v>
      </c>
      <c r="Z538" s="31" t="str">
        <f t="shared" si="342"/>
        <v>-1.27835503991799+10.3079543884234i</v>
      </c>
      <c r="AA538" s="17">
        <f t="shared" si="353"/>
        <v>10.386920394510636</v>
      </c>
      <c r="AB538" s="17">
        <f t="shared" si="354"/>
        <v>1.6941827028078837</v>
      </c>
      <c r="AC538" s="66" t="str">
        <f t="shared" si="355"/>
        <v>-0.0438280827535863+0.014057199814511i</v>
      </c>
      <c r="AD538" s="64">
        <f t="shared" si="356"/>
        <v>-26.739703622407681</v>
      </c>
      <c r="AE538" s="61">
        <f t="shared" si="357"/>
        <v>162.21713624226646</v>
      </c>
      <c r="AF538" s="31" t="str">
        <f t="shared" si="343"/>
        <v>-9090.90909090909</v>
      </c>
      <c r="AG538" s="31" t="str">
        <f t="shared" si="344"/>
        <v>2.27623467397318E-08i</v>
      </c>
      <c r="AH538" s="31">
        <f t="shared" si="358"/>
        <v>2.27623467397318E-8</v>
      </c>
      <c r="AI538" s="31">
        <f t="shared" si="359"/>
        <v>1.5707963267948966</v>
      </c>
      <c r="AJ538" s="31" t="str">
        <f t="shared" si="345"/>
        <v>1+28760328956.8448i</v>
      </c>
      <c r="AK538" s="31">
        <f t="shared" si="360"/>
        <v>28760328956.844799</v>
      </c>
      <c r="AL538" s="31">
        <f t="shared" si="361"/>
        <v>1.5707963267601266</v>
      </c>
      <c r="AM538" s="31" t="str">
        <f t="shared" si="346"/>
        <v>1+13122.8864680585i</v>
      </c>
      <c r="AN538" s="31">
        <f t="shared" si="362"/>
        <v>13122.886506159872</v>
      </c>
      <c r="AO538" s="31">
        <f t="shared" si="363"/>
        <v>1.5707201240478488</v>
      </c>
      <c r="AS538" s="58" t="str">
        <f t="shared" si="364"/>
        <v>13.8866098136741+182232.487160895i</v>
      </c>
      <c r="AT538" s="49">
        <f t="shared" si="365"/>
        <v>105.2125160769713</v>
      </c>
      <c r="AU538" s="61">
        <f t="shared" si="366"/>
        <v>89.995633906199032</v>
      </c>
      <c r="AV538" s="58" t="str">
        <f t="shared" si="367"/>
        <v>-2562.28710820009-7986.70532083066i</v>
      </c>
      <c r="AW538" s="64">
        <f t="shared" si="368"/>
        <v>78.472812454563609</v>
      </c>
      <c r="AX538" s="61">
        <f t="shared" si="369"/>
        <v>-107.78722985153449</v>
      </c>
      <c r="AY538" s="310"/>
      <c r="BA538" s="31">
        <f t="shared" si="370"/>
        <v>0</v>
      </c>
      <c r="BB538" s="31">
        <f t="shared" si="371"/>
        <v>0</v>
      </c>
    </row>
    <row r="539" spans="14:54" x14ac:dyDescent="0.45">
      <c r="N539" s="10">
        <v>21</v>
      </c>
      <c r="O539" s="50">
        <f t="shared" si="337"/>
        <v>1621810.0973589318</v>
      </c>
      <c r="P539" s="48" t="str">
        <f t="shared" si="338"/>
        <v>17.4002386318441</v>
      </c>
      <c r="Q539" s="17" t="str">
        <f t="shared" si="339"/>
        <v>1+872.706636629414i</v>
      </c>
      <c r="R539" s="17">
        <f t="shared" si="347"/>
        <v>872.70720955943989</v>
      </c>
      <c r="S539" s="17">
        <f t="shared" si="348"/>
        <v>1.5696504668685907</v>
      </c>
      <c r="T539" s="17" t="str">
        <f t="shared" si="340"/>
        <v>1+3.05704001242833i</v>
      </c>
      <c r="U539" s="17">
        <f t="shared" si="349"/>
        <v>3.2164411447417787</v>
      </c>
      <c r="V539" s="17">
        <f t="shared" si="350"/>
        <v>1.2546537501096235</v>
      </c>
      <c r="W539" s="31" t="str">
        <f t="shared" si="341"/>
        <v>1-7.54208511002727i</v>
      </c>
      <c r="X539" s="17">
        <f t="shared" si="351"/>
        <v>7.608090943653016</v>
      </c>
      <c r="Y539" s="17">
        <f t="shared" si="352"/>
        <v>-1.4389758747703054</v>
      </c>
      <c r="Z539" s="31" t="str">
        <f t="shared" si="342"/>
        <v>-1.38573060489376+10.5480574904233i</v>
      </c>
      <c r="AA539" s="17">
        <f t="shared" si="353"/>
        <v>10.638691937010599</v>
      </c>
      <c r="AB539" s="17">
        <f t="shared" si="354"/>
        <v>1.701421335411087</v>
      </c>
      <c r="AC539" s="66" t="str">
        <f t="shared" si="355"/>
        <v>-0.0436220953759455+0.0141564149611801i</v>
      </c>
      <c r="AD539" s="64">
        <f t="shared" si="356"/>
        <v>-26.771005767288155</v>
      </c>
      <c r="AE539" s="61">
        <f t="shared" si="357"/>
        <v>162.02051143118155</v>
      </c>
      <c r="AF539" s="31" t="str">
        <f t="shared" si="343"/>
        <v>-9090.90909090909</v>
      </c>
      <c r="AG539" s="31" t="str">
        <f t="shared" si="344"/>
        <v>2.27623467397318E-08i</v>
      </c>
      <c r="AH539" s="31">
        <f t="shared" si="358"/>
        <v>2.27623467397318E-8</v>
      </c>
      <c r="AI539" s="31">
        <f t="shared" si="359"/>
        <v>1.5707963267948966</v>
      </c>
      <c r="AJ539" s="31" t="str">
        <f t="shared" si="345"/>
        <v>1+29430243077.2284i</v>
      </c>
      <c r="AK539" s="31">
        <f t="shared" si="360"/>
        <v>29430243077.228401</v>
      </c>
      <c r="AL539" s="31">
        <f t="shared" si="361"/>
        <v>1.570796326760918</v>
      </c>
      <c r="AM539" s="31" t="str">
        <f t="shared" si="346"/>
        <v>1+13428.5577612602i</v>
      </c>
      <c r="AN539" s="31">
        <f t="shared" si="362"/>
        <v>13428.557798494277</v>
      </c>
      <c r="AO539" s="31">
        <f t="shared" si="363"/>
        <v>1.5707218586341358</v>
      </c>
      <c r="AS539" s="58" t="str">
        <f t="shared" si="364"/>
        <v>13.5705119828125+182232.487160895i</v>
      </c>
      <c r="AT539" s="49">
        <f t="shared" si="365"/>
        <v>105.21251607583625</v>
      </c>
      <c r="AU539" s="61">
        <f t="shared" si="366"/>
        <v>89.995733290627143</v>
      </c>
      <c r="AV539" s="58" t="str">
        <f t="shared" si="367"/>
        <v>-2580.35068182557-7949.17082572946i</v>
      </c>
      <c r="AW539" s="64">
        <f t="shared" si="368"/>
        <v>78.441510308548104</v>
      </c>
      <c r="AX539" s="61">
        <f t="shared" si="369"/>
        <v>-107.98375527819131</v>
      </c>
      <c r="AY539" s="310"/>
      <c r="BA539" s="31">
        <f t="shared" si="370"/>
        <v>0</v>
      </c>
      <c r="BB539" s="31">
        <f t="shared" si="371"/>
        <v>0</v>
      </c>
    </row>
    <row r="540" spans="14:54" x14ac:dyDescent="0.45">
      <c r="N540" s="10">
        <v>22</v>
      </c>
      <c r="O540" s="50">
        <f t="shared" si="337"/>
        <v>1659586.9074375622</v>
      </c>
      <c r="P540" s="48" t="str">
        <f t="shared" si="338"/>
        <v>17.4002386318441</v>
      </c>
      <c r="Q540" s="17" t="str">
        <f t="shared" si="339"/>
        <v>1+893.034585579789i</v>
      </c>
      <c r="R540" s="17">
        <f t="shared" si="347"/>
        <v>893.03514546834344</v>
      </c>
      <c r="S540" s="17">
        <f t="shared" si="348"/>
        <v>1.5696765498028511</v>
      </c>
      <c r="T540" s="17" t="str">
        <f t="shared" si="340"/>
        <v>1+3.12824762183979i</v>
      </c>
      <c r="U540" s="17">
        <f t="shared" si="349"/>
        <v>3.2841944497161406</v>
      </c>
      <c r="V540" s="17">
        <f t="shared" si="350"/>
        <v>1.2613947640182641</v>
      </c>
      <c r="W540" s="31" t="str">
        <f t="shared" si="341"/>
        <v>1-7.71776284027595i</v>
      </c>
      <c r="X540" s="17">
        <f t="shared" si="351"/>
        <v>7.7822787960046949</v>
      </c>
      <c r="Y540" s="17">
        <f t="shared" si="352"/>
        <v>-1.4419429931141046</v>
      </c>
      <c r="Z540" s="31" t="str">
        <f t="shared" si="342"/>
        <v>-1.49816662434301+10.7937533121247i</v>
      </c>
      <c r="AA540" s="17">
        <f t="shared" si="353"/>
        <v>10.897229638642029</v>
      </c>
      <c r="AB540" s="17">
        <f t="shared" si="354"/>
        <v>1.7087145668800618</v>
      </c>
      <c r="AC540" s="66" t="str">
        <f t="shared" si="355"/>
        <v>-0.0434170491081113+0.0142602122929045i</v>
      </c>
      <c r="AD540" s="64">
        <f t="shared" si="356"/>
        <v>-26.801876031461926</v>
      </c>
      <c r="AE540" s="61">
        <f t="shared" si="357"/>
        <v>161.81737389513532</v>
      </c>
      <c r="AF540" s="31" t="str">
        <f t="shared" si="343"/>
        <v>-9090.90909090909</v>
      </c>
      <c r="AG540" s="31" t="str">
        <f t="shared" si="344"/>
        <v>2.27623467397318E-08i</v>
      </c>
      <c r="AH540" s="31">
        <f t="shared" si="358"/>
        <v>2.27623467397318E-8</v>
      </c>
      <c r="AI540" s="31">
        <f t="shared" si="359"/>
        <v>1.5707963267948966</v>
      </c>
      <c r="AJ540" s="31" t="str">
        <f t="shared" si="345"/>
        <v>1+30115761502.0471i</v>
      </c>
      <c r="AK540" s="31">
        <f t="shared" si="360"/>
        <v>30115761502.0471</v>
      </c>
      <c r="AL540" s="31">
        <f t="shared" si="361"/>
        <v>1.5707963267616913</v>
      </c>
      <c r="AM540" s="31" t="str">
        <f t="shared" si="346"/>
        <v>1+13741.3490535349i</v>
      </c>
      <c r="AN540" s="31">
        <f t="shared" si="362"/>
        <v>13741.349089921428</v>
      </c>
      <c r="AO540" s="31">
        <f t="shared" si="363"/>
        <v>1.570723553736419</v>
      </c>
      <c r="AS540" s="58" t="str">
        <f t="shared" si="364"/>
        <v>13.2616094170313+182232.487160895i</v>
      </c>
      <c r="AT540" s="49">
        <f t="shared" si="365"/>
        <v>105.2125160747523</v>
      </c>
      <c r="AU540" s="61">
        <f t="shared" si="366"/>
        <v>89.995830412789502</v>
      </c>
      <c r="AV540" s="58" t="str">
        <f t="shared" si="367"/>
        <v>-2599.24973352567-7911.80773079221i</v>
      </c>
      <c r="AW540" s="64">
        <f t="shared" si="368"/>
        <v>78.410640043290385</v>
      </c>
      <c r="AX540" s="61">
        <f t="shared" si="369"/>
        <v>-108.18679569207519</v>
      </c>
      <c r="AY540" s="310"/>
      <c r="BA540" s="31">
        <f t="shared" si="370"/>
        <v>0</v>
      </c>
      <c r="BB540" s="31">
        <f t="shared" si="371"/>
        <v>0</v>
      </c>
    </row>
    <row r="541" spans="14:54" x14ac:dyDescent="0.45">
      <c r="N541" s="10">
        <v>23</v>
      </c>
      <c r="O541" s="50">
        <f t="shared" si="337"/>
        <v>1698243.6524617488</v>
      </c>
      <c r="P541" s="48" t="str">
        <f t="shared" si="338"/>
        <v>17.4002386318441</v>
      </c>
      <c r="Q541" s="17" t="str">
        <f t="shared" si="339"/>
        <v>1+913.83603328815i</v>
      </c>
      <c r="R541" s="17">
        <f t="shared" si="347"/>
        <v>913.83658043209277</v>
      </c>
      <c r="S541" s="17">
        <f t="shared" si="348"/>
        <v>1.5697020390185146</v>
      </c>
      <c r="T541" s="17" t="str">
        <f t="shared" si="340"/>
        <v>1+3.20111386954761i</v>
      </c>
      <c r="U541" s="17">
        <f t="shared" si="349"/>
        <v>3.3536741054864097</v>
      </c>
      <c r="V541" s="17">
        <f t="shared" si="350"/>
        <v>1.2680105257179872</v>
      </c>
      <c r="W541" s="31" t="str">
        <f t="shared" si="341"/>
        <v>1-7.89753263053923i</v>
      </c>
      <c r="X541" s="17">
        <f t="shared" si="351"/>
        <v>7.960591790214588</v>
      </c>
      <c r="Y541" s="17">
        <f t="shared" si="352"/>
        <v>-1.4448447777821543</v>
      </c>
      <c r="Z541" s="31" t="str">
        <f t="shared" si="342"/>
        <v>-1.61590159013754+11.0451721247045i</v>
      </c>
      <c r="AA541" s="17">
        <f t="shared" si="353"/>
        <v>11.162748998941003</v>
      </c>
      <c r="AB541" s="17">
        <f t="shared" si="354"/>
        <v>1.7160651145206236</v>
      </c>
      <c r="AC541" s="66" t="str">
        <f t="shared" si="355"/>
        <v>-0.0432125830342428+0.0143685862572976i</v>
      </c>
      <c r="AD541" s="64">
        <f t="shared" si="356"/>
        <v>-26.83236563616348</v>
      </c>
      <c r="AE541" s="61">
        <f t="shared" si="357"/>
        <v>161.60755332286411</v>
      </c>
      <c r="AF541" s="31" t="str">
        <f t="shared" si="343"/>
        <v>-9090.90909090909</v>
      </c>
      <c r="AG541" s="31" t="str">
        <f t="shared" si="344"/>
        <v>2.27623467397318E-08i</v>
      </c>
      <c r="AH541" s="31">
        <f t="shared" si="358"/>
        <v>2.27623467397318E-8</v>
      </c>
      <c r="AI541" s="31">
        <f t="shared" si="359"/>
        <v>1.5707963267948966</v>
      </c>
      <c r="AJ541" s="31" t="str">
        <f t="shared" si="345"/>
        <v>1+30817247702.2435i</v>
      </c>
      <c r="AK541" s="31">
        <f t="shared" si="360"/>
        <v>30817247702.2435</v>
      </c>
      <c r="AL541" s="31">
        <f t="shared" si="361"/>
        <v>1.5707963267624472</v>
      </c>
      <c r="AM541" s="31" t="str">
        <f t="shared" si="346"/>
        <v>1+14061.4261909661i</v>
      </c>
      <c r="AN541" s="31">
        <f t="shared" si="362"/>
        <v>14061.426226524371</v>
      </c>
      <c r="AO541" s="31">
        <f t="shared" si="363"/>
        <v>1.5707252102534639</v>
      </c>
      <c r="AS541" s="58" t="str">
        <f t="shared" si="364"/>
        <v>12.9597383321009+182232.487160895i</v>
      </c>
      <c r="AT541" s="49">
        <f t="shared" si="365"/>
        <v>105.21251607371715</v>
      </c>
      <c r="AU541" s="61">
        <f t="shared" si="366"/>
        <v>89.995925324181556</v>
      </c>
      <c r="AV541" s="58" t="str">
        <f t="shared" si="367"/>
        <v>-2618.98323442198-7874.55026985866i</v>
      </c>
      <c r="AW541" s="64">
        <f t="shared" si="368"/>
        <v>78.380150437553652</v>
      </c>
      <c r="AX541" s="61">
        <f t="shared" si="369"/>
        <v>-108.39652135295439</v>
      </c>
      <c r="AY541" s="310"/>
      <c r="BA541" s="31">
        <f t="shared" si="370"/>
        <v>0</v>
      </c>
      <c r="BB541" s="31">
        <f t="shared" si="371"/>
        <v>0</v>
      </c>
    </row>
    <row r="542" spans="14:54" x14ac:dyDescent="0.45">
      <c r="N542" s="10">
        <v>24</v>
      </c>
      <c r="O542" s="50">
        <f t="shared" si="337"/>
        <v>1737800.8287493798</v>
      </c>
      <c r="P542" s="48" t="str">
        <f t="shared" si="338"/>
        <v>17.4002386318441</v>
      </c>
      <c r="Q542" s="17" t="str">
        <f t="shared" si="339"/>
        <v>1+935.122008957401i</v>
      </c>
      <c r="R542" s="17">
        <f t="shared" si="347"/>
        <v>935.12254364683429</v>
      </c>
      <c r="S542" s="17">
        <f t="shared" si="348"/>
        <v>1.5697269480301677</v>
      </c>
      <c r="T542" s="17" t="str">
        <f t="shared" si="340"/>
        <v>1+3.27567739020078i</v>
      </c>
      <c r="U542" s="17">
        <f t="shared" si="349"/>
        <v>3.4249178624709518</v>
      </c>
      <c r="V542" s="17">
        <f t="shared" si="350"/>
        <v>1.2745022256643859</v>
      </c>
      <c r="W542" s="31" t="str">
        <f t="shared" si="341"/>
        <v>1-8.08148979713934i</v>
      </c>
      <c r="X542" s="17">
        <f t="shared" si="351"/>
        <v>8.1431245441333662</v>
      </c>
      <c r="Y542" s="17">
        <f t="shared" si="352"/>
        <v>-1.4476825717625919</v>
      </c>
      <c r="Z542" s="31" t="str">
        <f t="shared" si="342"/>
        <v>-1.73918523392474+11.3024472337448i</v>
      </c>
      <c r="AA542" s="17">
        <f t="shared" si="353"/>
        <v>11.435474574738354</v>
      </c>
      <c r="AB542" s="17">
        <f t="shared" si="354"/>
        <v>1.7234756636204118</v>
      </c>
      <c r="AC542" s="66" t="str">
        <f t="shared" si="355"/>
        <v>-0.0430083416893156+0.0144815223420958i</v>
      </c>
      <c r="AD542" s="64">
        <f t="shared" si="356"/>
        <v>-26.862525551242221</v>
      </c>
      <c r="AE542" s="61">
        <f t="shared" si="357"/>
        <v>161.39088634491938</v>
      </c>
      <c r="AF542" s="31" t="str">
        <f t="shared" si="343"/>
        <v>-9090.90909090909</v>
      </c>
      <c r="AG542" s="31" t="str">
        <f t="shared" si="344"/>
        <v>2.27623467397318E-08i</v>
      </c>
      <c r="AH542" s="31">
        <f t="shared" si="358"/>
        <v>2.27623467397318E-8</v>
      </c>
      <c r="AI542" s="31">
        <f t="shared" si="359"/>
        <v>1.5707963267948966</v>
      </c>
      <c r="AJ542" s="31" t="str">
        <f t="shared" si="345"/>
        <v>1+31535073615.0858i</v>
      </c>
      <c r="AK542" s="31">
        <f t="shared" si="360"/>
        <v>31535073615.0858</v>
      </c>
      <c r="AL542" s="31">
        <f t="shared" si="361"/>
        <v>1.5707963267631859</v>
      </c>
      <c r="AM542" s="31" t="str">
        <f t="shared" si="346"/>
        <v>1+14388.9588826886i</v>
      </c>
      <c r="AN542" s="31">
        <f t="shared" si="362"/>
        <v>14388.958917437465</v>
      </c>
      <c r="AO542" s="31">
        <f t="shared" si="363"/>
        <v>1.5707268290635776</v>
      </c>
      <c r="AS542" s="58" t="str">
        <f t="shared" si="364"/>
        <v>12.6647386719769+182232.487160894i</v>
      </c>
      <c r="AT542" s="49">
        <f t="shared" si="365"/>
        <v>105.21251607272852</v>
      </c>
      <c r="AU542" s="61">
        <f t="shared" si="366"/>
        <v>89.996018075126571</v>
      </c>
      <c r="AV542" s="58" t="str">
        <f t="shared" si="367"/>
        <v>-2639.54852368438-7837.33367001351i</v>
      </c>
      <c r="AW542" s="64">
        <f t="shared" si="368"/>
        <v>78.349990521486291</v>
      </c>
      <c r="AX542" s="61">
        <f t="shared" si="369"/>
        <v>-108.61309557995403</v>
      </c>
      <c r="AY542" s="310"/>
      <c r="BA542" s="31">
        <f t="shared" si="370"/>
        <v>0</v>
      </c>
      <c r="BB542" s="31">
        <f t="shared" si="371"/>
        <v>0</v>
      </c>
    </row>
    <row r="543" spans="14:54" x14ac:dyDescent="0.45">
      <c r="N543" s="10">
        <v>25</v>
      </c>
      <c r="O543" s="50">
        <f t="shared" si="337"/>
        <v>1778279.4100389241</v>
      </c>
      <c r="P543" s="48" t="str">
        <f t="shared" si="338"/>
        <v>17.4002386318441</v>
      </c>
      <c r="Q543" s="17" t="str">
        <f t="shared" si="339"/>
        <v>1+956.903798693604i</v>
      </c>
      <c r="R543" s="17">
        <f t="shared" si="347"/>
        <v>956.90432121202662</v>
      </c>
      <c r="S543" s="17">
        <f t="shared" si="348"/>
        <v>1.5697512900447748</v>
      </c>
      <c r="T543" s="17" t="str">
        <f t="shared" si="340"/>
        <v>1+3.35197771836495i</v>
      </c>
      <c r="U543" s="17">
        <f t="shared" si="349"/>
        <v>3.4979643543659926</v>
      </c>
      <c r="V543" s="17">
        <f t="shared" si="350"/>
        <v>1.2808711164523463</v>
      </c>
      <c r="W543" s="31" t="str">
        <f t="shared" si="341"/>
        <v>1-8.26973187660106i</v>
      </c>
      <c r="X543" s="17">
        <f t="shared" si="351"/>
        <v>8.3299739081747255</v>
      </c>
      <c r="Y543" s="17">
        <f t="shared" si="352"/>
        <v>-1.4504576967699505</v>
      </c>
      <c r="Z543" s="31" t="str">
        <f t="shared" si="342"/>
        <v>-1.86827905684205+11.5657150499139i</v>
      </c>
      <c r="AA543" s="17">
        <f t="shared" si="353"/>
        <v>11.715640454112592</v>
      </c>
      <c r="AB543" s="17">
        <f t="shared" si="354"/>
        <v>1.7309488645860662</v>
      </c>
      <c r="AC543" s="66" t="str">
        <f t="shared" si="355"/>
        <v>-0.0428039748191735+0.0145989969889231i</v>
      </c>
      <c r="AD543" s="64">
        <f t="shared" si="356"/>
        <v>-26.892406515854994</v>
      </c>
      <c r="AE543" s="61">
        <f t="shared" si="357"/>
        <v>161.16721638721947</v>
      </c>
      <c r="AF543" s="31" t="str">
        <f t="shared" si="343"/>
        <v>-9090.90909090909</v>
      </c>
      <c r="AG543" s="31" t="str">
        <f t="shared" si="344"/>
        <v>2.27623467397318E-08i</v>
      </c>
      <c r="AH543" s="31">
        <f t="shared" si="358"/>
        <v>2.27623467397318E-8</v>
      </c>
      <c r="AI543" s="31">
        <f t="shared" si="359"/>
        <v>1.5707963267948966</v>
      </c>
      <c r="AJ543" s="31" t="str">
        <f t="shared" si="345"/>
        <v>1+32269619841.3748i</v>
      </c>
      <c r="AK543" s="31">
        <f t="shared" si="360"/>
        <v>32269619841.374802</v>
      </c>
      <c r="AL543" s="31">
        <f t="shared" si="361"/>
        <v>1.5707963267639078</v>
      </c>
      <c r="AM543" s="31" t="str">
        <f t="shared" si="346"/>
        <v>1+14724.1207908711i</v>
      </c>
      <c r="AN543" s="31">
        <f t="shared" si="362"/>
        <v>14724.120824828984</v>
      </c>
      <c r="AO543" s="31">
        <f t="shared" si="363"/>
        <v>1.5707284110250748</v>
      </c>
      <c r="AS543" s="58" t="str">
        <f t="shared" si="364"/>
        <v>12.3764540239344+182232.487160895i</v>
      </c>
      <c r="AT543" s="49">
        <f t="shared" si="365"/>
        <v>105.21251607178449</v>
      </c>
      <c r="AU543" s="61">
        <f t="shared" si="366"/>
        <v>89.996108714802361</v>
      </c>
      <c r="AV543" s="58" t="str">
        <f t="shared" si="367"/>
        <v>-2660.94129277226-7800.09410785528i</v>
      </c>
      <c r="AW543" s="64">
        <f t="shared" si="368"/>
        <v>78.320109555929491</v>
      </c>
      <c r="AX543" s="61">
        <f t="shared" si="369"/>
        <v>-108.83667489797814</v>
      </c>
      <c r="AY543" s="310"/>
      <c r="BA543" s="31">
        <f t="shared" si="370"/>
        <v>0</v>
      </c>
      <c r="BB543" s="31">
        <f t="shared" si="371"/>
        <v>0</v>
      </c>
    </row>
    <row r="544" spans="14:54" x14ac:dyDescent="0.45">
      <c r="N544" s="10">
        <v>26</v>
      </c>
      <c r="O544" s="50">
        <f t="shared" si="337"/>
        <v>1819700.8586099846</v>
      </c>
      <c r="P544" s="48" t="str">
        <f t="shared" si="338"/>
        <v>17.4002386318441</v>
      </c>
      <c r="Q544" s="17" t="str">
        <f t="shared" si="339"/>
        <v>1+979.19295149i</v>
      </c>
      <c r="R544" s="17">
        <f t="shared" si="347"/>
        <v>979.19346211445747</v>
      </c>
      <c r="S544" s="17">
        <f t="shared" si="348"/>
        <v>1.5697750779686785</v>
      </c>
      <c r="T544" s="17" t="str">
        <f t="shared" si="340"/>
        <v>1+3.43005530948409i</v>
      </c>
      <c r="U544" s="17">
        <f t="shared" si="349"/>
        <v>3.5728531212631731</v>
      </c>
      <c r="V544" s="17">
        <f t="shared" si="350"/>
        <v>1.2871185074653799</v>
      </c>
      <c r="W544" s="31" t="str">
        <f t="shared" si="341"/>
        <v>1-8.46235867736665i</v>
      </c>
      <c r="X544" s="17">
        <f t="shared" si="351"/>
        <v>8.5212390169741514</v>
      </c>
      <c r="Y544" s="17">
        <f t="shared" si="352"/>
        <v>-1.4531714531436266</v>
      </c>
      <c r="Z544" s="31" t="str">
        <f t="shared" si="342"/>
        <v>-2.00345688419583+11.835115161293i</v>
      </c>
      <c r="AA544" s="17">
        <f t="shared" si="353"/>
        <v>12.003490757604604</v>
      </c>
      <c r="AB544" s="17">
        <f t="shared" si="354"/>
        <v>1.7384873299014101</v>
      </c>
      <c r="AC544" s="66" t="str">
        <f t="shared" si="355"/>
        <v>-0.0425991371732702+0.0147209774790557i</v>
      </c>
      <c r="AD544" s="64">
        <f t="shared" si="356"/>
        <v>-26.922059060695325</v>
      </c>
      <c r="AE544" s="61">
        <f t="shared" si="357"/>
        <v>160.93639354417786</v>
      </c>
      <c r="AF544" s="31" t="str">
        <f t="shared" si="343"/>
        <v>-9090.90909090909</v>
      </c>
      <c r="AG544" s="31" t="str">
        <f t="shared" si="344"/>
        <v>2.27623467397318E-08i</v>
      </c>
      <c r="AH544" s="31">
        <f t="shared" si="358"/>
        <v>2.27623467397318E-8</v>
      </c>
      <c r="AI544" s="31">
        <f t="shared" si="359"/>
        <v>1.5707963267948966</v>
      </c>
      <c r="AJ544" s="31" t="str">
        <f t="shared" si="345"/>
        <v>1+33021275847.2429i</v>
      </c>
      <c r="AK544" s="31">
        <f t="shared" si="360"/>
        <v>33021275847.242901</v>
      </c>
      <c r="AL544" s="31">
        <f t="shared" si="361"/>
        <v>1.570796326764613</v>
      </c>
      <c r="AM544" s="31" t="str">
        <f t="shared" si="346"/>
        <v>1+15067.0896227938i</v>
      </c>
      <c r="AN544" s="31">
        <f t="shared" si="362"/>
        <v>15067.089655978709</v>
      </c>
      <c r="AO544" s="31">
        <f t="shared" si="363"/>
        <v>1.5707299569767321</v>
      </c>
      <c r="AS544" s="58" t="str">
        <f t="shared" si="364"/>
        <v>12.0947315356369+182232.487160895i</v>
      </c>
      <c r="AT544" s="49">
        <f t="shared" si="365"/>
        <v>105.2125160708829</v>
      </c>
      <c r="AU544" s="61">
        <f t="shared" si="366"/>
        <v>89.996197291267251</v>
      </c>
      <c r="AV544" s="58" t="str">
        <f t="shared" si="367"/>
        <v>-2683.1555645756-7762.76867172262i</v>
      </c>
      <c r="AW544" s="64">
        <f t="shared" si="368"/>
        <v>78.290457010187581</v>
      </c>
      <c r="AX544" s="61">
        <f t="shared" si="369"/>
        <v>-109.06740916455486</v>
      </c>
      <c r="AY544" s="310"/>
      <c r="BA544" s="31">
        <f t="shared" si="370"/>
        <v>0</v>
      </c>
      <c r="BB544" s="31">
        <f t="shared" si="371"/>
        <v>0</v>
      </c>
    </row>
    <row r="545" spans="14:54" x14ac:dyDescent="0.45">
      <c r="N545" s="10">
        <v>27</v>
      </c>
      <c r="O545" s="50">
        <f t="shared" si="337"/>
        <v>1862087.1366628683</v>
      </c>
      <c r="P545" s="48" t="str">
        <f t="shared" si="338"/>
        <v>17.4002386318441</v>
      </c>
      <c r="Q545" s="17" t="str">
        <f t="shared" si="339"/>
        <v>1+1002.00128535042i</v>
      </c>
      <c r="R545" s="17">
        <f t="shared" si="347"/>
        <v>1002.0017843516517</v>
      </c>
      <c r="S545" s="17">
        <f t="shared" si="348"/>
        <v>1.5697983244144433</v>
      </c>
      <c r="T545" s="17" t="str">
        <f t="shared" si="340"/>
        <v>1+3.50995156133046i</v>
      </c>
      <c r="U545" s="17">
        <f t="shared" si="349"/>
        <v>3.6496246331487479</v>
      </c>
      <c r="V545" s="17">
        <f t="shared" si="350"/>
        <v>1.293245759733076</v>
      </c>
      <c r="W545" s="31" t="str">
        <f t="shared" si="341"/>
        <v>1-8.65947233271552i</v>
      </c>
      <c r="X545" s="17">
        <f t="shared" si="351"/>
        <v>8.7170213422398799</v>
      </c>
      <c r="Y545" s="17">
        <f t="shared" si="352"/>
        <v>-1.4558251197841099</v>
      </c>
      <c r="Z545" s="31" t="str">
        <f t="shared" si="342"/>
        <v>-2.14500544628145+12.1107904073868i</v>
      </c>
      <c r="AA545" s="17">
        <f t="shared" si="353"/>
        <v>12.299280168214285</v>
      </c>
      <c r="AB545" s="17">
        <f t="shared" si="354"/>
        <v>1.7460936309002033</v>
      </c>
      <c r="AC545" s="66" t="str">
        <f t="shared" si="355"/>
        <v>-0.042393488331793+0.0148474217930842i</v>
      </c>
      <c r="AD545" s="64">
        <f t="shared" si="356"/>
        <v>-26.951533531459511</v>
      </c>
      <c r="AE545" s="61">
        <f t="shared" si="357"/>
        <v>160.69827447222656</v>
      </c>
      <c r="AF545" s="31" t="str">
        <f t="shared" si="343"/>
        <v>-9090.90909090909</v>
      </c>
      <c r="AG545" s="31" t="str">
        <f t="shared" si="344"/>
        <v>2.27623467397318E-08i</v>
      </c>
      <c r="AH545" s="31">
        <f t="shared" si="358"/>
        <v>2.27623467397318E-8</v>
      </c>
      <c r="AI545" s="31">
        <f t="shared" si="359"/>
        <v>1.5707963267948966</v>
      </c>
      <c r="AJ545" s="31" t="str">
        <f t="shared" si="345"/>
        <v>1+33790440170.6533i</v>
      </c>
      <c r="AK545" s="31">
        <f t="shared" si="360"/>
        <v>33790440170.653301</v>
      </c>
      <c r="AL545" s="31">
        <f t="shared" si="361"/>
        <v>1.5707963267653025</v>
      </c>
      <c r="AM545" s="31" t="str">
        <f t="shared" si="346"/>
        <v>1+15418.0472250709i</v>
      </c>
      <c r="AN545" s="31">
        <f t="shared" si="362"/>
        <v>15418.04725750043</v>
      </c>
      <c r="AO545" s="31">
        <f t="shared" si="363"/>
        <v>1.570731467738234</v>
      </c>
      <c r="AS545" s="58" t="str">
        <f t="shared" si="364"/>
        <v>11.8194218340925+182232.487160895i</v>
      </c>
      <c r="AT545" s="49">
        <f t="shared" si="365"/>
        <v>105.21251607002188</v>
      </c>
      <c r="AU545" s="61">
        <f t="shared" si="366"/>
        <v>89.996283851485657</v>
      </c>
      <c r="AV545" s="58" t="str">
        <f t="shared" si="367"/>
        <v>-2706.18366780222-7725.2953301877i</v>
      </c>
      <c r="AW545" s="64">
        <f t="shared" si="368"/>
        <v>78.260982538562374</v>
      </c>
      <c r="AX545" s="61">
        <f t="shared" si="369"/>
        <v>-109.3054416762878</v>
      </c>
      <c r="AY545" s="310"/>
      <c r="BA545" s="31">
        <f t="shared" si="370"/>
        <v>0</v>
      </c>
      <c r="BB545" s="31">
        <f t="shared" si="371"/>
        <v>0</v>
      </c>
    </row>
    <row r="546" spans="14:54" x14ac:dyDescent="0.45">
      <c r="N546" s="10">
        <v>28</v>
      </c>
      <c r="O546" s="50">
        <f t="shared" si="337"/>
        <v>1905460.7179632513</v>
      </c>
      <c r="P546" s="48" t="str">
        <f t="shared" si="338"/>
        <v>17.4002386318441</v>
      </c>
      <c r="Q546" s="17" t="str">
        <f t="shared" si="339"/>
        <v>1+1025.34089355541i</v>
      </c>
      <c r="R546" s="17">
        <f t="shared" si="347"/>
        <v>1025.3413811979924</v>
      </c>
      <c r="S546" s="17">
        <f t="shared" si="348"/>
        <v>1.5698210417075418</v>
      </c>
      <c r="T546" s="17" t="str">
        <f t="shared" si="340"/>
        <v>1+3.59170883595438i</v>
      </c>
      <c r="U546" s="17">
        <f t="shared" si="349"/>
        <v>3.7283203137971883</v>
      </c>
      <c r="V546" s="17">
        <f t="shared" si="350"/>
        <v>1.2992542809998886</v>
      </c>
      <c r="W546" s="31" t="str">
        <f t="shared" si="341"/>
        <v>1-8.86117735491693i</v>
      </c>
      <c r="X546" s="17">
        <f t="shared" si="351"/>
        <v>8.9174247468253185</v>
      </c>
      <c r="Y546" s="17">
        <f t="shared" si="352"/>
        <v>-1.4584199541241316</v>
      </c>
      <c r="Z546" s="31" t="str">
        <f t="shared" si="342"/>
        <v>-2.29322498657692+12.39288695486i</v>
      </c>
      <c r="AA546" s="17">
        <f t="shared" si="353"/>
        <v>12.603274491773949</v>
      </c>
      <c r="AB546" s="17">
        <f t="shared" si="354"/>
        <v>1.7537702943475597</v>
      </c>
      <c r="AC546" s="66" t="str">
        <f t="shared" si="355"/>
        <v>-0.0421866925688368+0.0149782784464713i</v>
      </c>
      <c r="AD546" s="64">
        <f t="shared" si="356"/>
        <v>-26.980880113256269</v>
      </c>
      <c r="AE546" s="61">
        <f t="shared" si="357"/>
        <v>160.45272230441819</v>
      </c>
      <c r="AF546" s="31" t="str">
        <f t="shared" si="343"/>
        <v>-9090.90909090909</v>
      </c>
      <c r="AG546" s="31" t="str">
        <f t="shared" si="344"/>
        <v>2.27623467397318E-08i</v>
      </c>
      <c r="AH546" s="31">
        <f t="shared" si="358"/>
        <v>2.27623467397318E-8</v>
      </c>
      <c r="AI546" s="31">
        <f t="shared" si="359"/>
        <v>1.5707963267948966</v>
      </c>
      <c r="AJ546" s="31" t="str">
        <f t="shared" si="345"/>
        <v>1+34577520632.7119i</v>
      </c>
      <c r="AK546" s="31">
        <f t="shared" si="360"/>
        <v>34577520632.711899</v>
      </c>
      <c r="AL546" s="31">
        <f t="shared" si="361"/>
        <v>1.5707963267659761</v>
      </c>
      <c r="AM546" s="31" t="str">
        <f t="shared" si="346"/>
        <v>1+15777.1796800689i</v>
      </c>
      <c r="AN546" s="31">
        <f t="shared" si="362"/>
        <v>15777.179711760244</v>
      </c>
      <c r="AO546" s="31">
        <f t="shared" si="363"/>
        <v>1.5707329441106059</v>
      </c>
      <c r="AS546" s="58" t="str">
        <f t="shared" si="364"/>
        <v>11.5503789464528+182232.487160895i</v>
      </c>
      <c r="AT546" s="49">
        <f t="shared" si="365"/>
        <v>105.21251606919962</v>
      </c>
      <c r="AU546" s="61">
        <f t="shared" si="366"/>
        <v>89.996368441352956</v>
      </c>
      <c r="AV546" s="58" t="str">
        <f t="shared" si="367"/>
        <v>-2730.01620697456-7687.61290711915i</v>
      </c>
      <c r="AW546" s="64">
        <f t="shared" si="368"/>
        <v>78.231635955943347</v>
      </c>
      <c r="AX546" s="61">
        <f t="shared" si="369"/>
        <v>-109.55090925422888</v>
      </c>
      <c r="AY546" s="310"/>
      <c r="BA546" s="31">
        <f t="shared" si="370"/>
        <v>0</v>
      </c>
      <c r="BB546" s="31">
        <f t="shared" si="371"/>
        <v>0</v>
      </c>
    </row>
    <row r="547" spans="14:54" x14ac:dyDescent="0.45">
      <c r="N547" s="10">
        <v>29</v>
      </c>
      <c r="O547" s="50">
        <f t="shared" si="337"/>
        <v>1949844.5997580495</v>
      </c>
      <c r="P547" s="48" t="str">
        <f t="shared" si="338"/>
        <v>17.4002386318441</v>
      </c>
      <c r="Q547" s="17" t="str">
        <f t="shared" si="339"/>
        <v>1+1049.22415107413i</v>
      </c>
      <c r="R547" s="17">
        <f t="shared" si="347"/>
        <v>1049.2246276166172</v>
      </c>
      <c r="S547" s="17">
        <f t="shared" si="348"/>
        <v>1.5698432418928898</v>
      </c>
      <c r="T547" s="17" t="str">
        <f t="shared" si="340"/>
        <v>1+3.67537048214496i</v>
      </c>
      <c r="U547" s="17">
        <f t="shared" si="349"/>
        <v>3.8089825650720002</v>
      </c>
      <c r="V547" s="17">
        <f t="shared" si="350"/>
        <v>1.3051455210069942</v>
      </c>
      <c r="W547" s="31" t="str">
        <f t="shared" si="341"/>
        <v>1-9.06758069064335i</v>
      </c>
      <c r="X547" s="17">
        <f t="shared" si="351"/>
        <v>9.1225555400517084</v>
      </c>
      <c r="Y547" s="17">
        <f t="shared" si="352"/>
        <v>-1.4609571921320263</v>
      </c>
      <c r="Z547" s="31" t="str">
        <f t="shared" si="342"/>
        <v>-2.44842989859918+12.6815543750358i</v>
      </c>
      <c r="AA547" s="17">
        <f t="shared" si="353"/>
        <v>12.915751249359985</v>
      </c>
      <c r="AB547" s="17">
        <f t="shared" si="354"/>
        <v>1.7615197988247624</v>
      </c>
      <c r="AC547" s="66" t="str">
        <f t="shared" si="355"/>
        <v>-0.0419784187533426+0.0151134863031434i</v>
      </c>
      <c r="AD547" s="64">
        <f t="shared" si="356"/>
        <v>-27.010148855658681</v>
      </c>
      <c r="AE547" s="61">
        <f t="shared" si="357"/>
        <v>160.19960658666525</v>
      </c>
      <c r="AF547" s="31" t="str">
        <f t="shared" si="343"/>
        <v>-9090.90909090909</v>
      </c>
      <c r="AG547" s="31" t="str">
        <f t="shared" si="344"/>
        <v>2.27623467397318E-08i</v>
      </c>
      <c r="AH547" s="31">
        <f t="shared" si="358"/>
        <v>2.27623467397318E-8</v>
      </c>
      <c r="AI547" s="31">
        <f t="shared" si="359"/>
        <v>1.5707963267948966</v>
      </c>
      <c r="AJ547" s="31" t="str">
        <f t="shared" si="345"/>
        <v>1+35382934553.8971i</v>
      </c>
      <c r="AK547" s="31">
        <f t="shared" si="360"/>
        <v>35382934553.897102</v>
      </c>
      <c r="AL547" s="31">
        <f t="shared" si="361"/>
        <v>1.5707963267666345</v>
      </c>
      <c r="AM547" s="31" t="str">
        <f t="shared" si="346"/>
        <v>1+16144.6774045688i</v>
      </c>
      <c r="AN547" s="31">
        <f t="shared" si="362"/>
        <v>16144.677435538757</v>
      </c>
      <c r="AO547" s="31">
        <f t="shared" si="363"/>
        <v>1.5707343868766399</v>
      </c>
      <c r="AS547" s="58" t="str">
        <f t="shared" si="364"/>
        <v>11.2874602226182+182232.487160895i</v>
      </c>
      <c r="AT547" s="49">
        <f t="shared" si="365"/>
        <v>105.21251606841437</v>
      </c>
      <c r="AU547" s="61">
        <f t="shared" si="366"/>
        <v>89.9964511057198</v>
      </c>
      <c r="AV547" s="58" t="str">
        <f t="shared" si="367"/>
        <v>-2754.64202842583-7649.66106362771i</v>
      </c>
      <c r="AW547" s="64">
        <f t="shared" si="368"/>
        <v>78.202367212755689</v>
      </c>
      <c r="AX547" s="61">
        <f t="shared" si="369"/>
        <v>-109.80394230761496</v>
      </c>
      <c r="AY547" s="310"/>
      <c r="BA547" s="31">
        <f t="shared" si="370"/>
        <v>0</v>
      </c>
      <c r="BB547" s="31">
        <f t="shared" si="371"/>
        <v>0</v>
      </c>
    </row>
    <row r="548" spans="14:54" x14ac:dyDescent="0.45">
      <c r="N548" s="10">
        <v>30</v>
      </c>
      <c r="O548" s="50">
        <f t="shared" si="337"/>
        <v>1995262.31496888</v>
      </c>
      <c r="P548" s="48" t="str">
        <f t="shared" si="338"/>
        <v>17.4002386318441</v>
      </c>
      <c r="Q548" s="17" t="str">
        <f t="shared" si="339"/>
        <v>1+1073.66372112588i</v>
      </c>
      <c r="R548" s="17">
        <f t="shared" si="347"/>
        <v>1073.6641868209406</v>
      </c>
      <c r="S548" s="17">
        <f t="shared" si="348"/>
        <v>1.5698649367412316</v>
      </c>
      <c r="T548" s="17" t="str">
        <f t="shared" si="340"/>
        <v>1+3.76098085841448i</v>
      </c>
      <c r="U548" s="17">
        <f t="shared" si="349"/>
        <v>3.8916547916484214</v>
      </c>
      <c r="V548" s="17">
        <f t="shared" si="350"/>
        <v>1.3109209669877548</v>
      </c>
      <c r="W548" s="31" t="str">
        <f t="shared" si="341"/>
        <v>1-9.27879177767564i</v>
      </c>
      <c r="X548" s="17">
        <f t="shared" si="351"/>
        <v>9.3325225343130604</v>
      </c>
      <c r="Y548" s="17">
        <f t="shared" si="352"/>
        <v>-1.4634380483447982</v>
      </c>
      <c r="Z548" s="31" t="str">
        <f t="shared" si="342"/>
        <v>-2.61094939277548+12.9769457232015i</v>
      </c>
      <c r="AA548" s="17">
        <f t="shared" si="353"/>
        <v>13.237000303488413</v>
      </c>
      <c r="AB548" s="17">
        <f t="shared" si="354"/>
        <v>1.7693445709130662</v>
      </c>
      <c r="AC548" s="66" t="str">
        <f t="shared" si="355"/>
        <v>-0.0417683402894767+0.0152529743693936i</v>
      </c>
      <c r="AD548" s="64">
        <f t="shared" si="356"/>
        <v>-27.039389698103694</v>
      </c>
      <c r="AE548" s="61">
        <f t="shared" si="357"/>
        <v>159.93880323603915</v>
      </c>
      <c r="AF548" s="31" t="str">
        <f t="shared" si="343"/>
        <v>-9090.90909090909</v>
      </c>
      <c r="AG548" s="31" t="str">
        <f t="shared" si="344"/>
        <v>2.27623467397318E-08i</v>
      </c>
      <c r="AH548" s="31">
        <f t="shared" si="358"/>
        <v>2.27623467397318E-8</v>
      </c>
      <c r="AI548" s="31">
        <f t="shared" si="359"/>
        <v>1.5707963267948966</v>
      </c>
      <c r="AJ548" s="31" t="str">
        <f t="shared" si="345"/>
        <v>1+36207108975.3315i</v>
      </c>
      <c r="AK548" s="31">
        <f t="shared" si="360"/>
        <v>36207108975.331497</v>
      </c>
      <c r="AL548" s="31">
        <f t="shared" si="361"/>
        <v>1.5707963267672778</v>
      </c>
      <c r="AM548" s="31" t="str">
        <f t="shared" si="346"/>
        <v>1+16520.7352507287i</v>
      </c>
      <c r="AN548" s="31">
        <f t="shared" si="362"/>
        <v>16520.735280993693</v>
      </c>
      <c r="AO548" s="31">
        <f t="shared" si="363"/>
        <v>1.5707357968013096</v>
      </c>
      <c r="AS548" s="58" t="str">
        <f t="shared" si="364"/>
        <v>11.0305262596006+182232.487160895i</v>
      </c>
      <c r="AT548" s="49">
        <f t="shared" si="365"/>
        <v>105.21251606766447</v>
      </c>
      <c r="AU548" s="61">
        <f t="shared" si="366"/>
        <v>89.996531888415959</v>
      </c>
      <c r="AV548" s="58" t="str">
        <f t="shared" si="367"/>
        <v>-2780.04818271036-7611.38028719964i</v>
      </c>
      <c r="AW548" s="64">
        <f t="shared" si="368"/>
        <v>78.173126369560777</v>
      </c>
      <c r="AX548" s="61">
        <f t="shared" si="369"/>
        <v>-110.06466487554488</v>
      </c>
      <c r="AY548" s="310"/>
      <c r="BA548" s="31">
        <f t="shared" si="370"/>
        <v>0</v>
      </c>
      <c r="BB548" s="31">
        <f t="shared" si="371"/>
        <v>0</v>
      </c>
    </row>
    <row r="549" spans="14:54" x14ac:dyDescent="0.45">
      <c r="N549" s="10">
        <v>31</v>
      </c>
      <c r="O549" s="50">
        <f t="shared" si="337"/>
        <v>2041737.9446695296</v>
      </c>
      <c r="P549" s="48" t="str">
        <f t="shared" si="338"/>
        <v>17.4002386318441</v>
      </c>
      <c r="Q549" s="17" t="str">
        <f t="shared" si="339"/>
        <v>1+1098.67256189419i</v>
      </c>
      <c r="R549" s="17">
        <f t="shared" si="347"/>
        <v>1098.6730169887412</v>
      </c>
      <c r="S549" s="17">
        <f t="shared" si="348"/>
        <v>1.5698861377553817</v>
      </c>
      <c r="T549" s="17" t="str">
        <f t="shared" si="340"/>
        <v>1+3.84858535651758i</v>
      </c>
      <c r="U549" s="17">
        <f t="shared" si="349"/>
        <v>3.976381426171482</v>
      </c>
      <c r="V549" s="17">
        <f t="shared" si="350"/>
        <v>1.3165821393760295</v>
      </c>
      <c r="W549" s="31" t="str">
        <f t="shared" si="341"/>
        <v>1-9.49492260292773i</v>
      </c>
      <c r="X549" s="17">
        <f t="shared" si="351"/>
        <v>9.5474371029919816</v>
      </c>
      <c r="Y549" s="17">
        <f t="shared" si="352"/>
        <v>-1.4658637159284691</v>
      </c>
      <c r="Z549" s="31" t="str">
        <f t="shared" si="342"/>
        <v>-2.78112819474224+13.2792176197597i</v>
      </c>
      <c r="AA549" s="17">
        <f t="shared" si="353"/>
        <v>13.5673245199091</v>
      </c>
      <c r="AB549" s="17">
        <f t="shared" si="354"/>
        <v>1.7772469811727285</v>
      </c>
      <c r="AC549" s="66" t="str">
        <f t="shared" si="355"/>
        <v>-0.0415561350981388+0.0153966615705311i</v>
      </c>
      <c r="AD549" s="64">
        <f t="shared" si="356"/>
        <v>-27.068652495340157</v>
      </c>
      <c r="AE549" s="61">
        <f t="shared" si="357"/>
        <v>159.67019452144547</v>
      </c>
      <c r="AF549" s="31" t="str">
        <f t="shared" si="343"/>
        <v>-9090.90909090909</v>
      </c>
      <c r="AG549" s="31" t="str">
        <f t="shared" si="344"/>
        <v>2.27623467397318E-08i</v>
      </c>
      <c r="AH549" s="31">
        <f t="shared" si="358"/>
        <v>2.27623467397318E-8</v>
      </c>
      <c r="AI549" s="31">
        <f t="shared" si="359"/>
        <v>1.5707963267948966</v>
      </c>
      <c r="AJ549" s="31" t="str">
        <f t="shared" si="345"/>
        <v>1+37050480885.2022i</v>
      </c>
      <c r="AK549" s="31">
        <f t="shared" si="360"/>
        <v>37050480885.202202</v>
      </c>
      <c r="AL549" s="31">
        <f t="shared" si="361"/>
        <v>1.5707963267679064</v>
      </c>
      <c r="AM549" s="31" t="str">
        <f t="shared" si="346"/>
        <v>1+16905.5526093962i</v>
      </c>
      <c r="AN549" s="31">
        <f t="shared" si="362"/>
        <v>16905.552638972284</v>
      </c>
      <c r="AO549" s="31">
        <f t="shared" si="363"/>
        <v>1.5707371746321759</v>
      </c>
      <c r="AS549" s="58" t="str">
        <f t="shared" si="364"/>
        <v>10.7794408276122+182232.487160895i</v>
      </c>
      <c r="AT549" s="49">
        <f t="shared" si="365"/>
        <v>105.21251606694831</v>
      </c>
      <c r="AU549" s="61">
        <f t="shared" si="366"/>
        <v>89.996610832273461</v>
      </c>
      <c r="AV549" s="58" t="str">
        <f t="shared" si="367"/>
        <v>-2806.21988387177-7572.71188832565i</v>
      </c>
      <c r="AW549" s="64">
        <f t="shared" si="368"/>
        <v>78.143863571608151</v>
      </c>
      <c r="AX549" s="61">
        <f t="shared" si="369"/>
        <v>-110.33319464628107</v>
      </c>
      <c r="AY549" s="310"/>
      <c r="BA549" s="31">
        <f t="shared" si="370"/>
        <v>0</v>
      </c>
      <c r="BB549" s="31">
        <f t="shared" si="371"/>
        <v>0</v>
      </c>
    </row>
    <row r="550" spans="14:54" x14ac:dyDescent="0.45">
      <c r="N550" s="10">
        <v>32</v>
      </c>
      <c r="O550" s="50">
        <f t="shared" si="337"/>
        <v>2089296.1308540432</v>
      </c>
      <c r="P550" s="48" t="str">
        <f t="shared" si="338"/>
        <v>17.4002386318441</v>
      </c>
      <c r="Q550" s="17" t="str">
        <f t="shared" si="339"/>
        <v>1+1124.26393339747i</v>
      </c>
      <c r="R550" s="17">
        <f t="shared" si="347"/>
        <v>1124.2643781328086</v>
      </c>
      <c r="S550" s="17">
        <f t="shared" si="348"/>
        <v>1.5699068561763216</v>
      </c>
      <c r="T550" s="17" t="str">
        <f t="shared" si="340"/>
        <v>1+3.93823042551879i</v>
      </c>
      <c r="U550" s="17">
        <f t="shared" si="349"/>
        <v>4.0632079548654545</v>
      </c>
      <c r="V550" s="17">
        <f t="shared" si="350"/>
        <v>1.3221305877256981</v>
      </c>
      <c r="W550" s="31" t="str">
        <f t="shared" si="341"/>
        <v>1-9.71608776182414i</v>
      </c>
      <c r="X550" s="17">
        <f t="shared" si="351"/>
        <v>9.7674132397205771</v>
      </c>
      <c r="Y550" s="17">
        <f t="shared" si="352"/>
        <v>-1.4682353667634973</v>
      </c>
      <c r="Z550" s="31" t="str">
        <f t="shared" si="342"/>
        <v>-2.95932727655481+13.5885303332713i</v>
      </c>
      <c r="AA550" s="17">
        <f t="shared" si="353"/>
        <v>13.907040466900051</v>
      </c>
      <c r="AB550" s="17">
        <f t="shared" si="354"/>
        <v>1.7852293399147392</v>
      </c>
      <c r="AC550" s="66" t="str">
        <f t="shared" si="355"/>
        <v>-0.0413414856412424+0.0155444565129012i</v>
      </c>
      <c r="AD550" s="64">
        <f t="shared" si="356"/>
        <v>-27.097987042628834</v>
      </c>
      <c r="AE550" s="61">
        <f t="shared" si="357"/>
        <v>159.39366906684751</v>
      </c>
      <c r="AF550" s="31" t="str">
        <f t="shared" si="343"/>
        <v>-9090.90909090909</v>
      </c>
      <c r="AG550" s="31" t="str">
        <f t="shared" si="344"/>
        <v>2.27623467397318E-08i</v>
      </c>
      <c r="AH550" s="31">
        <f t="shared" si="358"/>
        <v>2.27623467397318E-8</v>
      </c>
      <c r="AI550" s="31">
        <f t="shared" si="359"/>
        <v>1.5707963267948966</v>
      </c>
      <c r="AJ550" s="31" t="str">
        <f t="shared" si="345"/>
        <v>1+37913497450.4596i</v>
      </c>
      <c r="AK550" s="31">
        <f t="shared" si="360"/>
        <v>37913497450.459602</v>
      </c>
      <c r="AL550" s="31">
        <f t="shared" si="361"/>
        <v>1.5707963267685208</v>
      </c>
      <c r="AM550" s="31" t="str">
        <f t="shared" si="346"/>
        <v>1+17299.3335158289i</v>
      </c>
      <c r="AN550" s="31">
        <f t="shared" si="362"/>
        <v>17299.333544731748</v>
      </c>
      <c r="AO550" s="31">
        <f t="shared" si="363"/>
        <v>1.5707385210997828</v>
      </c>
      <c r="AS550" s="58" t="str">
        <f t="shared" si="364"/>
        <v>10.5340707978334+182232.487160895i</v>
      </c>
      <c r="AT550" s="49">
        <f t="shared" si="365"/>
        <v>105.21251606626437</v>
      </c>
      <c r="AU550" s="61">
        <f t="shared" si="366"/>
        <v>89.996687979149399</v>
      </c>
      <c r="AV550" s="58" t="str">
        <f t="shared" si="367"/>
        <v>-2833.14046604699-7533.59800492461i</v>
      </c>
      <c r="AW550" s="64">
        <f t="shared" si="368"/>
        <v>78.114529023635541</v>
      </c>
      <c r="AX550" s="61">
        <f t="shared" si="369"/>
        <v>-110.60964295400311</v>
      </c>
      <c r="AY550" s="310"/>
      <c r="BA550" s="31">
        <f t="shared" si="370"/>
        <v>0</v>
      </c>
      <c r="BB550" s="31">
        <f t="shared" si="371"/>
        <v>0</v>
      </c>
    </row>
    <row r="551" spans="14:54" x14ac:dyDescent="0.45">
      <c r="N551" s="10">
        <v>33</v>
      </c>
      <c r="O551" s="50">
        <f t="shared" si="337"/>
        <v>2137962.0895022359</v>
      </c>
      <c r="P551" s="48" t="str">
        <f t="shared" si="338"/>
        <v>17.4002386318441</v>
      </c>
      <c r="Q551" s="17" t="str">
        <f t="shared" si="339"/>
        <v>1+1150.45140451963i</v>
      </c>
      <c r="R551" s="17">
        <f t="shared" si="347"/>
        <v>1150.4518391315603</v>
      </c>
      <c r="S551" s="17">
        <f t="shared" si="348"/>
        <v>1.5699271029891615</v>
      </c>
      <c r="T551" s="17" t="str">
        <f t="shared" si="340"/>
        <v>1+4.02996359642022i</v>
      </c>
      <c r="U551" s="17">
        <f t="shared" si="349"/>
        <v>4.1521809436092978</v>
      </c>
      <c r="V551" s="17">
        <f t="shared" si="350"/>
        <v>1.3275678868387175</v>
      </c>
      <c r="W551" s="31" t="str">
        <f t="shared" si="341"/>
        <v>1-9.94240451905941i</v>
      </c>
      <c r="X551" s="17">
        <f t="shared" si="351"/>
        <v>9.9925676190162953</v>
      </c>
      <c r="Y551" s="17">
        <f t="shared" si="352"/>
        <v>-1.4705541515531189</v>
      </c>
      <c r="Z551" s="31" t="str">
        <f t="shared" si="342"/>
        <v>-3.14592462235715+13.905047865431i</v>
      </c>
      <c r="AA551" s="17">
        <f t="shared" si="353"/>
        <v>14.256479154036603</v>
      </c>
      <c r="AB551" s="17">
        <f t="shared" si="354"/>
        <v>1.793293892763564</v>
      </c>
      <c r="AC551" s="66" t="str">
        <f t="shared" si="355"/>
        <v>-0.04112407899037+0.0156962572340789i</v>
      </c>
      <c r="AD551" s="64">
        <f t="shared" si="356"/>
        <v>-27.127443100398217</v>
      </c>
      <c r="AE551" s="61">
        <f t="shared" si="357"/>
        <v>159.10912187710707</v>
      </c>
      <c r="AF551" s="31" t="str">
        <f t="shared" si="343"/>
        <v>-9090.90909090909</v>
      </c>
      <c r="AG551" s="31" t="str">
        <f t="shared" si="344"/>
        <v>2.27623467397318E-08i</v>
      </c>
      <c r="AH551" s="31">
        <f t="shared" si="358"/>
        <v>2.27623467397318E-8</v>
      </c>
      <c r="AI551" s="31">
        <f t="shared" si="359"/>
        <v>1.5707963267948966</v>
      </c>
      <c r="AJ551" s="31" t="str">
        <f t="shared" si="345"/>
        <v>1+38796616253.9095i</v>
      </c>
      <c r="AK551" s="31">
        <f t="shared" si="360"/>
        <v>38796616253.9095</v>
      </c>
      <c r="AL551" s="31">
        <f t="shared" si="361"/>
        <v>1.5707963267691212</v>
      </c>
      <c r="AM551" s="31" t="str">
        <f t="shared" si="346"/>
        <v>1+17702.2867578752i</v>
      </c>
      <c r="AN551" s="31">
        <f t="shared" si="362"/>
        <v>17702.286786120138</v>
      </c>
      <c r="AO551" s="31">
        <f t="shared" si="363"/>
        <v>1.5707398369180454</v>
      </c>
      <c r="AS551" s="58" t="str">
        <f t="shared" si="364"/>
        <v>10.2942860718265+182232.487160895i</v>
      </c>
      <c r="AT551" s="49">
        <f t="shared" si="365"/>
        <v>105.21251606561123</v>
      </c>
      <c r="AU551" s="61">
        <f t="shared" si="366"/>
        <v>89.996763369948042</v>
      </c>
      <c r="AV551" s="58" t="str">
        <f t="shared" si="367"/>
        <v>-2860.79133791696-7493.98161485401i</v>
      </c>
      <c r="AW551" s="64">
        <f t="shared" si="368"/>
        <v>78.085072965213016</v>
      </c>
      <c r="AX551" s="61">
        <f t="shared" si="369"/>
        <v>-110.89411475294492</v>
      </c>
      <c r="AY551" s="310"/>
      <c r="BA551" s="31">
        <f t="shared" si="370"/>
        <v>0</v>
      </c>
      <c r="BB551" s="31">
        <f t="shared" si="371"/>
        <v>0</v>
      </c>
    </row>
    <row r="552" spans="14:54" x14ac:dyDescent="0.45">
      <c r="N552" s="10">
        <v>34</v>
      </c>
      <c r="O552" s="50">
        <f t="shared" si="337"/>
        <v>2187761.6239495561</v>
      </c>
      <c r="P552" s="48" t="str">
        <f t="shared" si="338"/>
        <v>17.4002386318441</v>
      </c>
      <c r="Q552" s="17" t="str">
        <f t="shared" si="339"/>
        <v>1+1177.24886020449i</v>
      </c>
      <c r="R552" s="17">
        <f t="shared" si="347"/>
        <v>1177.2492849234486</v>
      </c>
      <c r="S552" s="17">
        <f t="shared" si="348"/>
        <v>1.5699468889289627</v>
      </c>
      <c r="T552" s="17" t="str">
        <f t="shared" si="340"/>
        <v>1+4.12383350736336i</v>
      </c>
      <c r="U552" s="17">
        <f t="shared" si="349"/>
        <v>4.2433480644949206</v>
      </c>
      <c r="V552" s="17">
        <f t="shared" si="350"/>
        <v>1.3328956330983595</v>
      </c>
      <c r="W552" s="31" t="str">
        <f t="shared" si="341"/>
        <v>1-10.173992870774i</v>
      </c>
      <c r="X552" s="17">
        <f t="shared" si="351"/>
        <v>10.223019658327974</v>
      </c>
      <c r="Y552" s="17">
        <f t="shared" si="352"/>
        <v>-1.4728211999526577</v>
      </c>
      <c r="Z552" s="31" t="str">
        <f t="shared" si="342"/>
        <v>-3.34131603013731+14.228938038024i</v>
      </c>
      <c r="AA552" s="17">
        <f t="shared" si="353"/>
        <v>14.615986812500168</v>
      </c>
      <c r="AB552" s="17">
        <f t="shared" si="354"/>
        <v>1.8014428160106115</v>
      </c>
      <c r="AC552" s="66" t="str">
        <f t="shared" si="355"/>
        <v>-0.0409036069413408+0.0158519509442556i</v>
      </c>
      <c r="AD552" s="64">
        <f t="shared" si="356"/>
        <v>-27.157070418060091</v>
      </c>
      <c r="AE552" s="61">
        <f t="shared" si="357"/>
        <v>158.81645438637958</v>
      </c>
      <c r="AF552" s="31" t="str">
        <f t="shared" si="343"/>
        <v>-9090.90909090909</v>
      </c>
      <c r="AG552" s="31" t="str">
        <f t="shared" si="344"/>
        <v>2.27623467397318E-08i</v>
      </c>
      <c r="AH552" s="31">
        <f t="shared" si="358"/>
        <v>2.27623467397318E-8</v>
      </c>
      <c r="AI552" s="31">
        <f t="shared" si="359"/>
        <v>1.5707963267948966</v>
      </c>
      <c r="AJ552" s="31" t="str">
        <f t="shared" si="345"/>
        <v>1+39700305536.8312i</v>
      </c>
      <c r="AK552" s="31">
        <f t="shared" si="360"/>
        <v>39700305536.8312</v>
      </c>
      <c r="AL552" s="31">
        <f t="shared" si="361"/>
        <v>1.5707963267697078</v>
      </c>
      <c r="AM552" s="31" t="str">
        <f t="shared" si="346"/>
        <v>1+18114.6259866781i</v>
      </c>
      <c r="AN552" s="31">
        <f t="shared" si="362"/>
        <v>18114.626014280104</v>
      </c>
      <c r="AO552" s="31">
        <f t="shared" si="363"/>
        <v>1.5707411227846277</v>
      </c>
      <c r="AS552" s="58" t="str">
        <f t="shared" si="364"/>
        <v>10.0599595125557+182232.487160895i</v>
      </c>
      <c r="AT552" s="49">
        <f t="shared" si="365"/>
        <v>105.2125160649875</v>
      </c>
      <c r="AU552" s="61">
        <f t="shared" si="366"/>
        <v>89.996837044642604</v>
      </c>
      <c r="AV552" s="58" t="str">
        <f t="shared" si="367"/>
        <v>-2889.15193555394-7453.80655678749i</v>
      </c>
      <c r="AW552" s="64">
        <f t="shared" si="368"/>
        <v>78.055445646927396</v>
      </c>
      <c r="AX552" s="61">
        <f t="shared" si="369"/>
        <v>-111.18670856897779</v>
      </c>
      <c r="AY552" s="310"/>
      <c r="BA552" s="31">
        <f t="shared" si="370"/>
        <v>0</v>
      </c>
      <c r="BB552" s="31">
        <f t="shared" si="371"/>
        <v>0</v>
      </c>
    </row>
    <row r="553" spans="14:54" x14ac:dyDescent="0.45">
      <c r="N553" s="10">
        <v>35</v>
      </c>
      <c r="O553" s="50">
        <f t="shared" si="337"/>
        <v>2238721.1385683389</v>
      </c>
      <c r="P553" s="48" t="str">
        <f t="shared" si="338"/>
        <v>17.4002386318441</v>
      </c>
      <c r="Q553" s="17" t="str">
        <f t="shared" si="339"/>
        <v>1+1204.67050881775i</v>
      </c>
      <c r="R553" s="17">
        <f t="shared" si="347"/>
        <v>1204.6709238689282</v>
      </c>
      <c r="S553" s="17">
        <f t="shared" si="348"/>
        <v>1.569966224486431</v>
      </c>
      <c r="T553" s="17" t="str">
        <f t="shared" si="340"/>
        <v>1+4.21988992941747i</v>
      </c>
      <c r="U553" s="17">
        <f t="shared" si="349"/>
        <v>4.3367581228838414</v>
      </c>
      <c r="V553" s="17">
        <f t="shared" si="350"/>
        <v>1.3381154410034879</v>
      </c>
      <c r="W553" s="31" t="str">
        <f t="shared" si="341"/>
        <v>1-10.4109756081773i</v>
      </c>
      <c r="X553" s="17">
        <f t="shared" si="351"/>
        <v>10.458891581523478</v>
      </c>
      <c r="Y553" s="17">
        <f t="shared" si="352"/>
        <v>-1.4750376207179137</v>
      </c>
      <c r="Z553" s="31" t="str">
        <f t="shared" si="342"/>
        <v>-3.54591595126775+14.5603725819069i</v>
      </c>
      <c r="AA553" s="17">
        <f t="shared" si="353"/>
        <v>14.98592571906725</v>
      </c>
      <c r="AB553" s="17">
        <f t="shared" si="354"/>
        <v>1.8096782117593333</v>
      </c>
      <c r="AC553" s="66" t="str">
        <f t="shared" si="355"/>
        <v>-0.0406797661761362+0.016011413762055i</v>
      </c>
      <c r="AD553" s="64">
        <f t="shared" si="356"/>
        <v>-27.186918756690286</v>
      </c>
      <c r="AE553" s="61">
        <f t="shared" si="357"/>
        <v>158.51557452887886</v>
      </c>
      <c r="AF553" s="31" t="str">
        <f t="shared" si="343"/>
        <v>-9090.90909090909</v>
      </c>
      <c r="AG553" s="31" t="str">
        <f t="shared" si="344"/>
        <v>2.27623467397318E-08i</v>
      </c>
      <c r="AH553" s="31">
        <f t="shared" si="358"/>
        <v>2.27623467397318E-8</v>
      </c>
      <c r="AI553" s="31">
        <f t="shared" si="359"/>
        <v>1.5707963267948966</v>
      </c>
      <c r="AJ553" s="31" t="str">
        <f t="shared" si="345"/>
        <v>1+40625044447.244i</v>
      </c>
      <c r="AK553" s="31">
        <f t="shared" si="360"/>
        <v>40625044447.244003</v>
      </c>
      <c r="AL553" s="31">
        <f t="shared" si="361"/>
        <v>1.5707963267702814</v>
      </c>
      <c r="AM553" s="31" t="str">
        <f t="shared" si="346"/>
        <v>1+18536.5698299545i</v>
      </c>
      <c r="AN553" s="31">
        <f t="shared" si="362"/>
        <v>18536.569856928207</v>
      </c>
      <c r="AO553" s="31">
        <f t="shared" si="363"/>
        <v>1.5707423793813136</v>
      </c>
      <c r="AS553" s="58" t="str">
        <f t="shared" si="364"/>
        <v>9.830966876978+182232.487160895i</v>
      </c>
      <c r="AT553" s="49">
        <f t="shared" si="365"/>
        <v>105.21251606439181</v>
      </c>
      <c r="AU553" s="61">
        <f t="shared" si="366"/>
        <v>89.996909042296394</v>
      </c>
      <c r="AV553" s="58" t="str">
        <f t="shared" si="367"/>
        <v>-2918.19967425531-7413.0175597226i</v>
      </c>
      <c r="AW553" s="64">
        <f t="shared" si="368"/>
        <v>78.025597307701531</v>
      </c>
      <c r="AX553" s="61">
        <f t="shared" si="369"/>
        <v>-111.48751642882479</v>
      </c>
      <c r="AY553" s="310"/>
      <c r="BA553" s="31">
        <f t="shared" si="370"/>
        <v>0</v>
      </c>
      <c r="BB553" s="31">
        <f t="shared" si="371"/>
        <v>0</v>
      </c>
    </row>
    <row r="554" spans="14:54" x14ac:dyDescent="0.45">
      <c r="N554" s="10">
        <v>36</v>
      </c>
      <c r="O554" s="50">
        <f t="shared" si="337"/>
        <v>2290867.6527677765</v>
      </c>
      <c r="P554" s="48" t="str">
        <f t="shared" si="338"/>
        <v>17.4002386318441</v>
      </c>
      <c r="Q554" s="17" t="str">
        <f t="shared" si="339"/>
        <v>1+1232.7308896805i</v>
      </c>
      <c r="R554" s="17">
        <f t="shared" si="347"/>
        <v>1232.7312952839632</v>
      </c>
      <c r="S554" s="17">
        <f t="shared" si="348"/>
        <v>1.5699851199134767</v>
      </c>
      <c r="T554" s="17" t="str">
        <f t="shared" si="340"/>
        <v>1+4.31818379296905i</v>
      </c>
      <c r="U554" s="17">
        <f t="shared" si="349"/>
        <v>4.4324610849798294</v>
      </c>
      <c r="V554" s="17">
        <f t="shared" si="350"/>
        <v>1.3432289398992567</v>
      </c>
      <c r="W554" s="31" t="str">
        <f t="shared" si="341"/>
        <v>1-10.6534783826538i</v>
      </c>
      <c r="X554" s="17">
        <f t="shared" si="351"/>
        <v>10.700308483855586</v>
      </c>
      <c r="Y554" s="17">
        <f t="shared" si="352"/>
        <v>-1.4772045018709075</v>
      </c>
      <c r="Z554" s="31" t="str">
        <f t="shared" si="342"/>
        <v>-3.76015836961248+14.8995272280623i</v>
      </c>
      <c r="AA554" s="17">
        <f t="shared" si="353"/>
        <v>15.366675066010107</v>
      </c>
      <c r="AB554" s="17">
        <f t="shared" si="354"/>
        <v>1.8180021028644588</v>
      </c>
      <c r="AC554" s="66" t="str">
        <f t="shared" si="355"/>
        <v>-0.0404522584735185+0.0161745104482451i</v>
      </c>
      <c r="AD554" s="64">
        <f t="shared" si="356"/>
        <v>-27.217037910280695</v>
      </c>
      <c r="AE554" s="61">
        <f t="shared" si="357"/>
        <v>158.20639683170629</v>
      </c>
      <c r="AF554" s="31" t="str">
        <f t="shared" si="343"/>
        <v>-9090.90909090909</v>
      </c>
      <c r="AG554" s="31" t="str">
        <f t="shared" si="344"/>
        <v>2.27623467397318E-08i</v>
      </c>
      <c r="AH554" s="31">
        <f t="shared" si="358"/>
        <v>2.27623467397318E-8</v>
      </c>
      <c r="AI554" s="31">
        <f t="shared" si="359"/>
        <v>1.5707963267948966</v>
      </c>
      <c r="AJ554" s="31" t="str">
        <f t="shared" si="345"/>
        <v>1+41571323293.9592i</v>
      </c>
      <c r="AK554" s="31">
        <f t="shared" si="360"/>
        <v>41571323293.959198</v>
      </c>
      <c r="AL554" s="31">
        <f t="shared" si="361"/>
        <v>1.5707963267708416</v>
      </c>
      <c r="AM554" s="31" t="str">
        <f t="shared" si="346"/>
        <v>1+18968.3420079154i</v>
      </c>
      <c r="AN554" s="31">
        <f t="shared" si="362"/>
        <v>18968.342034275109</v>
      </c>
      <c r="AO554" s="31">
        <f t="shared" si="363"/>
        <v>1.5707436073743666</v>
      </c>
      <c r="AS554" s="58" t="str">
        <f t="shared" si="364"/>
        <v>9.60718675016654+182232.487160895i</v>
      </c>
      <c r="AT554" s="49">
        <f t="shared" si="365"/>
        <v>105.21251606382295</v>
      </c>
      <c r="AU554" s="61">
        <f t="shared" si="366"/>
        <v>89.996979401083507</v>
      </c>
      <c r="AV554" s="58" t="str">
        <f t="shared" si="367"/>
        <v>-2947.90989999521-7371.5602813622i</v>
      </c>
      <c r="AW554" s="64">
        <f t="shared" si="368"/>
        <v>77.995478153542251</v>
      </c>
      <c r="AX554" s="61">
        <f t="shared" si="369"/>
        <v>-111.79662376721024</v>
      </c>
      <c r="AY554" s="310"/>
      <c r="BA554" s="31">
        <f t="shared" si="370"/>
        <v>0</v>
      </c>
      <c r="BB554" s="31">
        <f t="shared" si="371"/>
        <v>0</v>
      </c>
    </row>
    <row r="555" spans="14:54" x14ac:dyDescent="0.45">
      <c r="N555" s="10">
        <v>37</v>
      </c>
      <c r="O555" s="50">
        <f t="shared" si="337"/>
        <v>2344228.8153199251</v>
      </c>
      <c r="P555" s="48" t="str">
        <f t="shared" si="338"/>
        <v>17.4002386318441</v>
      </c>
      <c r="Q555" s="17" t="str">
        <f t="shared" si="339"/>
        <v>1+1261.44488077808i</v>
      </c>
      <c r="R555" s="17">
        <f t="shared" si="347"/>
        <v>1261.4452771488841</v>
      </c>
      <c r="S555" s="17">
        <f t="shared" si="348"/>
        <v>1.5700035852286511</v>
      </c>
      <c r="T555" s="17" t="str">
        <f t="shared" si="340"/>
        <v>1+4.41876721472556i</v>
      </c>
      <c r="U555" s="17">
        <f t="shared" si="349"/>
        <v>4.5305081059339773</v>
      </c>
      <c r="V555" s="17">
        <f t="shared" si="350"/>
        <v>1.348237770899025</v>
      </c>
      <c r="W555" s="31" t="str">
        <f t="shared" si="341"/>
        <v>1-10.9016297723842i</v>
      </c>
      <c r="X555" s="17">
        <f t="shared" si="351"/>
        <v>10.947398398438491</v>
      </c>
      <c r="Y555" s="17">
        <f t="shared" si="352"/>
        <v>-1.4793229108813191</v>
      </c>
      <c r="Z555" s="31" t="str">
        <f t="shared" si="342"/>
        <v>-3.98449772206466+15.2465818007724i</v>
      </c>
      <c r="AA555" s="17">
        <f t="shared" si="353"/>
        <v>15.758631879220435</v>
      </c>
      <c r="AB555" s="17">
        <f t="shared" si="354"/>
        <v>1.8264164276694241</v>
      </c>
      <c r="AC555" s="66" t="str">
        <f t="shared" si="355"/>
        <v>-0.040220790969531+0.0163410941410578i</v>
      </c>
      <c r="AD555" s="64">
        <f t="shared" si="356"/>
        <v>-27.247477725270329</v>
      </c>
      <c r="AE555" s="61">
        <f t="shared" si="357"/>
        <v>157.88884252930455</v>
      </c>
      <c r="AF555" s="31" t="str">
        <f t="shared" si="343"/>
        <v>-9090.90909090909</v>
      </c>
      <c r="AG555" s="31" t="str">
        <f t="shared" si="344"/>
        <v>2.27623467397318E-08i</v>
      </c>
      <c r="AH555" s="31">
        <f t="shared" si="358"/>
        <v>2.27623467397318E-8</v>
      </c>
      <c r="AI555" s="31">
        <f t="shared" si="359"/>
        <v>1.5707963267948966</v>
      </c>
      <c r="AJ555" s="31" t="str">
        <f t="shared" si="345"/>
        <v>1+42539643806.5462i</v>
      </c>
      <c r="AK555" s="31">
        <f t="shared" si="360"/>
        <v>42539643806.546204</v>
      </c>
      <c r="AL555" s="31">
        <f t="shared" si="361"/>
        <v>1.5707963267713891</v>
      </c>
      <c r="AM555" s="31" t="str">
        <f t="shared" si="346"/>
        <v>1+19410.1714518845i</v>
      </c>
      <c r="AN555" s="31">
        <f t="shared" si="362"/>
        <v>19410.171477644191</v>
      </c>
      <c r="AO555" s="31">
        <f t="shared" si="363"/>
        <v>1.5707448074148853</v>
      </c>
      <c r="AS555" s="58" t="str">
        <f t="shared" si="364"/>
        <v>9.38850048093627+182232.487160895i</v>
      </c>
      <c r="AT555" s="49">
        <f t="shared" si="365"/>
        <v>105.21251606327968</v>
      </c>
      <c r="AU555" s="61">
        <f t="shared" si="366"/>
        <v>89.997048158309099</v>
      </c>
      <c r="AV555" s="58" t="str">
        <f t="shared" si="367"/>
        <v>-2978.25584117065-7329.3813555859i</v>
      </c>
      <c r="AW555" s="64">
        <f t="shared" si="368"/>
        <v>77.96503833800935</v>
      </c>
      <c r="AX555" s="61">
        <f t="shared" si="369"/>
        <v>-112.1141093123863</v>
      </c>
      <c r="AY555" s="310"/>
      <c r="BA555" s="31">
        <f t="shared" si="370"/>
        <v>0</v>
      </c>
      <c r="BB555" s="31">
        <f t="shared" si="371"/>
        <v>0</v>
      </c>
    </row>
    <row r="556" spans="14:54" x14ac:dyDescent="0.45">
      <c r="N556" s="10">
        <v>38</v>
      </c>
      <c r="O556" s="50">
        <f t="shared" si="337"/>
        <v>2398832.9190194933</v>
      </c>
      <c r="P556" s="48" t="str">
        <f t="shared" si="338"/>
        <v>17.4002386318441</v>
      </c>
      <c r="Q556" s="17" t="str">
        <f t="shared" si="339"/>
        <v>1+1290.82770664863i</v>
      </c>
      <c r="R556" s="17">
        <f t="shared" si="347"/>
        <v>1290.8280939969356</v>
      </c>
      <c r="S556" s="17">
        <f t="shared" si="348"/>
        <v>1.5700216302224588</v>
      </c>
      <c r="T556" s="17" t="str">
        <f t="shared" si="340"/>
        <v>1+4.5216935253486i</v>
      </c>
      <c r="U556" s="17">
        <f t="shared" si="349"/>
        <v>4.6309515585006347</v>
      </c>
      <c r="V556" s="17">
        <f t="shared" si="350"/>
        <v>1.3531435839919819</v>
      </c>
      <c r="W556" s="31" t="str">
        <f t="shared" si="341"/>
        <v>1-11.1555613505199i</v>
      </c>
      <c r="X556" s="17">
        <f t="shared" si="351"/>
        <v>11.200292364273952</v>
      </c>
      <c r="Y556" s="17">
        <f t="shared" si="352"/>
        <v>-1.481393894862121</v>
      </c>
      <c r="Z556" s="31" t="str">
        <f t="shared" si="342"/>
        <v>-4.21940986246855+15.6017203129657i</v>
      </c>
      <c r="AA556" s="17">
        <f t="shared" si="353"/>
        <v>16.162211986962163</v>
      </c>
      <c r="AB556" s="17">
        <f t="shared" si="354"/>
        <v>1.8349230345478511</v>
      </c>
      <c r="AC556" s="66" t="str">
        <f t="shared" si="355"/>
        <v>-0.0399850764688933+0.0165110060970691i</v>
      </c>
      <c r="AD556" s="64">
        <f t="shared" si="356"/>
        <v>-27.278288118065515</v>
      </c>
      <c r="AE556" s="61">
        <f t="shared" si="357"/>
        <v>157.56283969897456</v>
      </c>
      <c r="AF556" s="31" t="str">
        <f t="shared" si="343"/>
        <v>-9090.90909090909</v>
      </c>
      <c r="AG556" s="31" t="str">
        <f t="shared" si="344"/>
        <v>2.27623467397318E-08i</v>
      </c>
      <c r="AH556" s="31">
        <f t="shared" si="358"/>
        <v>2.27623467397318E-8</v>
      </c>
      <c r="AI556" s="31">
        <f t="shared" si="359"/>
        <v>1.5707963267948966</v>
      </c>
      <c r="AJ556" s="31" t="str">
        <f t="shared" si="345"/>
        <v>1+43530519401.358i</v>
      </c>
      <c r="AK556" s="31">
        <f t="shared" si="360"/>
        <v>43530519401.358002</v>
      </c>
      <c r="AL556" s="31">
        <f t="shared" si="361"/>
        <v>1.5707963267719243</v>
      </c>
      <c r="AM556" s="31" t="str">
        <f t="shared" si="346"/>
        <v>1+19862.2924256813i</v>
      </c>
      <c r="AN556" s="31">
        <f t="shared" si="362"/>
        <v>19862.292450854628</v>
      </c>
      <c r="AO556" s="31">
        <f t="shared" si="363"/>
        <v>1.570745980139147</v>
      </c>
      <c r="AS556" s="58" t="str">
        <f t="shared" si="364"/>
        <v>9.17479211893245+182232.487160895i</v>
      </c>
      <c r="AT556" s="49">
        <f t="shared" si="365"/>
        <v>105.21251606276087</v>
      </c>
      <c r="AU556" s="61">
        <f t="shared" si="366"/>
        <v>89.997115350429169</v>
      </c>
      <c r="AV556" s="58" t="str">
        <f t="shared" si="367"/>
        <v>-3009.20856136207-7286.42844919639i</v>
      </c>
      <c r="AW556" s="64">
        <f t="shared" si="368"/>
        <v>77.934227944695365</v>
      </c>
      <c r="AX556" s="61">
        <f t="shared" si="369"/>
        <v>-112.44004495059629</v>
      </c>
      <c r="AY556" s="310"/>
      <c r="BA556" s="31">
        <f t="shared" si="370"/>
        <v>0</v>
      </c>
      <c r="BB556" s="31">
        <f t="shared" si="371"/>
        <v>0</v>
      </c>
    </row>
    <row r="557" spans="14:54" x14ac:dyDescent="0.45">
      <c r="N557" s="10">
        <v>39</v>
      </c>
      <c r="O557" s="50">
        <f t="shared" si="337"/>
        <v>2454708.915685033</v>
      </c>
      <c r="P557" s="48" t="str">
        <f t="shared" si="338"/>
        <v>17.4002386318441</v>
      </c>
      <c r="Q557" s="17" t="str">
        <f t="shared" si="339"/>
        <v>1+1320.89494645538i</v>
      </c>
      <c r="R557" s="17">
        <f t="shared" si="347"/>
        <v>1320.8953249865644</v>
      </c>
      <c r="S557" s="17">
        <f t="shared" si="348"/>
        <v>1.5700392644625472</v>
      </c>
      <c r="T557" s="17" t="str">
        <f t="shared" si="340"/>
        <v>1+4.62701729773047i</v>
      </c>
      <c r="U557" s="17">
        <f t="shared" si="349"/>
        <v>4.7338450622614356</v>
      </c>
      <c r="V557" s="17">
        <f t="shared" si="350"/>
        <v>1.3579480353305642</v>
      </c>
      <c r="W557" s="31" t="str">
        <f t="shared" si="341"/>
        <v>1-11.415407754945i</v>
      </c>
      <c r="X557" s="17">
        <f t="shared" si="351"/>
        <v>11.459124495861735</v>
      </c>
      <c r="Y557" s="17">
        <f t="shared" si="352"/>
        <v>-1.4834184807779534</v>
      </c>
      <c r="Z557" s="31" t="str">
        <f t="shared" si="342"/>
        <v>-4.46539307096922+15.965131063782i</v>
      </c>
      <c r="AA557" s="17">
        <f t="shared" si="353"/>
        <v>16.577851041736288</v>
      </c>
      <c r="AB557" s="17">
        <f t="shared" si="354"/>
        <v>1.8435236762568499</v>
      </c>
      <c r="AC557" s="66" t="str">
        <f t="shared" si="355"/>
        <v>-0.0397448338080968+0.0166840754418503i</v>
      </c>
      <c r="AD557" s="64">
        <f t="shared" si="356"/>
        <v>-27.30951909026107</v>
      </c>
      <c r="AE557" s="61">
        <f t="shared" si="357"/>
        <v>157.22832341675073</v>
      </c>
      <c r="AF557" s="31" t="str">
        <f t="shared" si="343"/>
        <v>-9090.90909090909</v>
      </c>
      <c r="AG557" s="31" t="str">
        <f t="shared" si="344"/>
        <v>2.27623467397318E-08i</v>
      </c>
      <c r="AH557" s="31">
        <f t="shared" si="358"/>
        <v>2.27623467397318E-8</v>
      </c>
      <c r="AI557" s="31">
        <f t="shared" si="359"/>
        <v>1.5707963267948966</v>
      </c>
      <c r="AJ557" s="31" t="str">
        <f t="shared" si="345"/>
        <v>1+44544475453.7509i</v>
      </c>
      <c r="AK557" s="31">
        <f t="shared" si="360"/>
        <v>44544475453.7509</v>
      </c>
      <c r="AL557" s="31">
        <f t="shared" si="361"/>
        <v>1.5707963267724472</v>
      </c>
      <c r="AM557" s="31" t="str">
        <f t="shared" si="346"/>
        <v>1+20324.9446498307i</v>
      </c>
      <c r="AN557" s="31">
        <f t="shared" si="362"/>
        <v>20324.944674431012</v>
      </c>
      <c r="AO557" s="31">
        <f t="shared" si="363"/>
        <v>1.5707471261689456</v>
      </c>
      <c r="AS557" s="58" t="str">
        <f t="shared" si="364"/>
        <v>8.96594835315284+182232.487160895i</v>
      </c>
      <c r="AT557" s="49">
        <f t="shared" si="365"/>
        <v>105.21251606226541</v>
      </c>
      <c r="AU557" s="61">
        <f t="shared" si="366"/>
        <v>89.997181013069863</v>
      </c>
      <c r="AV557" s="58" t="str">
        <f t="shared" si="367"/>
        <v>-3040.73691387562-7242.65032808717i</v>
      </c>
      <c r="AW557" s="64">
        <f t="shared" si="368"/>
        <v>77.902996972004345</v>
      </c>
      <c r="AX557" s="61">
        <f t="shared" si="369"/>
        <v>-112.77449557017944</v>
      </c>
      <c r="AY557" s="310"/>
      <c r="BA557" s="31">
        <f t="shared" si="370"/>
        <v>0</v>
      </c>
      <c r="BB557" s="31">
        <f t="shared" si="371"/>
        <v>0</v>
      </c>
    </row>
    <row r="558" spans="14:54" x14ac:dyDescent="0.45">
      <c r="N558" s="10">
        <v>40</v>
      </c>
      <c r="O558" s="50">
        <f t="shared" si="337"/>
        <v>2511886.431509587</v>
      </c>
      <c r="P558" s="48" t="str">
        <f t="shared" si="338"/>
        <v>17.4002386318441</v>
      </c>
      <c r="Q558" s="17" t="str">
        <f t="shared" si="339"/>
        <v>1+1351.66254224686i</v>
      </c>
      <c r="R558" s="17">
        <f t="shared" si="347"/>
        <v>1351.6629121616249</v>
      </c>
      <c r="S558" s="17">
        <f t="shared" si="348"/>
        <v>1.5700564972987796</v>
      </c>
      <c r="T558" s="17" t="str">
        <f t="shared" si="340"/>
        <v>1+4.73479437592944i</v>
      </c>
      <c r="U558" s="17">
        <f t="shared" si="349"/>
        <v>4.8392435134360676</v>
      </c>
      <c r="V558" s="17">
        <f t="shared" si="350"/>
        <v>1.3626527846915517</v>
      </c>
      <c r="W558" s="31" t="str">
        <f t="shared" si="341"/>
        <v>1-11.6813067596627i</v>
      </c>
      <c r="X558" s="17">
        <f t="shared" si="351"/>
        <v>11.72403205443168</v>
      </c>
      <c r="Y558" s="17">
        <f t="shared" si="352"/>
        <v>-1.4853976756649079</v>
      </c>
      <c r="Z558" s="31" t="str">
        <f t="shared" si="342"/>
        <v>-4.72296911093148+16.337006738412i</v>
      </c>
      <c r="AA558" s="17">
        <f t="shared" si="353"/>
        <v>17.006005597839021</v>
      </c>
      <c r="AB558" s="17">
        <f t="shared" si="354"/>
        <v>1.8522200041119348</v>
      </c>
      <c r="AC558" s="66" t="str">
        <f t="shared" si="355"/>
        <v>-0.0394997882707537+0.0168601189348431i</v>
      </c>
      <c r="AD558" s="64">
        <f t="shared" si="356"/>
        <v>-27.34122074127896</v>
      </c>
      <c r="AE558" s="61">
        <f t="shared" si="357"/>
        <v>156.8852359328022</v>
      </c>
      <c r="AF558" s="31" t="str">
        <f t="shared" si="343"/>
        <v>-9090.90909090909</v>
      </c>
      <c r="AG558" s="31" t="str">
        <f t="shared" si="344"/>
        <v>2.27623467397318E-08i</v>
      </c>
      <c r="AH558" s="31">
        <f t="shared" si="358"/>
        <v>2.27623467397318E-8</v>
      </c>
      <c r="AI558" s="31">
        <f t="shared" si="359"/>
        <v>1.5707963267948966</v>
      </c>
      <c r="AJ558" s="31" t="str">
        <f t="shared" si="345"/>
        <v>1+45582049576.6456i</v>
      </c>
      <c r="AK558" s="31">
        <f t="shared" si="360"/>
        <v>45582049576.645599</v>
      </c>
      <c r="AL558" s="31">
        <f t="shared" si="361"/>
        <v>1.5707963267729581</v>
      </c>
      <c r="AM558" s="31" t="str">
        <f t="shared" si="346"/>
        <v>1+20798.373428666i</v>
      </c>
      <c r="AN558" s="31">
        <f t="shared" si="362"/>
        <v>20798.373452706343</v>
      </c>
      <c r="AO558" s="31">
        <f t="shared" si="363"/>
        <v>1.5707482461119211</v>
      </c>
      <c r="AS558" s="58" t="str">
        <f t="shared" si="364"/>
        <v>8.76185845186838+182232.487160895i</v>
      </c>
      <c r="AT558" s="49">
        <f t="shared" si="365"/>
        <v>105.21251606179226</v>
      </c>
      <c r="AU558" s="61">
        <f t="shared" si="366"/>
        <v>89.997245181046381</v>
      </c>
      <c r="AV558" s="58" t="str">
        <f t="shared" si="367"/>
        <v>-3072.80749887866-7197.99693293261i</v>
      </c>
      <c r="AW558" s="64">
        <f t="shared" si="368"/>
        <v>77.871295320513298</v>
      </c>
      <c r="AX558" s="61">
        <f t="shared" si="369"/>
        <v>-113.11751888615136</v>
      </c>
      <c r="AY558" s="310"/>
      <c r="BA558" s="31">
        <f t="shared" si="370"/>
        <v>0</v>
      </c>
      <c r="BB558" s="31">
        <f t="shared" si="371"/>
        <v>0</v>
      </c>
    </row>
    <row r="559" spans="14:54" x14ac:dyDescent="0.45">
      <c r="N559" s="10">
        <v>41</v>
      </c>
      <c r="O559" s="50">
        <f t="shared" si="337"/>
        <v>2570395.782768866</v>
      </c>
      <c r="P559" s="48" t="str">
        <f t="shared" si="338"/>
        <v>17.4002386318441</v>
      </c>
      <c r="Q559" s="17" t="str">
        <f t="shared" si="339"/>
        <v>1+1383.1468074096i</v>
      </c>
      <c r="R559" s="17">
        <f t="shared" si="347"/>
        <v>1383.1471689040791</v>
      </c>
      <c r="S559" s="17">
        <f t="shared" si="348"/>
        <v>1.5700733378681933</v>
      </c>
      <c r="T559" s="17" t="str">
        <f t="shared" si="340"/>
        <v>1+4.84508190477891i</v>
      </c>
      <c r="U559" s="17">
        <f t="shared" si="349"/>
        <v>4.9472031152981817</v>
      </c>
      <c r="V559" s="17">
        <f t="shared" si="350"/>
        <v>1.3672594931045188</v>
      </c>
      <c r="W559" s="31" t="str">
        <f t="shared" si="341"/>
        <v>1-11.9533993478446i</v>
      </c>
      <c r="X559" s="17">
        <f t="shared" si="351"/>
        <v>11.99515552083639</v>
      </c>
      <c r="Y559" s="17">
        <f t="shared" si="352"/>
        <v>-1.4873324668604782</v>
      </c>
      <c r="Z559" s="31" t="str">
        <f t="shared" si="342"/>
        <v>-4.9926843356698+16.7175445102604i</v>
      </c>
      <c r="AA559" s="17">
        <f t="shared" si="353"/>
        <v>17.447154247274259</v>
      </c>
      <c r="AB559" s="17">
        <f t="shared" si="354"/>
        <v>1.86101356199565</v>
      </c>
      <c r="AC559" s="66" t="str">
        <f t="shared" si="355"/>
        <v>-0.0392496720554688+0.0170389407531663i</v>
      </c>
      <c r="AD559" s="64">
        <f t="shared" si="356"/>
        <v>-27.373443278143665</v>
      </c>
      <c r="AE559" s="61">
        <f t="shared" si="357"/>
        <v>156.53352686537448</v>
      </c>
      <c r="AF559" s="31" t="str">
        <f t="shared" si="343"/>
        <v>-9090.90909090909</v>
      </c>
      <c r="AG559" s="31" t="str">
        <f t="shared" si="344"/>
        <v>2.27623467397318E-08i</v>
      </c>
      <c r="AH559" s="31">
        <f t="shared" si="358"/>
        <v>2.27623467397318E-8</v>
      </c>
      <c r="AI559" s="31">
        <f t="shared" si="359"/>
        <v>1.5707963267948966</v>
      </c>
      <c r="AJ559" s="31" t="str">
        <f t="shared" si="345"/>
        <v>1+46643791905.5752i</v>
      </c>
      <c r="AK559" s="31">
        <f t="shared" si="360"/>
        <v>46643791905.575203</v>
      </c>
      <c r="AL559" s="31">
        <f t="shared" si="361"/>
        <v>1.5707963267734575</v>
      </c>
      <c r="AM559" s="31" t="str">
        <f t="shared" si="346"/>
        <v>1+21282.8297803921i</v>
      </c>
      <c r="AN559" s="31">
        <f t="shared" si="362"/>
        <v>21282.829803885215</v>
      </c>
      <c r="AO559" s="31">
        <f t="shared" si="363"/>
        <v>1.5707493405618824</v>
      </c>
      <c r="AS559" s="58" t="str">
        <f t="shared" si="364"/>
        <v>8.56241420391203+182232.487160894i</v>
      </c>
      <c r="AT559" s="49">
        <f t="shared" si="365"/>
        <v>105.21251606134032</v>
      </c>
      <c r="AU559" s="61">
        <f t="shared" si="366"/>
        <v>89.997307888381442</v>
      </c>
      <c r="AV559" s="58" t="str">
        <f t="shared" si="367"/>
        <v>-3105.38462398612-7152.41946444919i</v>
      </c>
      <c r="AW559" s="64">
        <f t="shared" si="368"/>
        <v>77.83907278319667</v>
      </c>
      <c r="AX559" s="61">
        <f t="shared" si="369"/>
        <v>-113.4691652462441</v>
      </c>
      <c r="AY559" s="310"/>
      <c r="BA559" s="31">
        <f t="shared" si="370"/>
        <v>0</v>
      </c>
      <c r="BB559" s="31">
        <f t="shared" si="371"/>
        <v>0</v>
      </c>
    </row>
    <row r="560" spans="14:54" ht="14.65" thickBot="1" x14ac:dyDescent="0.5">
      <c r="N560" s="10">
        <v>42</v>
      </c>
      <c r="O560" s="50">
        <f t="shared" si="337"/>
        <v>2630267.9918953842</v>
      </c>
      <c r="P560" s="48" t="str">
        <f t="shared" si="338"/>
        <v>17.4002386318441</v>
      </c>
      <c r="Q560" s="17" t="str">
        <f t="shared" si="339"/>
        <v>1+1415.36443531774i</v>
      </c>
      <c r="R560" s="17">
        <f t="shared" si="347"/>
        <v>1415.3647885836021</v>
      </c>
      <c r="S560" s="17">
        <f t="shared" si="348"/>
        <v>1.5700897950998425</v>
      </c>
      <c r="T560" s="17" t="str">
        <f t="shared" si="340"/>
        <v>1+4.95793836018654i</v>
      </c>
      <c r="U560" s="17">
        <f t="shared" si="349"/>
        <v>5.0577814092158233</v>
      </c>
      <c r="V560" s="17">
        <f t="shared" si="350"/>
        <v>1.371769820641211</v>
      </c>
      <c r="W560" s="31" t="str">
        <f t="shared" si="341"/>
        <v>1-12.2318297865827i</v>
      </c>
      <c r="X560" s="17">
        <f t="shared" si="351"/>
        <v>12.27263867014473</v>
      </c>
      <c r="Y560" s="17">
        <f t="shared" si="352"/>
        <v>-1.489223822242524</v>
      </c>
      <c r="Z560" s="31" t="str">
        <f t="shared" si="342"/>
        <v>-5.27511084733728+17.106946145491i</v>
      </c>
      <c r="AA560" s="17">
        <f t="shared" si="353"/>
        <v>17.901798816778857</v>
      </c>
      <c r="AB560" s="17">
        <f t="shared" si="354"/>
        <v>1.8699057802142582</v>
      </c>
      <c r="AC560" s="59" t="str">
        <f t="shared" si="355"/>
        <v>-0.0389942247961733+0.0172203322992929i</v>
      </c>
      <c r="AD560" s="65">
        <f t="shared" si="356"/>
        <v>-27.406237022119239</v>
      </c>
      <c r="AE560" s="63">
        <f t="shared" si="357"/>
        <v>156.17315341214655</v>
      </c>
      <c r="AF560" s="31" t="str">
        <f t="shared" si="343"/>
        <v>-9090.90909090909</v>
      </c>
      <c r="AG560" s="31" t="str">
        <f t="shared" si="344"/>
        <v>2.27623467397318E-08i</v>
      </c>
      <c r="AH560" s="31">
        <f t="shared" si="358"/>
        <v>2.27623467397318E-8</v>
      </c>
      <c r="AI560" s="31">
        <f t="shared" si="359"/>
        <v>1.5707963267948966</v>
      </c>
      <c r="AJ560" s="31" t="str">
        <f t="shared" si="345"/>
        <v>1+47730265390.3768i</v>
      </c>
      <c r="AK560" s="31">
        <f t="shared" si="360"/>
        <v>47730265390.376801</v>
      </c>
      <c r="AL560" s="31">
        <f t="shared" si="361"/>
        <v>1.5707963267739455</v>
      </c>
      <c r="AM560" s="31" t="str">
        <f t="shared" si="346"/>
        <v>1+21778.5705701794i</v>
      </c>
      <c r="AN560" s="31">
        <f t="shared" si="362"/>
        <v>21778.570593137745</v>
      </c>
      <c r="AO560" s="31">
        <f t="shared" si="363"/>
        <v>1.570750410099121</v>
      </c>
      <c r="AS560" s="62" t="str">
        <f t="shared" si="364"/>
        <v>8.36750986130355+182232.487160894i</v>
      </c>
      <c r="AT560" s="55">
        <f t="shared" si="365"/>
        <v>105.2125160609088</v>
      </c>
      <c r="AU560" s="63">
        <f t="shared" si="366"/>
        <v>89.997369168323289</v>
      </c>
      <c r="AV560" s="62" t="str">
        <f t="shared" si="367"/>
        <v>-3138.43026919774-7105.87047821734i</v>
      </c>
      <c r="AW560" s="65">
        <f t="shared" si="368"/>
        <v>77.806279038789569</v>
      </c>
      <c r="AX560" s="63">
        <f t="shared" si="369"/>
        <v>-113.82947741953019</v>
      </c>
      <c r="AY560" s="310"/>
    </row>
    <row r="561" spans="14:31" x14ac:dyDescent="0.45">
      <c r="N561" s="10"/>
      <c r="P561" s="48"/>
      <c r="Q561" s="17"/>
      <c r="R561" s="17"/>
      <c r="S561" s="17"/>
      <c r="T561" s="17"/>
      <c r="U561" s="17"/>
      <c r="V561" s="17"/>
      <c r="W561" s="31"/>
      <c r="X561" s="17"/>
      <c r="Y561" s="17"/>
      <c r="Z561" s="31"/>
      <c r="AA561" s="17"/>
      <c r="AB561" s="17"/>
      <c r="AC561" s="17"/>
      <c r="AD561" s="32"/>
      <c r="AE561" s="31"/>
    </row>
    <row r="562" spans="14:31" x14ac:dyDescent="0.45">
      <c r="N562" s="10"/>
      <c r="P562" s="48"/>
      <c r="Q562" s="17"/>
      <c r="R562" s="17"/>
      <c r="S562" s="17"/>
      <c r="T562" s="17"/>
      <c r="U562" s="17"/>
      <c r="V562" s="17"/>
      <c r="W562" s="31"/>
      <c r="X562" s="17"/>
      <c r="Y562" s="17"/>
      <c r="Z562" s="31"/>
      <c r="AA562" s="17"/>
      <c r="AB562" s="17"/>
      <c r="AC562" s="17"/>
      <c r="AD562" s="32"/>
      <c r="AE562" s="31"/>
    </row>
    <row r="563" spans="14:31" x14ac:dyDescent="0.45">
      <c r="N563" s="10"/>
      <c r="P563" s="48"/>
      <c r="Q563" s="17"/>
      <c r="R563" s="17"/>
      <c r="S563" s="17"/>
      <c r="T563" s="17"/>
      <c r="U563" s="17"/>
      <c r="V563" s="17"/>
      <c r="W563" s="31"/>
      <c r="X563" s="17"/>
      <c r="Y563" s="17"/>
      <c r="Z563" s="31"/>
      <c r="AA563" s="17"/>
      <c r="AB563" s="17"/>
      <c r="AC563" s="17"/>
      <c r="AD563" s="32"/>
      <c r="AE563" s="31"/>
    </row>
    <row r="564" spans="14:31" x14ac:dyDescent="0.45">
      <c r="N564" s="10"/>
      <c r="P564" s="48"/>
      <c r="Q564" s="17"/>
      <c r="R564" s="17"/>
      <c r="S564" s="17"/>
      <c r="T564" s="17"/>
      <c r="U564" s="17"/>
      <c r="V564" s="17"/>
      <c r="W564" s="31"/>
      <c r="X564" s="17"/>
      <c r="Y564" s="17"/>
      <c r="Z564" s="31"/>
      <c r="AA564" s="17"/>
      <c r="AB564" s="17"/>
      <c r="AC564" s="17"/>
      <c r="AD564" s="32"/>
      <c r="AE564" s="31"/>
    </row>
    <row r="565" spans="14:31" x14ac:dyDescent="0.45">
      <c r="N565" s="10"/>
      <c r="P565" s="48"/>
      <c r="Q565" s="17"/>
      <c r="R565" s="17"/>
      <c r="S565" s="17"/>
      <c r="T565" s="17"/>
      <c r="U565" s="17"/>
      <c r="V565" s="17"/>
      <c r="W565" s="31"/>
      <c r="X565" s="17"/>
      <c r="Y565" s="17"/>
      <c r="Z565" s="31"/>
      <c r="AA565" s="17"/>
      <c r="AB565" s="17"/>
      <c r="AC565" s="17"/>
      <c r="AD565" s="32"/>
      <c r="AE565" s="31"/>
    </row>
    <row r="566" spans="14:31" x14ac:dyDescent="0.45">
      <c r="N566" s="10"/>
      <c r="P566" s="48"/>
      <c r="Q566" s="17"/>
      <c r="R566" s="17"/>
      <c r="S566" s="17"/>
      <c r="T566" s="17"/>
      <c r="U566" s="17"/>
      <c r="V566" s="17"/>
      <c r="W566" s="31"/>
      <c r="X566" s="17"/>
      <c r="Y566" s="17"/>
      <c r="Z566" s="31"/>
      <c r="AA566" s="17"/>
      <c r="AB566" s="17"/>
      <c r="AC566" s="17"/>
      <c r="AD566" s="32"/>
      <c r="AE566" s="31"/>
    </row>
    <row r="567" spans="14:31" x14ac:dyDescent="0.45">
      <c r="N567" s="10"/>
      <c r="P567" s="48"/>
      <c r="Q567" s="17"/>
      <c r="R567" s="17"/>
      <c r="S567" s="17"/>
      <c r="T567" s="17"/>
      <c r="U567" s="17"/>
      <c r="V567" s="17"/>
      <c r="W567" s="31"/>
      <c r="X567" s="17"/>
      <c r="Y567" s="17"/>
      <c r="Z567" s="31"/>
      <c r="AA567" s="17"/>
      <c r="AB567" s="17"/>
      <c r="AC567" s="17"/>
      <c r="AD567" s="32"/>
      <c r="AE567" s="31"/>
    </row>
    <row r="568" spans="14:31" x14ac:dyDescent="0.45">
      <c r="N568" s="10"/>
      <c r="P568" s="48"/>
      <c r="Q568" s="17"/>
      <c r="R568" s="17"/>
      <c r="S568" s="17"/>
      <c r="T568" s="17"/>
      <c r="U568" s="17"/>
      <c r="V568" s="17"/>
      <c r="W568" s="31"/>
      <c r="X568" s="17"/>
      <c r="Y568" s="17"/>
      <c r="Z568" s="31"/>
      <c r="AA568" s="17"/>
      <c r="AB568" s="17"/>
      <c r="AC568" s="17"/>
      <c r="AD568" s="32"/>
      <c r="AE568" s="31"/>
    </row>
    <row r="569" spans="14:31" x14ac:dyDescent="0.45">
      <c r="N569" s="10"/>
      <c r="P569" s="48"/>
      <c r="Q569" s="17"/>
      <c r="R569" s="17"/>
      <c r="S569" s="17"/>
      <c r="T569" s="17"/>
      <c r="U569" s="17"/>
      <c r="V569" s="17"/>
      <c r="W569" s="31"/>
      <c r="X569" s="17"/>
      <c r="Y569" s="17"/>
      <c r="Z569" s="31"/>
      <c r="AA569" s="17"/>
      <c r="AB569" s="17"/>
      <c r="AC569" s="17"/>
      <c r="AD569" s="32"/>
      <c r="AE569" s="31"/>
    </row>
    <row r="570" spans="14:31" x14ac:dyDescent="0.45">
      <c r="N570" s="10"/>
      <c r="P570" s="48"/>
      <c r="Q570" s="17"/>
      <c r="R570" s="17"/>
      <c r="S570" s="17"/>
      <c r="T570" s="17"/>
      <c r="U570" s="17"/>
      <c r="V570" s="17"/>
      <c r="W570" s="31"/>
      <c r="X570" s="17"/>
      <c r="Y570" s="17"/>
      <c r="Z570" s="31"/>
      <c r="AA570" s="17"/>
      <c r="AB570" s="17"/>
      <c r="AC570" s="17"/>
      <c r="AD570" s="32"/>
      <c r="AE570" s="31"/>
    </row>
    <row r="571" spans="14:31" x14ac:dyDescent="0.45">
      <c r="N571" s="10"/>
      <c r="P571" s="48"/>
      <c r="Q571" s="17"/>
      <c r="R571" s="17"/>
      <c r="S571" s="17"/>
      <c r="T571" s="17"/>
      <c r="U571" s="17"/>
      <c r="V571" s="17"/>
      <c r="W571" s="31"/>
      <c r="X571" s="17"/>
      <c r="Y571" s="17"/>
      <c r="Z571" s="31"/>
      <c r="AA571" s="17"/>
      <c r="AB571" s="17"/>
      <c r="AC571" s="17"/>
      <c r="AD571" s="32"/>
      <c r="AE571" s="31"/>
    </row>
    <row r="572" spans="14:31" x14ac:dyDescent="0.45">
      <c r="N572" s="10"/>
      <c r="P572" s="48"/>
      <c r="Q572" s="17"/>
      <c r="R572" s="17"/>
      <c r="S572" s="17"/>
      <c r="T572" s="17"/>
      <c r="U572" s="17"/>
      <c r="V572" s="17"/>
      <c r="W572" s="31"/>
      <c r="X572" s="17"/>
      <c r="Y572" s="17"/>
      <c r="Z572" s="31"/>
      <c r="AA572" s="17"/>
      <c r="AB572" s="17"/>
      <c r="AC572" s="17"/>
      <c r="AD572" s="32"/>
      <c r="AE572" s="31"/>
    </row>
    <row r="573" spans="14:31" x14ac:dyDescent="0.45">
      <c r="N573" s="10"/>
      <c r="P573" s="48"/>
      <c r="Q573" s="17"/>
      <c r="R573" s="17"/>
      <c r="S573" s="17"/>
      <c r="T573" s="17"/>
      <c r="U573" s="17"/>
      <c r="V573" s="17"/>
      <c r="W573" s="31"/>
      <c r="X573" s="17"/>
      <c r="Y573" s="17"/>
      <c r="Z573" s="31"/>
      <c r="AA573" s="17"/>
      <c r="AB573" s="17"/>
      <c r="AC573" s="17"/>
      <c r="AD573" s="32"/>
      <c r="AE573" s="31"/>
    </row>
    <row r="574" spans="14:31" x14ac:dyDescent="0.45">
      <c r="N574" s="10"/>
      <c r="P574" s="48"/>
      <c r="Q574" s="17"/>
      <c r="R574" s="17"/>
      <c r="S574" s="17"/>
      <c r="T574" s="17"/>
      <c r="U574" s="17"/>
      <c r="V574" s="17"/>
      <c r="W574" s="31"/>
      <c r="X574" s="17"/>
      <c r="Y574" s="17"/>
      <c r="Z574" s="31"/>
      <c r="AA574" s="17"/>
      <c r="AB574" s="17"/>
      <c r="AC574" s="17"/>
      <c r="AD574" s="32"/>
      <c r="AE574" s="31"/>
    </row>
    <row r="575" spans="14:31" x14ac:dyDescent="0.45">
      <c r="N575" s="10"/>
      <c r="P575" s="48"/>
      <c r="Q575" s="17"/>
      <c r="R575" s="17"/>
      <c r="S575" s="17"/>
      <c r="T575" s="17"/>
      <c r="U575" s="17"/>
      <c r="V575" s="17"/>
      <c r="W575" s="31"/>
      <c r="X575" s="17"/>
      <c r="Y575" s="17"/>
      <c r="Z575" s="31"/>
      <c r="AA575" s="17"/>
      <c r="AB575" s="17"/>
      <c r="AC575" s="17"/>
      <c r="AD575" s="32"/>
      <c r="AE575" s="31"/>
    </row>
    <row r="576" spans="14:31" x14ac:dyDescent="0.45">
      <c r="N576" s="10"/>
      <c r="P576" s="48"/>
      <c r="Q576" s="17"/>
      <c r="R576" s="17"/>
      <c r="S576" s="17"/>
      <c r="T576" s="17"/>
      <c r="U576" s="17"/>
      <c r="V576" s="17"/>
      <c r="W576" s="31"/>
      <c r="X576" s="17"/>
      <c r="Y576" s="17"/>
      <c r="Z576" s="31"/>
      <c r="AA576" s="17"/>
      <c r="AB576" s="17"/>
      <c r="AC576" s="17"/>
      <c r="AD576" s="32"/>
      <c r="AE576" s="31"/>
    </row>
    <row r="577" spans="14:31" x14ac:dyDescent="0.45">
      <c r="N577" s="10"/>
      <c r="P577" s="48"/>
      <c r="Q577" s="17"/>
      <c r="R577" s="17"/>
      <c r="S577" s="17"/>
      <c r="T577" s="17"/>
      <c r="U577" s="17"/>
      <c r="V577" s="17"/>
      <c r="W577" s="31"/>
      <c r="X577" s="17"/>
      <c r="Y577" s="17"/>
      <c r="Z577" s="31"/>
      <c r="AA577" s="17"/>
      <c r="AB577" s="17"/>
      <c r="AC577" s="17"/>
      <c r="AD577" s="32"/>
      <c r="AE577" s="31"/>
    </row>
    <row r="578" spans="14:31" x14ac:dyDescent="0.45">
      <c r="N578" s="10"/>
      <c r="P578" s="48"/>
      <c r="Q578" s="17"/>
      <c r="R578" s="17"/>
      <c r="S578" s="17"/>
      <c r="T578" s="17"/>
      <c r="U578" s="17"/>
      <c r="V578" s="17"/>
      <c r="W578" s="31"/>
      <c r="X578" s="17"/>
      <c r="Y578" s="17"/>
      <c r="Z578" s="31"/>
      <c r="AA578" s="17"/>
      <c r="AB578" s="17"/>
      <c r="AC578" s="17"/>
      <c r="AD578" s="32"/>
      <c r="AE578" s="31"/>
    </row>
    <row r="579" spans="14:31" x14ac:dyDescent="0.45">
      <c r="N579" s="10"/>
      <c r="P579" s="48"/>
      <c r="Q579" s="17"/>
      <c r="R579" s="17"/>
      <c r="S579" s="17"/>
      <c r="T579" s="17"/>
      <c r="U579" s="17"/>
      <c r="V579" s="17"/>
      <c r="W579" s="31"/>
      <c r="X579" s="17"/>
      <c r="Y579" s="17"/>
      <c r="Z579" s="31"/>
      <c r="AA579" s="17"/>
      <c r="AB579" s="17"/>
      <c r="AC579" s="17"/>
      <c r="AD579" s="32"/>
      <c r="AE579" s="31"/>
    </row>
    <row r="580" spans="14:31" x14ac:dyDescent="0.45">
      <c r="N580" s="10"/>
      <c r="P580" s="48"/>
      <c r="Q580" s="17"/>
      <c r="R580" s="17"/>
      <c r="S580" s="17"/>
      <c r="T580" s="17"/>
      <c r="U580" s="17"/>
      <c r="V580" s="17"/>
      <c r="W580" s="31"/>
      <c r="X580" s="17"/>
      <c r="Y580" s="17"/>
      <c r="Z580" s="31"/>
      <c r="AA580" s="17"/>
      <c r="AB580" s="17"/>
      <c r="AC580" s="17"/>
      <c r="AD580" s="32"/>
      <c r="AE580" s="31"/>
    </row>
    <row r="581" spans="14:31" x14ac:dyDescent="0.45">
      <c r="N581" s="10"/>
      <c r="P581" s="48"/>
      <c r="Q581" s="17"/>
      <c r="R581" s="17"/>
      <c r="S581" s="17"/>
      <c r="T581" s="17"/>
      <c r="U581" s="17"/>
      <c r="V581" s="17"/>
      <c r="W581" s="31"/>
      <c r="X581" s="17"/>
      <c r="Y581" s="17"/>
      <c r="Z581" s="31"/>
      <c r="AA581" s="17"/>
      <c r="AB581" s="17"/>
      <c r="AC581" s="17"/>
      <c r="AD581" s="32"/>
      <c r="AE581" s="31"/>
    </row>
    <row r="582" spans="14:31" x14ac:dyDescent="0.45">
      <c r="N582" s="10"/>
      <c r="P582" s="48"/>
      <c r="Q582" s="17"/>
      <c r="R582" s="17"/>
      <c r="S582" s="17"/>
      <c r="T582" s="17"/>
      <c r="U582" s="17"/>
      <c r="V582" s="17"/>
      <c r="W582" s="31"/>
      <c r="X582" s="17"/>
      <c r="Y582" s="17"/>
      <c r="Z582" s="31"/>
      <c r="AA582" s="17"/>
      <c r="AB582" s="17"/>
      <c r="AC582" s="17"/>
      <c r="AD582" s="32"/>
      <c r="AE582" s="31"/>
    </row>
    <row r="583" spans="14:31" x14ac:dyDescent="0.45">
      <c r="N583" s="10"/>
      <c r="P583" s="48"/>
      <c r="Q583" s="17"/>
      <c r="R583" s="17"/>
      <c r="S583" s="17"/>
      <c r="T583" s="17"/>
      <c r="U583" s="17"/>
      <c r="V583" s="17"/>
      <c r="W583" s="31"/>
      <c r="X583" s="17"/>
      <c r="Y583" s="17"/>
      <c r="Z583" s="31"/>
      <c r="AA583" s="17"/>
      <c r="AB583" s="17"/>
      <c r="AC583" s="17"/>
      <c r="AD583" s="32"/>
      <c r="AE583" s="31"/>
    </row>
    <row r="584" spans="14:31" x14ac:dyDescent="0.45">
      <c r="N584" s="10"/>
      <c r="P584" s="48"/>
      <c r="Q584" s="17"/>
      <c r="R584" s="17"/>
      <c r="S584" s="17"/>
      <c r="T584" s="17"/>
      <c r="U584" s="17"/>
      <c r="V584" s="17"/>
      <c r="W584" s="31"/>
      <c r="X584" s="17"/>
      <c r="Y584" s="17"/>
      <c r="Z584" s="31"/>
      <c r="AA584" s="17"/>
      <c r="AB584" s="17"/>
      <c r="AC584" s="17"/>
      <c r="AD584" s="32"/>
      <c r="AE584" s="31"/>
    </row>
    <row r="585" spans="14:31" x14ac:dyDescent="0.45">
      <c r="N585" s="10"/>
      <c r="P585" s="48"/>
      <c r="Q585" s="17"/>
      <c r="R585" s="17"/>
      <c r="S585" s="17"/>
      <c r="T585" s="17"/>
      <c r="U585" s="17"/>
      <c r="V585" s="17"/>
      <c r="W585" s="31"/>
      <c r="X585" s="17"/>
      <c r="Y585" s="17"/>
      <c r="Z585" s="31"/>
      <c r="AA585" s="17"/>
      <c r="AB585" s="17"/>
      <c r="AC585" s="17"/>
      <c r="AD585" s="32"/>
      <c r="AE585" s="31"/>
    </row>
    <row r="586" spans="14:31" x14ac:dyDescent="0.45">
      <c r="N586" s="10"/>
      <c r="P586" s="48"/>
      <c r="Q586" s="17"/>
      <c r="R586" s="17"/>
      <c r="S586" s="17"/>
      <c r="T586" s="17"/>
      <c r="U586" s="17"/>
      <c r="V586" s="17"/>
      <c r="W586" s="31"/>
      <c r="X586" s="17"/>
      <c r="Y586" s="17"/>
      <c r="Z586" s="31"/>
      <c r="AA586" s="17"/>
      <c r="AB586" s="17"/>
      <c r="AC586" s="17"/>
      <c r="AD586" s="32"/>
      <c r="AE586" s="31"/>
    </row>
    <row r="587" spans="14:31" x14ac:dyDescent="0.45">
      <c r="N587" s="10"/>
      <c r="P587" s="48"/>
      <c r="Q587" s="17"/>
      <c r="R587" s="17"/>
      <c r="S587" s="17"/>
      <c r="T587" s="17"/>
      <c r="U587" s="17"/>
      <c r="V587" s="17"/>
      <c r="W587" s="31"/>
      <c r="X587" s="17"/>
      <c r="Y587" s="17"/>
      <c r="Z587" s="31"/>
      <c r="AA587" s="17"/>
      <c r="AB587" s="17"/>
      <c r="AC587" s="17"/>
      <c r="AD587" s="32"/>
      <c r="AE587" s="31"/>
    </row>
    <row r="588" spans="14:31" x14ac:dyDescent="0.45">
      <c r="N588" s="10"/>
      <c r="P588" s="48"/>
      <c r="Q588" s="17"/>
      <c r="R588" s="17"/>
      <c r="S588" s="17"/>
      <c r="T588" s="17"/>
      <c r="U588" s="17"/>
      <c r="V588" s="17"/>
      <c r="W588" s="31"/>
      <c r="X588" s="17"/>
      <c r="Y588" s="17"/>
      <c r="Z588" s="31"/>
      <c r="AA588" s="17"/>
      <c r="AB588" s="17"/>
      <c r="AC588" s="17"/>
      <c r="AD588" s="32"/>
      <c r="AE588" s="31"/>
    </row>
    <row r="589" spans="14:31" x14ac:dyDescent="0.45">
      <c r="N589" s="10"/>
      <c r="P589" s="48"/>
      <c r="Q589" s="17"/>
      <c r="R589" s="17"/>
      <c r="S589" s="17"/>
      <c r="T589" s="17"/>
      <c r="U589" s="17"/>
      <c r="V589" s="17"/>
      <c r="W589" s="31"/>
      <c r="X589" s="17"/>
      <c r="Y589" s="17"/>
      <c r="Z589" s="31"/>
      <c r="AA589" s="17"/>
      <c r="AB589" s="17"/>
      <c r="AC589" s="17"/>
      <c r="AD589" s="32"/>
      <c r="AE589" s="31"/>
    </row>
    <row r="590" spans="14:31" x14ac:dyDescent="0.45">
      <c r="N590" s="10"/>
      <c r="P590" s="48"/>
      <c r="Q590" s="17"/>
      <c r="R590" s="17"/>
      <c r="S590" s="17"/>
      <c r="T590" s="17"/>
      <c r="U590" s="17"/>
      <c r="V590" s="17"/>
      <c r="W590" s="31"/>
      <c r="X590" s="17"/>
      <c r="Y590" s="17"/>
      <c r="Z590" s="31"/>
      <c r="AA590" s="17"/>
      <c r="AB590" s="17"/>
      <c r="AC590" s="17"/>
      <c r="AD590" s="32"/>
      <c r="AE590" s="31"/>
    </row>
    <row r="591" spans="14:31" x14ac:dyDescent="0.45">
      <c r="N591" s="10"/>
      <c r="P591" s="48"/>
      <c r="Q591" s="17"/>
      <c r="R591" s="17"/>
      <c r="S591" s="17"/>
      <c r="T591" s="17"/>
      <c r="U591" s="17"/>
      <c r="V591" s="17"/>
      <c r="W591" s="31"/>
      <c r="X591" s="17"/>
      <c r="Y591" s="17"/>
      <c r="Z591" s="31"/>
      <c r="AA591" s="17"/>
      <c r="AB591" s="17"/>
      <c r="AC591" s="17"/>
      <c r="AD591" s="32"/>
      <c r="AE591" s="31"/>
    </row>
    <row r="592" spans="14:31" x14ac:dyDescent="0.45">
      <c r="N592" s="10"/>
      <c r="P592" s="48"/>
      <c r="Q592" s="17"/>
      <c r="R592" s="17"/>
      <c r="S592" s="17"/>
      <c r="T592" s="17"/>
      <c r="U592" s="17"/>
      <c r="V592" s="17"/>
      <c r="W592" s="31"/>
      <c r="X592" s="17"/>
      <c r="Y592" s="17"/>
      <c r="Z592" s="31"/>
      <c r="AA592" s="17"/>
      <c r="AB592" s="17"/>
      <c r="AC592" s="17"/>
      <c r="AD592" s="32"/>
      <c r="AE592" s="31"/>
    </row>
    <row r="593" spans="14:31" x14ac:dyDescent="0.45">
      <c r="N593" s="10"/>
      <c r="P593" s="48"/>
      <c r="Q593" s="17"/>
      <c r="R593" s="17"/>
      <c r="S593" s="17"/>
      <c r="T593" s="17"/>
      <c r="U593" s="17"/>
      <c r="V593" s="17"/>
      <c r="W593" s="31"/>
      <c r="X593" s="17"/>
      <c r="Y593" s="17"/>
      <c r="Z593" s="31"/>
      <c r="AA593" s="17"/>
      <c r="AB593" s="17"/>
      <c r="AC593" s="17"/>
      <c r="AD593" s="32"/>
      <c r="AE593" s="31"/>
    </row>
    <row r="594" spans="14:31" x14ac:dyDescent="0.45">
      <c r="N594" s="10"/>
      <c r="P594" s="48"/>
      <c r="Q594" s="17"/>
      <c r="R594" s="17"/>
      <c r="S594" s="17"/>
      <c r="T594" s="17"/>
      <c r="U594" s="17"/>
      <c r="V594" s="17"/>
      <c r="W594" s="31"/>
      <c r="X594" s="17"/>
      <c r="Y594" s="17"/>
      <c r="Z594" s="31"/>
      <c r="AA594" s="17"/>
      <c r="AB594" s="17"/>
      <c r="AC594" s="17"/>
      <c r="AD594" s="32"/>
      <c r="AE594" s="31"/>
    </row>
    <row r="595" spans="14:31" x14ac:dyDescent="0.45">
      <c r="N595" s="10"/>
      <c r="P595" s="48"/>
      <c r="Q595" s="17"/>
      <c r="R595" s="17"/>
      <c r="S595" s="17"/>
      <c r="T595" s="17"/>
      <c r="U595" s="17"/>
      <c r="V595" s="17"/>
      <c r="W595" s="31"/>
      <c r="X595" s="17"/>
      <c r="Y595" s="17"/>
      <c r="Z595" s="31"/>
      <c r="AA595" s="17"/>
      <c r="AB595" s="17"/>
      <c r="AC595" s="17"/>
      <c r="AD595" s="32"/>
      <c r="AE595" s="31"/>
    </row>
    <row r="596" spans="14:31" x14ac:dyDescent="0.45">
      <c r="N596" s="10"/>
      <c r="P596" s="48"/>
      <c r="Q596" s="17"/>
      <c r="R596" s="17"/>
      <c r="S596" s="17"/>
      <c r="T596" s="17"/>
      <c r="U596" s="17"/>
      <c r="V596" s="17"/>
      <c r="W596" s="31"/>
      <c r="X596" s="17"/>
      <c r="Y596" s="17"/>
      <c r="Z596" s="31"/>
      <c r="AA596" s="17"/>
      <c r="AB596" s="17"/>
      <c r="AC596" s="17"/>
      <c r="AD596" s="32"/>
      <c r="AE596" s="31"/>
    </row>
    <row r="597" spans="14:31" x14ac:dyDescent="0.45">
      <c r="N597" s="10"/>
      <c r="P597" s="48"/>
      <c r="Q597" s="17"/>
      <c r="R597" s="17"/>
      <c r="S597" s="17"/>
      <c r="T597" s="17"/>
      <c r="U597" s="17"/>
      <c r="V597" s="17"/>
      <c r="W597" s="31"/>
      <c r="X597" s="17"/>
      <c r="Y597" s="17"/>
      <c r="Z597" s="31"/>
      <c r="AA597" s="17"/>
      <c r="AB597" s="17"/>
      <c r="AC597" s="17"/>
      <c r="AD597" s="32"/>
      <c r="AE597" s="31"/>
    </row>
    <row r="598" spans="14:31" x14ac:dyDescent="0.45">
      <c r="N598" s="10"/>
      <c r="P598" s="48"/>
      <c r="Q598" s="17"/>
      <c r="R598" s="17"/>
      <c r="S598" s="17"/>
      <c r="T598" s="17"/>
      <c r="U598" s="17"/>
      <c r="V598" s="17"/>
      <c r="W598" s="31"/>
      <c r="X598" s="17"/>
      <c r="Y598" s="17"/>
      <c r="Z598" s="31"/>
      <c r="AA598" s="17"/>
      <c r="AB598" s="17"/>
      <c r="AC598" s="17"/>
      <c r="AD598" s="32"/>
      <c r="AE598" s="31"/>
    </row>
    <row r="599" spans="14:31" x14ac:dyDescent="0.45">
      <c r="N599" s="10"/>
      <c r="P599" s="48"/>
      <c r="Q599" s="17"/>
      <c r="R599" s="17"/>
      <c r="S599" s="17"/>
      <c r="T599" s="17"/>
      <c r="U599" s="17"/>
      <c r="V599" s="17"/>
      <c r="W599" s="31"/>
      <c r="X599" s="17"/>
      <c r="Y599" s="17"/>
      <c r="Z599" s="31"/>
      <c r="AA599" s="17"/>
      <c r="AB599" s="17"/>
      <c r="AC599" s="17"/>
      <c r="AD599" s="32"/>
      <c r="AE599" s="31"/>
    </row>
    <row r="600" spans="14:31" x14ac:dyDescent="0.45">
      <c r="N600" s="10"/>
      <c r="P600" s="48"/>
      <c r="Q600" s="17"/>
      <c r="R600" s="17"/>
      <c r="S600" s="17"/>
      <c r="T600" s="17"/>
      <c r="U600" s="17"/>
      <c r="V600" s="17"/>
      <c r="W600" s="31"/>
      <c r="X600" s="17"/>
      <c r="Y600" s="17"/>
      <c r="Z600" s="31"/>
      <c r="AA600" s="17"/>
      <c r="AB600" s="17"/>
      <c r="AC600" s="17"/>
      <c r="AD600" s="32"/>
      <c r="AE600" s="31"/>
    </row>
    <row r="601" spans="14:31" x14ac:dyDescent="0.45">
      <c r="N601" s="10"/>
      <c r="P601" s="48"/>
      <c r="Q601" s="17"/>
      <c r="R601" s="17"/>
      <c r="S601" s="17"/>
      <c r="T601" s="17"/>
      <c r="U601" s="17"/>
      <c r="V601" s="17"/>
      <c r="W601" s="31"/>
      <c r="X601" s="17"/>
      <c r="Y601" s="17"/>
      <c r="Z601" s="31"/>
      <c r="AA601" s="17"/>
      <c r="AB601" s="17"/>
      <c r="AC601" s="17"/>
      <c r="AD601" s="32"/>
      <c r="AE601" s="31"/>
    </row>
    <row r="602" spans="14:31" x14ac:dyDescent="0.45">
      <c r="N602" s="10"/>
      <c r="P602" s="48"/>
      <c r="Q602" s="17"/>
      <c r="R602" s="17"/>
      <c r="S602" s="17"/>
      <c r="T602" s="17"/>
      <c r="U602" s="17"/>
      <c r="V602" s="17"/>
      <c r="W602" s="31"/>
      <c r="X602" s="17"/>
      <c r="Y602" s="17"/>
      <c r="Z602" s="31"/>
      <c r="AA602" s="17"/>
      <c r="AB602" s="17"/>
      <c r="AC602" s="17"/>
      <c r="AD602" s="32"/>
      <c r="AE602" s="31"/>
    </row>
    <row r="603" spans="14:31" x14ac:dyDescent="0.45">
      <c r="N603" s="10"/>
      <c r="P603" s="48"/>
      <c r="Q603" s="17"/>
      <c r="R603" s="17"/>
      <c r="S603" s="17"/>
      <c r="T603" s="17"/>
      <c r="U603" s="17"/>
      <c r="V603" s="17"/>
      <c r="W603" s="31"/>
      <c r="X603" s="17"/>
      <c r="Y603" s="17"/>
      <c r="Z603" s="31"/>
      <c r="AA603" s="17"/>
      <c r="AB603" s="17"/>
      <c r="AC603" s="17"/>
      <c r="AD603" s="32"/>
      <c r="AE603" s="31"/>
    </row>
    <row r="604" spans="14:31" x14ac:dyDescent="0.45">
      <c r="N604" s="10"/>
      <c r="P604" s="48"/>
      <c r="Q604" s="17"/>
      <c r="R604" s="17"/>
      <c r="S604" s="17"/>
      <c r="T604" s="17"/>
      <c r="U604" s="17"/>
      <c r="V604" s="17"/>
      <c r="W604" s="31"/>
      <c r="X604" s="17"/>
      <c r="Y604" s="17"/>
      <c r="Z604" s="31"/>
      <c r="AA604" s="17"/>
      <c r="AB604" s="17"/>
      <c r="AC604" s="17"/>
      <c r="AD604" s="32"/>
      <c r="AE604" s="31"/>
    </row>
    <row r="605" spans="14:31" x14ac:dyDescent="0.45">
      <c r="N605" s="10"/>
      <c r="P605" s="48"/>
      <c r="Q605" s="17"/>
      <c r="R605" s="17"/>
      <c r="S605" s="17"/>
      <c r="T605" s="17"/>
      <c r="U605" s="17"/>
      <c r="V605" s="17"/>
      <c r="W605" s="31"/>
      <c r="X605" s="17"/>
      <c r="Y605" s="17"/>
      <c r="Z605" s="31"/>
      <c r="AA605" s="17"/>
      <c r="AB605" s="17"/>
      <c r="AC605" s="17"/>
      <c r="AD605" s="32"/>
      <c r="AE605" s="31"/>
    </row>
    <row r="606" spans="14:31" x14ac:dyDescent="0.45">
      <c r="N606" s="10"/>
      <c r="P606" s="48"/>
      <c r="Q606" s="17"/>
      <c r="R606" s="17"/>
      <c r="S606" s="17"/>
      <c r="T606" s="17"/>
      <c r="U606" s="17"/>
      <c r="V606" s="17"/>
      <c r="W606" s="31"/>
      <c r="X606" s="17"/>
      <c r="Y606" s="17"/>
      <c r="Z606" s="31"/>
      <c r="AA606" s="17"/>
      <c r="AB606" s="17"/>
      <c r="AC606" s="17"/>
      <c r="AD606" s="32"/>
      <c r="AE606" s="31"/>
    </row>
    <row r="607" spans="14:31" x14ac:dyDescent="0.45">
      <c r="N607" s="10"/>
      <c r="P607" s="48"/>
      <c r="Q607" s="17"/>
      <c r="R607" s="17"/>
      <c r="S607" s="17"/>
      <c r="T607" s="17"/>
      <c r="U607" s="17"/>
      <c r="V607" s="17"/>
      <c r="W607" s="31"/>
      <c r="X607" s="17"/>
      <c r="Y607" s="17"/>
      <c r="Z607" s="31"/>
      <c r="AA607" s="17"/>
      <c r="AB607" s="17"/>
      <c r="AC607" s="17"/>
      <c r="AD607" s="32"/>
      <c r="AE607" s="31"/>
    </row>
    <row r="608" spans="14:31" x14ac:dyDescent="0.45">
      <c r="N608" s="10"/>
      <c r="P608" s="48"/>
      <c r="Q608" s="17"/>
      <c r="R608" s="17"/>
      <c r="S608" s="17"/>
      <c r="T608" s="17"/>
      <c r="U608" s="17"/>
      <c r="V608" s="17"/>
      <c r="W608" s="31"/>
      <c r="X608" s="17"/>
      <c r="Y608" s="17"/>
      <c r="Z608" s="31"/>
      <c r="AA608" s="17"/>
      <c r="AB608" s="17"/>
      <c r="AC608" s="17"/>
      <c r="AD608" s="32"/>
      <c r="AE608" s="31"/>
    </row>
    <row r="609" spans="14:31" x14ac:dyDescent="0.45">
      <c r="N609" s="10"/>
      <c r="P609" s="48"/>
      <c r="Q609" s="17"/>
      <c r="R609" s="17"/>
      <c r="S609" s="17"/>
      <c r="T609" s="17"/>
      <c r="U609" s="17"/>
      <c r="V609" s="17"/>
      <c r="W609" s="31"/>
      <c r="X609" s="17"/>
      <c r="Y609" s="17"/>
      <c r="Z609" s="31"/>
      <c r="AA609" s="17"/>
      <c r="AB609" s="17"/>
      <c r="AC609" s="17"/>
      <c r="AD609" s="32"/>
      <c r="AE609" s="31"/>
    </row>
    <row r="610" spans="14:31" x14ac:dyDescent="0.45">
      <c r="N610" s="10"/>
      <c r="P610" s="48"/>
      <c r="Q610" s="17"/>
      <c r="R610" s="17"/>
      <c r="S610" s="17"/>
      <c r="T610" s="17"/>
      <c r="U610" s="17"/>
      <c r="V610" s="17"/>
      <c r="W610" s="31"/>
      <c r="X610" s="17"/>
      <c r="Y610" s="17"/>
      <c r="Z610" s="31"/>
      <c r="AA610" s="17"/>
      <c r="AB610" s="17"/>
      <c r="AC610" s="17"/>
      <c r="AD610" s="32"/>
      <c r="AE610" s="31"/>
    </row>
    <row r="611" spans="14:31" x14ac:dyDescent="0.45">
      <c r="N611" s="10"/>
      <c r="P611" s="48"/>
      <c r="Q611" s="17"/>
      <c r="R611" s="17"/>
      <c r="S611" s="17"/>
      <c r="T611" s="17"/>
      <c r="U611" s="17"/>
      <c r="V611" s="17"/>
      <c r="W611" s="31"/>
      <c r="X611" s="17"/>
      <c r="Y611" s="17"/>
      <c r="Z611" s="31"/>
      <c r="AA611" s="17"/>
      <c r="AB611" s="17"/>
      <c r="AC611" s="17"/>
      <c r="AD611" s="32"/>
      <c r="AE611" s="31"/>
    </row>
    <row r="612" spans="14:31" x14ac:dyDescent="0.45">
      <c r="N612" s="10"/>
      <c r="P612" s="48"/>
      <c r="Q612" s="17"/>
      <c r="R612" s="17"/>
      <c r="S612" s="17"/>
      <c r="T612" s="17"/>
      <c r="U612" s="17"/>
      <c r="V612" s="17"/>
      <c r="W612" s="31"/>
      <c r="X612" s="17"/>
      <c r="Y612" s="17"/>
      <c r="Z612" s="31"/>
      <c r="AA612" s="17"/>
      <c r="AB612" s="17"/>
      <c r="AC612" s="17"/>
      <c r="AD612" s="32"/>
      <c r="AE612" s="31"/>
    </row>
    <row r="613" spans="14:31" x14ac:dyDescent="0.45">
      <c r="N613" s="10"/>
      <c r="P613" s="48"/>
      <c r="Q613" s="17"/>
      <c r="R613" s="17"/>
      <c r="S613" s="17"/>
      <c r="T613" s="17"/>
      <c r="U613" s="17"/>
      <c r="V613" s="17"/>
      <c r="W613" s="31"/>
      <c r="X613" s="17"/>
      <c r="Y613" s="17"/>
      <c r="Z613" s="31"/>
      <c r="AA613" s="17"/>
      <c r="AB613" s="17"/>
      <c r="AC613" s="17"/>
      <c r="AD613" s="32"/>
      <c r="AE613" s="31"/>
    </row>
    <row r="614" spans="14:31" x14ac:dyDescent="0.45">
      <c r="N614" s="10"/>
      <c r="P614" s="48"/>
      <c r="Q614" s="17"/>
      <c r="R614" s="17"/>
      <c r="S614" s="17"/>
      <c r="T614" s="17"/>
      <c r="U614" s="17"/>
      <c r="V614" s="17"/>
      <c r="W614" s="31"/>
      <c r="X614" s="17"/>
      <c r="Y614" s="17"/>
      <c r="Z614" s="31"/>
      <c r="AA614" s="17"/>
      <c r="AB614" s="17"/>
      <c r="AC614" s="17"/>
      <c r="AD614" s="32"/>
      <c r="AE614" s="31"/>
    </row>
    <row r="615" spans="14:31" x14ac:dyDescent="0.45">
      <c r="N615" s="10"/>
      <c r="P615" s="48"/>
      <c r="Q615" s="17"/>
      <c r="R615" s="17"/>
      <c r="S615" s="17"/>
      <c r="T615" s="17"/>
      <c r="U615" s="17"/>
      <c r="V615" s="17"/>
      <c r="W615" s="31"/>
      <c r="X615" s="17"/>
      <c r="Y615" s="17"/>
      <c r="Z615" s="31"/>
      <c r="AA615" s="17"/>
      <c r="AB615" s="17"/>
      <c r="AC615" s="17"/>
      <c r="AD615" s="32"/>
      <c r="AE615" s="31"/>
    </row>
    <row r="616" spans="14:31" x14ac:dyDescent="0.45">
      <c r="N616" s="10"/>
      <c r="P616" s="48"/>
      <c r="Q616" s="17"/>
      <c r="R616" s="17"/>
      <c r="S616" s="17"/>
      <c r="T616" s="17"/>
      <c r="U616" s="17"/>
      <c r="V616" s="17"/>
      <c r="W616" s="31"/>
      <c r="X616" s="17"/>
      <c r="Y616" s="17"/>
      <c r="Z616" s="31"/>
      <c r="AA616" s="17"/>
      <c r="AB616" s="17"/>
      <c r="AC616" s="17"/>
      <c r="AD616" s="32"/>
      <c r="AE616" s="31"/>
    </row>
    <row r="617" spans="14:31" x14ac:dyDescent="0.45">
      <c r="N617" s="10"/>
      <c r="P617" s="48"/>
      <c r="Q617" s="17"/>
      <c r="R617" s="17"/>
      <c r="S617" s="17"/>
      <c r="T617" s="17"/>
      <c r="U617" s="17"/>
      <c r="V617" s="17"/>
      <c r="W617" s="31"/>
      <c r="X617" s="17"/>
      <c r="Y617" s="17"/>
      <c r="Z617" s="31"/>
      <c r="AA617" s="17"/>
      <c r="AB617" s="17"/>
      <c r="AC617" s="17"/>
      <c r="AD617" s="32"/>
      <c r="AE617" s="31"/>
    </row>
    <row r="618" spans="14:31" x14ac:dyDescent="0.45">
      <c r="N618" s="10"/>
      <c r="P618" s="48"/>
      <c r="Q618" s="17"/>
      <c r="R618" s="17"/>
      <c r="S618" s="17"/>
      <c r="T618" s="17"/>
      <c r="U618" s="17"/>
      <c r="V618" s="17"/>
      <c r="W618" s="31"/>
      <c r="X618" s="17"/>
      <c r="Y618" s="17"/>
      <c r="Z618" s="31"/>
      <c r="AA618" s="17"/>
      <c r="AB618" s="17"/>
      <c r="AC618" s="17"/>
      <c r="AD618" s="32"/>
      <c r="AE618" s="31"/>
    </row>
    <row r="619" spans="14:31" x14ac:dyDescent="0.45">
      <c r="N619" s="10"/>
      <c r="P619" s="48"/>
      <c r="Q619" s="17"/>
      <c r="R619" s="17"/>
      <c r="S619" s="17"/>
      <c r="T619" s="17"/>
      <c r="U619" s="17"/>
      <c r="V619" s="17"/>
      <c r="W619" s="31"/>
      <c r="X619" s="17"/>
      <c r="Y619" s="17"/>
      <c r="Z619" s="31"/>
      <c r="AA619" s="17"/>
      <c r="AB619" s="17"/>
      <c r="AC619" s="17"/>
      <c r="AD619" s="32"/>
      <c r="AE619" s="31"/>
    </row>
    <row r="620" spans="14:31" x14ac:dyDescent="0.45">
      <c r="N620" s="10"/>
      <c r="P620" s="48"/>
      <c r="Q620" s="17"/>
      <c r="R620" s="17"/>
      <c r="S620" s="17"/>
      <c r="T620" s="17"/>
      <c r="U620" s="17"/>
      <c r="V620" s="17"/>
      <c r="W620" s="31"/>
      <c r="X620" s="17"/>
      <c r="Y620" s="17"/>
      <c r="Z620" s="31"/>
      <c r="AA620" s="17"/>
      <c r="AB620" s="17"/>
      <c r="AC620" s="17"/>
      <c r="AD620" s="32"/>
      <c r="AE620" s="31"/>
    </row>
    <row r="621" spans="14:31" x14ac:dyDescent="0.45">
      <c r="N621" s="10"/>
      <c r="P621" s="48"/>
      <c r="Q621" s="17"/>
      <c r="R621" s="17"/>
      <c r="S621" s="17"/>
      <c r="T621" s="17"/>
      <c r="U621" s="17"/>
      <c r="V621" s="17"/>
      <c r="W621" s="31"/>
      <c r="X621" s="17"/>
      <c r="Y621" s="17"/>
      <c r="Z621" s="31"/>
      <c r="AA621" s="17"/>
      <c r="AB621" s="17"/>
      <c r="AC621" s="17"/>
      <c r="AD621" s="32"/>
      <c r="AE621" s="31"/>
    </row>
    <row r="622" spans="14:31" x14ac:dyDescent="0.45">
      <c r="N622" s="10"/>
      <c r="P622" s="48"/>
      <c r="Q622" s="17"/>
      <c r="R622" s="17"/>
      <c r="S622" s="17"/>
      <c r="T622" s="17"/>
      <c r="U622" s="17"/>
      <c r="V622" s="17"/>
      <c r="W622" s="31"/>
      <c r="X622" s="17"/>
      <c r="Y622" s="17"/>
      <c r="Z622" s="31"/>
      <c r="AA622" s="17"/>
      <c r="AB622" s="17"/>
      <c r="AC622" s="17"/>
      <c r="AD622" s="32"/>
      <c r="AE622" s="31"/>
    </row>
    <row r="623" spans="14:31" x14ac:dyDescent="0.45">
      <c r="N623" s="10"/>
      <c r="P623" s="48"/>
      <c r="Q623" s="17"/>
      <c r="R623" s="17"/>
      <c r="S623" s="17"/>
      <c r="T623" s="17"/>
      <c r="U623" s="17"/>
      <c r="V623" s="17"/>
      <c r="W623" s="31"/>
      <c r="X623" s="17"/>
      <c r="Y623" s="17"/>
      <c r="Z623" s="31"/>
      <c r="AA623" s="17"/>
      <c r="AB623" s="17"/>
      <c r="AC623" s="17"/>
      <c r="AD623" s="32"/>
      <c r="AE623" s="31"/>
    </row>
    <row r="624" spans="14:31" x14ac:dyDescent="0.45">
      <c r="N624" s="10"/>
      <c r="P624" s="48"/>
      <c r="Q624" s="17"/>
      <c r="R624" s="17"/>
      <c r="S624" s="17"/>
      <c r="T624" s="17"/>
      <c r="U624" s="17"/>
      <c r="V624" s="17"/>
      <c r="W624" s="31"/>
      <c r="X624" s="17"/>
      <c r="Y624" s="17"/>
      <c r="Z624" s="31"/>
      <c r="AA624" s="17"/>
      <c r="AB624" s="17"/>
      <c r="AC624" s="17"/>
      <c r="AD624" s="32"/>
      <c r="AE624" s="31"/>
    </row>
    <row r="625" spans="14:31" x14ac:dyDescent="0.45">
      <c r="N625" s="10"/>
      <c r="P625" s="48"/>
      <c r="Q625" s="17"/>
      <c r="R625" s="17"/>
      <c r="S625" s="17"/>
      <c r="T625" s="17"/>
      <c r="U625" s="17"/>
      <c r="V625" s="17"/>
      <c r="W625" s="31"/>
      <c r="X625" s="17"/>
      <c r="Y625" s="17"/>
      <c r="Z625" s="31"/>
      <c r="AA625" s="17"/>
      <c r="AB625" s="17"/>
      <c r="AC625" s="17"/>
      <c r="AD625" s="32"/>
      <c r="AE625" s="31"/>
    </row>
    <row r="626" spans="14:31" x14ac:dyDescent="0.45">
      <c r="N626" s="10"/>
      <c r="P626" s="48"/>
      <c r="Q626" s="17"/>
      <c r="R626" s="17"/>
      <c r="S626" s="17"/>
      <c r="T626" s="17"/>
      <c r="U626" s="17"/>
      <c r="V626" s="17"/>
      <c r="W626" s="31"/>
      <c r="X626" s="17"/>
      <c r="Y626" s="17"/>
      <c r="Z626" s="31"/>
      <c r="AA626" s="17"/>
      <c r="AB626" s="17"/>
      <c r="AC626" s="17"/>
      <c r="AD626" s="32"/>
      <c r="AE626" s="31"/>
    </row>
    <row r="627" spans="14:31" x14ac:dyDescent="0.45">
      <c r="N627" s="10"/>
      <c r="P627" s="48"/>
      <c r="Q627" s="17"/>
      <c r="R627" s="17"/>
      <c r="S627" s="17"/>
      <c r="T627" s="17"/>
      <c r="U627" s="17"/>
      <c r="V627" s="17"/>
      <c r="W627" s="31"/>
      <c r="X627" s="17"/>
      <c r="Y627" s="17"/>
      <c r="Z627" s="31"/>
      <c r="AA627" s="17"/>
      <c r="AB627" s="17"/>
      <c r="AC627" s="17"/>
      <c r="AD627" s="32"/>
      <c r="AE627" s="31"/>
    </row>
    <row r="628" spans="14:31" x14ac:dyDescent="0.45">
      <c r="N628" s="10"/>
      <c r="P628" s="48"/>
      <c r="Q628" s="17"/>
      <c r="R628" s="17"/>
      <c r="S628" s="17"/>
      <c r="T628" s="17"/>
      <c r="U628" s="17"/>
      <c r="V628" s="17"/>
      <c r="W628" s="31"/>
      <c r="X628" s="17"/>
      <c r="Y628" s="17"/>
      <c r="Z628" s="31"/>
      <c r="AA628" s="17"/>
      <c r="AB628" s="17"/>
      <c r="AC628" s="17"/>
      <c r="AD628" s="32"/>
      <c r="AE628" s="31"/>
    </row>
    <row r="629" spans="14:31" x14ac:dyDescent="0.45">
      <c r="N629" s="10"/>
      <c r="P629" s="48"/>
      <c r="Q629" s="17"/>
      <c r="R629" s="17"/>
      <c r="S629" s="17"/>
      <c r="T629" s="17"/>
      <c r="U629" s="17"/>
      <c r="V629" s="17"/>
      <c r="W629" s="31"/>
      <c r="X629" s="17"/>
      <c r="Y629" s="17"/>
      <c r="Z629" s="31"/>
      <c r="AA629" s="17"/>
      <c r="AB629" s="17"/>
      <c r="AC629" s="17"/>
      <c r="AD629" s="32"/>
      <c r="AE629" s="31"/>
    </row>
    <row r="630" spans="14:31" x14ac:dyDescent="0.45">
      <c r="N630" s="10"/>
      <c r="P630" s="48"/>
      <c r="Q630" s="17"/>
      <c r="R630" s="17"/>
      <c r="S630" s="17"/>
      <c r="T630" s="17"/>
      <c r="U630" s="17"/>
      <c r="V630" s="17"/>
      <c r="W630" s="31"/>
      <c r="X630" s="17"/>
      <c r="Y630" s="17"/>
      <c r="Z630" s="31"/>
      <c r="AA630" s="17"/>
      <c r="AB630" s="17"/>
      <c r="AC630" s="17"/>
      <c r="AD630" s="32"/>
      <c r="AE630" s="31"/>
    </row>
    <row r="631" spans="14:31" x14ac:dyDescent="0.45">
      <c r="N631" s="10"/>
      <c r="P631" s="48"/>
      <c r="Q631" s="17"/>
      <c r="R631" s="17"/>
      <c r="S631" s="17"/>
      <c r="T631" s="17"/>
      <c r="U631" s="17"/>
      <c r="V631" s="17"/>
      <c r="W631" s="31"/>
      <c r="X631" s="17"/>
      <c r="Y631" s="17"/>
      <c r="Z631" s="31"/>
      <c r="AA631" s="17"/>
      <c r="AB631" s="17"/>
      <c r="AC631" s="17"/>
      <c r="AD631" s="32"/>
      <c r="AE631" s="31"/>
    </row>
    <row r="632" spans="14:31" x14ac:dyDescent="0.45">
      <c r="N632" s="10"/>
      <c r="P632" s="48"/>
      <c r="Q632" s="17"/>
      <c r="R632" s="17"/>
      <c r="S632" s="17"/>
      <c r="T632" s="17"/>
      <c r="U632" s="17"/>
      <c r="V632" s="17"/>
      <c r="W632" s="31"/>
      <c r="X632" s="17"/>
      <c r="Y632" s="17"/>
      <c r="Z632" s="31"/>
      <c r="AA632" s="17"/>
      <c r="AB632" s="17"/>
      <c r="AC632" s="17"/>
      <c r="AD632" s="32"/>
      <c r="AE632" s="31"/>
    </row>
    <row r="633" spans="14:31" x14ac:dyDescent="0.45">
      <c r="N633" s="10"/>
      <c r="P633" s="48"/>
      <c r="Q633" s="17"/>
      <c r="R633" s="17"/>
      <c r="S633" s="17"/>
      <c r="T633" s="17"/>
      <c r="U633" s="17"/>
      <c r="V633" s="17"/>
      <c r="W633" s="31"/>
      <c r="X633" s="17"/>
      <c r="Y633" s="17"/>
      <c r="Z633" s="31"/>
      <c r="AA633" s="17"/>
      <c r="AB633" s="17"/>
      <c r="AC633" s="17"/>
      <c r="AD633" s="32"/>
      <c r="AE633" s="31"/>
    </row>
    <row r="634" spans="14:31" x14ac:dyDescent="0.45">
      <c r="N634" s="10"/>
      <c r="P634" s="48"/>
      <c r="Q634" s="17"/>
      <c r="R634" s="17"/>
      <c r="S634" s="17"/>
      <c r="T634" s="17"/>
      <c r="U634" s="17"/>
      <c r="V634" s="17"/>
      <c r="W634" s="31"/>
      <c r="X634" s="17"/>
      <c r="Y634" s="17"/>
      <c r="Z634" s="31"/>
      <c r="AA634" s="17"/>
      <c r="AB634" s="17"/>
      <c r="AC634" s="17"/>
      <c r="AD634" s="32"/>
      <c r="AE634" s="31"/>
    </row>
    <row r="635" spans="14:31" x14ac:dyDescent="0.45">
      <c r="N635" s="10"/>
      <c r="P635" s="48"/>
      <c r="Q635" s="17"/>
      <c r="R635" s="17"/>
      <c r="S635" s="17"/>
      <c r="T635" s="17"/>
      <c r="U635" s="17"/>
      <c r="V635" s="17"/>
      <c r="W635" s="31"/>
      <c r="X635" s="17"/>
      <c r="Y635" s="17"/>
      <c r="Z635" s="31"/>
      <c r="AA635" s="17"/>
      <c r="AB635" s="17"/>
      <c r="AC635" s="17"/>
      <c r="AD635" s="32"/>
      <c r="AE635" s="31"/>
    </row>
    <row r="636" spans="14:31" x14ac:dyDescent="0.45">
      <c r="N636" s="10"/>
      <c r="P636" s="48"/>
      <c r="Q636" s="17"/>
      <c r="R636" s="17"/>
      <c r="S636" s="17"/>
      <c r="T636" s="17"/>
      <c r="U636" s="17"/>
      <c r="V636" s="17"/>
      <c r="W636" s="31"/>
      <c r="X636" s="17"/>
      <c r="Y636" s="17"/>
      <c r="Z636" s="31"/>
      <c r="AA636" s="17"/>
      <c r="AB636" s="17"/>
      <c r="AC636" s="17"/>
      <c r="AD636" s="32"/>
      <c r="AE636" s="31"/>
    </row>
    <row r="637" spans="14:31" x14ac:dyDescent="0.45">
      <c r="N637" s="10"/>
      <c r="P637" s="48"/>
      <c r="Q637" s="17"/>
      <c r="R637" s="17"/>
      <c r="S637" s="17"/>
      <c r="T637" s="17"/>
      <c r="U637" s="17"/>
      <c r="V637" s="17"/>
      <c r="W637" s="31"/>
      <c r="X637" s="17"/>
      <c r="Y637" s="17"/>
      <c r="Z637" s="31"/>
      <c r="AA637" s="17"/>
      <c r="AB637" s="17"/>
      <c r="AC637" s="17"/>
      <c r="AD637" s="32"/>
      <c r="AE637" s="31"/>
    </row>
    <row r="638" spans="14:31" x14ac:dyDescent="0.45">
      <c r="N638" s="10"/>
      <c r="P638" s="48"/>
      <c r="Q638" s="17"/>
      <c r="R638" s="17"/>
      <c r="S638" s="17"/>
      <c r="T638" s="17"/>
      <c r="U638" s="17"/>
      <c r="V638" s="17"/>
      <c r="W638" s="31"/>
      <c r="X638" s="17"/>
      <c r="Y638" s="17"/>
      <c r="Z638" s="31"/>
      <c r="AA638" s="17"/>
      <c r="AB638" s="17"/>
      <c r="AC638" s="17"/>
      <c r="AD638" s="32"/>
      <c r="AE638" s="31"/>
    </row>
    <row r="639" spans="14:31" x14ac:dyDescent="0.45">
      <c r="N639" s="10"/>
      <c r="P639" s="48"/>
      <c r="Q639" s="17"/>
      <c r="R639" s="17"/>
      <c r="S639" s="17"/>
      <c r="T639" s="17"/>
      <c r="U639" s="17"/>
      <c r="V639" s="17"/>
      <c r="W639" s="31"/>
      <c r="X639" s="17"/>
      <c r="Y639" s="17"/>
      <c r="Z639" s="31"/>
      <c r="AA639" s="17"/>
      <c r="AB639" s="17"/>
      <c r="AC639" s="17"/>
      <c r="AD639" s="32"/>
      <c r="AE639" s="31"/>
    </row>
    <row r="640" spans="14:31" x14ac:dyDescent="0.45">
      <c r="N640" s="10"/>
      <c r="P640" s="48"/>
      <c r="Q640" s="17"/>
      <c r="R640" s="17"/>
      <c r="S640" s="17"/>
      <c r="T640" s="17"/>
      <c r="U640" s="17"/>
      <c r="V640" s="17"/>
      <c r="W640" s="31"/>
      <c r="X640" s="17"/>
      <c r="Y640" s="17"/>
      <c r="Z640" s="31"/>
      <c r="AA640" s="17"/>
      <c r="AB640" s="17"/>
      <c r="AC640" s="17"/>
      <c r="AD640" s="32"/>
      <c r="AE640" s="31"/>
    </row>
    <row r="641" spans="14:31" x14ac:dyDescent="0.45">
      <c r="N641" s="10"/>
      <c r="P641" s="48"/>
      <c r="Q641" s="17"/>
      <c r="R641" s="17"/>
      <c r="S641" s="17"/>
      <c r="T641" s="17"/>
      <c r="U641" s="17"/>
      <c r="V641" s="17"/>
      <c r="W641" s="31"/>
      <c r="X641" s="17"/>
      <c r="Y641" s="17"/>
      <c r="Z641" s="31"/>
      <c r="AA641" s="17"/>
      <c r="AB641" s="17"/>
      <c r="AC641" s="17"/>
      <c r="AD641" s="32"/>
      <c r="AE641" s="31"/>
    </row>
    <row r="642" spans="14:31" x14ac:dyDescent="0.45">
      <c r="N642" s="10"/>
      <c r="P642" s="48"/>
      <c r="Q642" s="17"/>
      <c r="R642" s="17"/>
      <c r="S642" s="17"/>
      <c r="T642" s="17"/>
      <c r="U642" s="17"/>
      <c r="V642" s="17"/>
      <c r="W642" s="31"/>
      <c r="X642" s="17"/>
      <c r="Y642" s="17"/>
      <c r="Z642" s="31"/>
      <c r="AA642" s="17"/>
      <c r="AB642" s="17"/>
      <c r="AC642" s="17"/>
      <c r="AD642" s="32"/>
      <c r="AE642" s="31"/>
    </row>
    <row r="643" spans="14:31" x14ac:dyDescent="0.45">
      <c r="N643" s="10"/>
      <c r="P643" s="48"/>
      <c r="Q643" s="17"/>
      <c r="R643" s="17"/>
      <c r="S643" s="17"/>
      <c r="T643" s="17"/>
      <c r="U643" s="17"/>
      <c r="V643" s="17"/>
      <c r="W643" s="31"/>
      <c r="X643" s="17"/>
      <c r="Y643" s="17"/>
      <c r="Z643" s="31"/>
      <c r="AA643" s="17"/>
      <c r="AB643" s="17"/>
      <c r="AC643" s="17"/>
      <c r="AD643" s="32"/>
      <c r="AE643" s="31"/>
    </row>
    <row r="644" spans="14:31" x14ac:dyDescent="0.45">
      <c r="N644" s="10"/>
      <c r="P644" s="48"/>
      <c r="Q644" s="17"/>
      <c r="R644" s="17"/>
      <c r="S644" s="17"/>
      <c r="T644" s="17"/>
      <c r="U644" s="17"/>
      <c r="V644" s="17"/>
      <c r="W644" s="31"/>
      <c r="X644" s="17"/>
      <c r="Y644" s="17"/>
      <c r="Z644" s="31"/>
      <c r="AA644" s="17"/>
      <c r="AB644" s="17"/>
      <c r="AC644" s="17"/>
      <c r="AD644" s="32"/>
      <c r="AE644" s="31"/>
    </row>
    <row r="645" spans="14:31" x14ac:dyDescent="0.45">
      <c r="N645" s="10"/>
      <c r="P645" s="48"/>
      <c r="Q645" s="17"/>
      <c r="R645" s="17"/>
      <c r="S645" s="17"/>
      <c r="T645" s="17"/>
      <c r="U645" s="17"/>
      <c r="V645" s="17"/>
      <c r="W645" s="31"/>
      <c r="X645" s="17"/>
      <c r="Y645" s="17"/>
      <c r="Z645" s="31"/>
      <c r="AA645" s="17"/>
      <c r="AB645" s="17"/>
      <c r="AC645" s="17"/>
      <c r="AD645" s="32"/>
      <c r="AE645" s="31"/>
    </row>
    <row r="646" spans="14:31" x14ac:dyDescent="0.45">
      <c r="N646" s="10"/>
      <c r="P646" s="48"/>
      <c r="Q646" s="17"/>
      <c r="R646" s="17"/>
      <c r="S646" s="17"/>
      <c r="T646" s="17"/>
      <c r="U646" s="17"/>
      <c r="V646" s="17"/>
      <c r="W646" s="31"/>
      <c r="X646" s="17"/>
      <c r="Y646" s="17"/>
      <c r="Z646" s="31"/>
      <c r="AA646" s="17"/>
      <c r="AB646" s="17"/>
      <c r="AC646" s="17"/>
      <c r="AD646" s="32"/>
      <c r="AE646" s="31"/>
    </row>
    <row r="647" spans="14:31" x14ac:dyDescent="0.45">
      <c r="N647" s="10"/>
      <c r="P647" s="48"/>
      <c r="Q647" s="17"/>
      <c r="R647" s="17"/>
      <c r="S647" s="17"/>
      <c r="T647" s="17"/>
      <c r="U647" s="17"/>
      <c r="V647" s="17"/>
      <c r="W647" s="31"/>
      <c r="X647" s="17"/>
      <c r="Y647" s="17"/>
      <c r="Z647" s="31"/>
      <c r="AA647" s="17"/>
      <c r="AB647" s="17"/>
      <c r="AC647" s="17"/>
      <c r="AD647" s="32"/>
      <c r="AE647" s="31"/>
    </row>
    <row r="648" spans="14:31" x14ac:dyDescent="0.45">
      <c r="N648" s="10"/>
      <c r="P648" s="48"/>
      <c r="Q648" s="17"/>
      <c r="R648" s="17"/>
      <c r="S648" s="17"/>
      <c r="T648" s="17"/>
      <c r="U648" s="17"/>
      <c r="V648" s="17"/>
      <c r="W648" s="31"/>
      <c r="X648" s="17"/>
      <c r="Y648" s="17"/>
      <c r="Z648" s="31"/>
      <c r="AA648" s="17"/>
      <c r="AB648" s="17"/>
      <c r="AC648" s="17"/>
      <c r="AD648" s="32"/>
      <c r="AE648" s="31"/>
    </row>
    <row r="649" spans="14:31" x14ac:dyDescent="0.45">
      <c r="N649" s="10"/>
      <c r="P649" s="48"/>
      <c r="Q649" s="17"/>
      <c r="R649" s="17"/>
      <c r="S649" s="17"/>
      <c r="T649" s="17"/>
      <c r="U649" s="17"/>
      <c r="V649" s="17"/>
      <c r="W649" s="31"/>
      <c r="X649" s="17"/>
      <c r="Y649" s="17"/>
      <c r="Z649" s="31"/>
      <c r="AA649" s="17"/>
      <c r="AB649" s="17"/>
      <c r="AC649" s="17"/>
      <c r="AD649" s="32"/>
      <c r="AE649" s="31"/>
    </row>
    <row r="650" spans="14:31" x14ac:dyDescent="0.45">
      <c r="N650" s="10"/>
      <c r="P650" s="48"/>
      <c r="Q650" s="17"/>
      <c r="R650" s="17"/>
      <c r="S650" s="17"/>
      <c r="T650" s="17"/>
      <c r="U650" s="17"/>
      <c r="V650" s="17"/>
      <c r="W650" s="31"/>
      <c r="X650" s="17"/>
      <c r="Y650" s="17"/>
      <c r="Z650" s="31"/>
      <c r="AA650" s="17"/>
      <c r="AB650" s="17"/>
      <c r="AC650" s="17"/>
      <c r="AD650" s="32"/>
      <c r="AE650" s="31"/>
    </row>
    <row r="651" spans="14:31" x14ac:dyDescent="0.45">
      <c r="N651" s="10"/>
      <c r="P651" s="48"/>
      <c r="Q651" s="17"/>
      <c r="R651" s="17"/>
      <c r="S651" s="17"/>
      <c r="T651" s="17"/>
      <c r="U651" s="17"/>
      <c r="V651" s="17"/>
      <c r="W651" s="31"/>
      <c r="X651" s="17"/>
      <c r="Y651" s="17"/>
      <c r="Z651" s="31"/>
      <c r="AA651" s="17"/>
      <c r="AB651" s="17"/>
      <c r="AC651" s="17"/>
      <c r="AD651" s="32"/>
      <c r="AE651" s="31"/>
    </row>
    <row r="652" spans="14:31" x14ac:dyDescent="0.45">
      <c r="N652" s="10"/>
      <c r="P652" s="48"/>
      <c r="Q652" s="17"/>
      <c r="R652" s="17"/>
      <c r="S652" s="17"/>
      <c r="T652" s="17"/>
      <c r="U652" s="17"/>
      <c r="V652" s="17"/>
      <c r="W652" s="31"/>
      <c r="X652" s="17"/>
      <c r="Y652" s="17"/>
      <c r="Z652" s="31"/>
      <c r="AA652" s="17"/>
      <c r="AB652" s="17"/>
      <c r="AC652" s="17"/>
      <c r="AD652" s="32"/>
      <c r="AE652" s="31"/>
    </row>
    <row r="653" spans="14:31" x14ac:dyDescent="0.45">
      <c r="N653" s="10"/>
      <c r="P653" s="48"/>
      <c r="Q653" s="17"/>
      <c r="R653" s="17"/>
      <c r="S653" s="17"/>
      <c r="T653" s="17"/>
      <c r="U653" s="17"/>
      <c r="V653" s="17"/>
      <c r="W653" s="31"/>
      <c r="X653" s="17"/>
      <c r="Y653" s="17"/>
      <c r="Z653" s="31"/>
      <c r="AA653" s="17"/>
      <c r="AB653" s="17"/>
      <c r="AC653" s="17"/>
      <c r="AD653" s="32"/>
      <c r="AE653" s="31"/>
    </row>
    <row r="654" spans="14:31" x14ac:dyDescent="0.45">
      <c r="N654" s="10"/>
      <c r="P654" s="48"/>
      <c r="Q654" s="17"/>
      <c r="R654" s="17"/>
      <c r="S654" s="17"/>
      <c r="T654" s="17"/>
      <c r="U654" s="17"/>
      <c r="V654" s="17"/>
      <c r="W654" s="31"/>
      <c r="X654" s="17"/>
      <c r="Y654" s="17"/>
      <c r="Z654" s="31"/>
      <c r="AA654" s="17"/>
      <c r="AB654" s="17"/>
      <c r="AC654" s="17"/>
      <c r="AD654" s="32"/>
      <c r="AE654" s="31"/>
    </row>
    <row r="655" spans="14:31" x14ac:dyDescent="0.45">
      <c r="N655" s="10"/>
      <c r="P655" s="48"/>
      <c r="Q655" s="17"/>
      <c r="R655" s="17"/>
      <c r="S655" s="17"/>
      <c r="T655" s="17"/>
      <c r="U655" s="17"/>
      <c r="V655" s="17"/>
      <c r="W655" s="31"/>
      <c r="X655" s="17"/>
      <c r="Y655" s="17"/>
      <c r="Z655" s="31"/>
      <c r="AA655" s="17"/>
      <c r="AB655" s="17"/>
      <c r="AC655" s="17"/>
      <c r="AD655" s="32"/>
      <c r="AE655" s="31"/>
    </row>
    <row r="656" spans="14:31" x14ac:dyDescent="0.45">
      <c r="N656" s="10"/>
      <c r="P656" s="48"/>
      <c r="Q656" s="17"/>
      <c r="R656" s="17"/>
      <c r="S656" s="17"/>
      <c r="T656" s="17"/>
      <c r="U656" s="17"/>
      <c r="V656" s="17"/>
      <c r="W656" s="31"/>
      <c r="X656" s="17"/>
      <c r="Y656" s="17"/>
      <c r="Z656" s="31"/>
      <c r="AA656" s="17"/>
      <c r="AB656" s="17"/>
      <c r="AC656" s="17"/>
      <c r="AD656" s="32"/>
      <c r="AE656" s="31"/>
    </row>
    <row r="657" spans="14:31" x14ac:dyDescent="0.45">
      <c r="N657" s="10"/>
      <c r="P657" s="48"/>
      <c r="Q657" s="17"/>
      <c r="R657" s="17"/>
      <c r="S657" s="17"/>
      <c r="T657" s="17"/>
      <c r="U657" s="17"/>
      <c r="V657" s="17"/>
      <c r="W657" s="31"/>
      <c r="X657" s="17"/>
      <c r="Y657" s="17"/>
      <c r="Z657" s="31"/>
      <c r="AA657" s="17"/>
      <c r="AB657" s="17"/>
      <c r="AC657" s="17"/>
      <c r="AD657" s="32"/>
      <c r="AE657" s="31"/>
    </row>
    <row r="658" spans="14:31" x14ac:dyDescent="0.45">
      <c r="N658" s="10"/>
      <c r="P658" s="48"/>
      <c r="Q658" s="17"/>
      <c r="R658" s="17"/>
      <c r="S658" s="17"/>
      <c r="T658" s="17"/>
      <c r="U658" s="17"/>
      <c r="V658" s="17"/>
      <c r="W658" s="31"/>
      <c r="X658" s="17"/>
      <c r="Y658" s="17"/>
      <c r="Z658" s="31"/>
      <c r="AA658" s="17"/>
      <c r="AB658" s="17"/>
      <c r="AC658" s="17"/>
      <c r="AD658" s="32"/>
      <c r="AE658" s="31"/>
    </row>
    <row r="659" spans="14:31" x14ac:dyDescent="0.45">
      <c r="N659" s="10"/>
      <c r="P659" s="48"/>
      <c r="Q659" s="17"/>
      <c r="R659" s="17"/>
      <c r="S659" s="17"/>
      <c r="T659" s="17"/>
      <c r="U659" s="17"/>
      <c r="V659" s="17"/>
      <c r="W659" s="31"/>
      <c r="X659" s="17"/>
      <c r="Y659" s="17"/>
      <c r="Z659" s="31"/>
      <c r="AA659" s="17"/>
      <c r="AB659" s="17"/>
      <c r="AC659" s="17"/>
      <c r="AD659" s="32"/>
      <c r="AE659" s="31"/>
    </row>
    <row r="660" spans="14:31" x14ac:dyDescent="0.45">
      <c r="N660" s="10"/>
      <c r="P660" s="48"/>
      <c r="Q660" s="17"/>
      <c r="R660" s="17"/>
      <c r="S660" s="17"/>
      <c r="T660" s="17"/>
      <c r="U660" s="17"/>
      <c r="V660" s="17"/>
      <c r="W660" s="31"/>
      <c r="X660" s="17"/>
      <c r="Y660" s="17"/>
      <c r="Z660" s="31"/>
      <c r="AA660" s="17"/>
      <c r="AB660" s="17"/>
      <c r="AC660" s="17"/>
      <c r="AD660" s="32"/>
      <c r="AE660" s="31"/>
    </row>
    <row r="661" spans="14:31" x14ac:dyDescent="0.45">
      <c r="N661" s="10"/>
      <c r="P661" s="48"/>
      <c r="Q661" s="17"/>
      <c r="R661" s="17"/>
      <c r="S661" s="17"/>
      <c r="T661" s="17"/>
      <c r="U661" s="17"/>
      <c r="V661" s="17"/>
      <c r="W661" s="31"/>
      <c r="X661" s="17"/>
      <c r="Y661" s="17"/>
      <c r="Z661" s="31"/>
      <c r="AA661" s="17"/>
      <c r="AB661" s="17"/>
      <c r="AC661" s="17"/>
      <c r="AD661" s="32"/>
      <c r="AE661" s="31"/>
    </row>
    <row r="662" spans="14:31" x14ac:dyDescent="0.45">
      <c r="N662" s="10"/>
      <c r="P662" s="48"/>
      <c r="Q662" s="17"/>
      <c r="R662" s="17"/>
      <c r="S662" s="17"/>
      <c r="T662" s="17"/>
      <c r="U662" s="17"/>
      <c r="V662" s="17"/>
      <c r="W662" s="31"/>
      <c r="X662" s="17"/>
      <c r="Y662" s="17"/>
      <c r="Z662" s="31"/>
      <c r="AA662" s="17"/>
      <c r="AB662" s="17"/>
      <c r="AC662" s="17"/>
      <c r="AD662" s="32"/>
      <c r="AE662" s="31"/>
    </row>
    <row r="663" spans="14:31" x14ac:dyDescent="0.45">
      <c r="N663" s="10"/>
      <c r="P663" s="48"/>
      <c r="Q663" s="17"/>
      <c r="R663" s="17"/>
      <c r="S663" s="17"/>
      <c r="T663" s="17"/>
      <c r="U663" s="17"/>
      <c r="V663" s="17"/>
      <c r="W663" s="31"/>
      <c r="X663" s="17"/>
      <c r="Y663" s="17"/>
      <c r="Z663" s="31"/>
      <c r="AA663" s="17"/>
      <c r="AB663" s="17"/>
      <c r="AC663" s="17"/>
      <c r="AD663" s="32"/>
      <c r="AE663" s="31"/>
    </row>
    <row r="664" spans="14:31" x14ac:dyDescent="0.45">
      <c r="N664" s="10"/>
      <c r="P664" s="48"/>
      <c r="Q664" s="17"/>
      <c r="R664" s="17"/>
      <c r="S664" s="17"/>
      <c r="T664" s="17"/>
      <c r="U664" s="17"/>
      <c r="V664" s="17"/>
      <c r="W664" s="31"/>
      <c r="X664" s="17"/>
      <c r="Y664" s="17"/>
      <c r="Z664" s="31"/>
      <c r="AA664" s="17"/>
      <c r="AB664" s="17"/>
      <c r="AC664" s="17"/>
      <c r="AD664" s="32"/>
      <c r="AE664" s="31"/>
    </row>
    <row r="665" spans="14:31" x14ac:dyDescent="0.45">
      <c r="N665" s="10"/>
      <c r="P665" s="48"/>
      <c r="Q665" s="17"/>
      <c r="R665" s="17"/>
      <c r="S665" s="17"/>
      <c r="T665" s="17"/>
      <c r="U665" s="17"/>
      <c r="V665" s="17"/>
      <c r="W665" s="31"/>
      <c r="X665" s="17"/>
      <c r="Y665" s="17"/>
      <c r="Z665" s="31"/>
      <c r="AA665" s="17"/>
      <c r="AB665" s="17"/>
      <c r="AC665" s="17"/>
      <c r="AD665" s="32"/>
      <c r="AE665" s="31"/>
    </row>
    <row r="666" spans="14:31" x14ac:dyDescent="0.45">
      <c r="N666" s="10"/>
      <c r="P666" s="48"/>
      <c r="Q666" s="17"/>
      <c r="R666" s="17"/>
      <c r="S666" s="17"/>
      <c r="T666" s="17"/>
      <c r="U666" s="17"/>
      <c r="V666" s="17"/>
      <c r="W666" s="31"/>
      <c r="X666" s="17"/>
      <c r="Y666" s="17"/>
      <c r="Z666" s="31"/>
      <c r="AA666" s="17"/>
      <c r="AB666" s="17"/>
      <c r="AC666" s="17"/>
      <c r="AD666" s="32"/>
      <c r="AE666" s="31"/>
    </row>
    <row r="667" spans="14:31" x14ac:dyDescent="0.45">
      <c r="N667" s="10"/>
      <c r="P667" s="48"/>
      <c r="Q667" s="17"/>
      <c r="R667" s="17"/>
      <c r="S667" s="17"/>
      <c r="T667" s="17"/>
      <c r="U667" s="17"/>
      <c r="V667" s="17"/>
      <c r="W667" s="31"/>
      <c r="X667" s="17"/>
      <c r="Y667" s="17"/>
      <c r="Z667" s="31"/>
      <c r="AA667" s="17"/>
      <c r="AB667" s="17"/>
      <c r="AC667" s="17"/>
      <c r="AD667" s="32"/>
      <c r="AE667" s="31"/>
    </row>
    <row r="668" spans="14:31" x14ac:dyDescent="0.45">
      <c r="N668" s="10"/>
      <c r="P668" s="48"/>
      <c r="Q668" s="17"/>
      <c r="R668" s="17"/>
      <c r="S668" s="17"/>
      <c r="T668" s="17"/>
      <c r="U668" s="17"/>
      <c r="V668" s="17"/>
      <c r="W668" s="31"/>
      <c r="X668" s="17"/>
      <c r="Y668" s="17"/>
      <c r="Z668" s="31"/>
      <c r="AA668" s="17"/>
      <c r="AB668" s="17"/>
      <c r="AC668" s="17"/>
      <c r="AD668" s="32"/>
      <c r="AE668" s="31"/>
    </row>
    <row r="669" spans="14:31" x14ac:dyDescent="0.45">
      <c r="N669" s="10"/>
      <c r="P669" s="48"/>
      <c r="Q669" s="17"/>
      <c r="R669" s="17"/>
      <c r="S669" s="17"/>
      <c r="T669" s="17"/>
      <c r="U669" s="17"/>
      <c r="V669" s="17"/>
      <c r="W669" s="31"/>
      <c r="X669" s="17"/>
      <c r="Y669" s="17"/>
      <c r="Z669" s="31"/>
      <c r="AA669" s="17"/>
      <c r="AB669" s="17"/>
      <c r="AC669" s="17"/>
      <c r="AD669" s="32"/>
      <c r="AE669" s="31"/>
    </row>
    <row r="670" spans="14:31" x14ac:dyDescent="0.45">
      <c r="N670" s="10"/>
      <c r="P670" s="48"/>
      <c r="Q670" s="17"/>
      <c r="R670" s="17"/>
      <c r="S670" s="17"/>
      <c r="T670" s="17"/>
      <c r="U670" s="17"/>
      <c r="V670" s="17"/>
      <c r="W670" s="31"/>
      <c r="X670" s="17"/>
      <c r="Y670" s="17"/>
      <c r="Z670" s="31"/>
      <c r="AA670" s="17"/>
      <c r="AB670" s="17"/>
      <c r="AC670" s="17"/>
      <c r="AD670" s="32"/>
      <c r="AE670" s="31"/>
    </row>
    <row r="671" spans="14:31" x14ac:dyDescent="0.45">
      <c r="N671" s="10"/>
      <c r="P671" s="48"/>
      <c r="Q671" s="17"/>
      <c r="R671" s="17"/>
      <c r="S671" s="17"/>
      <c r="T671" s="17"/>
      <c r="U671" s="17"/>
      <c r="V671" s="17"/>
      <c r="W671" s="31"/>
      <c r="X671" s="17"/>
      <c r="Y671" s="17"/>
      <c r="Z671" s="31"/>
      <c r="AA671" s="17"/>
      <c r="AB671" s="17"/>
      <c r="AC671" s="17"/>
      <c r="AD671" s="32"/>
      <c r="AE671" s="31"/>
    </row>
    <row r="672" spans="14:31" x14ac:dyDescent="0.45">
      <c r="N672" s="10"/>
      <c r="P672" s="48"/>
      <c r="Q672" s="17"/>
      <c r="R672" s="17"/>
      <c r="S672" s="17"/>
      <c r="T672" s="17"/>
      <c r="U672" s="17"/>
      <c r="V672" s="17"/>
      <c r="W672" s="31"/>
      <c r="X672" s="17"/>
      <c r="Y672" s="17"/>
      <c r="Z672" s="31"/>
      <c r="AA672" s="17"/>
      <c r="AB672" s="17"/>
      <c r="AC672" s="17"/>
      <c r="AD672" s="32"/>
      <c r="AE672" s="31"/>
    </row>
    <row r="673" spans="14:31" x14ac:dyDescent="0.45">
      <c r="N673" s="10"/>
      <c r="P673" s="48"/>
      <c r="Q673" s="17"/>
      <c r="R673" s="17"/>
      <c r="S673" s="17"/>
      <c r="T673" s="17"/>
      <c r="U673" s="17"/>
      <c r="V673" s="17"/>
      <c r="W673" s="31"/>
      <c r="X673" s="17"/>
      <c r="Y673" s="17"/>
      <c r="Z673" s="31"/>
      <c r="AA673" s="17"/>
      <c r="AB673" s="17"/>
      <c r="AC673" s="17"/>
      <c r="AD673" s="32"/>
      <c r="AE673" s="31"/>
    </row>
    <row r="674" spans="14:31" x14ac:dyDescent="0.45">
      <c r="N674" s="10"/>
      <c r="P674" s="48"/>
      <c r="Q674" s="17"/>
      <c r="R674" s="17"/>
      <c r="S674" s="17"/>
      <c r="T674" s="17"/>
      <c r="U674" s="17"/>
      <c r="V674" s="17"/>
      <c r="W674" s="31"/>
      <c r="X674" s="17"/>
      <c r="Y674" s="17"/>
      <c r="Z674" s="31"/>
      <c r="AA674" s="17"/>
      <c r="AB674" s="17"/>
      <c r="AC674" s="17"/>
      <c r="AD674" s="32"/>
      <c r="AE674" s="31"/>
    </row>
    <row r="675" spans="14:31" x14ac:dyDescent="0.45">
      <c r="N675" s="10"/>
      <c r="P675" s="48"/>
      <c r="Q675" s="17"/>
      <c r="R675" s="17"/>
      <c r="S675" s="17"/>
      <c r="T675" s="17"/>
      <c r="U675" s="17"/>
      <c r="V675" s="17"/>
      <c r="W675" s="31"/>
      <c r="X675" s="17"/>
      <c r="Y675" s="17"/>
      <c r="Z675" s="31"/>
      <c r="AA675" s="17"/>
      <c r="AB675" s="17"/>
      <c r="AC675" s="17"/>
      <c r="AD675" s="32"/>
      <c r="AE675" s="31"/>
    </row>
    <row r="676" spans="14:31" x14ac:dyDescent="0.45">
      <c r="N676" s="10"/>
      <c r="P676" s="48"/>
      <c r="Q676" s="17"/>
      <c r="R676" s="17"/>
      <c r="S676" s="17"/>
      <c r="T676" s="17"/>
      <c r="U676" s="17"/>
      <c r="V676" s="17"/>
      <c r="W676" s="31"/>
      <c r="X676" s="17"/>
      <c r="Y676" s="17"/>
      <c r="Z676" s="31"/>
      <c r="AA676" s="17"/>
      <c r="AB676" s="17"/>
      <c r="AC676" s="17"/>
      <c r="AD676" s="32"/>
      <c r="AE676" s="31"/>
    </row>
    <row r="677" spans="14:31" x14ac:dyDescent="0.45">
      <c r="N677" s="10"/>
      <c r="P677" s="48"/>
      <c r="Q677" s="17"/>
      <c r="R677" s="17"/>
      <c r="S677" s="17"/>
      <c r="T677" s="17"/>
      <c r="U677" s="17"/>
      <c r="V677" s="17"/>
      <c r="W677" s="31"/>
      <c r="X677" s="17"/>
      <c r="Y677" s="17"/>
      <c r="Z677" s="31"/>
      <c r="AA677" s="17"/>
      <c r="AB677" s="17"/>
      <c r="AC677" s="17"/>
      <c r="AD677" s="32"/>
      <c r="AE677" s="31"/>
    </row>
    <row r="678" spans="14:31" x14ac:dyDescent="0.45">
      <c r="N678" s="10"/>
      <c r="P678" s="48"/>
      <c r="Q678" s="17"/>
      <c r="R678" s="17"/>
      <c r="S678" s="17"/>
      <c r="T678" s="17"/>
      <c r="U678" s="17"/>
      <c r="V678" s="17"/>
      <c r="W678" s="31"/>
      <c r="X678" s="17"/>
      <c r="Y678" s="17"/>
      <c r="Z678" s="31"/>
      <c r="AA678" s="17"/>
      <c r="AB678" s="17"/>
      <c r="AC678" s="17"/>
      <c r="AD678" s="32"/>
      <c r="AE678" s="31"/>
    </row>
    <row r="679" spans="14:31" x14ac:dyDescent="0.45">
      <c r="N679" s="10"/>
      <c r="P679" s="48"/>
      <c r="Q679" s="17"/>
      <c r="R679" s="17"/>
      <c r="S679" s="17"/>
      <c r="T679" s="17"/>
      <c r="U679" s="17"/>
      <c r="V679" s="17"/>
      <c r="W679" s="31"/>
      <c r="X679" s="17"/>
      <c r="Y679" s="17"/>
      <c r="Z679" s="31"/>
      <c r="AA679" s="17"/>
      <c r="AB679" s="17"/>
      <c r="AC679" s="17"/>
      <c r="AD679" s="32"/>
      <c r="AE679" s="31"/>
    </row>
    <row r="680" spans="14:31" x14ac:dyDescent="0.45">
      <c r="N680" s="10"/>
      <c r="P680" s="48"/>
      <c r="Q680" s="17"/>
      <c r="R680" s="17"/>
      <c r="S680" s="17"/>
      <c r="T680" s="17"/>
      <c r="U680" s="17"/>
      <c r="V680" s="17"/>
      <c r="W680" s="31"/>
      <c r="X680" s="17"/>
      <c r="Y680" s="17"/>
      <c r="Z680" s="31"/>
      <c r="AA680" s="17"/>
      <c r="AB680" s="17"/>
      <c r="AC680" s="17"/>
      <c r="AD680" s="32"/>
      <c r="AE680" s="31"/>
    </row>
    <row r="681" spans="14:31" x14ac:dyDescent="0.45">
      <c r="N681" s="10"/>
      <c r="P681" s="48"/>
      <c r="Q681" s="17"/>
      <c r="R681" s="17"/>
      <c r="S681" s="17"/>
      <c r="T681" s="17"/>
      <c r="U681" s="17"/>
      <c r="V681" s="17"/>
      <c r="W681" s="31"/>
      <c r="X681" s="17"/>
      <c r="Y681" s="17"/>
      <c r="Z681" s="31"/>
      <c r="AA681" s="17"/>
      <c r="AB681" s="17"/>
      <c r="AC681" s="17"/>
      <c r="AD681" s="32"/>
      <c r="AE681" s="31"/>
    </row>
    <row r="682" spans="14:31" x14ac:dyDescent="0.45">
      <c r="N682" s="10"/>
      <c r="P682" s="48"/>
      <c r="Q682" s="17"/>
      <c r="R682" s="17"/>
      <c r="S682" s="17"/>
      <c r="T682" s="17"/>
      <c r="U682" s="17"/>
      <c r="V682" s="17"/>
      <c r="W682" s="31"/>
      <c r="X682" s="17"/>
      <c r="Y682" s="17"/>
      <c r="Z682" s="31"/>
      <c r="AA682" s="17"/>
      <c r="AB682" s="17"/>
      <c r="AC682" s="17"/>
      <c r="AD682" s="32"/>
      <c r="AE682" s="31"/>
    </row>
    <row r="683" spans="14:31" x14ac:dyDescent="0.45">
      <c r="N683" s="10"/>
      <c r="P683" s="48"/>
      <c r="Q683" s="17"/>
      <c r="R683" s="17"/>
      <c r="S683" s="17"/>
      <c r="T683" s="17"/>
      <c r="U683" s="17"/>
      <c r="V683" s="17"/>
      <c r="W683" s="31"/>
      <c r="X683" s="17"/>
      <c r="Y683" s="17"/>
      <c r="Z683" s="31"/>
      <c r="AA683" s="17"/>
      <c r="AB683" s="17"/>
      <c r="AC683" s="17"/>
      <c r="AD683" s="32"/>
      <c r="AE683" s="31"/>
    </row>
    <row r="684" spans="14:31" x14ac:dyDescent="0.45">
      <c r="N684" s="10"/>
      <c r="P684" s="48"/>
      <c r="Q684" s="17"/>
      <c r="R684" s="17"/>
      <c r="S684" s="17"/>
      <c r="T684" s="17"/>
      <c r="U684" s="17"/>
      <c r="V684" s="17"/>
      <c r="W684" s="31"/>
      <c r="X684" s="17"/>
      <c r="Y684" s="17"/>
      <c r="Z684" s="31"/>
      <c r="AA684" s="17"/>
      <c r="AB684" s="17"/>
      <c r="AC684" s="17"/>
      <c r="AD684" s="32"/>
      <c r="AE684" s="31"/>
    </row>
    <row r="685" spans="14:31" x14ac:dyDescent="0.45">
      <c r="N685" s="10"/>
      <c r="P685" s="48"/>
      <c r="Q685" s="17"/>
      <c r="R685" s="17"/>
      <c r="S685" s="17"/>
      <c r="T685" s="17"/>
      <c r="U685" s="17"/>
      <c r="V685" s="17"/>
      <c r="W685" s="31"/>
      <c r="X685" s="17"/>
      <c r="Y685" s="17"/>
      <c r="Z685" s="31"/>
      <c r="AA685" s="17"/>
      <c r="AB685" s="17"/>
      <c r="AC685" s="17"/>
      <c r="AD685" s="32"/>
      <c r="AE685" s="31"/>
    </row>
    <row r="686" spans="14:31" x14ac:dyDescent="0.45">
      <c r="N686" s="10"/>
      <c r="P686" s="48"/>
      <c r="Q686" s="17"/>
      <c r="R686" s="17"/>
      <c r="S686" s="17"/>
      <c r="T686" s="17"/>
      <c r="U686" s="17"/>
      <c r="V686" s="17"/>
      <c r="W686" s="31"/>
      <c r="X686" s="17"/>
      <c r="Y686" s="17"/>
      <c r="Z686" s="31"/>
      <c r="AA686" s="17"/>
      <c r="AB686" s="17"/>
      <c r="AC686" s="17"/>
      <c r="AD686" s="32"/>
      <c r="AE686" s="31"/>
    </row>
    <row r="687" spans="14:31" x14ac:dyDescent="0.45">
      <c r="N687" s="10"/>
      <c r="P687" s="48"/>
      <c r="Q687" s="17"/>
      <c r="R687" s="17"/>
      <c r="S687" s="17"/>
      <c r="T687" s="17"/>
      <c r="U687" s="17"/>
      <c r="V687" s="17"/>
      <c r="W687" s="31"/>
      <c r="X687" s="17"/>
      <c r="Y687" s="17"/>
      <c r="Z687" s="31"/>
      <c r="AA687" s="17"/>
      <c r="AB687" s="17"/>
      <c r="AC687" s="17"/>
      <c r="AD687" s="32"/>
      <c r="AE687" s="31"/>
    </row>
    <row r="688" spans="14:31" x14ac:dyDescent="0.45">
      <c r="N688" s="10"/>
      <c r="P688" s="48"/>
      <c r="Q688" s="17"/>
      <c r="R688" s="17"/>
      <c r="S688" s="17"/>
      <c r="T688" s="17"/>
      <c r="U688" s="17"/>
      <c r="V688" s="17"/>
      <c r="W688" s="31"/>
      <c r="X688" s="17"/>
      <c r="Y688" s="17"/>
      <c r="Z688" s="31"/>
      <c r="AA688" s="17"/>
      <c r="AB688" s="17"/>
      <c r="AC688" s="17"/>
      <c r="AD688" s="32"/>
      <c r="AE688" s="31"/>
    </row>
    <row r="689" spans="14:31" x14ac:dyDescent="0.45">
      <c r="N689" s="10"/>
      <c r="P689" s="48"/>
      <c r="Q689" s="17"/>
      <c r="R689" s="17"/>
      <c r="S689" s="17"/>
      <c r="T689" s="17"/>
      <c r="U689" s="17"/>
      <c r="V689" s="17"/>
      <c r="W689" s="31"/>
      <c r="X689" s="17"/>
      <c r="Y689" s="17"/>
      <c r="Z689" s="31"/>
      <c r="AA689" s="17"/>
      <c r="AB689" s="17"/>
      <c r="AC689" s="17"/>
      <c r="AD689" s="32"/>
      <c r="AE689" s="31"/>
    </row>
    <row r="690" spans="14:31" x14ac:dyDescent="0.45">
      <c r="N690" s="10"/>
      <c r="P690" s="48"/>
      <c r="Q690" s="17"/>
      <c r="R690" s="17"/>
      <c r="S690" s="17"/>
      <c r="T690" s="17"/>
      <c r="U690" s="17"/>
      <c r="V690" s="17"/>
      <c r="W690" s="31"/>
      <c r="X690" s="17"/>
      <c r="Y690" s="17"/>
      <c r="Z690" s="31"/>
      <c r="AA690" s="17"/>
      <c r="AB690" s="17"/>
      <c r="AC690" s="17"/>
      <c r="AD690" s="32"/>
      <c r="AE690" s="31"/>
    </row>
    <row r="691" spans="14:31" x14ac:dyDescent="0.45">
      <c r="N691" s="10"/>
      <c r="P691" s="48"/>
      <c r="Q691" s="17"/>
      <c r="R691" s="17"/>
      <c r="S691" s="17"/>
      <c r="T691" s="17"/>
      <c r="U691" s="17"/>
      <c r="V691" s="17"/>
      <c r="W691" s="31"/>
      <c r="X691" s="17"/>
      <c r="Y691" s="17"/>
      <c r="Z691" s="31"/>
      <c r="AA691" s="17"/>
      <c r="AB691" s="17"/>
      <c r="AC691" s="17"/>
      <c r="AD691" s="32"/>
      <c r="AE691" s="31"/>
    </row>
    <row r="692" spans="14:31" x14ac:dyDescent="0.45">
      <c r="N692" s="10"/>
      <c r="P692" s="48"/>
      <c r="Q692" s="17"/>
      <c r="R692" s="17"/>
      <c r="S692" s="17"/>
      <c r="T692" s="17"/>
      <c r="U692" s="17"/>
      <c r="V692" s="17"/>
      <c r="W692" s="31"/>
      <c r="X692" s="17"/>
      <c r="Y692" s="17"/>
      <c r="Z692" s="31"/>
      <c r="AA692" s="17"/>
      <c r="AB692" s="17"/>
      <c r="AC692" s="17"/>
      <c r="AD692" s="32"/>
      <c r="AE692" s="31"/>
    </row>
    <row r="693" spans="14:31" x14ac:dyDescent="0.45">
      <c r="N693" s="10"/>
      <c r="P693" s="48"/>
      <c r="Q693" s="17"/>
      <c r="R693" s="17"/>
      <c r="S693" s="17"/>
      <c r="T693" s="17"/>
      <c r="U693" s="17"/>
      <c r="V693" s="17"/>
      <c r="W693" s="31"/>
      <c r="X693" s="17"/>
      <c r="Y693" s="17"/>
      <c r="Z693" s="31"/>
      <c r="AA693" s="17"/>
      <c r="AB693" s="17"/>
      <c r="AC693" s="17"/>
      <c r="AD693" s="32"/>
      <c r="AE693" s="31"/>
    </row>
    <row r="694" spans="14:31" x14ac:dyDescent="0.45">
      <c r="N694" s="10"/>
      <c r="P694" s="48"/>
      <c r="Q694" s="17"/>
      <c r="R694" s="17"/>
      <c r="S694" s="17"/>
      <c r="T694" s="17"/>
      <c r="U694" s="17"/>
      <c r="V694" s="17"/>
      <c r="W694" s="31"/>
      <c r="X694" s="17"/>
      <c r="Y694" s="17"/>
      <c r="Z694" s="31"/>
      <c r="AA694" s="17"/>
      <c r="AB694" s="17"/>
      <c r="AC694" s="17"/>
      <c r="AD694" s="32"/>
      <c r="AE694" s="31"/>
    </row>
    <row r="695" spans="14:31" x14ac:dyDescent="0.45">
      <c r="N695" s="10"/>
      <c r="P695" s="48"/>
      <c r="Q695" s="17"/>
      <c r="R695" s="17"/>
      <c r="S695" s="17"/>
      <c r="T695" s="17"/>
      <c r="U695" s="17"/>
      <c r="V695" s="17"/>
      <c r="W695" s="31"/>
      <c r="X695" s="17"/>
      <c r="Y695" s="17"/>
      <c r="Z695" s="31"/>
      <c r="AA695" s="17"/>
      <c r="AB695" s="17"/>
      <c r="AC695" s="17"/>
      <c r="AD695" s="32"/>
      <c r="AE695" s="31"/>
    </row>
    <row r="696" spans="14:31" x14ac:dyDescent="0.45">
      <c r="N696" s="10"/>
      <c r="P696" s="48"/>
      <c r="Q696" s="17"/>
      <c r="R696" s="17"/>
      <c r="S696" s="17"/>
      <c r="T696" s="17"/>
      <c r="U696" s="17"/>
      <c r="V696" s="17"/>
      <c r="W696" s="31"/>
      <c r="X696" s="17"/>
      <c r="Y696" s="17"/>
      <c r="Z696" s="31"/>
      <c r="AA696" s="17"/>
      <c r="AB696" s="17"/>
      <c r="AC696" s="17"/>
      <c r="AD696" s="32"/>
      <c r="AE696" s="31"/>
    </row>
    <row r="697" spans="14:31" x14ac:dyDescent="0.45">
      <c r="N697" s="10"/>
      <c r="P697" s="48"/>
      <c r="Q697" s="17"/>
      <c r="R697" s="17"/>
      <c r="S697" s="17"/>
      <c r="T697" s="17"/>
      <c r="U697" s="17"/>
      <c r="V697" s="17"/>
      <c r="W697" s="31"/>
      <c r="X697" s="17"/>
      <c r="Y697" s="17"/>
      <c r="Z697" s="31"/>
      <c r="AA697" s="17"/>
      <c r="AB697" s="17"/>
      <c r="AC697" s="17"/>
      <c r="AD697" s="32"/>
      <c r="AE697" s="31"/>
    </row>
    <row r="698" spans="14:31" x14ac:dyDescent="0.45">
      <c r="N698" s="10"/>
      <c r="P698" s="48"/>
      <c r="Q698" s="17"/>
      <c r="R698" s="17"/>
      <c r="S698" s="17"/>
      <c r="T698" s="17"/>
      <c r="U698" s="17"/>
      <c r="V698" s="17"/>
      <c r="W698" s="31"/>
      <c r="X698" s="17"/>
      <c r="Y698" s="17"/>
      <c r="Z698" s="31"/>
      <c r="AA698" s="17"/>
      <c r="AB698" s="17"/>
      <c r="AC698" s="17"/>
      <c r="AD698" s="32"/>
      <c r="AE698" s="31"/>
    </row>
    <row r="699" spans="14:31" x14ac:dyDescent="0.45">
      <c r="N699" s="10"/>
      <c r="P699" s="48"/>
      <c r="Q699" s="17"/>
      <c r="R699" s="17"/>
      <c r="S699" s="17"/>
      <c r="T699" s="17"/>
      <c r="U699" s="17"/>
      <c r="V699" s="17"/>
      <c r="W699" s="31"/>
      <c r="X699" s="17"/>
      <c r="Y699" s="17"/>
      <c r="Z699" s="31"/>
      <c r="AA699" s="17"/>
      <c r="AB699" s="17"/>
      <c r="AC699" s="17"/>
      <c r="AD699" s="32"/>
      <c r="AE699" s="31"/>
    </row>
    <row r="700" spans="14:31" x14ac:dyDescent="0.45">
      <c r="N700" s="10"/>
      <c r="P700" s="48"/>
      <c r="Q700" s="17"/>
      <c r="R700" s="17"/>
      <c r="S700" s="17"/>
      <c r="T700" s="17"/>
      <c r="U700" s="17"/>
      <c r="V700" s="17"/>
      <c r="W700" s="31"/>
      <c r="X700" s="17"/>
      <c r="Y700" s="17"/>
      <c r="Z700" s="31"/>
      <c r="AA700" s="17"/>
      <c r="AB700" s="17"/>
      <c r="AC700" s="17"/>
      <c r="AD700" s="32"/>
      <c r="AE700" s="31"/>
    </row>
    <row r="701" spans="14:31" x14ac:dyDescent="0.45">
      <c r="N701" s="10"/>
      <c r="P701" s="48"/>
      <c r="Q701" s="17"/>
      <c r="R701" s="17"/>
      <c r="S701" s="17"/>
      <c r="T701" s="17"/>
      <c r="U701" s="17"/>
      <c r="V701" s="17"/>
      <c r="W701" s="31"/>
      <c r="X701" s="17"/>
      <c r="Y701" s="17"/>
      <c r="Z701" s="31"/>
      <c r="AA701" s="17"/>
      <c r="AB701" s="17"/>
      <c r="AC701" s="17"/>
      <c r="AD701" s="32"/>
      <c r="AE701" s="31"/>
    </row>
    <row r="702" spans="14:31" x14ac:dyDescent="0.45">
      <c r="N702" s="10"/>
      <c r="P702" s="48"/>
      <c r="Q702" s="17"/>
      <c r="R702" s="17"/>
      <c r="S702" s="17"/>
      <c r="T702" s="17"/>
      <c r="U702" s="17"/>
      <c r="V702" s="17"/>
      <c r="W702" s="31"/>
      <c r="X702" s="17"/>
      <c r="Y702" s="17"/>
      <c r="Z702" s="31"/>
      <c r="AA702" s="17"/>
      <c r="AB702" s="17"/>
      <c r="AC702" s="17"/>
      <c r="AD702" s="32"/>
      <c r="AE702" s="31"/>
    </row>
    <row r="703" spans="14:31" x14ac:dyDescent="0.45">
      <c r="N703" s="10"/>
      <c r="P703" s="48"/>
      <c r="Q703" s="17"/>
      <c r="R703" s="17"/>
      <c r="S703" s="17"/>
      <c r="T703" s="17"/>
      <c r="U703" s="17"/>
      <c r="V703" s="17"/>
      <c r="W703" s="31"/>
      <c r="X703" s="17"/>
      <c r="Y703" s="17"/>
      <c r="Z703" s="31"/>
      <c r="AA703" s="17"/>
      <c r="AB703" s="17"/>
      <c r="AC703" s="17"/>
      <c r="AD703" s="32"/>
      <c r="AE703" s="31"/>
    </row>
    <row r="704" spans="14:31" x14ac:dyDescent="0.45">
      <c r="N704" s="10"/>
      <c r="P704" s="48"/>
      <c r="Q704" s="17"/>
      <c r="R704" s="17"/>
      <c r="S704" s="17"/>
      <c r="T704" s="17"/>
      <c r="U704" s="17"/>
      <c r="V704" s="17"/>
      <c r="W704" s="31"/>
      <c r="X704" s="17"/>
      <c r="Y704" s="17"/>
      <c r="Z704" s="31"/>
      <c r="AA704" s="17"/>
      <c r="AB704" s="17"/>
      <c r="AC704" s="17"/>
      <c r="AD704" s="32"/>
      <c r="AE704" s="31"/>
    </row>
    <row r="705" spans="14:31" x14ac:dyDescent="0.45">
      <c r="N705" s="10"/>
      <c r="P705" s="48"/>
      <c r="Q705" s="17"/>
      <c r="R705" s="17"/>
      <c r="S705" s="17"/>
      <c r="T705" s="17"/>
      <c r="U705" s="17"/>
      <c r="V705" s="17"/>
      <c r="W705" s="31"/>
      <c r="X705" s="17"/>
      <c r="Y705" s="17"/>
      <c r="Z705" s="31"/>
      <c r="AA705" s="17"/>
      <c r="AB705" s="17"/>
      <c r="AC705" s="17"/>
      <c r="AD705" s="32"/>
      <c r="AE705" s="31"/>
    </row>
    <row r="706" spans="14:31" x14ac:dyDescent="0.45">
      <c r="N706" s="10"/>
      <c r="P706" s="48"/>
      <c r="Q706" s="17"/>
      <c r="R706" s="17"/>
      <c r="S706" s="17"/>
      <c r="T706" s="17"/>
      <c r="U706" s="17"/>
      <c r="V706" s="17"/>
      <c r="W706" s="31"/>
      <c r="X706" s="17"/>
      <c r="Y706" s="17"/>
      <c r="Z706" s="31"/>
      <c r="AA706" s="17"/>
      <c r="AB706" s="17"/>
      <c r="AC706" s="17"/>
      <c r="AD706" s="32"/>
      <c r="AE706" s="31"/>
    </row>
    <row r="707" spans="14:31" x14ac:dyDescent="0.45">
      <c r="N707" s="10"/>
      <c r="P707" s="48"/>
      <c r="Q707" s="17"/>
      <c r="R707" s="17"/>
      <c r="S707" s="17"/>
      <c r="T707" s="17"/>
      <c r="U707" s="17"/>
      <c r="V707" s="17"/>
      <c r="W707" s="31"/>
      <c r="X707" s="17"/>
      <c r="Y707" s="17"/>
      <c r="Z707" s="31"/>
      <c r="AA707" s="17"/>
      <c r="AB707" s="17"/>
      <c r="AC707" s="17"/>
      <c r="AD707" s="32"/>
      <c r="AE707" s="31"/>
    </row>
    <row r="708" spans="14:31" x14ac:dyDescent="0.45">
      <c r="N708" s="10"/>
      <c r="P708" s="48"/>
      <c r="Q708" s="17"/>
      <c r="R708" s="17"/>
      <c r="S708" s="17"/>
      <c r="T708" s="17"/>
      <c r="U708" s="17"/>
      <c r="V708" s="17"/>
      <c r="W708" s="31"/>
      <c r="X708" s="17"/>
      <c r="Y708" s="17"/>
      <c r="Z708" s="31"/>
      <c r="AA708" s="17"/>
      <c r="AB708" s="17"/>
      <c r="AC708" s="17"/>
      <c r="AD708" s="32"/>
      <c r="AE708" s="31"/>
    </row>
  </sheetData>
  <mergeCells count="29">
    <mergeCell ref="A1:M1"/>
    <mergeCell ref="E6:K6"/>
    <mergeCell ref="Q17:S17"/>
    <mergeCell ref="T17:V17"/>
    <mergeCell ref="W17:Y17"/>
    <mergeCell ref="P16:AE16"/>
    <mergeCell ref="Z17:AB17"/>
    <mergeCell ref="N1:X1"/>
    <mergeCell ref="P4:AE4"/>
    <mergeCell ref="AF4:AU4"/>
    <mergeCell ref="AV4:AX4"/>
    <mergeCell ref="Q5:S5"/>
    <mergeCell ref="T5:V5"/>
    <mergeCell ref="W5:Y5"/>
    <mergeCell ref="Z5:AB5"/>
    <mergeCell ref="AC5:AE5"/>
    <mergeCell ref="AG5:AI5"/>
    <mergeCell ref="AJ5:AL5"/>
    <mergeCell ref="AM5:AO5"/>
    <mergeCell ref="AS5:AU5"/>
    <mergeCell ref="AV5:AX5"/>
    <mergeCell ref="AS17:AU17"/>
    <mergeCell ref="AC17:AE17"/>
    <mergeCell ref="AV16:AX16"/>
    <mergeCell ref="AV17:AX17"/>
    <mergeCell ref="AG17:AI17"/>
    <mergeCell ref="AJ17:AL17"/>
    <mergeCell ref="AM17:AO17"/>
    <mergeCell ref="AF16:AU16"/>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Q157"/>
  <sheetViews>
    <sheetView topLeftCell="BK1" zoomScale="70" zoomScaleNormal="70" workbookViewId="0">
      <pane ySplit="6" topLeftCell="A8" activePane="bottomLeft" state="frozen"/>
      <selection activeCell="B190" sqref="B190"/>
      <selection pane="bottomLeft" activeCell="B190" sqref="B190"/>
    </sheetView>
  </sheetViews>
  <sheetFormatPr defaultColWidth="8.86328125" defaultRowHeight="14.25" x14ac:dyDescent="0.45"/>
  <cols>
    <col min="1" max="1" width="25.3984375" style="49" customWidth="1"/>
    <col min="2" max="2" width="14.73046875" style="49" customWidth="1"/>
    <col min="3" max="9" width="8.86328125" style="49"/>
    <col min="10" max="10" width="10" style="49" bestFit="1" customWidth="1"/>
    <col min="11" max="20" width="8.86328125" style="49"/>
    <col min="21" max="21" width="7.86328125" style="49" customWidth="1"/>
    <col min="22" max="25" width="8.86328125" style="49"/>
    <col min="26" max="26" width="12" style="49" bestFit="1" customWidth="1"/>
    <col min="27" max="36" width="8.86328125" style="49"/>
    <col min="37" max="46" width="8.86328125" style="268"/>
    <col min="47" max="47" width="11.86328125" style="268" bestFit="1" customWidth="1"/>
    <col min="48" max="51" width="8.86328125" style="268"/>
    <col min="52" max="56" width="8.86328125" style="262"/>
    <col min="57" max="58" width="14.73046875" style="262" bestFit="1" customWidth="1"/>
    <col min="59" max="59" width="9.73046875" style="262" customWidth="1"/>
    <col min="60" max="60" width="9.3984375" style="262" customWidth="1"/>
    <col min="61" max="61" width="11.86328125" style="262" customWidth="1"/>
    <col min="62" max="62" width="11.86328125" style="49" customWidth="1"/>
    <col min="63" max="65" width="8.86328125" style="257"/>
    <col min="66" max="67" width="8.59765625" style="257" bestFit="1" customWidth="1"/>
    <col min="68" max="68" width="10.73046875" style="257" bestFit="1" customWidth="1"/>
    <col min="69" max="69" width="9.73046875" style="257" bestFit="1" customWidth="1"/>
    <col min="70" max="70" width="8.3984375" style="257" bestFit="1" customWidth="1"/>
    <col min="71" max="71" width="9.265625" style="257" bestFit="1" customWidth="1"/>
    <col min="72" max="72" width="11.265625" style="257" bestFit="1" customWidth="1"/>
    <col min="73" max="75" width="8.86328125" style="274"/>
    <col min="76" max="77" width="8.59765625" style="274" bestFit="1" customWidth="1"/>
    <col min="78" max="78" width="10.73046875" style="274" bestFit="1" customWidth="1"/>
    <col min="79" max="79" width="9.73046875" style="274" bestFit="1" customWidth="1"/>
    <col min="80" max="80" width="8.3984375" style="274" bestFit="1" customWidth="1"/>
    <col min="81" max="81" width="12.265625" style="274" bestFit="1" customWidth="1"/>
    <col min="82" max="82" width="11.265625" style="274" bestFit="1" customWidth="1"/>
    <col min="83" max="83" width="12.3984375" style="49" bestFit="1" customWidth="1"/>
    <col min="84" max="85" width="8.86328125" style="49"/>
    <col min="86" max="86" width="14.73046875" style="49" bestFit="1" customWidth="1"/>
    <col min="87" max="93" width="8.86328125" style="49"/>
    <col min="94" max="94" width="9.265625" style="49" customWidth="1"/>
    <col min="95" max="95" width="8.86328125" style="49" customWidth="1"/>
    <col min="96" max="16384" width="8.86328125" style="49"/>
  </cols>
  <sheetData>
    <row r="1" spans="1:95" ht="27.75" x14ac:dyDescent="0.75">
      <c r="A1" s="335" t="s">
        <v>14</v>
      </c>
      <c r="B1" s="335"/>
      <c r="C1" s="335"/>
      <c r="D1" s="335"/>
      <c r="E1" s="335"/>
      <c r="F1" s="335"/>
      <c r="G1" s="335"/>
      <c r="H1" s="335"/>
      <c r="I1" s="335"/>
      <c r="J1" s="335"/>
      <c r="K1" s="335"/>
      <c r="L1" s="335"/>
      <c r="M1" s="335"/>
    </row>
    <row r="2" spans="1:95" x14ac:dyDescent="0.45">
      <c r="AN2" s="268" t="s">
        <v>576</v>
      </c>
      <c r="AO2" s="268">
        <f>((NS1_/Np)^2)*Lm</f>
        <v>5.8800000000000002E-7</v>
      </c>
    </row>
    <row r="3" spans="1:95" ht="14.65" thickBot="1" x14ac:dyDescent="0.5">
      <c r="AX3" s="268" t="s">
        <v>633</v>
      </c>
    </row>
    <row r="4" spans="1:95" ht="14.65" thickBot="1" x14ac:dyDescent="0.5">
      <c r="R4" s="336" t="s">
        <v>313</v>
      </c>
      <c r="S4" s="333"/>
      <c r="T4" s="334"/>
      <c r="U4" s="337" t="s">
        <v>573</v>
      </c>
      <c r="V4" s="338"/>
      <c r="W4" s="338"/>
      <c r="X4" s="338"/>
      <c r="Y4" s="338"/>
      <c r="Z4" s="338"/>
      <c r="AA4" s="338"/>
      <c r="AB4" s="338"/>
      <c r="AC4" s="338"/>
      <c r="AD4" s="338"/>
      <c r="AE4" s="339"/>
      <c r="AF4" s="197"/>
      <c r="AG4" s="197"/>
      <c r="AH4" s="74"/>
      <c r="AI4" s="74"/>
      <c r="AJ4" s="77"/>
      <c r="AK4" s="340" t="s">
        <v>588</v>
      </c>
      <c r="AL4" s="341"/>
      <c r="AM4" s="341"/>
      <c r="AN4" s="341"/>
      <c r="AO4" s="341"/>
      <c r="AP4" s="341"/>
      <c r="AQ4" s="341"/>
      <c r="AR4" s="341"/>
      <c r="AS4" s="341"/>
      <c r="AT4" s="341"/>
      <c r="AU4" s="341"/>
      <c r="AV4" s="341"/>
      <c r="AW4" s="341"/>
      <c r="AX4" s="341"/>
      <c r="AY4" s="342"/>
      <c r="AZ4" s="352" t="s">
        <v>465</v>
      </c>
      <c r="BA4" s="353"/>
      <c r="BB4" s="353"/>
      <c r="BC4" s="353"/>
      <c r="BD4" s="353"/>
      <c r="BE4" s="353"/>
      <c r="BF4" s="353"/>
      <c r="BG4" s="353"/>
      <c r="BH4" s="353"/>
      <c r="BI4" s="354"/>
      <c r="BJ4" s="197"/>
      <c r="BK4" s="346" t="s">
        <v>601</v>
      </c>
      <c r="BL4" s="347"/>
      <c r="BM4" s="347"/>
      <c r="BN4" s="347"/>
      <c r="BO4" s="347"/>
      <c r="BP4" s="347"/>
      <c r="BQ4" s="347"/>
      <c r="BR4" s="347"/>
      <c r="BS4" s="347"/>
      <c r="BT4" s="347"/>
      <c r="BU4" s="355" t="s">
        <v>752</v>
      </c>
      <c r="BV4" s="356"/>
      <c r="BW4" s="356"/>
      <c r="BX4" s="356"/>
      <c r="BY4" s="356"/>
      <c r="BZ4" s="356"/>
      <c r="CA4" s="356"/>
      <c r="CB4" s="356"/>
      <c r="CC4" s="356"/>
      <c r="CD4" s="356"/>
      <c r="CE4" s="71"/>
      <c r="CF4" s="74"/>
      <c r="CG4" s="77"/>
      <c r="CI4" s="49" t="s">
        <v>606</v>
      </c>
    </row>
    <row r="5" spans="1:95" x14ac:dyDescent="0.45">
      <c r="R5" s="326"/>
      <c r="S5" s="327"/>
      <c r="T5" s="332"/>
      <c r="U5" s="212" t="s">
        <v>314</v>
      </c>
      <c r="V5" s="198"/>
      <c r="W5" s="196"/>
      <c r="X5" s="196"/>
      <c r="Y5" s="212" t="s">
        <v>570</v>
      </c>
      <c r="Z5" s="198"/>
      <c r="AA5" s="198"/>
      <c r="AB5" s="199"/>
      <c r="AC5" s="212"/>
      <c r="AD5" s="198"/>
      <c r="AE5" s="199"/>
      <c r="AF5" s="336" t="s">
        <v>603</v>
      </c>
      <c r="AG5" s="334"/>
      <c r="AH5" s="336" t="s">
        <v>602</v>
      </c>
      <c r="AI5" s="333"/>
      <c r="AJ5" s="334"/>
      <c r="AK5" s="343"/>
      <c r="AL5" s="344"/>
      <c r="AM5" s="345"/>
      <c r="AN5" s="343"/>
      <c r="AO5" s="344"/>
      <c r="AP5" s="344"/>
      <c r="AQ5" s="344"/>
      <c r="AR5" s="344"/>
      <c r="AS5" s="345"/>
      <c r="AT5" s="343" t="s">
        <v>589</v>
      </c>
      <c r="AU5" s="344"/>
      <c r="AV5" s="345"/>
      <c r="AW5" s="343" t="s">
        <v>590</v>
      </c>
      <c r="AX5" s="344"/>
      <c r="AY5" s="345"/>
      <c r="AZ5" s="352"/>
      <c r="BA5" s="353"/>
      <c r="BB5" s="353"/>
      <c r="BC5" s="354"/>
      <c r="BD5" s="352" t="s">
        <v>589</v>
      </c>
      <c r="BE5" s="353"/>
      <c r="BF5" s="354"/>
      <c r="BG5" s="352" t="s">
        <v>590</v>
      </c>
      <c r="BH5" s="353"/>
      <c r="BI5" s="354"/>
      <c r="BJ5" s="197"/>
      <c r="BK5" s="346"/>
      <c r="BL5" s="347"/>
      <c r="BM5" s="347"/>
      <c r="BN5" s="348"/>
      <c r="BO5" s="346" t="s">
        <v>589</v>
      </c>
      <c r="BP5" s="347"/>
      <c r="BQ5" s="348"/>
      <c r="BR5" s="346" t="s">
        <v>590</v>
      </c>
      <c r="BS5" s="347"/>
      <c r="BT5" s="348"/>
      <c r="BU5" s="355"/>
      <c r="BV5" s="356"/>
      <c r="BW5" s="356"/>
      <c r="BX5" s="357"/>
      <c r="BY5" s="355" t="s">
        <v>589</v>
      </c>
      <c r="BZ5" s="356"/>
      <c r="CA5" s="357"/>
      <c r="CB5" s="355" t="s">
        <v>590</v>
      </c>
      <c r="CC5" s="356"/>
      <c r="CD5" s="357"/>
      <c r="CE5" s="349" t="s">
        <v>363</v>
      </c>
      <c r="CF5" s="350"/>
      <c r="CG5" s="351"/>
      <c r="CH5" s="200"/>
    </row>
    <row r="6" spans="1:95" ht="15.75" x14ac:dyDescent="0.55000000000000004">
      <c r="R6" s="58" t="s">
        <v>571</v>
      </c>
      <c r="S6" s="49" t="s">
        <v>269</v>
      </c>
      <c r="T6" s="61" t="s">
        <v>272</v>
      </c>
      <c r="U6" s="58" t="s">
        <v>270</v>
      </c>
      <c r="V6" s="49" t="s">
        <v>271</v>
      </c>
      <c r="W6" s="49" t="s">
        <v>574</v>
      </c>
      <c r="X6" s="49" t="s">
        <v>575</v>
      </c>
      <c r="Y6" s="58" t="s">
        <v>572</v>
      </c>
      <c r="Z6" s="201" t="s">
        <v>315</v>
      </c>
      <c r="AA6" s="201" t="s">
        <v>317</v>
      </c>
      <c r="AB6" s="206" t="s">
        <v>316</v>
      </c>
      <c r="AC6" s="210" t="s">
        <v>319</v>
      </c>
      <c r="AD6" s="202" t="s">
        <v>320</v>
      </c>
      <c r="AE6" s="204" t="s">
        <v>356</v>
      </c>
      <c r="AF6" s="210" t="s">
        <v>604</v>
      </c>
      <c r="AG6" s="204" t="s">
        <v>605</v>
      </c>
      <c r="AH6" s="210" t="s">
        <v>354</v>
      </c>
      <c r="AI6" s="202" t="s">
        <v>353</v>
      </c>
      <c r="AJ6" s="204" t="s">
        <v>355</v>
      </c>
      <c r="AK6" s="269" t="s">
        <v>400</v>
      </c>
      <c r="AL6" s="268" t="s">
        <v>397</v>
      </c>
      <c r="AM6" s="270" t="s">
        <v>398</v>
      </c>
      <c r="AN6" s="269" t="s">
        <v>270</v>
      </c>
      <c r="AO6" s="268" t="s">
        <v>584</v>
      </c>
      <c r="AP6" s="268" t="s">
        <v>583</v>
      </c>
      <c r="AQ6" s="268" t="s">
        <v>585</v>
      </c>
      <c r="AR6" s="268" t="s">
        <v>586</v>
      </c>
      <c r="AS6" s="270" t="s">
        <v>587</v>
      </c>
      <c r="AT6" s="269" t="s">
        <v>319</v>
      </c>
      <c r="AU6" s="268" t="s">
        <v>320</v>
      </c>
      <c r="AV6" s="270" t="s">
        <v>356</v>
      </c>
      <c r="AW6" s="269" t="s">
        <v>591</v>
      </c>
      <c r="AX6" s="268" t="s">
        <v>592</v>
      </c>
      <c r="AY6" s="270" t="s">
        <v>593</v>
      </c>
      <c r="AZ6" s="263" t="s">
        <v>404</v>
      </c>
      <c r="BA6" s="262" t="s">
        <v>401</v>
      </c>
      <c r="BB6" s="262" t="s">
        <v>402</v>
      </c>
      <c r="BC6" s="264" t="s">
        <v>582</v>
      </c>
      <c r="BD6" s="263" t="s">
        <v>754</v>
      </c>
      <c r="BE6" s="262" t="s">
        <v>755</v>
      </c>
      <c r="BF6" s="264" t="s">
        <v>756</v>
      </c>
      <c r="BG6" s="263" t="s">
        <v>757</v>
      </c>
      <c r="BH6" s="262" t="s">
        <v>758</v>
      </c>
      <c r="BI6" s="264" t="s">
        <v>759</v>
      </c>
      <c r="BJ6" s="202"/>
      <c r="BK6" s="258" t="s">
        <v>408</v>
      </c>
      <c r="BL6" s="257" t="s">
        <v>405</v>
      </c>
      <c r="BM6" s="257" t="s">
        <v>406</v>
      </c>
      <c r="BN6" s="259" t="s">
        <v>600</v>
      </c>
      <c r="BO6" s="258" t="s">
        <v>319</v>
      </c>
      <c r="BP6" s="257" t="s">
        <v>320</v>
      </c>
      <c r="BQ6" s="259" t="s">
        <v>356</v>
      </c>
      <c r="BR6" s="258" t="s">
        <v>591</v>
      </c>
      <c r="BS6" s="257" t="s">
        <v>592</v>
      </c>
      <c r="BT6" s="259" t="s">
        <v>593</v>
      </c>
      <c r="BU6" s="275" t="s">
        <v>738</v>
      </c>
      <c r="BV6" s="274" t="s">
        <v>735</v>
      </c>
      <c r="BW6" s="274" t="s">
        <v>736</v>
      </c>
      <c r="BX6" s="276" t="s">
        <v>751</v>
      </c>
      <c r="BY6" s="275" t="s">
        <v>319</v>
      </c>
      <c r="BZ6" s="274" t="s">
        <v>320</v>
      </c>
      <c r="CA6" s="276" t="s">
        <v>356</v>
      </c>
      <c r="CB6" s="275" t="s">
        <v>591</v>
      </c>
      <c r="CC6" s="274" t="s">
        <v>592</v>
      </c>
      <c r="CD6" s="276" t="s">
        <v>593</v>
      </c>
      <c r="CE6" s="205" t="s">
        <v>357</v>
      </c>
      <c r="CF6" s="201" t="s">
        <v>358</v>
      </c>
      <c r="CG6" s="206" t="s">
        <v>359</v>
      </c>
      <c r="CH6" s="201" t="s">
        <v>607</v>
      </c>
      <c r="CN6" s="49" t="s">
        <v>760</v>
      </c>
      <c r="CO6" s="49" t="str">
        <f>IF(num_VOUT&gt;=2,"D3","")</f>
        <v/>
      </c>
      <c r="CP6" s="49" t="str">
        <f>IF(num_VOUT&gt;=3,"D3","")</f>
        <v/>
      </c>
      <c r="CQ6" s="201" t="str">
        <f>IF(num_VOUT=4,"D4","")</f>
        <v/>
      </c>
    </row>
    <row r="7" spans="1:95" x14ac:dyDescent="0.45">
      <c r="L7" s="49">
        <v>0</v>
      </c>
      <c r="Q7" s="49">
        <v>0</v>
      </c>
      <c r="R7" s="278">
        <f t="shared" ref="R7:R70" si="0">AK7+AZ7+BK7+BU7</f>
        <v>0</v>
      </c>
      <c r="S7" s="49">
        <f t="shared" ref="S7:S70" si="1">VIN_var</f>
        <v>42</v>
      </c>
      <c r="T7" s="61">
        <f t="shared" ref="T7:T38" si="2">(R7)/(S7*EFF_est)</f>
        <v>0</v>
      </c>
      <c r="U7" s="58">
        <f t="shared" ref="U7:U38" si="3">IF(R7&lt;((((Np/NS1_)*(AL7)/((S7+((Np/NS1_)*(AL7)))))^2)*(S7^2))/(2*Lm*Fsw),1,2)</f>
        <v>1</v>
      </c>
      <c r="V7" s="49">
        <f t="shared" ref="V7:V38" si="4">CHOOSE(U7,SQRT((2*Lm*R7*Fsw)/((S7^2)*EFF_est)),(((Np/NS1_)*(AL7))/(S7+((Np/NS1_)*(AL7)))))</f>
        <v>0</v>
      </c>
      <c r="W7" s="49">
        <f t="shared" ref="W7:W38" si="5">CHOOSE(U7,(NS1_*S7*V7)/(Np*AL7),1-V7)</f>
        <v>0</v>
      </c>
      <c r="X7" s="49">
        <f>CHOOSE(U7,1-V7-W7,0)</f>
        <v>1</v>
      </c>
      <c r="Y7" s="58">
        <v>0</v>
      </c>
      <c r="Z7" s="49">
        <f t="shared" ref="Z7:Z38" si="6">(S7*V7)/(Lm*Fsw)</f>
        <v>0</v>
      </c>
      <c r="AA7" s="49">
        <f>Y7+(Z7/2)</f>
        <v>0</v>
      </c>
      <c r="AB7" s="61">
        <f t="shared" ref="AB7:AB38" si="7">CHOOSE(U7,AA7*SQRT(V7/3),SQRT(V7*((AA7^2)+((Z7^2)/(3))-(AA7*Z7))))</f>
        <v>0</v>
      </c>
      <c r="AC7" s="58">
        <v>0</v>
      </c>
      <c r="AD7" s="49">
        <f>(AB7^2)*Rdcr</f>
        <v>0</v>
      </c>
      <c r="AE7" s="61">
        <f>AC7+AD7</f>
        <v>0</v>
      </c>
      <c r="AF7" s="58">
        <f t="shared" ref="AF7:AF38" si="8">R7*0.02</f>
        <v>0</v>
      </c>
      <c r="AG7" s="61">
        <f t="shared" ref="AG7:AG38" si="9">R7*0.02</f>
        <v>0</v>
      </c>
      <c r="AH7" s="58">
        <f t="shared" ref="AH7:AH38" si="10">(AB7^2)*RDS_on</f>
        <v>0</v>
      </c>
      <c r="AI7" s="49">
        <f t="shared" ref="AI7:AI38" si="11">((Y7*(S7+((Np/NS1_)*VOUT1)))/2)*Fsw*(tr_sw+tf_sw)</f>
        <v>0</v>
      </c>
      <c r="AJ7" s="61">
        <f>AH7+AI7</f>
        <v>0</v>
      </c>
      <c r="AK7" s="269">
        <f t="shared" ref="AK7:AK38" si="12">Q7*$B$11</f>
        <v>0</v>
      </c>
      <c r="AL7" s="268">
        <f t="shared" ref="AL7:AL70" si="13">VOUT1</f>
        <v>5</v>
      </c>
      <c r="AM7" s="270">
        <f>AK7/AL7</f>
        <v>0</v>
      </c>
      <c r="AN7" s="269"/>
      <c r="AS7" s="270"/>
      <c r="AT7" s="269"/>
      <c r="AV7" s="270"/>
      <c r="AW7" s="269"/>
      <c r="AY7" s="270"/>
      <c r="AZ7" s="263">
        <f t="shared" ref="AZ7:AZ38" si="14">IF(EN_OUT_2=1,Q7*$B$15,0)</f>
        <v>0</v>
      </c>
      <c r="BA7" s="262">
        <f t="shared" ref="BA7:BA38" si="15">IF(EN_OUT_2=1,VOUT2,0)</f>
        <v>0</v>
      </c>
      <c r="BB7" s="262">
        <f t="shared" ref="BB7:BB8" si="16">IF(EN_OUT_2=1,AZ7/BA7,0)</f>
        <v>0</v>
      </c>
      <c r="BC7" s="264"/>
      <c r="BD7" s="263"/>
      <c r="BF7" s="264"/>
      <c r="BG7" s="263"/>
      <c r="BI7" s="264"/>
      <c r="BK7" s="258">
        <f t="shared" ref="BK7:BK38" si="17">IF(EN_OUT_3=1,Q7*$B$19,0)</f>
        <v>0</v>
      </c>
      <c r="BL7" s="257">
        <f t="shared" ref="BL7:BL70" si="18">IF(EN_OUT_3=1,VOUT3,0)</f>
        <v>0</v>
      </c>
      <c r="BM7" s="257">
        <f t="shared" ref="BM7:BM38" si="19">IF(EN_OUT_3=1,BK7/BL7,0)</f>
        <v>0</v>
      </c>
      <c r="BN7" s="259"/>
      <c r="BO7" s="258"/>
      <c r="BQ7" s="259"/>
      <c r="BR7" s="258"/>
      <c r="BT7" s="259"/>
      <c r="BU7" s="275">
        <f t="shared" ref="BU7:BU38" si="20">IF(EN_OUT_4=1,Q7*$B$22,0)</f>
        <v>0</v>
      </c>
      <c r="BV7" s="274">
        <f t="shared" ref="BV7:BV38" si="21">IF(EN_OUT_4=1,VOUT4,0)</f>
        <v>0</v>
      </c>
      <c r="BW7" s="274">
        <f t="shared" ref="BW7:BW38" si="22">IF(EN_OUT_4=1,BU7/BV7,0)</f>
        <v>0</v>
      </c>
      <c r="BX7" s="276"/>
      <c r="BY7" s="275"/>
      <c r="CA7" s="276"/>
      <c r="CB7" s="275"/>
      <c r="CD7" s="276"/>
      <c r="CE7" s="58">
        <f t="shared" ref="CE7" si="23">(AB7^2)*R_cs</f>
        <v>0</v>
      </c>
      <c r="CF7" s="49">
        <f t="shared" ref="CF7:CF70" si="24">Qg_tot*Vcc*Fsw</f>
        <v>7.3499999999999996E-2</v>
      </c>
      <c r="CG7" s="61">
        <f t="shared" ref="CG7:CG8" si="25">IQ*S7</f>
        <v>3.2340000000000001E-2</v>
      </c>
      <c r="CH7" s="49">
        <f>BF7+BQ7+AE7+AG7+CA7</f>
        <v>0</v>
      </c>
      <c r="CI7" s="49">
        <f>CG7+CF7+CE7+BT7+BQ7+BI7+BF7++AY7+AV7+AJ7+AF7+AE7+AG7+CA7+CD7</f>
        <v>0.10583999999999999</v>
      </c>
      <c r="CJ7" s="49">
        <f>R7/(R7+CI7)</f>
        <v>0</v>
      </c>
      <c r="CN7" s="49">
        <f>AY7</f>
        <v>0</v>
      </c>
      <c r="CO7" s="49">
        <f>BI7</f>
        <v>0</v>
      </c>
      <c r="CP7" s="49">
        <f>BT7</f>
        <v>0</v>
      </c>
      <c r="CQ7" s="49" t="str">
        <f t="shared" ref="CQ7:CQ38" si="26">IF(num_VOUT=4,CD7,"")</f>
        <v/>
      </c>
    </row>
    <row r="8" spans="1:95" x14ac:dyDescent="0.45">
      <c r="L8" s="49">
        <f>R8/$G$10*100</f>
        <v>0.66666666666666663</v>
      </c>
      <c r="M8" s="49">
        <f>Fsw</f>
        <v>2100000</v>
      </c>
      <c r="Q8" s="49">
        <v>1</v>
      </c>
      <c r="R8" s="278">
        <f t="shared" si="0"/>
        <v>0.13333333333333333</v>
      </c>
      <c r="S8" s="201">
        <f t="shared" si="1"/>
        <v>42</v>
      </c>
      <c r="T8" s="206">
        <f t="shared" si="2"/>
        <v>3.1746031746031746E-3</v>
      </c>
      <c r="U8" s="205">
        <f t="shared" si="3"/>
        <v>1</v>
      </c>
      <c r="V8" s="201">
        <f t="shared" si="4"/>
        <v>9.7590007294853329E-2</v>
      </c>
      <c r="W8" s="201">
        <f t="shared" si="5"/>
        <v>0.11476584857874753</v>
      </c>
      <c r="X8" s="201">
        <f t="shared" ref="X8:X71" si="27">CHOOSE(U8,1-V8-W8,0)</f>
        <v>0.78764414412639916</v>
      </c>
      <c r="Y8" s="205">
        <f t="shared" ref="Y8:Y39" si="28">R8/(S8*EFF_est*V8)</f>
        <v>3.2530002431617772E-2</v>
      </c>
      <c r="Z8" s="201">
        <f t="shared" si="6"/>
        <v>6.5060004863235557E-2</v>
      </c>
      <c r="AA8" s="201">
        <f t="shared" ref="AA8:AA71" si="29">Y8+(Z8/2)</f>
        <v>6.5060004863235543E-2</v>
      </c>
      <c r="AB8" s="206">
        <f>CHOOSE(U8,AA8*SQRT(V8/3),SQRT(V8*((AA8^2)+((Z8^2)/(3))-(AA8*Z8))))</f>
        <v>1.173427168535328E-2</v>
      </c>
      <c r="AC8" s="205">
        <v>0</v>
      </c>
      <c r="AD8" s="201">
        <f t="shared" ref="AD8:AD38" si="30">(AB8^2)*Rdcr</f>
        <v>6.8846565992841856E-6</v>
      </c>
      <c r="AE8" s="206">
        <f t="shared" ref="AE8:AE71" si="31">AC8+AD8</f>
        <v>6.8846565992841856E-6</v>
      </c>
      <c r="AF8" s="58">
        <f t="shared" si="8"/>
        <v>2.6666666666666666E-3</v>
      </c>
      <c r="AG8" s="61">
        <f t="shared" si="9"/>
        <v>2.6666666666666666E-3</v>
      </c>
      <c r="AH8" s="58">
        <f>(AB8^2)*RDS_on</f>
        <v>1.8313186554095935E-5</v>
      </c>
      <c r="AI8" s="49">
        <f>((Y8*(S8+((Np/NS1_)*VOUT1)))/2)*Fsw*(tr_sw+tf_sw)</f>
        <v>0.12211049838284382</v>
      </c>
      <c r="AJ8" s="61">
        <f>AH8+AI8</f>
        <v>0.12212881156939792</v>
      </c>
      <c r="AK8" s="269">
        <f t="shared" si="12"/>
        <v>0.13333333333333333</v>
      </c>
      <c r="AL8" s="268">
        <f t="shared" si="13"/>
        <v>5</v>
      </c>
      <c r="AM8" s="270">
        <f t="shared" ref="AM8:AM71" si="32">AK8/AL8</f>
        <v>2.6666666666666665E-2</v>
      </c>
      <c r="AN8" s="269">
        <f t="shared" ref="AN8:AN39" si="33">IF(((AL8*AO8)/(Fsw*$AO$2))/2&gt;AP8,1,2)</f>
        <v>2</v>
      </c>
      <c r="AO8" s="268">
        <f t="shared" ref="AO8:AO39" si="34">AM8/AP8</f>
        <v>0.1147658485787475</v>
      </c>
      <c r="AP8" s="268">
        <f t="shared" ref="AP8:AP39" si="35">Np*$Y8*AK8/(R8*NS1_)</f>
        <v>0.23235716022584121</v>
      </c>
      <c r="AQ8" s="268">
        <f t="shared" ref="AQ8:AQ39" si="36">(AL8*AO8)/(Fsw*$AO$2)</f>
        <v>0.46471432045168243</v>
      </c>
      <c r="AR8" s="268">
        <f>AP8+(AQ8/2)</f>
        <v>0.46471432045168243</v>
      </c>
      <c r="AS8" s="270">
        <f>CHOOSE(AN8,AR8*SQRT(AO8/3),SQRT(AO8*((AR8^2)+((AQ8^2)/(3))-(AQ8*AR8))))</f>
        <v>9.0893277634492953E-2</v>
      </c>
      <c r="AT8" s="269"/>
      <c r="AU8" s="268">
        <f t="shared" ref="AU8:AU39" si="37">(AM8^2)*Rdcr1</f>
        <v>7.1111111111111101E-6</v>
      </c>
      <c r="AV8" s="270">
        <f>AT8+AU8</f>
        <v>7.1111111111111101E-6</v>
      </c>
      <c r="AW8" s="269">
        <f t="shared" ref="AW8:AW39" si="38">(VOUT1+((NS1_/Np)*S8))*QRR1_*Fsw</f>
        <v>0.11424000000000001</v>
      </c>
      <c r="AX8" s="268">
        <f t="shared" ref="AX8:AX39" si="39">AM8*VD1_</f>
        <v>1.3333333333333332E-2</v>
      </c>
      <c r="AY8" s="270">
        <f>AW8+AX8</f>
        <v>0.12757333333333334</v>
      </c>
      <c r="AZ8" s="263">
        <f t="shared" si="14"/>
        <v>0</v>
      </c>
      <c r="BA8" s="262">
        <f t="shared" si="15"/>
        <v>0</v>
      </c>
      <c r="BB8" s="262">
        <f t="shared" si="16"/>
        <v>0</v>
      </c>
      <c r="BC8" s="264" t="e">
        <f t="shared" ref="BC8:BC39" si="40">Y8*(Np/NS2_)*(AZ8/R8)</f>
        <v>#DIV/0!</v>
      </c>
      <c r="BD8" s="263">
        <v>0</v>
      </c>
      <c r="BE8" s="262">
        <f>(BB8^2)*Rdcr2</f>
        <v>0</v>
      </c>
      <c r="BF8" s="264">
        <f>BD8+BE8</f>
        <v>0</v>
      </c>
      <c r="BG8" s="263">
        <f t="shared" ref="BG8:BG39" si="41">(VOUT2+((NS2_/Np)*S8))*QRR2_*Fsw</f>
        <v>0</v>
      </c>
      <c r="BH8" s="262">
        <f t="shared" ref="BH8:BH39" si="42">BB8*VD2_</f>
        <v>0</v>
      </c>
      <c r="BI8" s="264">
        <f t="shared" ref="BI8:BI39" si="43">BH8+BG8</f>
        <v>0</v>
      </c>
      <c r="BK8" s="258">
        <f t="shared" si="17"/>
        <v>0</v>
      </c>
      <c r="BL8" s="257">
        <f t="shared" si="18"/>
        <v>0</v>
      </c>
      <c r="BM8" s="257">
        <f t="shared" si="19"/>
        <v>0</v>
      </c>
      <c r="BN8" s="259">
        <f t="shared" ref="BN8:BN71" si="44">Y8*(Np/NS3_)*(BK8/R8)</f>
        <v>0</v>
      </c>
      <c r="BO8" s="258">
        <v>0</v>
      </c>
      <c r="BP8" s="257">
        <f t="shared" ref="BP8:BP39" si="45">(BM8^2)*Rdcr3</f>
        <v>0</v>
      </c>
      <c r="BQ8" s="259">
        <f>BO8+BP8</f>
        <v>0</v>
      </c>
      <c r="BR8" s="258">
        <f t="shared" ref="BR8:BR39" si="46">(VOUT3+((NS3_/Np)*S8))*QRR3_*Fsw</f>
        <v>0</v>
      </c>
      <c r="BS8" s="257">
        <f>BM8*VD3_</f>
        <v>0</v>
      </c>
      <c r="BT8" s="259">
        <f>BS8+BR8</f>
        <v>0</v>
      </c>
      <c r="BU8" s="275">
        <f t="shared" si="20"/>
        <v>0</v>
      </c>
      <c r="BV8" s="274">
        <f t="shared" si="21"/>
        <v>0</v>
      </c>
      <c r="BW8" s="274">
        <f t="shared" si="22"/>
        <v>0</v>
      </c>
      <c r="BX8" s="276">
        <f t="shared" ref="BX8:BX39" si="47">Y8*(Np/NS4_)*(BU8/R8)</f>
        <v>0</v>
      </c>
      <c r="BY8" s="275">
        <v>0</v>
      </c>
      <c r="BZ8" s="274">
        <f t="shared" ref="BZ8:BZ39" si="48">(BW8^2)*Rdcr4</f>
        <v>0</v>
      </c>
      <c r="CA8" s="276">
        <f>BY8+BZ8</f>
        <v>0</v>
      </c>
      <c r="CB8" s="275">
        <f t="shared" ref="CB8:CB39" si="49">(VOUT4+((NS4_/Np)*S8))*QRR4_*Fsw</f>
        <v>0</v>
      </c>
      <c r="CC8" s="274">
        <f t="shared" ref="CC8:CC39" si="50">BW8*VD4_</f>
        <v>0</v>
      </c>
      <c r="CD8" s="276">
        <f>CC8+CB8</f>
        <v>0</v>
      </c>
      <c r="CE8" s="58">
        <f t="shared" ref="CE8:CE39" si="51">(AB8^2)*R_cs</f>
        <v>2.6161695077279905E-5</v>
      </c>
      <c r="CF8" s="49">
        <f t="shared" si="24"/>
        <v>7.3499999999999996E-2</v>
      </c>
      <c r="CG8" s="61">
        <f t="shared" si="25"/>
        <v>3.2340000000000001E-2</v>
      </c>
      <c r="CH8" s="49">
        <f>BF8+BQ8+AE8+CA8</f>
        <v>6.8846565992841856E-6</v>
      </c>
      <c r="CI8" s="49">
        <f>CG8+CF8+CE8+BT8+BQ8+BI8+BF8++AY8+AV8+AJ8+AF8+AE8+AG8+CA8+CD8</f>
        <v>0.36091563569885221</v>
      </c>
      <c r="CJ8" s="49">
        <f t="shared" ref="CJ8:CJ39" si="52">(R8/(R8+CI8))*100</f>
        <v>26.976957300370348</v>
      </c>
      <c r="CN8" s="49">
        <f t="shared" ref="CN8:CN71" si="53">AY8</f>
        <v>0.12757333333333334</v>
      </c>
      <c r="CO8" s="49">
        <f t="shared" ref="CO8:CO71" si="54">BI8</f>
        <v>0</v>
      </c>
      <c r="CP8" s="49">
        <f t="shared" ref="CP8:CP71" si="55">BT8</f>
        <v>0</v>
      </c>
      <c r="CQ8" s="49" t="str">
        <f t="shared" si="26"/>
        <v/>
      </c>
    </row>
    <row r="9" spans="1:95" x14ac:dyDescent="0.45">
      <c r="L9" s="49">
        <f t="shared" ref="L9:L72" si="56">R9/$G$10*100</f>
        <v>1.3333333333333333</v>
      </c>
      <c r="N9" s="49" t="s">
        <v>177</v>
      </c>
      <c r="O9" s="49">
        <f>VIN_var</f>
        <v>42</v>
      </c>
      <c r="P9" s="49" t="s">
        <v>9</v>
      </c>
      <c r="Q9" s="49">
        <v>2</v>
      </c>
      <c r="R9" s="278">
        <f t="shared" si="0"/>
        <v>0.26666666666666666</v>
      </c>
      <c r="S9" s="201">
        <f t="shared" si="1"/>
        <v>42</v>
      </c>
      <c r="T9" s="206">
        <f t="shared" si="2"/>
        <v>6.3492063492063492E-3</v>
      </c>
      <c r="U9" s="205">
        <f t="shared" si="3"/>
        <v>1</v>
      </c>
      <c r="V9" s="201">
        <f t="shared" si="4"/>
        <v>0.13801311186847084</v>
      </c>
      <c r="W9" s="201">
        <f t="shared" si="5"/>
        <v>0.16230341955732172</v>
      </c>
      <c r="X9" s="201">
        <f t="shared" si="27"/>
        <v>0.69968346857420738</v>
      </c>
      <c r="Y9" s="205">
        <f t="shared" si="28"/>
        <v>4.6004370622823608E-2</v>
      </c>
      <c r="Z9" s="201">
        <f t="shared" si="6"/>
        <v>9.2008741245647244E-2</v>
      </c>
      <c r="AA9" s="201">
        <f t="shared" si="29"/>
        <v>9.200874124564723E-2</v>
      </c>
      <c r="AB9" s="206">
        <f t="shared" si="7"/>
        <v>1.9734613991653473E-2</v>
      </c>
      <c r="AC9" s="205">
        <v>0</v>
      </c>
      <c r="AD9" s="201">
        <f t="shared" si="30"/>
        <v>1.9472749469978252E-5</v>
      </c>
      <c r="AE9" s="206">
        <f t="shared" si="31"/>
        <v>1.9472749469978252E-5</v>
      </c>
      <c r="AF9" s="58">
        <f t="shared" si="8"/>
        <v>5.3333333333333332E-3</v>
      </c>
      <c r="AG9" s="61">
        <f t="shared" si="9"/>
        <v>5.3333333333333332E-3</v>
      </c>
      <c r="AH9" s="58">
        <f t="shared" si="10"/>
        <v>5.1797513590142148E-5</v>
      </c>
      <c r="AI9" s="49">
        <f t="shared" si="11"/>
        <v>0.1726903229211556</v>
      </c>
      <c r="AJ9" s="61">
        <f t="shared" ref="AJ9:AJ71" si="57">AH9+AI9</f>
        <v>0.17274212043474574</v>
      </c>
      <c r="AK9" s="269">
        <f t="shared" si="12"/>
        <v>0.26666666666666666</v>
      </c>
      <c r="AL9" s="268">
        <f t="shared" si="13"/>
        <v>5</v>
      </c>
      <c r="AM9" s="270">
        <f t="shared" si="32"/>
        <v>5.333333333333333E-2</v>
      </c>
      <c r="AN9" s="269">
        <f t="shared" si="33"/>
        <v>2</v>
      </c>
      <c r="AO9" s="268">
        <f t="shared" si="34"/>
        <v>0.16230341955732172</v>
      </c>
      <c r="AP9" s="268">
        <f t="shared" si="35"/>
        <v>0.3286026473058829</v>
      </c>
      <c r="AQ9" s="268">
        <f t="shared" si="36"/>
        <v>0.65720529461176591</v>
      </c>
      <c r="AR9" s="268">
        <f t="shared" ref="AR9:AR72" si="58">AP9+(AQ9/2)</f>
        <v>0.65720529461176591</v>
      </c>
      <c r="AS9" s="270">
        <f t="shared" ref="AS9:AS72" si="59">CHOOSE(AN9,AR9*SQRT(AO9/3),SQRT(AO9*((AR9^2)+((AQ9^2)/(3))-(AQ9*AR9))))</f>
        <v>0.15286366266701154</v>
      </c>
      <c r="AT9" s="269"/>
      <c r="AU9" s="268">
        <f t="shared" si="37"/>
        <v>2.8444444444444441E-5</v>
      </c>
      <c r="AV9" s="270">
        <f t="shared" ref="AV9:AV72" si="60">AT9+AU9</f>
        <v>2.8444444444444441E-5</v>
      </c>
      <c r="AW9" s="269">
        <f t="shared" si="38"/>
        <v>0.11424000000000001</v>
      </c>
      <c r="AX9" s="268">
        <f t="shared" si="39"/>
        <v>2.6666666666666665E-2</v>
      </c>
      <c r="AY9" s="270">
        <f t="shared" ref="AY9:AY72" si="61">AW9+AX9</f>
        <v>0.14090666666666668</v>
      </c>
      <c r="AZ9" s="263">
        <f t="shared" si="14"/>
        <v>0</v>
      </c>
      <c r="BA9" s="262">
        <f t="shared" si="15"/>
        <v>0</v>
      </c>
      <c r="BB9" s="262">
        <f t="shared" ref="BB9:BB72" si="62">IF(EN_OUT_2=1,AZ9/BA9,0)</f>
        <v>0</v>
      </c>
      <c r="BC9" s="264" t="e">
        <f t="shared" si="40"/>
        <v>#DIV/0!</v>
      </c>
      <c r="BD9" s="263">
        <v>0</v>
      </c>
      <c r="BE9" s="262">
        <f t="shared" ref="BE9:BE39" si="63">(BB9^2)*Rdcr2</f>
        <v>0</v>
      </c>
      <c r="BF9" s="264">
        <f t="shared" ref="BF9:BF72" si="64">BD9+BE9</f>
        <v>0</v>
      </c>
      <c r="BG9" s="263">
        <f t="shared" si="41"/>
        <v>0</v>
      </c>
      <c r="BH9" s="262">
        <f t="shared" si="42"/>
        <v>0</v>
      </c>
      <c r="BI9" s="264">
        <f t="shared" si="43"/>
        <v>0</v>
      </c>
      <c r="BK9" s="258">
        <f t="shared" si="17"/>
        <v>0</v>
      </c>
      <c r="BL9" s="257">
        <f t="shared" si="18"/>
        <v>0</v>
      </c>
      <c r="BM9" s="257">
        <f t="shared" si="19"/>
        <v>0</v>
      </c>
      <c r="BN9" s="259">
        <f t="shared" si="44"/>
        <v>0</v>
      </c>
      <c r="BO9" s="258">
        <v>0</v>
      </c>
      <c r="BP9" s="257">
        <f t="shared" si="45"/>
        <v>0</v>
      </c>
      <c r="BQ9" s="259">
        <f t="shared" ref="BQ9:BQ72" si="65">BO9+BP9</f>
        <v>0</v>
      </c>
      <c r="BR9" s="258">
        <f t="shared" si="46"/>
        <v>0</v>
      </c>
      <c r="BS9" s="257">
        <f t="shared" ref="BS9:BS39" si="66">BM9*VD3_</f>
        <v>0</v>
      </c>
      <c r="BT9" s="259">
        <f t="shared" ref="BT9:BT72" si="67">BS9+BR9</f>
        <v>0</v>
      </c>
      <c r="BU9" s="275">
        <f t="shared" si="20"/>
        <v>0</v>
      </c>
      <c r="BV9" s="274">
        <f t="shared" si="21"/>
        <v>0</v>
      </c>
      <c r="BW9" s="274">
        <f t="shared" si="22"/>
        <v>0</v>
      </c>
      <c r="BX9" s="276">
        <f t="shared" si="47"/>
        <v>0</v>
      </c>
      <c r="BY9" s="275">
        <v>0</v>
      </c>
      <c r="BZ9" s="274">
        <f t="shared" si="48"/>
        <v>0</v>
      </c>
      <c r="CA9" s="276">
        <f t="shared" ref="CA9:CA72" si="68">BY9+BZ9</f>
        <v>0</v>
      </c>
      <c r="CB9" s="275">
        <f t="shared" si="49"/>
        <v>0</v>
      </c>
      <c r="CC9" s="274">
        <f t="shared" si="50"/>
        <v>0</v>
      </c>
      <c r="CD9" s="276">
        <f t="shared" ref="CD9:CD72" si="69">CC9+CB9</f>
        <v>0</v>
      </c>
      <c r="CE9" s="58">
        <f t="shared" si="51"/>
        <v>7.3996447985917352E-5</v>
      </c>
      <c r="CF9" s="49">
        <f t="shared" si="24"/>
        <v>7.3499999999999996E-2</v>
      </c>
      <c r="CG9" s="61">
        <f t="shared" ref="CG9:CG72" si="70">IQ*S9</f>
        <v>3.2340000000000001E-2</v>
      </c>
      <c r="CH9" s="49">
        <f t="shared" ref="CH9:CH72" si="71">BF9+BQ9+AE9+CA9</f>
        <v>1.9472749469978252E-5</v>
      </c>
      <c r="CI9" s="49">
        <f t="shared" ref="CI9:CI72" si="72">CG9+CF9+CE9+BT9+BQ9+BI9+BF9++AY9+AV9+AJ9+AF9+AE9+AG9+CA9+CD9</f>
        <v>0.43027736740997941</v>
      </c>
      <c r="CJ9" s="49">
        <f>(R9/(R9+CI9))*100</f>
        <v>38.262278408045049</v>
      </c>
      <c r="CN9" s="49">
        <f t="shared" si="53"/>
        <v>0.14090666666666668</v>
      </c>
      <c r="CO9" s="49">
        <f t="shared" si="54"/>
        <v>0</v>
      </c>
      <c r="CP9" s="49">
        <f t="shared" si="55"/>
        <v>0</v>
      </c>
      <c r="CQ9" s="49" t="str">
        <f t="shared" si="26"/>
        <v/>
      </c>
    </row>
    <row r="10" spans="1:95" x14ac:dyDescent="0.45">
      <c r="A10" s="49" t="s">
        <v>400</v>
      </c>
      <c r="B10" s="50">
        <f>VOUT1*IOUT1</f>
        <v>20</v>
      </c>
      <c r="G10" s="279">
        <f>B10+B14+B18+B21</f>
        <v>20</v>
      </c>
      <c r="L10" s="49">
        <f t="shared" si="56"/>
        <v>2</v>
      </c>
      <c r="Q10" s="49">
        <v>3</v>
      </c>
      <c r="R10" s="278">
        <f t="shared" si="0"/>
        <v>0.4</v>
      </c>
      <c r="S10" s="201">
        <f t="shared" si="1"/>
        <v>42</v>
      </c>
      <c r="T10" s="206">
        <f t="shared" si="2"/>
        <v>9.5238095238095247E-3</v>
      </c>
      <c r="U10" s="205">
        <f t="shared" si="3"/>
        <v>1</v>
      </c>
      <c r="V10" s="201">
        <f t="shared" si="4"/>
        <v>0.1690308509457033</v>
      </c>
      <c r="W10" s="201">
        <f t="shared" si="5"/>
        <v>0.19878028071214709</v>
      </c>
      <c r="X10" s="201">
        <f t="shared" si="27"/>
        <v>0.63218886834214971</v>
      </c>
      <c r="Y10" s="205">
        <f t="shared" si="28"/>
        <v>5.6343616981901115E-2</v>
      </c>
      <c r="Z10" s="201">
        <f t="shared" si="6"/>
        <v>0.11268723396380222</v>
      </c>
      <c r="AA10" s="201">
        <f t="shared" si="29"/>
        <v>0.11268723396380223</v>
      </c>
      <c r="AB10" s="206">
        <f t="shared" si="7"/>
        <v>2.6748355114987438E-2</v>
      </c>
      <c r="AC10" s="205">
        <v>0</v>
      </c>
      <c r="AD10" s="201">
        <f t="shared" si="30"/>
        <v>3.5773725067873734E-5</v>
      </c>
      <c r="AE10" s="206">
        <f t="shared" si="31"/>
        <v>3.5773725067873734E-5</v>
      </c>
      <c r="AF10" s="58">
        <f t="shared" si="8"/>
        <v>8.0000000000000002E-3</v>
      </c>
      <c r="AG10" s="61">
        <f t="shared" si="9"/>
        <v>8.0000000000000002E-3</v>
      </c>
      <c r="AH10" s="58">
        <f t="shared" si="10"/>
        <v>9.5158108680544137E-5</v>
      </c>
      <c r="AI10" s="49">
        <f t="shared" si="11"/>
        <v>0.21150158733664279</v>
      </c>
      <c r="AJ10" s="61">
        <f t="shared" si="57"/>
        <v>0.21159674544532334</v>
      </c>
      <c r="AK10" s="269">
        <f t="shared" si="12"/>
        <v>0.4</v>
      </c>
      <c r="AL10" s="268">
        <f t="shared" si="13"/>
        <v>5</v>
      </c>
      <c r="AM10" s="270">
        <f t="shared" si="32"/>
        <v>0.08</v>
      </c>
      <c r="AN10" s="269">
        <f t="shared" si="33"/>
        <v>2</v>
      </c>
      <c r="AO10" s="268">
        <f t="shared" si="34"/>
        <v>0.19878028071214707</v>
      </c>
      <c r="AP10" s="268">
        <f t="shared" si="35"/>
        <v>0.40245440701357937</v>
      </c>
      <c r="AQ10" s="268">
        <f t="shared" si="36"/>
        <v>0.80490881402715841</v>
      </c>
      <c r="AR10" s="268">
        <f t="shared" si="58"/>
        <v>0.80490881402715853</v>
      </c>
      <c r="AS10" s="270">
        <f t="shared" si="59"/>
        <v>0.20719186779757659</v>
      </c>
      <c r="AT10" s="269"/>
      <c r="AU10" s="268">
        <f t="shared" si="37"/>
        <v>6.4000000000000011E-5</v>
      </c>
      <c r="AV10" s="270">
        <f t="shared" si="60"/>
        <v>6.4000000000000011E-5</v>
      </c>
      <c r="AW10" s="269">
        <f t="shared" si="38"/>
        <v>0.11424000000000001</v>
      </c>
      <c r="AX10" s="268">
        <f t="shared" si="39"/>
        <v>0.04</v>
      </c>
      <c r="AY10" s="270">
        <f t="shared" si="61"/>
        <v>0.15424000000000002</v>
      </c>
      <c r="AZ10" s="263">
        <f t="shared" si="14"/>
        <v>0</v>
      </c>
      <c r="BA10" s="262">
        <f t="shared" si="15"/>
        <v>0</v>
      </c>
      <c r="BB10" s="262">
        <f t="shared" si="62"/>
        <v>0</v>
      </c>
      <c r="BC10" s="264" t="e">
        <f t="shared" si="40"/>
        <v>#DIV/0!</v>
      </c>
      <c r="BD10" s="263">
        <v>0</v>
      </c>
      <c r="BE10" s="262">
        <f t="shared" si="63"/>
        <v>0</v>
      </c>
      <c r="BF10" s="264">
        <f t="shared" si="64"/>
        <v>0</v>
      </c>
      <c r="BG10" s="263">
        <f t="shared" si="41"/>
        <v>0</v>
      </c>
      <c r="BH10" s="262">
        <f t="shared" si="42"/>
        <v>0</v>
      </c>
      <c r="BI10" s="264">
        <f t="shared" si="43"/>
        <v>0</v>
      </c>
      <c r="BK10" s="258">
        <f t="shared" si="17"/>
        <v>0</v>
      </c>
      <c r="BL10" s="257">
        <f t="shared" si="18"/>
        <v>0</v>
      </c>
      <c r="BM10" s="257">
        <f t="shared" si="19"/>
        <v>0</v>
      </c>
      <c r="BN10" s="259">
        <f t="shared" si="44"/>
        <v>0</v>
      </c>
      <c r="BO10" s="258">
        <v>0</v>
      </c>
      <c r="BP10" s="257">
        <f t="shared" si="45"/>
        <v>0</v>
      </c>
      <c r="BQ10" s="259">
        <f t="shared" si="65"/>
        <v>0</v>
      </c>
      <c r="BR10" s="258">
        <f t="shared" si="46"/>
        <v>0</v>
      </c>
      <c r="BS10" s="257">
        <f t="shared" si="66"/>
        <v>0</v>
      </c>
      <c r="BT10" s="259">
        <f t="shared" si="67"/>
        <v>0</v>
      </c>
      <c r="BU10" s="275">
        <f t="shared" si="20"/>
        <v>0</v>
      </c>
      <c r="BV10" s="274">
        <f t="shared" si="21"/>
        <v>0</v>
      </c>
      <c r="BW10" s="274">
        <f t="shared" si="22"/>
        <v>0</v>
      </c>
      <c r="BX10" s="276">
        <f t="shared" si="47"/>
        <v>0</v>
      </c>
      <c r="BY10" s="275">
        <v>0</v>
      </c>
      <c r="BZ10" s="274">
        <f t="shared" si="48"/>
        <v>0</v>
      </c>
      <c r="CA10" s="276">
        <f t="shared" si="68"/>
        <v>0</v>
      </c>
      <c r="CB10" s="275">
        <f t="shared" si="49"/>
        <v>0</v>
      </c>
      <c r="CC10" s="274">
        <f t="shared" si="50"/>
        <v>0</v>
      </c>
      <c r="CD10" s="276">
        <f t="shared" si="69"/>
        <v>0</v>
      </c>
      <c r="CE10" s="58">
        <f t="shared" si="51"/>
        <v>1.3594015525792018E-4</v>
      </c>
      <c r="CF10" s="49">
        <f t="shared" si="24"/>
        <v>7.3499999999999996E-2</v>
      </c>
      <c r="CG10" s="61">
        <f t="shared" si="70"/>
        <v>3.2340000000000001E-2</v>
      </c>
      <c r="CH10" s="49">
        <f t="shared" si="71"/>
        <v>3.5773725067873734E-5</v>
      </c>
      <c r="CI10" s="49">
        <f t="shared" si="72"/>
        <v>0.48791245932564914</v>
      </c>
      <c r="CJ10" s="49">
        <f t="shared" si="52"/>
        <v>45.049486106298318</v>
      </c>
      <c r="CN10" s="49">
        <f t="shared" si="53"/>
        <v>0.15424000000000002</v>
      </c>
      <c r="CO10" s="49">
        <f t="shared" si="54"/>
        <v>0</v>
      </c>
      <c r="CP10" s="49">
        <f t="shared" si="55"/>
        <v>0</v>
      </c>
      <c r="CQ10" s="49" t="str">
        <f t="shared" si="26"/>
        <v/>
      </c>
    </row>
    <row r="11" spans="1:95" x14ac:dyDescent="0.45">
      <c r="A11" s="49" t="s">
        <v>567</v>
      </c>
      <c r="B11" s="49">
        <f>B10/(O11)</f>
        <v>0.13333333333333333</v>
      </c>
      <c r="L11" s="49">
        <f t="shared" si="56"/>
        <v>2.6666666666666665</v>
      </c>
      <c r="N11" s="49" t="s">
        <v>267</v>
      </c>
      <c r="O11" s="49">
        <v>150</v>
      </c>
      <c r="Q11" s="49">
        <v>4</v>
      </c>
      <c r="R11" s="278">
        <f t="shared" si="0"/>
        <v>0.53333333333333333</v>
      </c>
      <c r="S11" s="201">
        <f t="shared" si="1"/>
        <v>42</v>
      </c>
      <c r="T11" s="206">
        <f t="shared" si="2"/>
        <v>1.2698412698412698E-2</v>
      </c>
      <c r="U11" s="205">
        <f t="shared" si="3"/>
        <v>1</v>
      </c>
      <c r="V11" s="201">
        <f t="shared" si="4"/>
        <v>0.19518001458970666</v>
      </c>
      <c r="W11" s="201">
        <f t="shared" si="5"/>
        <v>0.22953169715749505</v>
      </c>
      <c r="X11" s="201">
        <f t="shared" si="27"/>
        <v>0.57528828825279832</v>
      </c>
      <c r="Y11" s="205">
        <f t="shared" si="28"/>
        <v>6.5060004863235543E-2</v>
      </c>
      <c r="Z11" s="201">
        <f t="shared" si="6"/>
        <v>0.13012000972647111</v>
      </c>
      <c r="AA11" s="201">
        <f t="shared" si="29"/>
        <v>0.13012000972647109</v>
      </c>
      <c r="AB11" s="206">
        <f t="shared" si="7"/>
        <v>3.3189532323994408E-2</v>
      </c>
      <c r="AC11" s="205">
        <v>0</v>
      </c>
      <c r="AD11" s="201">
        <f t="shared" si="30"/>
        <v>5.5077252794273485E-5</v>
      </c>
      <c r="AE11" s="206">
        <f t="shared" si="31"/>
        <v>5.5077252794273485E-5</v>
      </c>
      <c r="AF11" s="58">
        <f t="shared" si="8"/>
        <v>1.0666666666666666E-2</v>
      </c>
      <c r="AG11" s="61">
        <f t="shared" si="9"/>
        <v>1.0666666666666666E-2</v>
      </c>
      <c r="AH11" s="58">
        <f t="shared" si="10"/>
        <v>1.4650549243276748E-4</v>
      </c>
      <c r="AI11" s="49">
        <f t="shared" si="11"/>
        <v>0.24422099676568765</v>
      </c>
      <c r="AJ11" s="61">
        <f t="shared" si="57"/>
        <v>0.24436750225812043</v>
      </c>
      <c r="AK11" s="269">
        <f t="shared" si="12"/>
        <v>0.53333333333333333</v>
      </c>
      <c r="AL11" s="268">
        <f t="shared" si="13"/>
        <v>5</v>
      </c>
      <c r="AM11" s="270">
        <f t="shared" si="32"/>
        <v>0.10666666666666666</v>
      </c>
      <c r="AN11" s="269">
        <f t="shared" si="33"/>
        <v>2</v>
      </c>
      <c r="AO11" s="268">
        <f t="shared" si="34"/>
        <v>0.229531697157495</v>
      </c>
      <c r="AP11" s="268">
        <f t="shared" si="35"/>
        <v>0.46471432045168243</v>
      </c>
      <c r="AQ11" s="268">
        <f t="shared" si="36"/>
        <v>0.92942864090336486</v>
      </c>
      <c r="AR11" s="268">
        <f t="shared" si="58"/>
        <v>0.92942864090336486</v>
      </c>
      <c r="AS11" s="270">
        <f t="shared" si="59"/>
        <v>0.25708501191848609</v>
      </c>
      <c r="AT11" s="269"/>
      <c r="AU11" s="268">
        <f t="shared" si="37"/>
        <v>1.1377777777777776E-4</v>
      </c>
      <c r="AV11" s="270">
        <f t="shared" si="60"/>
        <v>1.1377777777777776E-4</v>
      </c>
      <c r="AW11" s="269">
        <f t="shared" si="38"/>
        <v>0.11424000000000001</v>
      </c>
      <c r="AX11" s="268">
        <f t="shared" si="39"/>
        <v>5.333333333333333E-2</v>
      </c>
      <c r="AY11" s="270">
        <f t="shared" si="61"/>
        <v>0.16757333333333335</v>
      </c>
      <c r="AZ11" s="263">
        <f t="shared" si="14"/>
        <v>0</v>
      </c>
      <c r="BA11" s="262">
        <f t="shared" si="15"/>
        <v>0</v>
      </c>
      <c r="BB11" s="262">
        <f t="shared" si="62"/>
        <v>0</v>
      </c>
      <c r="BC11" s="264" t="e">
        <f t="shared" si="40"/>
        <v>#DIV/0!</v>
      </c>
      <c r="BD11" s="263">
        <v>0</v>
      </c>
      <c r="BE11" s="262">
        <f t="shared" si="63"/>
        <v>0</v>
      </c>
      <c r="BF11" s="264">
        <f t="shared" si="64"/>
        <v>0</v>
      </c>
      <c r="BG11" s="263">
        <f t="shared" si="41"/>
        <v>0</v>
      </c>
      <c r="BH11" s="262">
        <f t="shared" si="42"/>
        <v>0</v>
      </c>
      <c r="BI11" s="264">
        <f t="shared" si="43"/>
        <v>0</v>
      </c>
      <c r="BK11" s="258">
        <f t="shared" si="17"/>
        <v>0</v>
      </c>
      <c r="BL11" s="257">
        <f t="shared" si="18"/>
        <v>0</v>
      </c>
      <c r="BM11" s="257">
        <f t="shared" si="19"/>
        <v>0</v>
      </c>
      <c r="BN11" s="259">
        <f t="shared" si="44"/>
        <v>0</v>
      </c>
      <c r="BO11" s="258">
        <v>0</v>
      </c>
      <c r="BP11" s="257">
        <f t="shared" si="45"/>
        <v>0</v>
      </c>
      <c r="BQ11" s="259">
        <f t="shared" si="65"/>
        <v>0</v>
      </c>
      <c r="BR11" s="258">
        <f t="shared" si="46"/>
        <v>0</v>
      </c>
      <c r="BS11" s="257">
        <f t="shared" si="66"/>
        <v>0</v>
      </c>
      <c r="BT11" s="259">
        <f t="shared" si="67"/>
        <v>0</v>
      </c>
      <c r="BU11" s="275">
        <f t="shared" si="20"/>
        <v>0</v>
      </c>
      <c r="BV11" s="274">
        <f t="shared" si="21"/>
        <v>0</v>
      </c>
      <c r="BW11" s="274">
        <f t="shared" si="22"/>
        <v>0</v>
      </c>
      <c r="BX11" s="276">
        <f t="shared" si="47"/>
        <v>0</v>
      </c>
      <c r="BY11" s="275">
        <v>0</v>
      </c>
      <c r="BZ11" s="274">
        <f t="shared" si="48"/>
        <v>0</v>
      </c>
      <c r="CA11" s="276">
        <f t="shared" si="68"/>
        <v>0</v>
      </c>
      <c r="CB11" s="275">
        <f t="shared" si="49"/>
        <v>0</v>
      </c>
      <c r="CC11" s="274">
        <f t="shared" si="50"/>
        <v>0</v>
      </c>
      <c r="CD11" s="276">
        <f t="shared" si="69"/>
        <v>0</v>
      </c>
      <c r="CE11" s="58">
        <f t="shared" si="51"/>
        <v>2.0929356061823924E-4</v>
      </c>
      <c r="CF11" s="49">
        <f t="shared" si="24"/>
        <v>7.3499999999999996E-2</v>
      </c>
      <c r="CG11" s="61">
        <f t="shared" si="70"/>
        <v>3.2340000000000001E-2</v>
      </c>
      <c r="CH11" s="49">
        <f t="shared" si="71"/>
        <v>5.5077252794273485E-5</v>
      </c>
      <c r="CI11" s="49">
        <f t="shared" si="72"/>
        <v>0.53949231751597748</v>
      </c>
      <c r="CJ11" s="49">
        <f t="shared" si="52"/>
        <v>49.712955027791871</v>
      </c>
      <c r="CN11" s="49">
        <f t="shared" si="53"/>
        <v>0.16757333333333335</v>
      </c>
      <c r="CO11" s="49">
        <f t="shared" si="54"/>
        <v>0</v>
      </c>
      <c r="CP11" s="49">
        <f t="shared" si="55"/>
        <v>0</v>
      </c>
      <c r="CQ11" s="49" t="str">
        <f t="shared" si="26"/>
        <v/>
      </c>
    </row>
    <row r="12" spans="1:95" x14ac:dyDescent="0.45">
      <c r="L12" s="49">
        <f t="shared" si="56"/>
        <v>3.3333333333333335</v>
      </c>
      <c r="N12" s="49" t="s">
        <v>268</v>
      </c>
      <c r="O12" s="49">
        <f>IOUT1/(O11)</f>
        <v>2.6666666666666668E-2</v>
      </c>
      <c r="Q12" s="49">
        <v>5</v>
      </c>
      <c r="R12" s="278">
        <f t="shared" si="0"/>
        <v>0.66666666666666663</v>
      </c>
      <c r="S12" s="201">
        <f t="shared" si="1"/>
        <v>42</v>
      </c>
      <c r="T12" s="206">
        <f t="shared" si="2"/>
        <v>1.5873015873015872E-2</v>
      </c>
      <c r="U12" s="205">
        <f t="shared" si="3"/>
        <v>1</v>
      </c>
      <c r="V12" s="201">
        <f t="shared" si="4"/>
        <v>0.21821789023599236</v>
      </c>
      <c r="W12" s="201">
        <f t="shared" si="5"/>
        <v>0.25662423891752706</v>
      </c>
      <c r="X12" s="201">
        <f t="shared" si="27"/>
        <v>0.52515787084648058</v>
      </c>
      <c r="Y12" s="205">
        <f t="shared" si="28"/>
        <v>7.2739296745330792E-2</v>
      </c>
      <c r="Z12" s="201">
        <f t="shared" si="6"/>
        <v>0.14547859349066161</v>
      </c>
      <c r="AA12" s="201">
        <f t="shared" si="29"/>
        <v>0.14547859349066161</v>
      </c>
      <c r="AB12" s="206">
        <f t="shared" si="7"/>
        <v>3.9235902127696738E-2</v>
      </c>
      <c r="AC12" s="205">
        <v>0</v>
      </c>
      <c r="AD12" s="201">
        <f t="shared" si="30"/>
        <v>7.6972800788709887E-5</v>
      </c>
      <c r="AE12" s="206">
        <f t="shared" si="31"/>
        <v>7.6972800788709887E-5</v>
      </c>
      <c r="AF12" s="58">
        <f t="shared" si="8"/>
        <v>1.3333333333333332E-2</v>
      </c>
      <c r="AG12" s="61">
        <f t="shared" si="9"/>
        <v>1.3333333333333332E-2</v>
      </c>
      <c r="AH12" s="58">
        <f t="shared" si="10"/>
        <v>2.0474765009796829E-4</v>
      </c>
      <c r="AI12" s="49">
        <f t="shared" si="11"/>
        <v>0.27304737515041694</v>
      </c>
      <c r="AJ12" s="61">
        <f t="shared" si="57"/>
        <v>0.27325212280051492</v>
      </c>
      <c r="AK12" s="269">
        <f t="shared" si="12"/>
        <v>0.66666666666666663</v>
      </c>
      <c r="AL12" s="268">
        <f t="shared" si="13"/>
        <v>5</v>
      </c>
      <c r="AM12" s="270">
        <f t="shared" si="32"/>
        <v>0.13333333333333333</v>
      </c>
      <c r="AN12" s="269">
        <f t="shared" si="33"/>
        <v>2</v>
      </c>
      <c r="AO12" s="268">
        <f t="shared" si="34"/>
        <v>0.25662423891752706</v>
      </c>
      <c r="AP12" s="268">
        <f t="shared" si="35"/>
        <v>0.51956640532379139</v>
      </c>
      <c r="AQ12" s="268">
        <f t="shared" si="36"/>
        <v>1.0391328106475828</v>
      </c>
      <c r="AR12" s="268">
        <f t="shared" si="58"/>
        <v>1.0391328106475828</v>
      </c>
      <c r="AS12" s="270">
        <f t="shared" si="59"/>
        <v>0.30391999102798717</v>
      </c>
      <c r="AT12" s="269"/>
      <c r="AU12" s="268">
        <f t="shared" si="37"/>
        <v>1.7777777777777779E-4</v>
      </c>
      <c r="AV12" s="270">
        <f t="shared" si="60"/>
        <v>1.7777777777777779E-4</v>
      </c>
      <c r="AW12" s="269">
        <f t="shared" si="38"/>
        <v>0.11424000000000001</v>
      </c>
      <c r="AX12" s="268">
        <f t="shared" si="39"/>
        <v>6.6666666666666666E-2</v>
      </c>
      <c r="AY12" s="270">
        <f t="shared" si="61"/>
        <v>0.18090666666666666</v>
      </c>
      <c r="AZ12" s="263">
        <f t="shared" si="14"/>
        <v>0</v>
      </c>
      <c r="BA12" s="262">
        <f t="shared" si="15"/>
        <v>0</v>
      </c>
      <c r="BB12" s="262">
        <f t="shared" si="62"/>
        <v>0</v>
      </c>
      <c r="BC12" s="264" t="e">
        <f t="shared" si="40"/>
        <v>#DIV/0!</v>
      </c>
      <c r="BD12" s="263">
        <v>0</v>
      </c>
      <c r="BE12" s="262">
        <f t="shared" si="63"/>
        <v>0</v>
      </c>
      <c r="BF12" s="264">
        <f t="shared" si="64"/>
        <v>0</v>
      </c>
      <c r="BG12" s="263">
        <f t="shared" si="41"/>
        <v>0</v>
      </c>
      <c r="BH12" s="262">
        <f t="shared" si="42"/>
        <v>0</v>
      </c>
      <c r="BI12" s="264">
        <f t="shared" si="43"/>
        <v>0</v>
      </c>
      <c r="BK12" s="258">
        <f t="shared" si="17"/>
        <v>0</v>
      </c>
      <c r="BL12" s="257">
        <f t="shared" si="18"/>
        <v>0</v>
      </c>
      <c r="BM12" s="257">
        <f t="shared" si="19"/>
        <v>0</v>
      </c>
      <c r="BN12" s="259">
        <f t="shared" si="44"/>
        <v>0</v>
      </c>
      <c r="BO12" s="258">
        <v>0</v>
      </c>
      <c r="BP12" s="257">
        <f t="shared" si="45"/>
        <v>0</v>
      </c>
      <c r="BQ12" s="259">
        <f t="shared" si="65"/>
        <v>0</v>
      </c>
      <c r="BR12" s="258">
        <f t="shared" si="46"/>
        <v>0</v>
      </c>
      <c r="BS12" s="257">
        <f t="shared" si="66"/>
        <v>0</v>
      </c>
      <c r="BT12" s="259">
        <f t="shared" si="67"/>
        <v>0</v>
      </c>
      <c r="BU12" s="275">
        <f t="shared" si="20"/>
        <v>0</v>
      </c>
      <c r="BV12" s="274">
        <f t="shared" si="21"/>
        <v>0</v>
      </c>
      <c r="BW12" s="274">
        <f t="shared" si="22"/>
        <v>0</v>
      </c>
      <c r="BX12" s="276">
        <f t="shared" si="47"/>
        <v>0</v>
      </c>
      <c r="BY12" s="275">
        <v>0</v>
      </c>
      <c r="BZ12" s="274">
        <f t="shared" si="48"/>
        <v>0</v>
      </c>
      <c r="CA12" s="276">
        <f t="shared" si="68"/>
        <v>0</v>
      </c>
      <c r="CB12" s="275">
        <f t="shared" si="49"/>
        <v>0</v>
      </c>
      <c r="CC12" s="274">
        <f t="shared" si="50"/>
        <v>0</v>
      </c>
      <c r="CD12" s="276">
        <f t="shared" si="69"/>
        <v>0</v>
      </c>
      <c r="CE12" s="58">
        <f t="shared" si="51"/>
        <v>2.9249664299709751E-4</v>
      </c>
      <c r="CF12" s="49">
        <f t="shared" si="24"/>
        <v>7.3499999999999996E-2</v>
      </c>
      <c r="CG12" s="61">
        <f t="shared" si="70"/>
        <v>3.2340000000000001E-2</v>
      </c>
      <c r="CH12" s="49">
        <f t="shared" si="71"/>
        <v>7.6972800788709887E-5</v>
      </c>
      <c r="CI12" s="49">
        <f t="shared" si="72"/>
        <v>0.58721270335541165</v>
      </c>
      <c r="CJ12" s="49">
        <f t="shared" si="52"/>
        <v>53.168325646423867</v>
      </c>
      <c r="CN12" s="49">
        <f t="shared" si="53"/>
        <v>0.18090666666666666</v>
      </c>
      <c r="CO12" s="49">
        <f t="shared" si="54"/>
        <v>0</v>
      </c>
      <c r="CP12" s="49">
        <f t="shared" si="55"/>
        <v>0</v>
      </c>
      <c r="CQ12" s="49" t="str">
        <f t="shared" si="26"/>
        <v/>
      </c>
    </row>
    <row r="13" spans="1:95" x14ac:dyDescent="0.45">
      <c r="L13" s="49">
        <f t="shared" si="56"/>
        <v>4</v>
      </c>
      <c r="Q13" s="49">
        <v>6</v>
      </c>
      <c r="R13" s="278">
        <f t="shared" si="0"/>
        <v>0.8</v>
      </c>
      <c r="S13" s="201">
        <f t="shared" si="1"/>
        <v>42</v>
      </c>
      <c r="T13" s="206">
        <f t="shared" si="2"/>
        <v>1.9047619047619049E-2</v>
      </c>
      <c r="U13" s="205">
        <f t="shared" si="3"/>
        <v>1</v>
      </c>
      <c r="V13" s="201">
        <f t="shared" si="4"/>
        <v>0.23904572186687872</v>
      </c>
      <c r="W13" s="201">
        <f t="shared" si="5"/>
        <v>0.28111776891544943</v>
      </c>
      <c r="X13" s="201">
        <f t="shared" si="27"/>
        <v>0.4798365092176719</v>
      </c>
      <c r="Y13" s="205">
        <f t="shared" si="28"/>
        <v>7.9681907288959575E-2</v>
      </c>
      <c r="Z13" s="201">
        <f t="shared" si="6"/>
        <v>0.15936381457791918</v>
      </c>
      <c r="AA13" s="201">
        <f t="shared" si="29"/>
        <v>0.15936381457791915</v>
      </c>
      <c r="AB13" s="206">
        <f t="shared" si="7"/>
        <v>4.4985191860252578E-2</v>
      </c>
      <c r="AC13" s="205">
        <v>0</v>
      </c>
      <c r="AD13" s="201">
        <f t="shared" si="30"/>
        <v>1.0118337433518675E-4</v>
      </c>
      <c r="AE13" s="206">
        <f t="shared" si="31"/>
        <v>1.0118337433518675E-4</v>
      </c>
      <c r="AF13" s="58">
        <f t="shared" si="8"/>
        <v>1.6E-2</v>
      </c>
      <c r="AG13" s="61">
        <f t="shared" si="9"/>
        <v>1.6E-2</v>
      </c>
      <c r="AH13" s="58">
        <f t="shared" si="10"/>
        <v>2.6914777573159676E-4</v>
      </c>
      <c r="AI13" s="49">
        <f t="shared" si="11"/>
        <v>0.29910841327491777</v>
      </c>
      <c r="AJ13" s="61">
        <f t="shared" si="57"/>
        <v>0.29937756105064939</v>
      </c>
      <c r="AK13" s="269">
        <f t="shared" si="12"/>
        <v>0.8</v>
      </c>
      <c r="AL13" s="268">
        <f t="shared" si="13"/>
        <v>5</v>
      </c>
      <c r="AM13" s="270">
        <f t="shared" si="32"/>
        <v>0.16</v>
      </c>
      <c r="AN13" s="269">
        <f t="shared" si="33"/>
        <v>1</v>
      </c>
      <c r="AO13" s="268">
        <f t="shared" si="34"/>
        <v>0.28111776891544943</v>
      </c>
      <c r="AP13" s="268">
        <f t="shared" si="35"/>
        <v>0.56915648063542545</v>
      </c>
      <c r="AQ13" s="268">
        <f t="shared" si="36"/>
        <v>1.1383129612708511</v>
      </c>
      <c r="AR13" s="268">
        <f t="shared" si="58"/>
        <v>1.1383129612708509</v>
      </c>
      <c r="AS13" s="270">
        <f t="shared" si="59"/>
        <v>0.34845379780140739</v>
      </c>
      <c r="AT13" s="269"/>
      <c r="AU13" s="268">
        <f t="shared" si="37"/>
        <v>2.5600000000000004E-4</v>
      </c>
      <c r="AV13" s="270">
        <f t="shared" si="60"/>
        <v>2.5600000000000004E-4</v>
      </c>
      <c r="AW13" s="269">
        <f t="shared" si="38"/>
        <v>0.11424000000000001</v>
      </c>
      <c r="AX13" s="268">
        <f t="shared" si="39"/>
        <v>0.08</v>
      </c>
      <c r="AY13" s="270">
        <f t="shared" si="61"/>
        <v>0.19424000000000002</v>
      </c>
      <c r="AZ13" s="263">
        <f t="shared" si="14"/>
        <v>0</v>
      </c>
      <c r="BA13" s="262">
        <f t="shared" si="15"/>
        <v>0</v>
      </c>
      <c r="BB13" s="262">
        <f t="shared" si="62"/>
        <v>0</v>
      </c>
      <c r="BC13" s="264" t="e">
        <f t="shared" si="40"/>
        <v>#DIV/0!</v>
      </c>
      <c r="BD13" s="263">
        <v>0</v>
      </c>
      <c r="BE13" s="262">
        <f t="shared" si="63"/>
        <v>0</v>
      </c>
      <c r="BF13" s="264">
        <f t="shared" si="64"/>
        <v>0</v>
      </c>
      <c r="BG13" s="263">
        <f t="shared" si="41"/>
        <v>0</v>
      </c>
      <c r="BH13" s="262">
        <f t="shared" si="42"/>
        <v>0</v>
      </c>
      <c r="BI13" s="264">
        <f t="shared" si="43"/>
        <v>0</v>
      </c>
      <c r="BK13" s="258">
        <f t="shared" si="17"/>
        <v>0</v>
      </c>
      <c r="BL13" s="257">
        <f t="shared" si="18"/>
        <v>0</v>
      </c>
      <c r="BM13" s="257">
        <f t="shared" si="19"/>
        <v>0</v>
      </c>
      <c r="BN13" s="259">
        <f t="shared" si="44"/>
        <v>0</v>
      </c>
      <c r="BO13" s="258">
        <v>0</v>
      </c>
      <c r="BP13" s="257">
        <f t="shared" si="45"/>
        <v>0</v>
      </c>
      <c r="BQ13" s="259">
        <f t="shared" si="65"/>
        <v>0</v>
      </c>
      <c r="BR13" s="258">
        <f t="shared" si="46"/>
        <v>0</v>
      </c>
      <c r="BS13" s="257">
        <f t="shared" si="66"/>
        <v>0</v>
      </c>
      <c r="BT13" s="259">
        <f t="shared" si="67"/>
        <v>0</v>
      </c>
      <c r="BU13" s="275">
        <f t="shared" si="20"/>
        <v>0</v>
      </c>
      <c r="BV13" s="274">
        <f t="shared" si="21"/>
        <v>0</v>
      </c>
      <c r="BW13" s="274">
        <f t="shared" si="22"/>
        <v>0</v>
      </c>
      <c r="BX13" s="276">
        <f t="shared" si="47"/>
        <v>0</v>
      </c>
      <c r="BY13" s="275">
        <v>0</v>
      </c>
      <c r="BZ13" s="274">
        <f t="shared" si="48"/>
        <v>0</v>
      </c>
      <c r="CA13" s="276">
        <f t="shared" si="68"/>
        <v>0</v>
      </c>
      <c r="CB13" s="275">
        <f t="shared" si="49"/>
        <v>0</v>
      </c>
      <c r="CC13" s="274">
        <f t="shared" si="50"/>
        <v>0</v>
      </c>
      <c r="CD13" s="276">
        <f t="shared" si="69"/>
        <v>0</v>
      </c>
      <c r="CE13" s="58">
        <f t="shared" si="51"/>
        <v>3.8449682247370965E-4</v>
      </c>
      <c r="CF13" s="49">
        <f t="shared" si="24"/>
        <v>7.3499999999999996E-2</v>
      </c>
      <c r="CG13" s="61">
        <f t="shared" si="70"/>
        <v>3.2340000000000001E-2</v>
      </c>
      <c r="CH13" s="49">
        <f t="shared" si="71"/>
        <v>1.0118337433518675E-4</v>
      </c>
      <c r="CI13" s="49">
        <f t="shared" si="72"/>
        <v>0.6321992412474583</v>
      </c>
      <c r="CJ13" s="49">
        <f t="shared" si="52"/>
        <v>55.858149966843506</v>
      </c>
      <c r="CN13" s="49">
        <f t="shared" si="53"/>
        <v>0.19424000000000002</v>
      </c>
      <c r="CO13" s="49">
        <f t="shared" si="54"/>
        <v>0</v>
      </c>
      <c r="CP13" s="49">
        <f t="shared" si="55"/>
        <v>0</v>
      </c>
      <c r="CQ13" s="49" t="str">
        <f t="shared" si="26"/>
        <v/>
      </c>
    </row>
    <row r="14" spans="1:95" x14ac:dyDescent="0.45">
      <c r="A14" s="49" t="s">
        <v>404</v>
      </c>
      <c r="B14" s="64">
        <f>VOUT2*IOUT2</f>
        <v>0</v>
      </c>
      <c r="L14" s="49">
        <f t="shared" si="56"/>
        <v>4.666666666666667</v>
      </c>
      <c r="Q14" s="49">
        <v>7</v>
      </c>
      <c r="R14" s="278">
        <f t="shared" si="0"/>
        <v>0.93333333333333335</v>
      </c>
      <c r="S14" s="201">
        <f t="shared" si="1"/>
        <v>42</v>
      </c>
      <c r="T14" s="206">
        <f t="shared" si="2"/>
        <v>2.2222222222222223E-2</v>
      </c>
      <c r="U14" s="205">
        <f t="shared" si="3"/>
        <v>1</v>
      </c>
      <c r="V14" s="201">
        <f t="shared" si="4"/>
        <v>0.2581988897471611</v>
      </c>
      <c r="W14" s="201">
        <f t="shared" si="5"/>
        <v>0.30364189434266148</v>
      </c>
      <c r="X14" s="201">
        <f t="shared" si="27"/>
        <v>0.43815921591017742</v>
      </c>
      <c r="Y14" s="205">
        <f t="shared" si="28"/>
        <v>8.6066296582387056E-2</v>
      </c>
      <c r="Z14" s="201">
        <f t="shared" si="6"/>
        <v>0.17213259316477408</v>
      </c>
      <c r="AA14" s="201">
        <f t="shared" si="29"/>
        <v>0.17213259316477408</v>
      </c>
      <c r="AB14" s="206">
        <f t="shared" si="7"/>
        <v>5.0498638509666634E-2</v>
      </c>
      <c r="AC14" s="205">
        <v>0</v>
      </c>
      <c r="AD14" s="201">
        <f t="shared" si="30"/>
        <v>1.275056245664993E-4</v>
      </c>
      <c r="AE14" s="206">
        <f t="shared" si="31"/>
        <v>1.275056245664993E-4</v>
      </c>
      <c r="AF14" s="58">
        <f t="shared" si="8"/>
        <v>1.8666666666666668E-2</v>
      </c>
      <c r="AG14" s="61">
        <f t="shared" si="9"/>
        <v>1.8666666666666668E-2</v>
      </c>
      <c r="AH14" s="58">
        <f t="shared" si="10"/>
        <v>3.3916496134688814E-4</v>
      </c>
      <c r="AI14" s="49">
        <f t="shared" si="11"/>
        <v>0.32307401119115969</v>
      </c>
      <c r="AJ14" s="61">
        <f t="shared" si="57"/>
        <v>0.32341317615250659</v>
      </c>
      <c r="AK14" s="269">
        <f t="shared" si="12"/>
        <v>0.93333333333333335</v>
      </c>
      <c r="AL14" s="268">
        <f t="shared" si="13"/>
        <v>5</v>
      </c>
      <c r="AM14" s="270">
        <f t="shared" si="32"/>
        <v>0.18666666666666668</v>
      </c>
      <c r="AN14" s="269">
        <f t="shared" si="33"/>
        <v>2</v>
      </c>
      <c r="AO14" s="268">
        <f t="shared" si="34"/>
        <v>0.30364189434266148</v>
      </c>
      <c r="AP14" s="268">
        <f t="shared" si="35"/>
        <v>0.61475926130276459</v>
      </c>
      <c r="AQ14" s="268">
        <f t="shared" si="36"/>
        <v>1.229518522605529</v>
      </c>
      <c r="AR14" s="268">
        <f t="shared" si="58"/>
        <v>1.2295185226055292</v>
      </c>
      <c r="AS14" s="270">
        <f t="shared" si="59"/>
        <v>0.39116077190817489</v>
      </c>
      <c r="AT14" s="269"/>
      <c r="AU14" s="268">
        <f t="shared" si="37"/>
        <v>3.4844444444444452E-4</v>
      </c>
      <c r="AV14" s="270">
        <f t="shared" si="60"/>
        <v>3.4844444444444452E-4</v>
      </c>
      <c r="AW14" s="269">
        <f t="shared" si="38"/>
        <v>0.11424000000000001</v>
      </c>
      <c r="AX14" s="268">
        <f t="shared" si="39"/>
        <v>9.3333333333333338E-2</v>
      </c>
      <c r="AY14" s="270">
        <f t="shared" si="61"/>
        <v>0.20757333333333333</v>
      </c>
      <c r="AZ14" s="263">
        <f t="shared" si="14"/>
        <v>0</v>
      </c>
      <c r="BA14" s="262">
        <f t="shared" si="15"/>
        <v>0</v>
      </c>
      <c r="BB14" s="262">
        <f t="shared" si="62"/>
        <v>0</v>
      </c>
      <c r="BC14" s="264" t="e">
        <f t="shared" si="40"/>
        <v>#DIV/0!</v>
      </c>
      <c r="BD14" s="263">
        <v>0</v>
      </c>
      <c r="BE14" s="262">
        <f t="shared" si="63"/>
        <v>0</v>
      </c>
      <c r="BF14" s="264">
        <f t="shared" si="64"/>
        <v>0</v>
      </c>
      <c r="BG14" s="263">
        <f t="shared" si="41"/>
        <v>0</v>
      </c>
      <c r="BH14" s="262">
        <f t="shared" si="42"/>
        <v>0</v>
      </c>
      <c r="BI14" s="264">
        <f t="shared" si="43"/>
        <v>0</v>
      </c>
      <c r="BK14" s="258">
        <f t="shared" si="17"/>
        <v>0</v>
      </c>
      <c r="BL14" s="257">
        <f t="shared" si="18"/>
        <v>0</v>
      </c>
      <c r="BM14" s="257">
        <f t="shared" si="19"/>
        <v>0</v>
      </c>
      <c r="BN14" s="259">
        <f t="shared" si="44"/>
        <v>0</v>
      </c>
      <c r="BO14" s="258">
        <v>0</v>
      </c>
      <c r="BP14" s="257">
        <f t="shared" si="45"/>
        <v>0</v>
      </c>
      <c r="BQ14" s="259">
        <f t="shared" si="65"/>
        <v>0</v>
      </c>
      <c r="BR14" s="258">
        <f t="shared" si="46"/>
        <v>0</v>
      </c>
      <c r="BS14" s="257">
        <f t="shared" si="66"/>
        <v>0</v>
      </c>
      <c r="BT14" s="259">
        <f t="shared" si="67"/>
        <v>0</v>
      </c>
      <c r="BU14" s="275">
        <f t="shared" si="20"/>
        <v>0</v>
      </c>
      <c r="BV14" s="274">
        <f t="shared" si="21"/>
        <v>0</v>
      </c>
      <c r="BW14" s="274">
        <f t="shared" si="22"/>
        <v>0</v>
      </c>
      <c r="BX14" s="276">
        <f t="shared" si="47"/>
        <v>0</v>
      </c>
      <c r="BY14" s="275">
        <v>0</v>
      </c>
      <c r="BZ14" s="274">
        <f t="shared" si="48"/>
        <v>0</v>
      </c>
      <c r="CA14" s="276">
        <f t="shared" si="68"/>
        <v>0</v>
      </c>
      <c r="CB14" s="275">
        <f t="shared" si="49"/>
        <v>0</v>
      </c>
      <c r="CC14" s="274">
        <f t="shared" si="50"/>
        <v>0</v>
      </c>
      <c r="CD14" s="276">
        <f t="shared" si="69"/>
        <v>0</v>
      </c>
      <c r="CE14" s="58">
        <f t="shared" si="51"/>
        <v>4.8452137335269736E-4</v>
      </c>
      <c r="CF14" s="49">
        <f t="shared" si="24"/>
        <v>7.3499999999999996E-2</v>
      </c>
      <c r="CG14" s="61">
        <f t="shared" si="70"/>
        <v>3.2340000000000001E-2</v>
      </c>
      <c r="CH14" s="49">
        <f t="shared" si="71"/>
        <v>1.275056245664993E-4</v>
      </c>
      <c r="CI14" s="49">
        <f t="shared" si="72"/>
        <v>0.67512031426153707</v>
      </c>
      <c r="CJ14" s="49">
        <f t="shared" si="52"/>
        <v>58.026747287927861</v>
      </c>
      <c r="CN14" s="49">
        <f t="shared" si="53"/>
        <v>0.20757333333333333</v>
      </c>
      <c r="CO14" s="49">
        <f t="shared" si="54"/>
        <v>0</v>
      </c>
      <c r="CP14" s="49">
        <f t="shared" si="55"/>
        <v>0</v>
      </c>
      <c r="CQ14" s="49" t="str">
        <f t="shared" si="26"/>
        <v/>
      </c>
    </row>
    <row r="15" spans="1:95" x14ac:dyDescent="0.45">
      <c r="A15" s="49" t="s">
        <v>568</v>
      </c>
      <c r="B15" s="49">
        <f>POUT2/O11</f>
        <v>0</v>
      </c>
      <c r="L15" s="49">
        <f t="shared" si="56"/>
        <v>5.333333333333333</v>
      </c>
      <c r="O15" s="49">
        <f>0.205*2.5/(Lm*Fsw)</f>
        <v>8.1349206349206355E-3</v>
      </c>
      <c r="Q15" s="49">
        <v>8</v>
      </c>
      <c r="R15" s="278">
        <f t="shared" si="0"/>
        <v>1.0666666666666667</v>
      </c>
      <c r="S15" s="201">
        <f t="shared" si="1"/>
        <v>42</v>
      </c>
      <c r="T15" s="206">
        <f t="shared" si="2"/>
        <v>2.5396825396825397E-2</v>
      </c>
      <c r="U15" s="205">
        <f t="shared" si="3"/>
        <v>1</v>
      </c>
      <c r="V15" s="201">
        <f t="shared" si="4"/>
        <v>0.27602622373694169</v>
      </c>
      <c r="W15" s="201">
        <f t="shared" si="5"/>
        <v>0.32460683911464344</v>
      </c>
      <c r="X15" s="201">
        <f t="shared" si="27"/>
        <v>0.39936693714841481</v>
      </c>
      <c r="Y15" s="205">
        <f t="shared" si="28"/>
        <v>9.2008741245647216E-2</v>
      </c>
      <c r="Z15" s="201">
        <f t="shared" si="6"/>
        <v>0.18401748249129449</v>
      </c>
      <c r="AA15" s="201">
        <f t="shared" si="29"/>
        <v>0.18401748249129446</v>
      </c>
      <c r="AB15" s="206">
        <f t="shared" si="7"/>
        <v>5.5817917510388358E-2</v>
      </c>
      <c r="AC15" s="205">
        <v>0</v>
      </c>
      <c r="AD15" s="201">
        <f t="shared" si="30"/>
        <v>1.5578199575982596E-4</v>
      </c>
      <c r="AE15" s="206">
        <f t="shared" si="31"/>
        <v>1.5578199575982596E-4</v>
      </c>
      <c r="AF15" s="58">
        <f t="shared" si="8"/>
        <v>2.1333333333333333E-2</v>
      </c>
      <c r="AG15" s="61">
        <f t="shared" si="9"/>
        <v>2.1333333333333333E-2</v>
      </c>
      <c r="AH15" s="58">
        <f t="shared" si="10"/>
        <v>4.1438010872113707E-4</v>
      </c>
      <c r="AI15" s="49">
        <f t="shared" si="11"/>
        <v>0.34538064584231121</v>
      </c>
      <c r="AJ15" s="61">
        <f t="shared" si="57"/>
        <v>0.34579502595103234</v>
      </c>
      <c r="AK15" s="269">
        <f t="shared" si="12"/>
        <v>1.0666666666666667</v>
      </c>
      <c r="AL15" s="268">
        <f t="shared" si="13"/>
        <v>5</v>
      </c>
      <c r="AM15" s="270">
        <f t="shared" si="32"/>
        <v>0.21333333333333332</v>
      </c>
      <c r="AN15" s="269">
        <f t="shared" si="33"/>
        <v>2</v>
      </c>
      <c r="AO15" s="268">
        <f t="shared" si="34"/>
        <v>0.32460683911464344</v>
      </c>
      <c r="AP15" s="268">
        <f t="shared" si="35"/>
        <v>0.6572052946117658</v>
      </c>
      <c r="AQ15" s="268">
        <f t="shared" si="36"/>
        <v>1.3144105892235318</v>
      </c>
      <c r="AR15" s="268">
        <f t="shared" si="58"/>
        <v>1.3144105892235318</v>
      </c>
      <c r="AS15" s="270">
        <f t="shared" si="59"/>
        <v>0.43236372987542698</v>
      </c>
      <c r="AT15" s="269"/>
      <c r="AU15" s="268">
        <f t="shared" si="37"/>
        <v>4.5511111111111105E-4</v>
      </c>
      <c r="AV15" s="270">
        <f t="shared" si="60"/>
        <v>4.5511111111111105E-4</v>
      </c>
      <c r="AW15" s="269">
        <f t="shared" si="38"/>
        <v>0.11424000000000001</v>
      </c>
      <c r="AX15" s="268">
        <f t="shared" si="39"/>
        <v>0.10666666666666666</v>
      </c>
      <c r="AY15" s="270">
        <f t="shared" si="61"/>
        <v>0.22090666666666667</v>
      </c>
      <c r="AZ15" s="263">
        <f t="shared" si="14"/>
        <v>0</v>
      </c>
      <c r="BA15" s="262">
        <f t="shared" si="15"/>
        <v>0</v>
      </c>
      <c r="BB15" s="262">
        <f t="shared" si="62"/>
        <v>0</v>
      </c>
      <c r="BC15" s="264" t="e">
        <f t="shared" si="40"/>
        <v>#DIV/0!</v>
      </c>
      <c r="BD15" s="263">
        <v>0</v>
      </c>
      <c r="BE15" s="262">
        <f t="shared" si="63"/>
        <v>0</v>
      </c>
      <c r="BF15" s="264">
        <f t="shared" si="64"/>
        <v>0</v>
      </c>
      <c r="BG15" s="263">
        <f t="shared" si="41"/>
        <v>0</v>
      </c>
      <c r="BH15" s="262">
        <f t="shared" si="42"/>
        <v>0</v>
      </c>
      <c r="BI15" s="264">
        <f t="shared" si="43"/>
        <v>0</v>
      </c>
      <c r="BK15" s="258">
        <f t="shared" si="17"/>
        <v>0</v>
      </c>
      <c r="BL15" s="257">
        <f t="shared" si="18"/>
        <v>0</v>
      </c>
      <c r="BM15" s="257">
        <f t="shared" si="19"/>
        <v>0</v>
      </c>
      <c r="BN15" s="259">
        <f t="shared" si="44"/>
        <v>0</v>
      </c>
      <c r="BO15" s="258">
        <v>0</v>
      </c>
      <c r="BP15" s="257">
        <f t="shared" si="45"/>
        <v>0</v>
      </c>
      <c r="BQ15" s="259">
        <f t="shared" si="65"/>
        <v>0</v>
      </c>
      <c r="BR15" s="258">
        <f t="shared" si="46"/>
        <v>0</v>
      </c>
      <c r="BS15" s="257">
        <f t="shared" si="66"/>
        <v>0</v>
      </c>
      <c r="BT15" s="259">
        <f t="shared" si="67"/>
        <v>0</v>
      </c>
      <c r="BU15" s="275">
        <f t="shared" si="20"/>
        <v>0</v>
      </c>
      <c r="BV15" s="274">
        <f t="shared" si="21"/>
        <v>0</v>
      </c>
      <c r="BW15" s="274">
        <f t="shared" si="22"/>
        <v>0</v>
      </c>
      <c r="BX15" s="276">
        <f t="shared" si="47"/>
        <v>0</v>
      </c>
      <c r="BY15" s="275">
        <v>0</v>
      </c>
      <c r="BZ15" s="274">
        <f t="shared" si="48"/>
        <v>0</v>
      </c>
      <c r="CA15" s="276">
        <f t="shared" si="68"/>
        <v>0</v>
      </c>
      <c r="CB15" s="275">
        <f t="shared" si="49"/>
        <v>0</v>
      </c>
      <c r="CC15" s="274">
        <f t="shared" si="50"/>
        <v>0</v>
      </c>
      <c r="CD15" s="276">
        <f t="shared" si="69"/>
        <v>0</v>
      </c>
      <c r="CE15" s="58">
        <f t="shared" si="51"/>
        <v>5.919715838873386E-4</v>
      </c>
      <c r="CF15" s="49">
        <f t="shared" si="24"/>
        <v>7.3499999999999996E-2</v>
      </c>
      <c r="CG15" s="61">
        <f t="shared" si="70"/>
        <v>3.2340000000000001E-2</v>
      </c>
      <c r="CH15" s="49">
        <f t="shared" si="71"/>
        <v>1.5578199575982596E-4</v>
      </c>
      <c r="CI15" s="49">
        <f t="shared" si="72"/>
        <v>0.71641122397512391</v>
      </c>
      <c r="CJ15" s="49">
        <f t="shared" si="52"/>
        <v>59.821652899455614</v>
      </c>
      <c r="CN15" s="49">
        <f t="shared" si="53"/>
        <v>0.22090666666666667</v>
      </c>
      <c r="CO15" s="49">
        <f t="shared" si="54"/>
        <v>0</v>
      </c>
      <c r="CP15" s="49">
        <f t="shared" si="55"/>
        <v>0</v>
      </c>
      <c r="CQ15" s="49" t="str">
        <f t="shared" si="26"/>
        <v/>
      </c>
    </row>
    <row r="16" spans="1:95" x14ac:dyDescent="0.45">
      <c r="L16" s="49">
        <f t="shared" si="56"/>
        <v>6</v>
      </c>
      <c r="Q16" s="49">
        <v>9</v>
      </c>
      <c r="R16" s="278">
        <f t="shared" si="0"/>
        <v>1.2</v>
      </c>
      <c r="S16" s="201">
        <f t="shared" si="1"/>
        <v>42</v>
      </c>
      <c r="T16" s="206">
        <f t="shared" si="2"/>
        <v>2.8571428571428571E-2</v>
      </c>
      <c r="U16" s="205">
        <f t="shared" si="3"/>
        <v>1</v>
      </c>
      <c r="V16" s="201">
        <f t="shared" si="4"/>
        <v>0.29277002188455992</v>
      </c>
      <c r="W16" s="201">
        <f t="shared" si="5"/>
        <v>0.34429754573624249</v>
      </c>
      <c r="X16" s="201">
        <f t="shared" si="27"/>
        <v>0.36293243237919759</v>
      </c>
      <c r="Y16" s="205">
        <f t="shared" si="28"/>
        <v>9.7590007294853329E-2</v>
      </c>
      <c r="Z16" s="201">
        <f t="shared" si="6"/>
        <v>0.19518001458970663</v>
      </c>
      <c r="AA16" s="201">
        <f t="shared" si="29"/>
        <v>0.19518001458970663</v>
      </c>
      <c r="AB16" s="206">
        <f t="shared" si="7"/>
        <v>6.0973064246546263E-2</v>
      </c>
      <c r="AC16" s="205">
        <v>0</v>
      </c>
      <c r="AD16" s="201">
        <f t="shared" si="30"/>
        <v>1.8588572818067293E-4</v>
      </c>
      <c r="AE16" s="206">
        <f t="shared" si="31"/>
        <v>1.8588572818067293E-4</v>
      </c>
      <c r="AF16" s="58">
        <f t="shared" si="8"/>
        <v>2.4E-2</v>
      </c>
      <c r="AG16" s="61">
        <f t="shared" si="9"/>
        <v>2.4E-2</v>
      </c>
      <c r="AH16" s="58">
        <f t="shared" si="10"/>
        <v>4.9445603696058997E-4</v>
      </c>
      <c r="AI16" s="49">
        <f t="shared" si="11"/>
        <v>0.36633149514853153</v>
      </c>
      <c r="AJ16" s="61">
        <f t="shared" si="57"/>
        <v>0.36682595118549211</v>
      </c>
      <c r="AK16" s="269">
        <f t="shared" si="12"/>
        <v>1.2</v>
      </c>
      <c r="AL16" s="268">
        <f t="shared" si="13"/>
        <v>5</v>
      </c>
      <c r="AM16" s="270">
        <f t="shared" si="32"/>
        <v>0.24</v>
      </c>
      <c r="AN16" s="269">
        <f t="shared" si="33"/>
        <v>2</v>
      </c>
      <c r="AO16" s="268">
        <f t="shared" si="34"/>
        <v>0.34429754573624249</v>
      </c>
      <c r="AP16" s="268">
        <f t="shared" si="35"/>
        <v>0.69707148067752367</v>
      </c>
      <c r="AQ16" s="268">
        <f t="shared" si="36"/>
        <v>1.3941429613550471</v>
      </c>
      <c r="AR16" s="268">
        <f t="shared" si="58"/>
        <v>1.3941429613550471</v>
      </c>
      <c r="AS16" s="270">
        <f t="shared" si="59"/>
        <v>0.47229532478821706</v>
      </c>
      <c r="AT16" s="269"/>
      <c r="AU16" s="268">
        <f t="shared" si="37"/>
        <v>5.7600000000000001E-4</v>
      </c>
      <c r="AV16" s="270">
        <f t="shared" si="60"/>
        <v>5.7600000000000001E-4</v>
      </c>
      <c r="AW16" s="269">
        <f t="shared" si="38"/>
        <v>0.11424000000000001</v>
      </c>
      <c r="AX16" s="268">
        <f t="shared" si="39"/>
        <v>0.12</v>
      </c>
      <c r="AY16" s="270">
        <f t="shared" si="61"/>
        <v>0.23424</v>
      </c>
      <c r="AZ16" s="263">
        <f t="shared" si="14"/>
        <v>0</v>
      </c>
      <c r="BA16" s="262">
        <f t="shared" si="15"/>
        <v>0</v>
      </c>
      <c r="BB16" s="262">
        <f t="shared" si="62"/>
        <v>0</v>
      </c>
      <c r="BC16" s="264" t="e">
        <f t="shared" si="40"/>
        <v>#DIV/0!</v>
      </c>
      <c r="BD16" s="263">
        <v>0</v>
      </c>
      <c r="BE16" s="262">
        <f t="shared" si="63"/>
        <v>0</v>
      </c>
      <c r="BF16" s="264">
        <f t="shared" si="64"/>
        <v>0</v>
      </c>
      <c r="BG16" s="263">
        <f t="shared" si="41"/>
        <v>0</v>
      </c>
      <c r="BH16" s="262">
        <f t="shared" si="42"/>
        <v>0</v>
      </c>
      <c r="BI16" s="264">
        <f t="shared" si="43"/>
        <v>0</v>
      </c>
      <c r="BK16" s="258">
        <f t="shared" si="17"/>
        <v>0</v>
      </c>
      <c r="BL16" s="257">
        <f t="shared" si="18"/>
        <v>0</v>
      </c>
      <c r="BM16" s="257">
        <f t="shared" si="19"/>
        <v>0</v>
      </c>
      <c r="BN16" s="259">
        <f t="shared" si="44"/>
        <v>0</v>
      </c>
      <c r="BO16" s="258">
        <v>0</v>
      </c>
      <c r="BP16" s="257">
        <f t="shared" si="45"/>
        <v>0</v>
      </c>
      <c r="BQ16" s="259">
        <f t="shared" si="65"/>
        <v>0</v>
      </c>
      <c r="BR16" s="258">
        <f t="shared" si="46"/>
        <v>0</v>
      </c>
      <c r="BS16" s="257">
        <f t="shared" si="66"/>
        <v>0</v>
      </c>
      <c r="BT16" s="259">
        <f t="shared" si="67"/>
        <v>0</v>
      </c>
      <c r="BU16" s="275">
        <f t="shared" si="20"/>
        <v>0</v>
      </c>
      <c r="BV16" s="274">
        <f t="shared" si="21"/>
        <v>0</v>
      </c>
      <c r="BW16" s="274">
        <f t="shared" si="22"/>
        <v>0</v>
      </c>
      <c r="BX16" s="276">
        <f t="shared" si="47"/>
        <v>0</v>
      </c>
      <c r="BY16" s="275">
        <v>0</v>
      </c>
      <c r="BZ16" s="274">
        <f t="shared" si="48"/>
        <v>0</v>
      </c>
      <c r="CA16" s="276">
        <f t="shared" si="68"/>
        <v>0</v>
      </c>
      <c r="CB16" s="275">
        <f t="shared" si="49"/>
        <v>0</v>
      </c>
      <c r="CC16" s="274">
        <f t="shared" si="50"/>
        <v>0</v>
      </c>
      <c r="CD16" s="276">
        <f t="shared" si="69"/>
        <v>0</v>
      </c>
      <c r="CE16" s="58">
        <f t="shared" si="51"/>
        <v>7.0636576708655707E-4</v>
      </c>
      <c r="CF16" s="49">
        <f t="shared" si="24"/>
        <v>7.3499999999999996E-2</v>
      </c>
      <c r="CG16" s="61">
        <f t="shared" si="70"/>
        <v>3.2340000000000001E-2</v>
      </c>
      <c r="CH16" s="49">
        <f t="shared" si="71"/>
        <v>1.8588572818067293E-4</v>
      </c>
      <c r="CI16" s="49">
        <f t="shared" si="72"/>
        <v>0.75637420268075939</v>
      </c>
      <c r="CJ16" s="49">
        <f t="shared" si="52"/>
        <v>61.337958676600671</v>
      </c>
      <c r="CN16" s="49">
        <f t="shared" si="53"/>
        <v>0.23424</v>
      </c>
      <c r="CO16" s="49">
        <f t="shared" si="54"/>
        <v>0</v>
      </c>
      <c r="CP16" s="49">
        <f t="shared" si="55"/>
        <v>0</v>
      </c>
      <c r="CQ16" s="49" t="str">
        <f t="shared" si="26"/>
        <v/>
      </c>
    </row>
    <row r="17" spans="1:95" x14ac:dyDescent="0.45">
      <c r="L17" s="49">
        <f t="shared" si="56"/>
        <v>6.666666666666667</v>
      </c>
      <c r="Q17" s="49">
        <v>10</v>
      </c>
      <c r="R17" s="278">
        <f t="shared" si="0"/>
        <v>1.3333333333333333</v>
      </c>
      <c r="S17" s="201">
        <f t="shared" si="1"/>
        <v>42</v>
      </c>
      <c r="T17" s="206">
        <f t="shared" si="2"/>
        <v>3.1746031746031744E-2</v>
      </c>
      <c r="U17" s="205">
        <f t="shared" si="3"/>
        <v>1</v>
      </c>
      <c r="V17" s="201">
        <f t="shared" si="4"/>
        <v>0.30860669992418377</v>
      </c>
      <c r="W17" s="201">
        <f t="shared" si="5"/>
        <v>0.36292147911084016</v>
      </c>
      <c r="X17" s="201">
        <f t="shared" si="27"/>
        <v>0.32847182096497607</v>
      </c>
      <c r="Y17" s="205">
        <f t="shared" si="28"/>
        <v>0.10286889997472795</v>
      </c>
      <c r="Z17" s="201">
        <f t="shared" si="6"/>
        <v>0.20573779994945587</v>
      </c>
      <c r="AA17" s="201">
        <f t="shared" si="29"/>
        <v>0.2057377999494559</v>
      </c>
      <c r="AB17" s="206">
        <f t="shared" si="7"/>
        <v>6.5986658896851541E-2</v>
      </c>
      <c r="AC17" s="205">
        <v>0</v>
      </c>
      <c r="AD17" s="201">
        <f t="shared" si="30"/>
        <v>2.1771195761847184E-4</v>
      </c>
      <c r="AE17" s="206">
        <f t="shared" si="31"/>
        <v>2.1771195761847184E-4</v>
      </c>
      <c r="AF17" s="58">
        <f t="shared" si="8"/>
        <v>2.6666666666666665E-2</v>
      </c>
      <c r="AG17" s="61">
        <f t="shared" si="9"/>
        <v>2.6666666666666665E-2</v>
      </c>
      <c r="AH17" s="58">
        <f t="shared" si="10"/>
        <v>5.7911380726513508E-4</v>
      </c>
      <c r="AI17" s="49">
        <f t="shared" si="11"/>
        <v>0.38614730110809414</v>
      </c>
      <c r="AJ17" s="61">
        <f t="shared" si="57"/>
        <v>0.38672641491535925</v>
      </c>
      <c r="AK17" s="269">
        <f t="shared" si="12"/>
        <v>1.3333333333333333</v>
      </c>
      <c r="AL17" s="268">
        <f t="shared" si="13"/>
        <v>5</v>
      </c>
      <c r="AM17" s="270">
        <f t="shared" si="32"/>
        <v>0.26666666666666666</v>
      </c>
      <c r="AN17" s="269">
        <f t="shared" si="33"/>
        <v>2</v>
      </c>
      <c r="AO17" s="268">
        <f t="shared" si="34"/>
        <v>0.36292147911084016</v>
      </c>
      <c r="AP17" s="268">
        <f t="shared" si="35"/>
        <v>0.73477785696234243</v>
      </c>
      <c r="AQ17" s="268">
        <f t="shared" si="36"/>
        <v>1.4695557139246846</v>
      </c>
      <c r="AR17" s="268">
        <f t="shared" si="58"/>
        <v>1.4695557139246849</v>
      </c>
      <c r="AS17" s="270">
        <f t="shared" si="59"/>
        <v>0.51113046195875111</v>
      </c>
      <c r="AT17" s="269"/>
      <c r="AU17" s="268">
        <f t="shared" si="37"/>
        <v>7.1111111111111115E-4</v>
      </c>
      <c r="AV17" s="270">
        <f t="shared" si="60"/>
        <v>7.1111111111111115E-4</v>
      </c>
      <c r="AW17" s="269">
        <f t="shared" si="38"/>
        <v>0.11424000000000001</v>
      </c>
      <c r="AX17" s="268">
        <f t="shared" si="39"/>
        <v>0.13333333333333333</v>
      </c>
      <c r="AY17" s="270">
        <f t="shared" si="61"/>
        <v>0.24757333333333334</v>
      </c>
      <c r="AZ17" s="263">
        <f t="shared" si="14"/>
        <v>0</v>
      </c>
      <c r="BA17" s="262">
        <f t="shared" si="15"/>
        <v>0</v>
      </c>
      <c r="BB17" s="262">
        <f t="shared" si="62"/>
        <v>0</v>
      </c>
      <c r="BC17" s="264" t="e">
        <f t="shared" si="40"/>
        <v>#DIV/0!</v>
      </c>
      <c r="BD17" s="263">
        <v>0</v>
      </c>
      <c r="BE17" s="262">
        <f t="shared" si="63"/>
        <v>0</v>
      </c>
      <c r="BF17" s="264">
        <f t="shared" si="64"/>
        <v>0</v>
      </c>
      <c r="BG17" s="263">
        <f t="shared" si="41"/>
        <v>0</v>
      </c>
      <c r="BH17" s="262">
        <f t="shared" si="42"/>
        <v>0</v>
      </c>
      <c r="BI17" s="264">
        <f t="shared" si="43"/>
        <v>0</v>
      </c>
      <c r="BK17" s="258">
        <f t="shared" si="17"/>
        <v>0</v>
      </c>
      <c r="BL17" s="257">
        <f t="shared" si="18"/>
        <v>0</v>
      </c>
      <c r="BM17" s="257">
        <f t="shared" si="19"/>
        <v>0</v>
      </c>
      <c r="BN17" s="259">
        <f t="shared" si="44"/>
        <v>0</v>
      </c>
      <c r="BO17" s="258">
        <v>0</v>
      </c>
      <c r="BP17" s="257">
        <f t="shared" si="45"/>
        <v>0</v>
      </c>
      <c r="BQ17" s="259">
        <f t="shared" si="65"/>
        <v>0</v>
      </c>
      <c r="BR17" s="258">
        <f t="shared" si="46"/>
        <v>0</v>
      </c>
      <c r="BS17" s="257">
        <f t="shared" si="66"/>
        <v>0</v>
      </c>
      <c r="BT17" s="259">
        <f t="shared" si="67"/>
        <v>0</v>
      </c>
      <c r="BU17" s="275">
        <f t="shared" si="20"/>
        <v>0</v>
      </c>
      <c r="BV17" s="274">
        <f t="shared" si="21"/>
        <v>0</v>
      </c>
      <c r="BW17" s="274">
        <f t="shared" si="22"/>
        <v>0</v>
      </c>
      <c r="BX17" s="276">
        <f t="shared" si="47"/>
        <v>0</v>
      </c>
      <c r="BY17" s="275">
        <v>0</v>
      </c>
      <c r="BZ17" s="274">
        <f t="shared" si="48"/>
        <v>0</v>
      </c>
      <c r="CA17" s="276">
        <f t="shared" si="68"/>
        <v>0</v>
      </c>
      <c r="CB17" s="275">
        <f t="shared" si="49"/>
        <v>0</v>
      </c>
      <c r="CC17" s="274">
        <f t="shared" si="50"/>
        <v>0</v>
      </c>
      <c r="CD17" s="276">
        <f t="shared" si="69"/>
        <v>0</v>
      </c>
      <c r="CE17" s="58">
        <f t="shared" si="51"/>
        <v>8.27305438950193E-4</v>
      </c>
      <c r="CF17" s="49">
        <f t="shared" si="24"/>
        <v>7.3499999999999996E-2</v>
      </c>
      <c r="CG17" s="61">
        <f t="shared" si="70"/>
        <v>3.2340000000000001E-2</v>
      </c>
      <c r="CH17" s="49">
        <f t="shared" si="71"/>
        <v>2.1771195761847184E-4</v>
      </c>
      <c r="CI17" s="49">
        <f t="shared" si="72"/>
        <v>0.79522921008970548</v>
      </c>
      <c r="CJ17" s="49">
        <f t="shared" si="52"/>
        <v>62.640082503243669</v>
      </c>
      <c r="CN17" s="49">
        <f t="shared" si="53"/>
        <v>0.24757333333333334</v>
      </c>
      <c r="CO17" s="49">
        <f t="shared" si="54"/>
        <v>0</v>
      </c>
      <c r="CP17" s="49">
        <f t="shared" si="55"/>
        <v>0</v>
      </c>
      <c r="CQ17" s="49" t="str">
        <f t="shared" si="26"/>
        <v/>
      </c>
    </row>
    <row r="18" spans="1:95" x14ac:dyDescent="0.45">
      <c r="A18" s="49" t="s">
        <v>566</v>
      </c>
      <c r="B18" s="64">
        <f>VOUT3*IOUT3</f>
        <v>0</v>
      </c>
      <c r="L18" s="49">
        <f t="shared" si="56"/>
        <v>7.333333333333333</v>
      </c>
      <c r="Q18" s="49">
        <v>11</v>
      </c>
      <c r="R18" s="278">
        <f t="shared" si="0"/>
        <v>1.4666666666666666</v>
      </c>
      <c r="S18" s="201">
        <f t="shared" si="1"/>
        <v>42</v>
      </c>
      <c r="T18" s="206">
        <f t="shared" si="2"/>
        <v>3.4920634920634921E-2</v>
      </c>
      <c r="U18" s="205">
        <f t="shared" si="3"/>
        <v>1</v>
      </c>
      <c r="V18" s="201">
        <f t="shared" si="4"/>
        <v>0.32366943748507476</v>
      </c>
      <c r="W18" s="201">
        <f t="shared" si="5"/>
        <v>0.380635258482448</v>
      </c>
      <c r="X18" s="201">
        <f t="shared" si="27"/>
        <v>0.29569530403247718</v>
      </c>
      <c r="Y18" s="205">
        <f t="shared" si="28"/>
        <v>0.10788981249502495</v>
      </c>
      <c r="Z18" s="201">
        <f t="shared" si="6"/>
        <v>0.21577962499004988</v>
      </c>
      <c r="AA18" s="201">
        <f t="shared" si="29"/>
        <v>0.21577962499004988</v>
      </c>
      <c r="AB18" s="206">
        <f t="shared" si="7"/>
        <v>7.0876237238297016E-2</v>
      </c>
      <c r="AC18" s="205">
        <v>0</v>
      </c>
      <c r="AD18" s="201">
        <f t="shared" si="30"/>
        <v>2.5117205025296805E-4</v>
      </c>
      <c r="AE18" s="206">
        <f t="shared" si="31"/>
        <v>2.5117205025296805E-4</v>
      </c>
      <c r="AF18" s="58">
        <f t="shared" si="8"/>
        <v>2.9333333333333333E-2</v>
      </c>
      <c r="AG18" s="61">
        <f t="shared" si="9"/>
        <v>2.9333333333333333E-2</v>
      </c>
      <c r="AH18" s="58">
        <f t="shared" si="10"/>
        <v>6.6811765367289508E-4</v>
      </c>
      <c r="AI18" s="49">
        <f t="shared" si="11"/>
        <v>0.4049947060991928</v>
      </c>
      <c r="AJ18" s="61">
        <f t="shared" si="57"/>
        <v>0.40566282375286572</v>
      </c>
      <c r="AK18" s="269">
        <f t="shared" si="12"/>
        <v>1.4666666666666666</v>
      </c>
      <c r="AL18" s="268">
        <f t="shared" si="13"/>
        <v>5</v>
      </c>
      <c r="AM18" s="270">
        <f t="shared" si="32"/>
        <v>0.29333333333333333</v>
      </c>
      <c r="AN18" s="269">
        <f t="shared" si="33"/>
        <v>2</v>
      </c>
      <c r="AO18" s="268">
        <f t="shared" si="34"/>
        <v>0.380635258482448</v>
      </c>
      <c r="AP18" s="268">
        <f t="shared" si="35"/>
        <v>0.77064151782160673</v>
      </c>
      <c r="AQ18" s="268">
        <f t="shared" si="36"/>
        <v>1.5412830356432132</v>
      </c>
      <c r="AR18" s="268">
        <f t="shared" si="58"/>
        <v>1.5412830356432132</v>
      </c>
      <c r="AS18" s="270">
        <f t="shared" si="59"/>
        <v>0.54900497293154071</v>
      </c>
      <c r="AT18" s="269"/>
      <c r="AU18" s="268">
        <f t="shared" si="37"/>
        <v>8.6044444444444449E-4</v>
      </c>
      <c r="AV18" s="270">
        <f t="shared" si="60"/>
        <v>8.6044444444444449E-4</v>
      </c>
      <c r="AW18" s="269">
        <f t="shared" si="38"/>
        <v>0.11424000000000001</v>
      </c>
      <c r="AX18" s="268">
        <f t="shared" si="39"/>
        <v>0.14666666666666667</v>
      </c>
      <c r="AY18" s="270">
        <f t="shared" si="61"/>
        <v>0.26090666666666668</v>
      </c>
      <c r="AZ18" s="263">
        <f t="shared" si="14"/>
        <v>0</v>
      </c>
      <c r="BA18" s="262">
        <f t="shared" si="15"/>
        <v>0</v>
      </c>
      <c r="BB18" s="262">
        <f t="shared" si="62"/>
        <v>0</v>
      </c>
      <c r="BC18" s="264" t="e">
        <f t="shared" si="40"/>
        <v>#DIV/0!</v>
      </c>
      <c r="BD18" s="263">
        <v>0</v>
      </c>
      <c r="BE18" s="262">
        <f t="shared" si="63"/>
        <v>0</v>
      </c>
      <c r="BF18" s="264">
        <f t="shared" si="64"/>
        <v>0</v>
      </c>
      <c r="BG18" s="263">
        <f t="shared" si="41"/>
        <v>0</v>
      </c>
      <c r="BH18" s="262">
        <f t="shared" si="42"/>
        <v>0</v>
      </c>
      <c r="BI18" s="264">
        <f t="shared" si="43"/>
        <v>0</v>
      </c>
      <c r="BK18" s="258">
        <f t="shared" si="17"/>
        <v>0</v>
      </c>
      <c r="BL18" s="257">
        <f t="shared" si="18"/>
        <v>0</v>
      </c>
      <c r="BM18" s="257">
        <f t="shared" si="19"/>
        <v>0</v>
      </c>
      <c r="BN18" s="259">
        <f t="shared" si="44"/>
        <v>0</v>
      </c>
      <c r="BO18" s="258">
        <v>0</v>
      </c>
      <c r="BP18" s="257">
        <f t="shared" si="45"/>
        <v>0</v>
      </c>
      <c r="BQ18" s="259">
        <f t="shared" si="65"/>
        <v>0</v>
      </c>
      <c r="BR18" s="258">
        <f t="shared" si="46"/>
        <v>0</v>
      </c>
      <c r="BS18" s="257">
        <f t="shared" si="66"/>
        <v>0</v>
      </c>
      <c r="BT18" s="259">
        <f t="shared" si="67"/>
        <v>0</v>
      </c>
      <c r="BU18" s="275">
        <f t="shared" si="20"/>
        <v>0</v>
      </c>
      <c r="BV18" s="274">
        <f t="shared" si="21"/>
        <v>0</v>
      </c>
      <c r="BW18" s="274">
        <f t="shared" si="22"/>
        <v>0</v>
      </c>
      <c r="BX18" s="276">
        <f t="shared" si="47"/>
        <v>0</v>
      </c>
      <c r="BY18" s="275">
        <v>0</v>
      </c>
      <c r="BZ18" s="274">
        <f t="shared" si="48"/>
        <v>0</v>
      </c>
      <c r="CA18" s="276">
        <f t="shared" si="68"/>
        <v>0</v>
      </c>
      <c r="CB18" s="275">
        <f t="shared" si="49"/>
        <v>0</v>
      </c>
      <c r="CC18" s="274">
        <f t="shared" si="50"/>
        <v>0</v>
      </c>
      <c r="CD18" s="276">
        <f t="shared" si="69"/>
        <v>0</v>
      </c>
      <c r="CE18" s="58">
        <f t="shared" si="51"/>
        <v>9.5445379096127864E-4</v>
      </c>
      <c r="CF18" s="49">
        <f t="shared" si="24"/>
        <v>7.3499999999999996E-2</v>
      </c>
      <c r="CG18" s="61">
        <f t="shared" si="70"/>
        <v>3.2340000000000001E-2</v>
      </c>
      <c r="CH18" s="49">
        <f t="shared" si="71"/>
        <v>2.5117205025296805E-4</v>
      </c>
      <c r="CI18" s="49">
        <f t="shared" si="72"/>
        <v>0.83314222737185761</v>
      </c>
      <c r="CJ18" s="49">
        <f t="shared" si="52"/>
        <v>63.7734148462728</v>
      </c>
      <c r="CN18" s="49">
        <f t="shared" si="53"/>
        <v>0.26090666666666668</v>
      </c>
      <c r="CO18" s="49">
        <f t="shared" si="54"/>
        <v>0</v>
      </c>
      <c r="CP18" s="49">
        <f t="shared" si="55"/>
        <v>0</v>
      </c>
      <c r="CQ18" s="49" t="str">
        <f t="shared" si="26"/>
        <v/>
      </c>
    </row>
    <row r="19" spans="1:95" x14ac:dyDescent="0.45">
      <c r="A19" s="49" t="s">
        <v>569</v>
      </c>
      <c r="B19" s="49">
        <f>POUT3/O11</f>
        <v>0</v>
      </c>
      <c r="L19" s="49">
        <f t="shared" si="56"/>
        <v>8</v>
      </c>
      <c r="Q19" s="49">
        <v>12</v>
      </c>
      <c r="R19" s="278">
        <f t="shared" si="0"/>
        <v>1.6</v>
      </c>
      <c r="S19" s="201">
        <f t="shared" si="1"/>
        <v>42</v>
      </c>
      <c r="T19" s="206">
        <f t="shared" si="2"/>
        <v>3.8095238095238099E-2</v>
      </c>
      <c r="U19" s="205">
        <f t="shared" si="3"/>
        <v>1</v>
      </c>
      <c r="V19" s="201">
        <f t="shared" si="4"/>
        <v>0.33806170189140661</v>
      </c>
      <c r="W19" s="201">
        <f t="shared" si="5"/>
        <v>0.39756056142429419</v>
      </c>
      <c r="X19" s="201">
        <f t="shared" si="27"/>
        <v>0.2643777366842992</v>
      </c>
      <c r="Y19" s="205">
        <f t="shared" si="28"/>
        <v>0.11268723396380223</v>
      </c>
      <c r="Z19" s="201">
        <f t="shared" si="6"/>
        <v>0.22537446792760443</v>
      </c>
      <c r="AA19" s="201">
        <f t="shared" si="29"/>
        <v>0.22537446792760446</v>
      </c>
      <c r="AB19" s="206">
        <f t="shared" si="7"/>
        <v>7.565577314957396E-2</v>
      </c>
      <c r="AC19" s="205">
        <v>0</v>
      </c>
      <c r="AD19" s="201">
        <f t="shared" si="30"/>
        <v>2.8618980054298982E-4</v>
      </c>
      <c r="AE19" s="206">
        <f t="shared" si="31"/>
        <v>2.8618980054298982E-4</v>
      </c>
      <c r="AF19" s="58">
        <f t="shared" si="8"/>
        <v>3.2000000000000001E-2</v>
      </c>
      <c r="AG19" s="61">
        <f t="shared" si="9"/>
        <v>3.2000000000000001E-2</v>
      </c>
      <c r="AH19" s="58">
        <f t="shared" si="10"/>
        <v>7.6126486944435299E-4</v>
      </c>
      <c r="AI19" s="49">
        <f t="shared" si="11"/>
        <v>0.42300317467328558</v>
      </c>
      <c r="AJ19" s="61">
        <f t="shared" si="57"/>
        <v>0.42376443954272991</v>
      </c>
      <c r="AK19" s="269">
        <f t="shared" si="12"/>
        <v>1.6</v>
      </c>
      <c r="AL19" s="268">
        <f t="shared" si="13"/>
        <v>5</v>
      </c>
      <c r="AM19" s="270">
        <f t="shared" si="32"/>
        <v>0.32</v>
      </c>
      <c r="AN19" s="269">
        <f t="shared" si="33"/>
        <v>2</v>
      </c>
      <c r="AO19" s="268">
        <f t="shared" si="34"/>
        <v>0.39756056142429413</v>
      </c>
      <c r="AP19" s="268">
        <f t="shared" si="35"/>
        <v>0.80490881402715875</v>
      </c>
      <c r="AQ19" s="268">
        <f t="shared" si="36"/>
        <v>1.6098176280543168</v>
      </c>
      <c r="AR19" s="268">
        <f t="shared" si="58"/>
        <v>1.6098176280543171</v>
      </c>
      <c r="AS19" s="270">
        <f t="shared" si="59"/>
        <v>0.58602709890549232</v>
      </c>
      <c r="AT19" s="269"/>
      <c r="AU19" s="268">
        <f t="shared" si="37"/>
        <v>1.0240000000000002E-3</v>
      </c>
      <c r="AV19" s="270">
        <f t="shared" si="60"/>
        <v>1.0240000000000002E-3</v>
      </c>
      <c r="AW19" s="269">
        <f t="shared" si="38"/>
        <v>0.11424000000000001</v>
      </c>
      <c r="AX19" s="268">
        <f t="shared" si="39"/>
        <v>0.16</v>
      </c>
      <c r="AY19" s="270">
        <f t="shared" si="61"/>
        <v>0.27424000000000004</v>
      </c>
      <c r="AZ19" s="263">
        <f t="shared" si="14"/>
        <v>0</v>
      </c>
      <c r="BA19" s="262">
        <f t="shared" si="15"/>
        <v>0</v>
      </c>
      <c r="BB19" s="262">
        <f t="shared" si="62"/>
        <v>0</v>
      </c>
      <c r="BC19" s="264" t="e">
        <f t="shared" si="40"/>
        <v>#DIV/0!</v>
      </c>
      <c r="BD19" s="263">
        <v>0</v>
      </c>
      <c r="BE19" s="262">
        <f t="shared" si="63"/>
        <v>0</v>
      </c>
      <c r="BF19" s="264">
        <f t="shared" si="64"/>
        <v>0</v>
      </c>
      <c r="BG19" s="263">
        <f t="shared" si="41"/>
        <v>0</v>
      </c>
      <c r="BH19" s="262">
        <f t="shared" si="42"/>
        <v>0</v>
      </c>
      <c r="BI19" s="264">
        <f t="shared" si="43"/>
        <v>0</v>
      </c>
      <c r="BK19" s="258">
        <f t="shared" si="17"/>
        <v>0</v>
      </c>
      <c r="BL19" s="257">
        <f t="shared" si="18"/>
        <v>0</v>
      </c>
      <c r="BM19" s="257">
        <f t="shared" si="19"/>
        <v>0</v>
      </c>
      <c r="BN19" s="259">
        <f t="shared" si="44"/>
        <v>0</v>
      </c>
      <c r="BO19" s="258">
        <v>0</v>
      </c>
      <c r="BP19" s="257">
        <f t="shared" si="45"/>
        <v>0</v>
      </c>
      <c r="BQ19" s="259">
        <f t="shared" si="65"/>
        <v>0</v>
      </c>
      <c r="BR19" s="258">
        <f t="shared" si="46"/>
        <v>0</v>
      </c>
      <c r="BS19" s="257">
        <f t="shared" si="66"/>
        <v>0</v>
      </c>
      <c r="BT19" s="259">
        <f t="shared" si="67"/>
        <v>0</v>
      </c>
      <c r="BU19" s="275">
        <f t="shared" si="20"/>
        <v>0</v>
      </c>
      <c r="BV19" s="274">
        <f t="shared" si="21"/>
        <v>0</v>
      </c>
      <c r="BW19" s="274">
        <f t="shared" si="22"/>
        <v>0</v>
      </c>
      <c r="BX19" s="276">
        <f t="shared" si="47"/>
        <v>0</v>
      </c>
      <c r="BY19" s="275">
        <v>0</v>
      </c>
      <c r="BZ19" s="274">
        <f t="shared" si="48"/>
        <v>0</v>
      </c>
      <c r="CA19" s="276">
        <f t="shared" si="68"/>
        <v>0</v>
      </c>
      <c r="CB19" s="275">
        <f t="shared" si="49"/>
        <v>0</v>
      </c>
      <c r="CC19" s="274">
        <f t="shared" si="50"/>
        <v>0</v>
      </c>
      <c r="CD19" s="276">
        <f t="shared" si="69"/>
        <v>0</v>
      </c>
      <c r="CE19" s="58">
        <f t="shared" si="51"/>
        <v>1.0875212420633613E-3</v>
      </c>
      <c r="CF19" s="49">
        <f t="shared" si="24"/>
        <v>7.3499999999999996E-2</v>
      </c>
      <c r="CG19" s="61">
        <f t="shared" si="70"/>
        <v>3.2340000000000001E-2</v>
      </c>
      <c r="CH19" s="49">
        <f t="shared" si="71"/>
        <v>2.8618980054298982E-4</v>
      </c>
      <c r="CI19" s="49">
        <f t="shared" si="72"/>
        <v>0.87024215058533627</v>
      </c>
      <c r="CJ19" s="49">
        <f t="shared" si="52"/>
        <v>64.770978003952848</v>
      </c>
      <c r="CN19" s="49">
        <f t="shared" si="53"/>
        <v>0.27424000000000004</v>
      </c>
      <c r="CO19" s="49">
        <f t="shared" si="54"/>
        <v>0</v>
      </c>
      <c r="CP19" s="49">
        <f t="shared" si="55"/>
        <v>0</v>
      </c>
      <c r="CQ19" s="49" t="str">
        <f t="shared" si="26"/>
        <v/>
      </c>
    </row>
    <row r="20" spans="1:95" x14ac:dyDescent="0.45">
      <c r="L20" s="49">
        <f t="shared" si="56"/>
        <v>8.6666666666666679</v>
      </c>
      <c r="Q20" s="49">
        <v>13</v>
      </c>
      <c r="R20" s="278">
        <f t="shared" si="0"/>
        <v>1.7333333333333334</v>
      </c>
      <c r="S20" s="201">
        <f t="shared" si="1"/>
        <v>42</v>
      </c>
      <c r="T20" s="206">
        <f t="shared" si="2"/>
        <v>4.1269841269841269E-2</v>
      </c>
      <c r="U20" s="205">
        <f t="shared" si="3"/>
        <v>1</v>
      </c>
      <c r="V20" s="201">
        <f t="shared" si="4"/>
        <v>0.35186577527449836</v>
      </c>
      <c r="W20" s="201">
        <f t="shared" si="5"/>
        <v>0.41379415172281009</v>
      </c>
      <c r="X20" s="201">
        <f t="shared" si="27"/>
        <v>0.23434007300269155</v>
      </c>
      <c r="Y20" s="205">
        <f t="shared" si="28"/>
        <v>0.11728859175816615</v>
      </c>
      <c r="Z20" s="201">
        <f t="shared" si="6"/>
        <v>0.23457718351633228</v>
      </c>
      <c r="AA20" s="201">
        <f t="shared" si="29"/>
        <v>0.23457718351633228</v>
      </c>
      <c r="AB20" s="206">
        <f t="shared" si="7"/>
        <v>8.0336638089336124E-2</v>
      </c>
      <c r="AC20" s="205">
        <v>0</v>
      </c>
      <c r="AD20" s="201">
        <f t="shared" si="30"/>
        <v>3.2269877097484858E-4</v>
      </c>
      <c r="AE20" s="206">
        <f t="shared" si="31"/>
        <v>3.2269877097484858E-4</v>
      </c>
      <c r="AF20" s="58">
        <f t="shared" si="8"/>
        <v>3.4666666666666672E-2</v>
      </c>
      <c r="AG20" s="61">
        <f t="shared" si="9"/>
        <v>3.4666666666666672E-2</v>
      </c>
      <c r="AH20" s="58">
        <f t="shared" si="10"/>
        <v>8.5837873079309729E-4</v>
      </c>
      <c r="AI20" s="49">
        <f t="shared" si="11"/>
        <v>0.44027566319180605</v>
      </c>
      <c r="AJ20" s="61">
        <f t="shared" si="57"/>
        <v>0.44113404192259914</v>
      </c>
      <c r="AK20" s="269">
        <f t="shared" si="12"/>
        <v>1.7333333333333334</v>
      </c>
      <c r="AL20" s="268">
        <f t="shared" si="13"/>
        <v>5</v>
      </c>
      <c r="AM20" s="270">
        <f t="shared" si="32"/>
        <v>0.34666666666666668</v>
      </c>
      <c r="AN20" s="269">
        <f t="shared" si="33"/>
        <v>2</v>
      </c>
      <c r="AO20" s="268">
        <f t="shared" si="34"/>
        <v>0.41379415172281009</v>
      </c>
      <c r="AP20" s="268">
        <f t="shared" si="35"/>
        <v>0.8377756554154725</v>
      </c>
      <c r="AQ20" s="268">
        <f t="shared" si="36"/>
        <v>1.6755513108309446</v>
      </c>
      <c r="AR20" s="268">
        <f t="shared" si="58"/>
        <v>1.6755513108309448</v>
      </c>
      <c r="AS20" s="270">
        <f t="shared" si="59"/>
        <v>0.62228492282058256</v>
      </c>
      <c r="AT20" s="269"/>
      <c r="AU20" s="268">
        <f t="shared" si="37"/>
        <v>1.201777777777778E-3</v>
      </c>
      <c r="AV20" s="270">
        <f t="shared" si="60"/>
        <v>1.201777777777778E-3</v>
      </c>
      <c r="AW20" s="269">
        <f t="shared" si="38"/>
        <v>0.11424000000000001</v>
      </c>
      <c r="AX20" s="268">
        <f t="shared" si="39"/>
        <v>0.17333333333333334</v>
      </c>
      <c r="AY20" s="270">
        <f t="shared" si="61"/>
        <v>0.28757333333333335</v>
      </c>
      <c r="AZ20" s="263">
        <f t="shared" si="14"/>
        <v>0</v>
      </c>
      <c r="BA20" s="262">
        <f t="shared" si="15"/>
        <v>0</v>
      </c>
      <c r="BB20" s="262">
        <f t="shared" si="62"/>
        <v>0</v>
      </c>
      <c r="BC20" s="264" t="e">
        <f t="shared" si="40"/>
        <v>#DIV/0!</v>
      </c>
      <c r="BD20" s="263">
        <v>0</v>
      </c>
      <c r="BE20" s="262">
        <f t="shared" si="63"/>
        <v>0</v>
      </c>
      <c r="BF20" s="264">
        <f t="shared" si="64"/>
        <v>0</v>
      </c>
      <c r="BG20" s="263">
        <f t="shared" si="41"/>
        <v>0</v>
      </c>
      <c r="BH20" s="262">
        <f t="shared" si="42"/>
        <v>0</v>
      </c>
      <c r="BI20" s="264">
        <f t="shared" si="43"/>
        <v>0</v>
      </c>
      <c r="BK20" s="258">
        <f t="shared" si="17"/>
        <v>0</v>
      </c>
      <c r="BL20" s="257">
        <f t="shared" si="18"/>
        <v>0</v>
      </c>
      <c r="BM20" s="257">
        <f t="shared" si="19"/>
        <v>0</v>
      </c>
      <c r="BN20" s="259">
        <f t="shared" si="44"/>
        <v>0</v>
      </c>
      <c r="BO20" s="258">
        <v>0</v>
      </c>
      <c r="BP20" s="257">
        <f t="shared" si="45"/>
        <v>0</v>
      </c>
      <c r="BQ20" s="259">
        <f t="shared" si="65"/>
        <v>0</v>
      </c>
      <c r="BR20" s="258">
        <f t="shared" si="46"/>
        <v>0</v>
      </c>
      <c r="BS20" s="257">
        <f t="shared" si="66"/>
        <v>0</v>
      </c>
      <c r="BT20" s="259">
        <f t="shared" si="67"/>
        <v>0</v>
      </c>
      <c r="BU20" s="275">
        <f t="shared" si="20"/>
        <v>0</v>
      </c>
      <c r="BV20" s="274">
        <f t="shared" si="21"/>
        <v>0</v>
      </c>
      <c r="BW20" s="274">
        <f t="shared" si="22"/>
        <v>0</v>
      </c>
      <c r="BX20" s="276">
        <f t="shared" si="47"/>
        <v>0</v>
      </c>
      <c r="BY20" s="275">
        <v>0</v>
      </c>
      <c r="BZ20" s="274">
        <f t="shared" si="48"/>
        <v>0</v>
      </c>
      <c r="CA20" s="276">
        <f t="shared" si="68"/>
        <v>0</v>
      </c>
      <c r="CB20" s="275">
        <f t="shared" si="49"/>
        <v>0</v>
      </c>
      <c r="CC20" s="274">
        <f t="shared" si="50"/>
        <v>0</v>
      </c>
      <c r="CD20" s="276">
        <f t="shared" si="69"/>
        <v>0</v>
      </c>
      <c r="CE20" s="58">
        <f t="shared" si="51"/>
        <v>1.2262553297044247E-3</v>
      </c>
      <c r="CF20" s="49">
        <f t="shared" si="24"/>
        <v>7.3499999999999996E-2</v>
      </c>
      <c r="CG20" s="61">
        <f t="shared" si="70"/>
        <v>3.2340000000000001E-2</v>
      </c>
      <c r="CH20" s="49">
        <f t="shared" si="71"/>
        <v>3.2269877097484858E-4</v>
      </c>
      <c r="CI20" s="49">
        <f t="shared" si="72"/>
        <v>0.9066314404677227</v>
      </c>
      <c r="CJ20" s="49">
        <f t="shared" si="52"/>
        <v>65.657441740696314</v>
      </c>
      <c r="CN20" s="49">
        <f t="shared" si="53"/>
        <v>0.28757333333333335</v>
      </c>
      <c r="CO20" s="49">
        <f t="shared" si="54"/>
        <v>0</v>
      </c>
      <c r="CP20" s="49">
        <f t="shared" si="55"/>
        <v>0</v>
      </c>
      <c r="CQ20" s="49" t="str">
        <f t="shared" si="26"/>
        <v/>
      </c>
    </row>
    <row r="21" spans="1:95" x14ac:dyDescent="0.45">
      <c r="A21" s="49" t="s">
        <v>738</v>
      </c>
      <c r="B21" s="49">
        <f>VOUT4*IOUT4</f>
        <v>0</v>
      </c>
      <c r="L21" s="49">
        <f t="shared" si="56"/>
        <v>9.3333333333333339</v>
      </c>
      <c r="Q21" s="49">
        <v>14</v>
      </c>
      <c r="R21" s="278">
        <f t="shared" si="0"/>
        <v>1.8666666666666667</v>
      </c>
      <c r="S21" s="201">
        <f t="shared" si="1"/>
        <v>42</v>
      </c>
      <c r="T21" s="206">
        <f t="shared" si="2"/>
        <v>4.4444444444444446E-2</v>
      </c>
      <c r="U21" s="205">
        <f t="shared" si="3"/>
        <v>1</v>
      </c>
      <c r="V21" s="201">
        <f t="shared" si="4"/>
        <v>0.36514837167011072</v>
      </c>
      <c r="W21" s="201">
        <f t="shared" si="5"/>
        <v>0.42941448508405022</v>
      </c>
      <c r="X21" s="201">
        <f t="shared" si="27"/>
        <v>0.20543714324583906</v>
      </c>
      <c r="Y21" s="205">
        <f t="shared" si="28"/>
        <v>0.12171612389003691</v>
      </c>
      <c r="Z21" s="201">
        <f t="shared" si="6"/>
        <v>0.24343224778007386</v>
      </c>
      <c r="AA21" s="201">
        <f t="shared" si="29"/>
        <v>0.24343224778007383</v>
      </c>
      <c r="AB21" s="206">
        <f t="shared" si="7"/>
        <v>8.4928248195943717E-2</v>
      </c>
      <c r="AC21" s="205">
        <v>0</v>
      </c>
      <c r="AD21" s="201">
        <f t="shared" si="30"/>
        <v>3.6064036708159089E-4</v>
      </c>
      <c r="AE21" s="206">
        <f t="shared" si="31"/>
        <v>3.6064036708159089E-4</v>
      </c>
      <c r="AF21" s="58">
        <f t="shared" si="8"/>
        <v>3.7333333333333336E-2</v>
      </c>
      <c r="AG21" s="61">
        <f t="shared" si="9"/>
        <v>3.7333333333333336E-2</v>
      </c>
      <c r="AH21" s="58">
        <f t="shared" si="10"/>
        <v>9.5930337643703172E-4</v>
      </c>
      <c r="AI21" s="49">
        <f t="shared" si="11"/>
        <v>0.45689564827681506</v>
      </c>
      <c r="AJ21" s="61">
        <f t="shared" si="57"/>
        <v>0.45785495165325207</v>
      </c>
      <c r="AK21" s="269">
        <f t="shared" si="12"/>
        <v>1.8666666666666667</v>
      </c>
      <c r="AL21" s="268">
        <f t="shared" si="13"/>
        <v>5</v>
      </c>
      <c r="AM21" s="270">
        <f t="shared" si="32"/>
        <v>0.37333333333333335</v>
      </c>
      <c r="AN21" s="269">
        <f t="shared" si="33"/>
        <v>2</v>
      </c>
      <c r="AO21" s="268">
        <f t="shared" si="34"/>
        <v>0.42941448508405028</v>
      </c>
      <c r="AP21" s="268">
        <f t="shared" si="35"/>
        <v>0.86940088492883505</v>
      </c>
      <c r="AQ21" s="268">
        <f t="shared" si="36"/>
        <v>1.7388017698576703</v>
      </c>
      <c r="AR21" s="268">
        <f t="shared" si="58"/>
        <v>1.7388017698576701</v>
      </c>
      <c r="AS21" s="270">
        <f t="shared" si="59"/>
        <v>0.65785138177092017</v>
      </c>
      <c r="AT21" s="269"/>
      <c r="AU21" s="268">
        <f t="shared" si="37"/>
        <v>1.3937777777777781E-3</v>
      </c>
      <c r="AV21" s="270">
        <f t="shared" si="60"/>
        <v>1.3937777777777781E-3</v>
      </c>
      <c r="AW21" s="269">
        <f t="shared" si="38"/>
        <v>0.11424000000000001</v>
      </c>
      <c r="AX21" s="268">
        <f t="shared" si="39"/>
        <v>0.18666666666666668</v>
      </c>
      <c r="AY21" s="270">
        <f t="shared" si="61"/>
        <v>0.30090666666666666</v>
      </c>
      <c r="AZ21" s="263">
        <f t="shared" si="14"/>
        <v>0</v>
      </c>
      <c r="BA21" s="262">
        <f t="shared" si="15"/>
        <v>0</v>
      </c>
      <c r="BB21" s="262">
        <f t="shared" si="62"/>
        <v>0</v>
      </c>
      <c r="BC21" s="264" t="e">
        <f t="shared" si="40"/>
        <v>#DIV/0!</v>
      </c>
      <c r="BD21" s="263">
        <v>0</v>
      </c>
      <c r="BE21" s="262">
        <f t="shared" si="63"/>
        <v>0</v>
      </c>
      <c r="BF21" s="264">
        <f t="shared" si="64"/>
        <v>0</v>
      </c>
      <c r="BG21" s="263">
        <f t="shared" si="41"/>
        <v>0</v>
      </c>
      <c r="BH21" s="262">
        <f t="shared" si="42"/>
        <v>0</v>
      </c>
      <c r="BI21" s="264">
        <f t="shared" si="43"/>
        <v>0</v>
      </c>
      <c r="BK21" s="258">
        <f t="shared" si="17"/>
        <v>0</v>
      </c>
      <c r="BL21" s="257">
        <f t="shared" si="18"/>
        <v>0</v>
      </c>
      <c r="BM21" s="257">
        <f t="shared" si="19"/>
        <v>0</v>
      </c>
      <c r="BN21" s="259">
        <f t="shared" si="44"/>
        <v>0</v>
      </c>
      <c r="BO21" s="258">
        <v>0</v>
      </c>
      <c r="BP21" s="257">
        <f t="shared" si="45"/>
        <v>0</v>
      </c>
      <c r="BQ21" s="259">
        <f t="shared" si="65"/>
        <v>0</v>
      </c>
      <c r="BR21" s="258">
        <f t="shared" si="46"/>
        <v>0</v>
      </c>
      <c r="BS21" s="257">
        <f t="shared" si="66"/>
        <v>0</v>
      </c>
      <c r="BT21" s="259">
        <f t="shared" si="67"/>
        <v>0</v>
      </c>
      <c r="BU21" s="275">
        <f t="shared" si="20"/>
        <v>0</v>
      </c>
      <c r="BV21" s="274">
        <f t="shared" si="21"/>
        <v>0</v>
      </c>
      <c r="BW21" s="274">
        <f t="shared" si="22"/>
        <v>0</v>
      </c>
      <c r="BX21" s="276">
        <f t="shared" si="47"/>
        <v>0</v>
      </c>
      <c r="BY21" s="275">
        <v>0</v>
      </c>
      <c r="BZ21" s="274">
        <f t="shared" si="48"/>
        <v>0</v>
      </c>
      <c r="CA21" s="276">
        <f t="shared" si="68"/>
        <v>0</v>
      </c>
      <c r="CB21" s="275">
        <f t="shared" si="49"/>
        <v>0</v>
      </c>
      <c r="CC21" s="274">
        <f t="shared" si="50"/>
        <v>0</v>
      </c>
      <c r="CD21" s="276">
        <f t="shared" si="69"/>
        <v>0</v>
      </c>
      <c r="CE21" s="58">
        <f t="shared" si="51"/>
        <v>1.3704333949100453E-3</v>
      </c>
      <c r="CF21" s="49">
        <f t="shared" si="24"/>
        <v>7.3499999999999996E-2</v>
      </c>
      <c r="CG21" s="61">
        <f t="shared" si="70"/>
        <v>3.2340000000000001E-2</v>
      </c>
      <c r="CH21" s="49">
        <f t="shared" si="71"/>
        <v>3.6064036708159089E-4</v>
      </c>
      <c r="CI21" s="49">
        <f t="shared" si="72"/>
        <v>0.94239313652635481</v>
      </c>
      <c r="CJ21" s="49">
        <f t="shared" si="52"/>
        <v>66.451652775240007</v>
      </c>
      <c r="CN21" s="49">
        <f t="shared" si="53"/>
        <v>0.30090666666666666</v>
      </c>
      <c r="CO21" s="49">
        <f t="shared" si="54"/>
        <v>0</v>
      </c>
      <c r="CP21" s="49">
        <f t="shared" si="55"/>
        <v>0</v>
      </c>
      <c r="CQ21" s="49" t="str">
        <f t="shared" si="26"/>
        <v/>
      </c>
    </row>
    <row r="22" spans="1:95" x14ac:dyDescent="0.45">
      <c r="A22" s="201" t="s">
        <v>753</v>
      </c>
      <c r="B22" s="49">
        <f>POUT4/O11</f>
        <v>0</v>
      </c>
      <c r="L22" s="49">
        <f t="shared" si="56"/>
        <v>10</v>
      </c>
      <c r="Q22" s="49">
        <v>15</v>
      </c>
      <c r="R22" s="278">
        <f t="shared" si="0"/>
        <v>2</v>
      </c>
      <c r="S22" s="201">
        <f t="shared" si="1"/>
        <v>42</v>
      </c>
      <c r="T22" s="206">
        <f t="shared" si="2"/>
        <v>4.7619047619047616E-2</v>
      </c>
      <c r="U22" s="205">
        <f t="shared" si="3"/>
        <v>1</v>
      </c>
      <c r="V22" s="201">
        <f t="shared" si="4"/>
        <v>0.3779644730092272</v>
      </c>
      <c r="W22" s="201">
        <f t="shared" si="5"/>
        <v>0.44448622025885126</v>
      </c>
      <c r="X22" s="201">
        <f t="shared" si="27"/>
        <v>0.17754930673192154</v>
      </c>
      <c r="Y22" s="205">
        <f t="shared" si="28"/>
        <v>0.12598815766974242</v>
      </c>
      <c r="Z22" s="201">
        <f t="shared" si="6"/>
        <v>0.25197631533948484</v>
      </c>
      <c r="AA22" s="201">
        <f t="shared" si="29"/>
        <v>0.25197631533948484</v>
      </c>
      <c r="AB22" s="206">
        <f t="shared" si="7"/>
        <v>8.9438515786071662E-2</v>
      </c>
      <c r="AC22" s="205">
        <v>0</v>
      </c>
      <c r="AD22" s="201">
        <f t="shared" si="30"/>
        <v>3.9996240530076953E-4</v>
      </c>
      <c r="AE22" s="206">
        <f t="shared" si="31"/>
        <v>3.9996240530076953E-4</v>
      </c>
      <c r="AF22" s="58">
        <f t="shared" si="8"/>
        <v>0.04</v>
      </c>
      <c r="AG22" s="61">
        <f t="shared" si="9"/>
        <v>0.04</v>
      </c>
      <c r="AH22" s="58">
        <f t="shared" si="10"/>
        <v>1.0638999981000469E-3</v>
      </c>
      <c r="AI22" s="49">
        <f t="shared" si="11"/>
        <v>0.47293192663384187</v>
      </c>
      <c r="AJ22" s="61">
        <f t="shared" si="57"/>
        <v>0.4739958266319419</v>
      </c>
      <c r="AK22" s="269">
        <f t="shared" si="12"/>
        <v>2</v>
      </c>
      <c r="AL22" s="268">
        <f t="shared" si="13"/>
        <v>5</v>
      </c>
      <c r="AM22" s="270">
        <f t="shared" si="32"/>
        <v>0.4</v>
      </c>
      <c r="AN22" s="269">
        <f t="shared" si="33"/>
        <v>2</v>
      </c>
      <c r="AO22" s="268">
        <f t="shared" si="34"/>
        <v>0.44448622025885121</v>
      </c>
      <c r="AP22" s="268">
        <f t="shared" si="35"/>
        <v>0.89991541192673152</v>
      </c>
      <c r="AQ22" s="268">
        <f t="shared" si="36"/>
        <v>1.7998308238534626</v>
      </c>
      <c r="AR22" s="268">
        <f t="shared" si="58"/>
        <v>1.7998308238534628</v>
      </c>
      <c r="AS22" s="270">
        <f t="shared" si="59"/>
        <v>0.69278776429792954</v>
      </c>
      <c r="AT22" s="269"/>
      <c r="AU22" s="268">
        <f t="shared" si="37"/>
        <v>1.6000000000000003E-3</v>
      </c>
      <c r="AV22" s="270">
        <f t="shared" si="60"/>
        <v>1.6000000000000003E-3</v>
      </c>
      <c r="AW22" s="269">
        <f t="shared" si="38"/>
        <v>0.11424000000000001</v>
      </c>
      <c r="AX22" s="268">
        <f t="shared" si="39"/>
        <v>0.2</v>
      </c>
      <c r="AY22" s="270">
        <f t="shared" si="61"/>
        <v>0.31424000000000002</v>
      </c>
      <c r="AZ22" s="263">
        <f t="shared" si="14"/>
        <v>0</v>
      </c>
      <c r="BA22" s="262">
        <f t="shared" si="15"/>
        <v>0</v>
      </c>
      <c r="BB22" s="262">
        <f t="shared" si="62"/>
        <v>0</v>
      </c>
      <c r="BC22" s="264" t="e">
        <f t="shared" si="40"/>
        <v>#DIV/0!</v>
      </c>
      <c r="BD22" s="263">
        <v>0</v>
      </c>
      <c r="BE22" s="262">
        <f t="shared" si="63"/>
        <v>0</v>
      </c>
      <c r="BF22" s="264">
        <f t="shared" si="64"/>
        <v>0</v>
      </c>
      <c r="BG22" s="263">
        <f t="shared" si="41"/>
        <v>0</v>
      </c>
      <c r="BH22" s="262">
        <f t="shared" si="42"/>
        <v>0</v>
      </c>
      <c r="BI22" s="264">
        <f t="shared" si="43"/>
        <v>0</v>
      </c>
      <c r="BK22" s="258">
        <f t="shared" si="17"/>
        <v>0</v>
      </c>
      <c r="BL22" s="257">
        <f t="shared" si="18"/>
        <v>0</v>
      </c>
      <c r="BM22" s="257">
        <f t="shared" si="19"/>
        <v>0</v>
      </c>
      <c r="BN22" s="259">
        <f t="shared" si="44"/>
        <v>0</v>
      </c>
      <c r="BO22" s="258">
        <v>0</v>
      </c>
      <c r="BP22" s="257">
        <f t="shared" si="45"/>
        <v>0</v>
      </c>
      <c r="BQ22" s="259">
        <f t="shared" si="65"/>
        <v>0</v>
      </c>
      <c r="BR22" s="258">
        <f t="shared" si="46"/>
        <v>0</v>
      </c>
      <c r="BS22" s="257">
        <f t="shared" si="66"/>
        <v>0</v>
      </c>
      <c r="BT22" s="259">
        <f t="shared" si="67"/>
        <v>0</v>
      </c>
      <c r="BU22" s="275">
        <f t="shared" si="20"/>
        <v>0</v>
      </c>
      <c r="BV22" s="274">
        <f t="shared" si="21"/>
        <v>0</v>
      </c>
      <c r="BW22" s="274">
        <f t="shared" si="22"/>
        <v>0</v>
      </c>
      <c r="BX22" s="276">
        <f t="shared" si="47"/>
        <v>0</v>
      </c>
      <c r="BY22" s="275">
        <v>0</v>
      </c>
      <c r="BZ22" s="274">
        <f t="shared" si="48"/>
        <v>0</v>
      </c>
      <c r="CA22" s="276">
        <f t="shared" si="68"/>
        <v>0</v>
      </c>
      <c r="CB22" s="275">
        <f t="shared" si="49"/>
        <v>0</v>
      </c>
      <c r="CC22" s="274">
        <f t="shared" si="50"/>
        <v>0</v>
      </c>
      <c r="CD22" s="276">
        <f t="shared" si="69"/>
        <v>0</v>
      </c>
      <c r="CE22" s="58">
        <f t="shared" si="51"/>
        <v>1.5198571401429241E-3</v>
      </c>
      <c r="CF22" s="49">
        <f t="shared" si="24"/>
        <v>7.3499999999999996E-2</v>
      </c>
      <c r="CG22" s="61">
        <f t="shared" si="70"/>
        <v>3.2340000000000001E-2</v>
      </c>
      <c r="CH22" s="49">
        <f t="shared" si="71"/>
        <v>3.9996240530076953E-4</v>
      </c>
      <c r="CI22" s="49">
        <f t="shared" si="72"/>
        <v>0.9775956461773857</v>
      </c>
      <c r="CJ22" s="49">
        <f t="shared" si="52"/>
        <v>67.168287358546635</v>
      </c>
      <c r="CN22" s="49">
        <f t="shared" si="53"/>
        <v>0.31424000000000002</v>
      </c>
      <c r="CO22" s="49">
        <f t="shared" si="54"/>
        <v>0</v>
      </c>
      <c r="CP22" s="49">
        <f t="shared" si="55"/>
        <v>0</v>
      </c>
      <c r="CQ22" s="49" t="str">
        <f t="shared" si="26"/>
        <v/>
      </c>
    </row>
    <row r="23" spans="1:95" x14ac:dyDescent="0.45">
      <c r="L23" s="49">
        <f t="shared" si="56"/>
        <v>10.666666666666666</v>
      </c>
      <c r="Q23" s="49">
        <v>16</v>
      </c>
      <c r="R23" s="278">
        <f t="shared" si="0"/>
        <v>2.1333333333333333</v>
      </c>
      <c r="S23" s="201">
        <f t="shared" si="1"/>
        <v>42</v>
      </c>
      <c r="T23" s="206">
        <f t="shared" si="2"/>
        <v>5.0793650793650794E-2</v>
      </c>
      <c r="U23" s="205">
        <f t="shared" si="3"/>
        <v>1</v>
      </c>
      <c r="V23" s="201">
        <f t="shared" si="4"/>
        <v>0.39036002917941331</v>
      </c>
      <c r="W23" s="201">
        <f t="shared" si="5"/>
        <v>0.4590633943149901</v>
      </c>
      <c r="X23" s="201">
        <f t="shared" si="27"/>
        <v>0.15057657650559653</v>
      </c>
      <c r="Y23" s="205">
        <f t="shared" si="28"/>
        <v>0.13012000972647109</v>
      </c>
      <c r="Z23" s="201">
        <f t="shared" si="6"/>
        <v>0.26024001945294223</v>
      </c>
      <c r="AA23" s="201">
        <f t="shared" si="29"/>
        <v>0.26024001945294217</v>
      </c>
      <c r="AB23" s="206">
        <f t="shared" si="7"/>
        <v>9.3874173482826243E-2</v>
      </c>
      <c r="AC23" s="205">
        <v>0</v>
      </c>
      <c r="AD23" s="201">
        <f t="shared" si="30"/>
        <v>4.4061802235418788E-4</v>
      </c>
      <c r="AE23" s="206">
        <f t="shared" si="31"/>
        <v>4.4061802235418788E-4</v>
      </c>
      <c r="AF23" s="58">
        <f t="shared" si="8"/>
        <v>4.2666666666666665E-2</v>
      </c>
      <c r="AG23" s="61">
        <f t="shared" si="9"/>
        <v>4.2666666666666665E-2</v>
      </c>
      <c r="AH23" s="58">
        <f t="shared" si="10"/>
        <v>1.1720439394621398E-3</v>
      </c>
      <c r="AI23" s="49">
        <f t="shared" si="11"/>
        <v>0.4884419935313753</v>
      </c>
      <c r="AJ23" s="61">
        <f t="shared" si="57"/>
        <v>0.48961403747083743</v>
      </c>
      <c r="AK23" s="269">
        <f t="shared" si="12"/>
        <v>2.1333333333333333</v>
      </c>
      <c r="AL23" s="268">
        <f t="shared" si="13"/>
        <v>5</v>
      </c>
      <c r="AM23" s="270">
        <f t="shared" si="32"/>
        <v>0.42666666666666664</v>
      </c>
      <c r="AN23" s="269">
        <f t="shared" si="33"/>
        <v>2</v>
      </c>
      <c r="AO23" s="268">
        <f t="shared" si="34"/>
        <v>0.45906339431498999</v>
      </c>
      <c r="AP23" s="268">
        <f t="shared" si="35"/>
        <v>0.92942864090336486</v>
      </c>
      <c r="AQ23" s="268">
        <f t="shared" si="36"/>
        <v>1.8588572818067297</v>
      </c>
      <c r="AR23" s="268">
        <f t="shared" si="58"/>
        <v>1.8588572818067297</v>
      </c>
      <c r="AS23" s="270">
        <f t="shared" si="59"/>
        <v>0.72714622107594362</v>
      </c>
      <c r="AT23" s="269"/>
      <c r="AU23" s="268">
        <f t="shared" si="37"/>
        <v>1.8204444444444442E-3</v>
      </c>
      <c r="AV23" s="270">
        <f t="shared" si="60"/>
        <v>1.8204444444444442E-3</v>
      </c>
      <c r="AW23" s="269">
        <f t="shared" si="38"/>
        <v>0.11424000000000001</v>
      </c>
      <c r="AX23" s="268">
        <f t="shared" si="39"/>
        <v>0.21333333333333332</v>
      </c>
      <c r="AY23" s="270">
        <f t="shared" si="61"/>
        <v>0.32757333333333333</v>
      </c>
      <c r="AZ23" s="263">
        <f t="shared" si="14"/>
        <v>0</v>
      </c>
      <c r="BA23" s="262">
        <f t="shared" si="15"/>
        <v>0</v>
      </c>
      <c r="BB23" s="262">
        <f t="shared" si="62"/>
        <v>0</v>
      </c>
      <c r="BC23" s="264" t="e">
        <f t="shared" si="40"/>
        <v>#DIV/0!</v>
      </c>
      <c r="BD23" s="263">
        <v>0</v>
      </c>
      <c r="BE23" s="262">
        <f t="shared" si="63"/>
        <v>0</v>
      </c>
      <c r="BF23" s="264">
        <f t="shared" si="64"/>
        <v>0</v>
      </c>
      <c r="BG23" s="263">
        <f t="shared" si="41"/>
        <v>0</v>
      </c>
      <c r="BH23" s="262">
        <f t="shared" si="42"/>
        <v>0</v>
      </c>
      <c r="BI23" s="264">
        <f t="shared" si="43"/>
        <v>0</v>
      </c>
      <c r="BK23" s="258">
        <f t="shared" si="17"/>
        <v>0</v>
      </c>
      <c r="BL23" s="257">
        <f t="shared" si="18"/>
        <v>0</v>
      </c>
      <c r="BM23" s="257">
        <f t="shared" si="19"/>
        <v>0</v>
      </c>
      <c r="BN23" s="259">
        <f t="shared" si="44"/>
        <v>0</v>
      </c>
      <c r="BO23" s="258">
        <v>0</v>
      </c>
      <c r="BP23" s="257">
        <f t="shared" si="45"/>
        <v>0</v>
      </c>
      <c r="BQ23" s="259">
        <f t="shared" si="65"/>
        <v>0</v>
      </c>
      <c r="BR23" s="258">
        <f t="shared" si="46"/>
        <v>0</v>
      </c>
      <c r="BS23" s="257">
        <f t="shared" si="66"/>
        <v>0</v>
      </c>
      <c r="BT23" s="259">
        <f t="shared" si="67"/>
        <v>0</v>
      </c>
      <c r="BU23" s="275">
        <f t="shared" si="20"/>
        <v>0</v>
      </c>
      <c r="BV23" s="274">
        <f t="shared" si="21"/>
        <v>0</v>
      </c>
      <c r="BW23" s="274">
        <f t="shared" si="22"/>
        <v>0</v>
      </c>
      <c r="BX23" s="276">
        <f t="shared" si="47"/>
        <v>0</v>
      </c>
      <c r="BY23" s="275">
        <v>0</v>
      </c>
      <c r="BZ23" s="274">
        <f t="shared" si="48"/>
        <v>0</v>
      </c>
      <c r="CA23" s="276">
        <f t="shared" si="68"/>
        <v>0</v>
      </c>
      <c r="CB23" s="275">
        <f t="shared" si="49"/>
        <v>0</v>
      </c>
      <c r="CC23" s="274">
        <f t="shared" si="50"/>
        <v>0</v>
      </c>
      <c r="CD23" s="276">
        <f t="shared" si="69"/>
        <v>0</v>
      </c>
      <c r="CE23" s="58">
        <f t="shared" si="51"/>
        <v>1.6743484849459139E-3</v>
      </c>
      <c r="CF23" s="49">
        <f t="shared" si="24"/>
        <v>7.3499999999999996E-2</v>
      </c>
      <c r="CG23" s="61">
        <f t="shared" si="70"/>
        <v>3.2340000000000001E-2</v>
      </c>
      <c r="CH23" s="49">
        <f t="shared" si="71"/>
        <v>4.4061802235418788E-4</v>
      </c>
      <c r="CI23" s="49">
        <f t="shared" si="72"/>
        <v>1.0122961150892487</v>
      </c>
      <c r="CJ23" s="49">
        <f t="shared" si="52"/>
        <v>67.81896495797119</v>
      </c>
      <c r="CN23" s="49">
        <f t="shared" si="53"/>
        <v>0.32757333333333333</v>
      </c>
      <c r="CO23" s="49">
        <f t="shared" si="54"/>
        <v>0</v>
      </c>
      <c r="CP23" s="49">
        <f t="shared" si="55"/>
        <v>0</v>
      </c>
      <c r="CQ23" s="49" t="str">
        <f t="shared" si="26"/>
        <v/>
      </c>
    </row>
    <row r="24" spans="1:95" x14ac:dyDescent="0.45">
      <c r="L24" s="49">
        <f t="shared" si="56"/>
        <v>11.333333333333332</v>
      </c>
      <c r="Q24" s="49">
        <v>17</v>
      </c>
      <c r="R24" s="278">
        <f t="shared" si="0"/>
        <v>2.2666666666666666</v>
      </c>
      <c r="S24" s="201">
        <f t="shared" si="1"/>
        <v>42</v>
      </c>
      <c r="T24" s="206">
        <f t="shared" si="2"/>
        <v>5.3968253968253964E-2</v>
      </c>
      <c r="U24" s="205">
        <f t="shared" si="3"/>
        <v>1</v>
      </c>
      <c r="V24" s="201">
        <f t="shared" si="4"/>
        <v>0.40237390808147822</v>
      </c>
      <c r="W24" s="201">
        <f t="shared" si="5"/>
        <v>0.47319171590381848</v>
      </c>
      <c r="X24" s="201">
        <f t="shared" si="27"/>
        <v>0.12443437601470331</v>
      </c>
      <c r="Y24" s="205">
        <f t="shared" si="28"/>
        <v>0.13412463602715943</v>
      </c>
      <c r="Z24" s="201">
        <f t="shared" si="6"/>
        <v>0.26824927205431881</v>
      </c>
      <c r="AA24" s="201">
        <f t="shared" si="29"/>
        <v>0.26824927205431881</v>
      </c>
      <c r="AB24" s="206">
        <f t="shared" si="7"/>
        <v>9.8241012620414722E-2</v>
      </c>
      <c r="AC24" s="205">
        <v>0</v>
      </c>
      <c r="AD24" s="201">
        <f t="shared" si="30"/>
        <v>4.825648280342243E-4</v>
      </c>
      <c r="AE24" s="206">
        <f t="shared" si="31"/>
        <v>4.825648280342243E-4</v>
      </c>
      <c r="AF24" s="58">
        <f t="shared" si="8"/>
        <v>4.533333333333333E-2</v>
      </c>
      <c r="AG24" s="61">
        <f t="shared" si="9"/>
        <v>4.533333333333333E-2</v>
      </c>
      <c r="AH24" s="58">
        <f t="shared" si="10"/>
        <v>1.2836224425710366E-3</v>
      </c>
      <c r="AI24" s="49">
        <f t="shared" si="11"/>
        <v>0.50347448282927965</v>
      </c>
      <c r="AJ24" s="61">
        <f t="shared" si="57"/>
        <v>0.50475810527185072</v>
      </c>
      <c r="AK24" s="269">
        <f t="shared" si="12"/>
        <v>2.2666666666666666</v>
      </c>
      <c r="AL24" s="268">
        <f t="shared" si="13"/>
        <v>5</v>
      </c>
      <c r="AM24" s="270">
        <f t="shared" si="32"/>
        <v>0.45333333333333331</v>
      </c>
      <c r="AN24" s="269">
        <f t="shared" si="33"/>
        <v>2</v>
      </c>
      <c r="AO24" s="268">
        <f t="shared" si="34"/>
        <v>0.47319171590381837</v>
      </c>
      <c r="AP24" s="268">
        <f t="shared" si="35"/>
        <v>0.95803311447971018</v>
      </c>
      <c r="AQ24" s="268">
        <f t="shared" si="36"/>
        <v>1.9160662289594199</v>
      </c>
      <c r="AR24" s="268">
        <f t="shared" si="58"/>
        <v>1.9160662289594201</v>
      </c>
      <c r="AS24" s="270">
        <f t="shared" si="59"/>
        <v>0.76097161158683779</v>
      </c>
      <c r="AT24" s="269"/>
      <c r="AU24" s="268">
        <f t="shared" si="37"/>
        <v>2.0551111111111109E-3</v>
      </c>
      <c r="AV24" s="270">
        <f t="shared" si="60"/>
        <v>2.0551111111111109E-3</v>
      </c>
      <c r="AW24" s="269">
        <f t="shared" si="38"/>
        <v>0.11424000000000001</v>
      </c>
      <c r="AX24" s="268">
        <f t="shared" si="39"/>
        <v>0.22666666666666666</v>
      </c>
      <c r="AY24" s="270">
        <f t="shared" si="61"/>
        <v>0.34090666666666669</v>
      </c>
      <c r="AZ24" s="263">
        <f t="shared" si="14"/>
        <v>0</v>
      </c>
      <c r="BA24" s="262">
        <f t="shared" si="15"/>
        <v>0</v>
      </c>
      <c r="BB24" s="262">
        <f t="shared" si="62"/>
        <v>0</v>
      </c>
      <c r="BC24" s="264" t="e">
        <f t="shared" si="40"/>
        <v>#DIV/0!</v>
      </c>
      <c r="BD24" s="263">
        <v>0</v>
      </c>
      <c r="BE24" s="262">
        <f t="shared" si="63"/>
        <v>0</v>
      </c>
      <c r="BF24" s="264">
        <f t="shared" si="64"/>
        <v>0</v>
      </c>
      <c r="BG24" s="263">
        <f t="shared" si="41"/>
        <v>0</v>
      </c>
      <c r="BH24" s="262">
        <f t="shared" si="42"/>
        <v>0</v>
      </c>
      <c r="BI24" s="264">
        <f t="shared" si="43"/>
        <v>0</v>
      </c>
      <c r="BK24" s="258">
        <f t="shared" si="17"/>
        <v>0</v>
      </c>
      <c r="BL24" s="257">
        <f t="shared" si="18"/>
        <v>0</v>
      </c>
      <c r="BM24" s="257">
        <f t="shared" si="19"/>
        <v>0</v>
      </c>
      <c r="BN24" s="259">
        <f t="shared" si="44"/>
        <v>0</v>
      </c>
      <c r="BO24" s="258">
        <v>0</v>
      </c>
      <c r="BP24" s="257">
        <f t="shared" si="45"/>
        <v>0</v>
      </c>
      <c r="BQ24" s="259">
        <f t="shared" si="65"/>
        <v>0</v>
      </c>
      <c r="BR24" s="258">
        <f t="shared" si="46"/>
        <v>0</v>
      </c>
      <c r="BS24" s="257">
        <f t="shared" si="66"/>
        <v>0</v>
      </c>
      <c r="BT24" s="259">
        <f t="shared" si="67"/>
        <v>0</v>
      </c>
      <c r="BU24" s="275">
        <f t="shared" si="20"/>
        <v>0</v>
      </c>
      <c r="BV24" s="274">
        <f t="shared" si="21"/>
        <v>0</v>
      </c>
      <c r="BW24" s="274">
        <f t="shared" si="22"/>
        <v>0</v>
      </c>
      <c r="BX24" s="276">
        <f t="shared" si="47"/>
        <v>0</v>
      </c>
      <c r="BY24" s="275">
        <v>0</v>
      </c>
      <c r="BZ24" s="274">
        <f t="shared" si="48"/>
        <v>0</v>
      </c>
      <c r="CA24" s="276">
        <f t="shared" si="68"/>
        <v>0</v>
      </c>
      <c r="CB24" s="275">
        <f t="shared" si="49"/>
        <v>0</v>
      </c>
      <c r="CC24" s="274">
        <f t="shared" si="50"/>
        <v>0</v>
      </c>
      <c r="CD24" s="276">
        <f t="shared" si="69"/>
        <v>0</v>
      </c>
      <c r="CE24" s="58">
        <f t="shared" si="51"/>
        <v>1.8337463465300523E-3</v>
      </c>
      <c r="CF24" s="49">
        <f t="shared" si="24"/>
        <v>7.3499999999999996E-2</v>
      </c>
      <c r="CG24" s="61">
        <f t="shared" si="70"/>
        <v>3.2340000000000001E-2</v>
      </c>
      <c r="CH24" s="49">
        <f t="shared" si="71"/>
        <v>4.825648280342243E-4</v>
      </c>
      <c r="CI24" s="49">
        <f t="shared" si="72"/>
        <v>1.0465428608908593</v>
      </c>
      <c r="CJ24" s="49">
        <f t="shared" si="52"/>
        <v>68.413019092626982</v>
      </c>
      <c r="CN24" s="49">
        <f t="shared" si="53"/>
        <v>0.34090666666666669</v>
      </c>
      <c r="CO24" s="49">
        <f t="shared" si="54"/>
        <v>0</v>
      </c>
      <c r="CP24" s="49">
        <f t="shared" si="55"/>
        <v>0</v>
      </c>
      <c r="CQ24" s="49" t="str">
        <f t="shared" si="26"/>
        <v/>
      </c>
    </row>
    <row r="25" spans="1:95" s="203" customFormat="1" x14ac:dyDescent="0.45">
      <c r="L25" s="49">
        <f t="shared" si="56"/>
        <v>12</v>
      </c>
      <c r="Q25" s="203">
        <v>18</v>
      </c>
      <c r="R25" s="278">
        <f t="shared" si="0"/>
        <v>2.4</v>
      </c>
      <c r="S25" s="201">
        <f t="shared" si="1"/>
        <v>42</v>
      </c>
      <c r="T25" s="206">
        <f t="shared" si="2"/>
        <v>5.7142857142857141E-2</v>
      </c>
      <c r="U25" s="205">
        <f t="shared" si="3"/>
        <v>1</v>
      </c>
      <c r="V25" s="201">
        <f t="shared" si="4"/>
        <v>0.41403933560541251</v>
      </c>
      <c r="W25" s="201">
        <f t="shared" si="5"/>
        <v>0.48691025867196513</v>
      </c>
      <c r="X25" s="201">
        <f t="shared" si="27"/>
        <v>9.9050405722622359E-2</v>
      </c>
      <c r="Y25" s="205">
        <f t="shared" si="28"/>
        <v>0.13801311186847084</v>
      </c>
      <c r="Z25" s="201">
        <f t="shared" si="6"/>
        <v>0.27602622373694174</v>
      </c>
      <c r="AA25" s="201">
        <f t="shared" si="29"/>
        <v>0.27602622373694174</v>
      </c>
      <c r="AB25" s="206">
        <f t="shared" si="7"/>
        <v>0.1025440623039104</v>
      </c>
      <c r="AC25" s="205">
        <v>0</v>
      </c>
      <c r="AD25" s="201">
        <f t="shared" si="30"/>
        <v>5.2576423568941294E-4</v>
      </c>
      <c r="AE25" s="206">
        <f t="shared" si="31"/>
        <v>5.2576423568941294E-4</v>
      </c>
      <c r="AF25" s="58">
        <f t="shared" si="8"/>
        <v>4.8000000000000001E-2</v>
      </c>
      <c r="AG25" s="61">
        <f t="shared" si="9"/>
        <v>4.8000000000000001E-2</v>
      </c>
      <c r="AH25" s="58">
        <f t="shared" si="10"/>
        <v>1.3985328669338386E-3</v>
      </c>
      <c r="AI25" s="49">
        <f t="shared" si="11"/>
        <v>0.51807096876346692</v>
      </c>
      <c r="AJ25" s="211">
        <f t="shared" si="57"/>
        <v>0.51946950163040073</v>
      </c>
      <c r="AK25" s="269">
        <f t="shared" si="12"/>
        <v>2.4</v>
      </c>
      <c r="AL25" s="268">
        <f t="shared" si="13"/>
        <v>5</v>
      </c>
      <c r="AM25" s="270">
        <f t="shared" si="32"/>
        <v>0.48</v>
      </c>
      <c r="AN25" s="269">
        <f t="shared" si="33"/>
        <v>2</v>
      </c>
      <c r="AO25" s="268">
        <f t="shared" si="34"/>
        <v>0.48691025867196519</v>
      </c>
      <c r="AP25" s="268">
        <f t="shared" si="35"/>
        <v>0.98580794191764876</v>
      </c>
      <c r="AQ25" s="268">
        <f t="shared" si="36"/>
        <v>1.971615883835298</v>
      </c>
      <c r="AR25" s="268">
        <f t="shared" si="58"/>
        <v>1.9716158838352977</v>
      </c>
      <c r="AS25" s="270">
        <f t="shared" si="59"/>
        <v>0.7943028911110015</v>
      </c>
      <c r="AT25" s="269"/>
      <c r="AU25" s="268">
        <f t="shared" si="37"/>
        <v>2.3040000000000001E-3</v>
      </c>
      <c r="AV25" s="270">
        <f t="shared" si="60"/>
        <v>2.3040000000000001E-3</v>
      </c>
      <c r="AW25" s="269">
        <f t="shared" si="38"/>
        <v>0.11424000000000001</v>
      </c>
      <c r="AX25" s="268">
        <f t="shared" si="39"/>
        <v>0.24</v>
      </c>
      <c r="AY25" s="270">
        <f t="shared" si="61"/>
        <v>0.35424</v>
      </c>
      <c r="AZ25" s="263">
        <f t="shared" si="14"/>
        <v>0</v>
      </c>
      <c r="BA25" s="262">
        <f t="shared" si="15"/>
        <v>0</v>
      </c>
      <c r="BB25" s="262">
        <f t="shared" si="62"/>
        <v>0</v>
      </c>
      <c r="BC25" s="264" t="e">
        <f t="shared" si="40"/>
        <v>#DIV/0!</v>
      </c>
      <c r="BD25" s="263">
        <v>0</v>
      </c>
      <c r="BE25" s="262">
        <f t="shared" si="63"/>
        <v>0</v>
      </c>
      <c r="BF25" s="264">
        <f t="shared" si="64"/>
        <v>0</v>
      </c>
      <c r="BG25" s="263">
        <f t="shared" si="41"/>
        <v>0</v>
      </c>
      <c r="BH25" s="262">
        <f t="shared" si="42"/>
        <v>0</v>
      </c>
      <c r="BI25" s="264">
        <f t="shared" si="43"/>
        <v>0</v>
      </c>
      <c r="BJ25" s="49"/>
      <c r="BK25" s="258">
        <f t="shared" si="17"/>
        <v>0</v>
      </c>
      <c r="BL25" s="257">
        <f t="shared" si="18"/>
        <v>0</v>
      </c>
      <c r="BM25" s="257">
        <f t="shared" si="19"/>
        <v>0</v>
      </c>
      <c r="BN25" s="259">
        <f t="shared" si="44"/>
        <v>0</v>
      </c>
      <c r="BO25" s="258">
        <v>0</v>
      </c>
      <c r="BP25" s="257">
        <f t="shared" si="45"/>
        <v>0</v>
      </c>
      <c r="BQ25" s="259">
        <f t="shared" si="65"/>
        <v>0</v>
      </c>
      <c r="BR25" s="258">
        <f t="shared" si="46"/>
        <v>0</v>
      </c>
      <c r="BS25" s="257">
        <f t="shared" si="66"/>
        <v>0</v>
      </c>
      <c r="BT25" s="259">
        <f t="shared" si="67"/>
        <v>0</v>
      </c>
      <c r="BU25" s="275">
        <f t="shared" si="20"/>
        <v>0</v>
      </c>
      <c r="BV25" s="274">
        <f t="shared" si="21"/>
        <v>0</v>
      </c>
      <c r="BW25" s="274">
        <f t="shared" si="22"/>
        <v>0</v>
      </c>
      <c r="BX25" s="276">
        <f t="shared" si="47"/>
        <v>0</v>
      </c>
      <c r="BY25" s="275">
        <v>0</v>
      </c>
      <c r="BZ25" s="274">
        <f t="shared" si="48"/>
        <v>0</v>
      </c>
      <c r="CA25" s="276">
        <f t="shared" si="68"/>
        <v>0</v>
      </c>
      <c r="CB25" s="275">
        <f t="shared" si="49"/>
        <v>0</v>
      </c>
      <c r="CC25" s="274">
        <f t="shared" si="50"/>
        <v>0</v>
      </c>
      <c r="CD25" s="276">
        <f t="shared" si="69"/>
        <v>0</v>
      </c>
      <c r="CE25" s="58">
        <f t="shared" si="51"/>
        <v>1.997904095619769E-3</v>
      </c>
      <c r="CF25" s="49">
        <f t="shared" si="24"/>
        <v>7.3499999999999996E-2</v>
      </c>
      <c r="CG25" s="61">
        <f t="shared" si="70"/>
        <v>3.2340000000000001E-2</v>
      </c>
      <c r="CH25" s="49">
        <f t="shared" si="71"/>
        <v>5.2576423568941294E-4</v>
      </c>
      <c r="CI25" s="49">
        <f t="shared" si="72"/>
        <v>1.08037716996171</v>
      </c>
      <c r="CJ25" s="49">
        <f t="shared" si="52"/>
        <v>68.95804341879429</v>
      </c>
      <c r="CN25" s="49">
        <f t="shared" si="53"/>
        <v>0.35424</v>
      </c>
      <c r="CO25" s="49">
        <f t="shared" si="54"/>
        <v>0</v>
      </c>
      <c r="CP25" s="49">
        <f t="shared" si="55"/>
        <v>0</v>
      </c>
      <c r="CQ25" s="49" t="str">
        <f t="shared" si="26"/>
        <v/>
      </c>
    </row>
    <row r="26" spans="1:95" x14ac:dyDescent="0.45">
      <c r="L26" s="49">
        <f t="shared" si="56"/>
        <v>12.666666666666664</v>
      </c>
      <c r="Q26" s="49">
        <v>19</v>
      </c>
      <c r="R26" s="278">
        <f t="shared" si="0"/>
        <v>2.5333333333333332</v>
      </c>
      <c r="S26" s="201">
        <f t="shared" si="1"/>
        <v>42</v>
      </c>
      <c r="T26" s="206">
        <f t="shared" si="2"/>
        <v>6.0317460317460311E-2</v>
      </c>
      <c r="U26" s="205">
        <f t="shared" si="3"/>
        <v>1</v>
      </c>
      <c r="V26" s="201">
        <f t="shared" si="4"/>
        <v>0.42538497969766276</v>
      </c>
      <c r="W26" s="201">
        <f t="shared" si="5"/>
        <v>0.50025273612445154</v>
      </c>
      <c r="X26" s="201">
        <f t="shared" si="27"/>
        <v>7.4362284177885707E-2</v>
      </c>
      <c r="Y26" s="205">
        <f t="shared" si="28"/>
        <v>0.14179499323255423</v>
      </c>
      <c r="Z26" s="201">
        <f t="shared" si="6"/>
        <v>0.28358998646510852</v>
      </c>
      <c r="AA26" s="201">
        <f t="shared" si="29"/>
        <v>0.28358998646510847</v>
      </c>
      <c r="AB26" s="206">
        <f t="shared" si="7"/>
        <v>0.10678772637039735</v>
      </c>
      <c r="AC26" s="205">
        <v>0</v>
      </c>
      <c r="AD26" s="201">
        <f t="shared" si="30"/>
        <v>5.701809251679429E-4</v>
      </c>
      <c r="AE26" s="206">
        <f t="shared" si="31"/>
        <v>5.701809251679429E-4</v>
      </c>
      <c r="AF26" s="58">
        <f t="shared" si="8"/>
        <v>5.0666666666666665E-2</v>
      </c>
      <c r="AG26" s="61">
        <f t="shared" si="9"/>
        <v>5.0666666666666665E-2</v>
      </c>
      <c r="AH26" s="58">
        <f t="shared" si="10"/>
        <v>1.5166812609467282E-3</v>
      </c>
      <c r="AI26" s="49">
        <f t="shared" si="11"/>
        <v>0.532267322396203</v>
      </c>
      <c r="AJ26" s="61">
        <f t="shared" si="57"/>
        <v>0.53378400365714973</v>
      </c>
      <c r="AK26" s="269">
        <f t="shared" si="12"/>
        <v>2.5333333333333332</v>
      </c>
      <c r="AL26" s="268">
        <f t="shared" si="13"/>
        <v>5</v>
      </c>
      <c r="AM26" s="270">
        <f t="shared" si="32"/>
        <v>0.5066666666666666</v>
      </c>
      <c r="AN26" s="269">
        <f t="shared" si="33"/>
        <v>2</v>
      </c>
      <c r="AO26" s="268">
        <f t="shared" si="34"/>
        <v>0.50025273612445142</v>
      </c>
      <c r="AP26" s="268">
        <f t="shared" si="35"/>
        <v>1.0128213802325301</v>
      </c>
      <c r="AQ26" s="268">
        <f t="shared" si="36"/>
        <v>2.0256427604650606</v>
      </c>
      <c r="AR26" s="268">
        <f t="shared" si="58"/>
        <v>2.0256427604650602</v>
      </c>
      <c r="AS26" s="270">
        <f t="shared" si="59"/>
        <v>0.82717417162380702</v>
      </c>
      <c r="AT26" s="269"/>
      <c r="AU26" s="268">
        <f t="shared" si="37"/>
        <v>2.5671111111111107E-3</v>
      </c>
      <c r="AV26" s="270">
        <f t="shared" si="60"/>
        <v>2.5671111111111107E-3</v>
      </c>
      <c r="AW26" s="269">
        <f t="shared" si="38"/>
        <v>0.11424000000000001</v>
      </c>
      <c r="AX26" s="268">
        <f t="shared" si="39"/>
        <v>0.2533333333333333</v>
      </c>
      <c r="AY26" s="270">
        <f t="shared" si="61"/>
        <v>0.36757333333333331</v>
      </c>
      <c r="AZ26" s="263">
        <f t="shared" si="14"/>
        <v>0</v>
      </c>
      <c r="BA26" s="262">
        <f t="shared" si="15"/>
        <v>0</v>
      </c>
      <c r="BB26" s="262">
        <f t="shared" si="62"/>
        <v>0</v>
      </c>
      <c r="BC26" s="264" t="e">
        <f t="shared" si="40"/>
        <v>#DIV/0!</v>
      </c>
      <c r="BD26" s="263">
        <v>0</v>
      </c>
      <c r="BE26" s="262">
        <f t="shared" si="63"/>
        <v>0</v>
      </c>
      <c r="BF26" s="264">
        <f t="shared" si="64"/>
        <v>0</v>
      </c>
      <c r="BG26" s="263">
        <f t="shared" si="41"/>
        <v>0</v>
      </c>
      <c r="BH26" s="262">
        <f t="shared" si="42"/>
        <v>0</v>
      </c>
      <c r="BI26" s="264">
        <f t="shared" si="43"/>
        <v>0</v>
      </c>
      <c r="BK26" s="258">
        <f t="shared" si="17"/>
        <v>0</v>
      </c>
      <c r="BL26" s="257">
        <f t="shared" si="18"/>
        <v>0</v>
      </c>
      <c r="BM26" s="257">
        <f t="shared" si="19"/>
        <v>0</v>
      </c>
      <c r="BN26" s="259">
        <f t="shared" si="44"/>
        <v>0</v>
      </c>
      <c r="BO26" s="258">
        <v>0</v>
      </c>
      <c r="BP26" s="257">
        <f t="shared" si="45"/>
        <v>0</v>
      </c>
      <c r="BQ26" s="259">
        <f t="shared" si="65"/>
        <v>0</v>
      </c>
      <c r="BR26" s="258">
        <f t="shared" si="46"/>
        <v>0</v>
      </c>
      <c r="BS26" s="257">
        <f t="shared" si="66"/>
        <v>0</v>
      </c>
      <c r="BT26" s="259">
        <f t="shared" si="67"/>
        <v>0</v>
      </c>
      <c r="BU26" s="275">
        <f t="shared" si="20"/>
        <v>0</v>
      </c>
      <c r="BV26" s="274">
        <f t="shared" si="21"/>
        <v>0</v>
      </c>
      <c r="BW26" s="274">
        <f t="shared" si="22"/>
        <v>0</v>
      </c>
      <c r="BX26" s="276">
        <f t="shared" si="47"/>
        <v>0</v>
      </c>
      <c r="BY26" s="275">
        <v>0</v>
      </c>
      <c r="BZ26" s="274">
        <f t="shared" si="48"/>
        <v>0</v>
      </c>
      <c r="CA26" s="276">
        <f t="shared" si="68"/>
        <v>0</v>
      </c>
      <c r="CB26" s="275">
        <f t="shared" si="49"/>
        <v>0</v>
      </c>
      <c r="CC26" s="274">
        <f t="shared" si="50"/>
        <v>0</v>
      </c>
      <c r="CD26" s="276">
        <f t="shared" si="69"/>
        <v>0</v>
      </c>
      <c r="CE26" s="58">
        <f t="shared" si="51"/>
        <v>2.1666875156381828E-3</v>
      </c>
      <c r="CF26" s="49">
        <f t="shared" si="24"/>
        <v>7.3499999999999996E-2</v>
      </c>
      <c r="CG26" s="61">
        <f t="shared" si="70"/>
        <v>3.2340000000000001E-2</v>
      </c>
      <c r="CH26" s="49">
        <f t="shared" si="71"/>
        <v>5.701809251679429E-4</v>
      </c>
      <c r="CI26" s="49">
        <f t="shared" si="72"/>
        <v>1.1138346498757334</v>
      </c>
      <c r="CJ26" s="49">
        <f t="shared" si="52"/>
        <v>69.460286583901905</v>
      </c>
      <c r="CN26" s="49">
        <f t="shared" si="53"/>
        <v>0.36757333333333331</v>
      </c>
      <c r="CO26" s="49">
        <f t="shared" si="54"/>
        <v>0</v>
      </c>
      <c r="CP26" s="49">
        <f t="shared" si="55"/>
        <v>0</v>
      </c>
      <c r="CQ26" s="49" t="str">
        <f t="shared" si="26"/>
        <v/>
      </c>
    </row>
    <row r="27" spans="1:95" x14ac:dyDescent="0.45">
      <c r="L27" s="49">
        <f t="shared" si="56"/>
        <v>13.333333333333334</v>
      </c>
      <c r="Q27" s="49">
        <v>20</v>
      </c>
      <c r="R27" s="278">
        <f t="shared" si="0"/>
        <v>2.6666666666666665</v>
      </c>
      <c r="S27" s="201">
        <f t="shared" si="1"/>
        <v>42</v>
      </c>
      <c r="T27" s="206">
        <f t="shared" si="2"/>
        <v>6.3492063492063489E-2</v>
      </c>
      <c r="U27" s="205">
        <f t="shared" si="3"/>
        <v>1</v>
      </c>
      <c r="V27" s="201">
        <f t="shared" si="4"/>
        <v>0.43643578047198472</v>
      </c>
      <c r="W27" s="201">
        <f t="shared" si="5"/>
        <v>0.51324847783505412</v>
      </c>
      <c r="X27" s="201">
        <f t="shared" si="27"/>
        <v>5.0315741692961158E-2</v>
      </c>
      <c r="Y27" s="205">
        <f t="shared" si="28"/>
        <v>0.14547859349066158</v>
      </c>
      <c r="Z27" s="201">
        <f t="shared" si="6"/>
        <v>0.29095718698132322</v>
      </c>
      <c r="AA27" s="201">
        <f t="shared" si="29"/>
        <v>0.29095718698132322</v>
      </c>
      <c r="AB27" s="206">
        <f t="shared" si="7"/>
        <v>0.1109758898418642</v>
      </c>
      <c r="AC27" s="205">
        <v>0</v>
      </c>
      <c r="AD27" s="201">
        <f t="shared" si="30"/>
        <v>6.1578240630967888E-4</v>
      </c>
      <c r="AE27" s="206">
        <f t="shared" si="31"/>
        <v>6.1578240630967888E-4</v>
      </c>
      <c r="AF27" s="58">
        <f t="shared" si="8"/>
        <v>5.333333333333333E-2</v>
      </c>
      <c r="AG27" s="61">
        <f t="shared" si="9"/>
        <v>5.333333333333333E-2</v>
      </c>
      <c r="AH27" s="58">
        <f t="shared" si="10"/>
        <v>1.6379812007837457E-3</v>
      </c>
      <c r="AI27" s="49">
        <f t="shared" si="11"/>
        <v>0.54609475030083388</v>
      </c>
      <c r="AJ27" s="61">
        <f t="shared" si="57"/>
        <v>0.54773273150161761</v>
      </c>
      <c r="AK27" s="269">
        <f t="shared" si="12"/>
        <v>2.6666666666666665</v>
      </c>
      <c r="AL27" s="268">
        <f t="shared" si="13"/>
        <v>5</v>
      </c>
      <c r="AM27" s="270">
        <f t="shared" si="32"/>
        <v>0.53333333333333333</v>
      </c>
      <c r="AN27" s="269">
        <f t="shared" si="33"/>
        <v>2</v>
      </c>
      <c r="AO27" s="268">
        <f t="shared" si="34"/>
        <v>0.51324847783505412</v>
      </c>
      <c r="AP27" s="268">
        <f t="shared" si="35"/>
        <v>1.0391328106475828</v>
      </c>
      <c r="AQ27" s="268">
        <f t="shared" si="36"/>
        <v>2.0782656212951656</v>
      </c>
      <c r="AR27" s="268">
        <f t="shared" si="58"/>
        <v>2.0782656212951656</v>
      </c>
      <c r="AS27" s="270">
        <f t="shared" si="59"/>
        <v>0.85961554637617754</v>
      </c>
      <c r="AT27" s="269"/>
      <c r="AU27" s="268">
        <f t="shared" si="37"/>
        <v>2.8444444444444446E-3</v>
      </c>
      <c r="AV27" s="270">
        <f t="shared" si="60"/>
        <v>2.8444444444444446E-3</v>
      </c>
      <c r="AW27" s="269">
        <f t="shared" si="38"/>
        <v>0.11424000000000001</v>
      </c>
      <c r="AX27" s="268">
        <f t="shared" si="39"/>
        <v>0.26666666666666666</v>
      </c>
      <c r="AY27" s="270">
        <f t="shared" si="61"/>
        <v>0.38090666666666667</v>
      </c>
      <c r="AZ27" s="263">
        <f t="shared" si="14"/>
        <v>0</v>
      </c>
      <c r="BA27" s="262">
        <f t="shared" si="15"/>
        <v>0</v>
      </c>
      <c r="BB27" s="262">
        <f t="shared" si="62"/>
        <v>0</v>
      </c>
      <c r="BC27" s="264" t="e">
        <f t="shared" si="40"/>
        <v>#DIV/0!</v>
      </c>
      <c r="BD27" s="263">
        <v>0</v>
      </c>
      <c r="BE27" s="262">
        <f t="shared" si="63"/>
        <v>0</v>
      </c>
      <c r="BF27" s="264">
        <f t="shared" si="64"/>
        <v>0</v>
      </c>
      <c r="BG27" s="263">
        <f t="shared" si="41"/>
        <v>0</v>
      </c>
      <c r="BH27" s="262">
        <f t="shared" si="42"/>
        <v>0</v>
      </c>
      <c r="BI27" s="264">
        <f t="shared" si="43"/>
        <v>0</v>
      </c>
      <c r="BK27" s="258">
        <f t="shared" si="17"/>
        <v>0</v>
      </c>
      <c r="BL27" s="257">
        <f t="shared" si="18"/>
        <v>0</v>
      </c>
      <c r="BM27" s="257">
        <f t="shared" si="19"/>
        <v>0</v>
      </c>
      <c r="BN27" s="259">
        <f t="shared" si="44"/>
        <v>0</v>
      </c>
      <c r="BO27" s="258">
        <v>0</v>
      </c>
      <c r="BP27" s="257">
        <f t="shared" si="45"/>
        <v>0</v>
      </c>
      <c r="BQ27" s="259">
        <f t="shared" si="65"/>
        <v>0</v>
      </c>
      <c r="BR27" s="258">
        <f t="shared" si="46"/>
        <v>0</v>
      </c>
      <c r="BS27" s="257">
        <f t="shared" si="66"/>
        <v>0</v>
      </c>
      <c r="BT27" s="259">
        <f t="shared" si="67"/>
        <v>0</v>
      </c>
      <c r="BU27" s="275">
        <f t="shared" si="20"/>
        <v>0</v>
      </c>
      <c r="BV27" s="274">
        <f t="shared" si="21"/>
        <v>0</v>
      </c>
      <c r="BW27" s="274">
        <f t="shared" si="22"/>
        <v>0</v>
      </c>
      <c r="BX27" s="276">
        <f t="shared" si="47"/>
        <v>0</v>
      </c>
      <c r="BY27" s="275">
        <v>0</v>
      </c>
      <c r="BZ27" s="274">
        <f t="shared" si="48"/>
        <v>0</v>
      </c>
      <c r="CA27" s="276">
        <f t="shared" si="68"/>
        <v>0</v>
      </c>
      <c r="CB27" s="275">
        <f t="shared" si="49"/>
        <v>0</v>
      </c>
      <c r="CC27" s="274">
        <f t="shared" si="50"/>
        <v>0</v>
      </c>
      <c r="CD27" s="276">
        <f t="shared" si="69"/>
        <v>0</v>
      </c>
      <c r="CE27" s="58">
        <f t="shared" si="51"/>
        <v>2.3399731439767797E-3</v>
      </c>
      <c r="CF27" s="49">
        <f t="shared" si="24"/>
        <v>7.3499999999999996E-2</v>
      </c>
      <c r="CG27" s="61">
        <f t="shared" si="70"/>
        <v>3.2340000000000001E-2</v>
      </c>
      <c r="CH27" s="49">
        <f t="shared" si="71"/>
        <v>6.1578240630967888E-4</v>
      </c>
      <c r="CI27" s="49">
        <f t="shared" si="72"/>
        <v>1.1469462648296818</v>
      </c>
      <c r="CJ27" s="49">
        <f t="shared" si="52"/>
        <v>69.924942949581038</v>
      </c>
      <c r="CN27" s="49">
        <f t="shared" si="53"/>
        <v>0.38090666666666667</v>
      </c>
      <c r="CO27" s="49">
        <f t="shared" si="54"/>
        <v>0</v>
      </c>
      <c r="CP27" s="49">
        <f t="shared" si="55"/>
        <v>0</v>
      </c>
      <c r="CQ27" s="49" t="str">
        <f t="shared" si="26"/>
        <v/>
      </c>
    </row>
    <row r="28" spans="1:95" x14ac:dyDescent="0.45">
      <c r="L28" s="49">
        <f t="shared" si="56"/>
        <v>13.999999999999998</v>
      </c>
      <c r="Q28" s="49">
        <v>21</v>
      </c>
      <c r="R28" s="278">
        <f t="shared" si="0"/>
        <v>2.8</v>
      </c>
      <c r="S28" s="201">
        <f t="shared" si="1"/>
        <v>42</v>
      </c>
      <c r="T28" s="206">
        <f t="shared" si="2"/>
        <v>6.6666666666666666E-2</v>
      </c>
      <c r="U28" s="205">
        <f t="shared" si="3"/>
        <v>1</v>
      </c>
      <c r="V28" s="201">
        <f t="shared" si="4"/>
        <v>0.44721359549995787</v>
      </c>
      <c r="W28" s="201">
        <f t="shared" si="5"/>
        <v>0.52592318830795048</v>
      </c>
      <c r="X28" s="201">
        <f t="shared" si="27"/>
        <v>2.6863216192091643E-2</v>
      </c>
      <c r="Y28" s="205">
        <f t="shared" si="28"/>
        <v>0.14907119849998599</v>
      </c>
      <c r="Z28" s="201">
        <f t="shared" si="6"/>
        <v>0.29814239699997197</v>
      </c>
      <c r="AA28" s="201">
        <f t="shared" si="29"/>
        <v>0.29814239699997197</v>
      </c>
      <c r="AB28" s="206">
        <f t="shared" si="7"/>
        <v>0.11511200284939339</v>
      </c>
      <c r="AC28" s="205">
        <v>0</v>
      </c>
      <c r="AD28" s="201">
        <f t="shared" si="30"/>
        <v>6.6253865999993768E-4</v>
      </c>
      <c r="AE28" s="206">
        <f t="shared" si="31"/>
        <v>6.6253865999993768E-4</v>
      </c>
      <c r="AF28" s="58">
        <f t="shared" si="8"/>
        <v>5.5999999999999994E-2</v>
      </c>
      <c r="AG28" s="61">
        <f t="shared" si="9"/>
        <v>5.5999999999999994E-2</v>
      </c>
      <c r="AH28" s="58">
        <f t="shared" si="10"/>
        <v>1.7623528355998341E-3</v>
      </c>
      <c r="AI28" s="49">
        <f t="shared" si="11"/>
        <v>0.55958060198816462</v>
      </c>
      <c r="AJ28" s="61">
        <f t="shared" si="57"/>
        <v>0.56134295482376451</v>
      </c>
      <c r="AK28" s="269">
        <f t="shared" si="12"/>
        <v>2.8</v>
      </c>
      <c r="AL28" s="268">
        <f t="shared" si="13"/>
        <v>5</v>
      </c>
      <c r="AM28" s="270">
        <f t="shared" si="32"/>
        <v>0.55999999999999994</v>
      </c>
      <c r="AN28" s="269">
        <f t="shared" si="33"/>
        <v>2</v>
      </c>
      <c r="AO28" s="268">
        <f t="shared" si="34"/>
        <v>0.52592318830795048</v>
      </c>
      <c r="AP28" s="268">
        <f t="shared" si="35"/>
        <v>1.0647942749998998</v>
      </c>
      <c r="AQ28" s="268">
        <f t="shared" si="36"/>
        <v>2.1295885499997991</v>
      </c>
      <c r="AR28" s="268">
        <f t="shared" si="58"/>
        <v>2.1295885499997995</v>
      </c>
      <c r="AS28" s="270">
        <f t="shared" si="59"/>
        <v>0.89165373996856279</v>
      </c>
      <c r="AT28" s="269"/>
      <c r="AU28" s="268">
        <f t="shared" si="37"/>
        <v>3.1359999999999995E-3</v>
      </c>
      <c r="AV28" s="270">
        <f t="shared" si="60"/>
        <v>3.1359999999999995E-3</v>
      </c>
      <c r="AW28" s="269">
        <f t="shared" si="38"/>
        <v>0.11424000000000001</v>
      </c>
      <c r="AX28" s="268">
        <f t="shared" si="39"/>
        <v>0.27999999999999997</v>
      </c>
      <c r="AY28" s="270">
        <f t="shared" si="61"/>
        <v>0.39423999999999998</v>
      </c>
      <c r="AZ28" s="263">
        <f t="shared" si="14"/>
        <v>0</v>
      </c>
      <c r="BA28" s="262">
        <f t="shared" si="15"/>
        <v>0</v>
      </c>
      <c r="BB28" s="262">
        <f t="shared" si="62"/>
        <v>0</v>
      </c>
      <c r="BC28" s="264" t="e">
        <f t="shared" si="40"/>
        <v>#DIV/0!</v>
      </c>
      <c r="BD28" s="263">
        <v>0</v>
      </c>
      <c r="BE28" s="262">
        <f t="shared" si="63"/>
        <v>0</v>
      </c>
      <c r="BF28" s="264">
        <f t="shared" si="64"/>
        <v>0</v>
      </c>
      <c r="BG28" s="263">
        <f t="shared" si="41"/>
        <v>0</v>
      </c>
      <c r="BH28" s="262">
        <f t="shared" si="42"/>
        <v>0</v>
      </c>
      <c r="BI28" s="264">
        <f t="shared" si="43"/>
        <v>0</v>
      </c>
      <c r="BK28" s="258">
        <f t="shared" si="17"/>
        <v>0</v>
      </c>
      <c r="BL28" s="257">
        <f t="shared" si="18"/>
        <v>0</v>
      </c>
      <c r="BM28" s="257">
        <f t="shared" si="19"/>
        <v>0</v>
      </c>
      <c r="BN28" s="259">
        <f t="shared" si="44"/>
        <v>0</v>
      </c>
      <c r="BO28" s="258">
        <v>0</v>
      </c>
      <c r="BP28" s="257">
        <f t="shared" si="45"/>
        <v>0</v>
      </c>
      <c r="BQ28" s="259">
        <f t="shared" si="65"/>
        <v>0</v>
      </c>
      <c r="BR28" s="258">
        <f t="shared" si="46"/>
        <v>0</v>
      </c>
      <c r="BS28" s="257">
        <f t="shared" si="66"/>
        <v>0</v>
      </c>
      <c r="BT28" s="259">
        <f t="shared" si="67"/>
        <v>0</v>
      </c>
      <c r="BU28" s="275">
        <f t="shared" si="20"/>
        <v>0</v>
      </c>
      <c r="BV28" s="274">
        <f t="shared" si="21"/>
        <v>0</v>
      </c>
      <c r="BW28" s="274">
        <f t="shared" si="22"/>
        <v>0</v>
      </c>
      <c r="BX28" s="276">
        <f t="shared" si="47"/>
        <v>0</v>
      </c>
      <c r="BY28" s="275">
        <v>0</v>
      </c>
      <c r="BZ28" s="274">
        <f t="shared" si="48"/>
        <v>0</v>
      </c>
      <c r="CA28" s="276">
        <f t="shared" si="68"/>
        <v>0</v>
      </c>
      <c r="CB28" s="275">
        <f t="shared" si="49"/>
        <v>0</v>
      </c>
      <c r="CC28" s="274">
        <f t="shared" si="50"/>
        <v>0</v>
      </c>
      <c r="CD28" s="276">
        <f t="shared" si="69"/>
        <v>0</v>
      </c>
      <c r="CE28" s="58">
        <f t="shared" si="51"/>
        <v>2.5176469079997632E-3</v>
      </c>
      <c r="CF28" s="49">
        <f t="shared" si="24"/>
        <v>7.3499999999999996E-2</v>
      </c>
      <c r="CG28" s="61">
        <f t="shared" si="70"/>
        <v>3.2340000000000001E-2</v>
      </c>
      <c r="CH28" s="49">
        <f t="shared" si="71"/>
        <v>6.6253865999993768E-4</v>
      </c>
      <c r="CI28" s="49">
        <f t="shared" si="72"/>
        <v>1.1797391403917641</v>
      </c>
      <c r="CJ28" s="49">
        <f t="shared" si="52"/>
        <v>70.356370134459851</v>
      </c>
      <c r="CN28" s="49">
        <f t="shared" si="53"/>
        <v>0.39423999999999998</v>
      </c>
      <c r="CO28" s="49">
        <f t="shared" si="54"/>
        <v>0</v>
      </c>
      <c r="CP28" s="49">
        <f t="shared" si="55"/>
        <v>0</v>
      </c>
      <c r="CQ28" s="49" t="str">
        <f t="shared" si="26"/>
        <v/>
      </c>
    </row>
    <row r="29" spans="1:95" x14ac:dyDescent="0.45">
      <c r="L29" s="49">
        <f t="shared" si="56"/>
        <v>14.666666666666666</v>
      </c>
      <c r="Q29" s="49">
        <v>22</v>
      </c>
      <c r="R29" s="278">
        <f t="shared" si="0"/>
        <v>2.9333333333333331</v>
      </c>
      <c r="S29" s="201">
        <f t="shared" si="1"/>
        <v>42</v>
      </c>
      <c r="T29" s="206">
        <f t="shared" si="2"/>
        <v>6.9841269841269843E-2</v>
      </c>
      <c r="U29" s="205">
        <f t="shared" si="3"/>
        <v>1</v>
      </c>
      <c r="V29" s="201">
        <f t="shared" si="4"/>
        <v>0.45773770821706339</v>
      </c>
      <c r="W29" s="201">
        <f t="shared" si="5"/>
        <v>0.53829954486326659</v>
      </c>
      <c r="X29" s="201">
        <f t="shared" si="27"/>
        <v>3.9627469196700238E-3</v>
      </c>
      <c r="Y29" s="205">
        <f t="shared" si="28"/>
        <v>0.15257923607235449</v>
      </c>
      <c r="Z29" s="201">
        <f t="shared" si="6"/>
        <v>0.30515847214470898</v>
      </c>
      <c r="AA29" s="201">
        <f t="shared" si="29"/>
        <v>0.30515847214470898</v>
      </c>
      <c r="AB29" s="206">
        <f t="shared" si="7"/>
        <v>0.1191991476407116</v>
      </c>
      <c r="AC29" s="205">
        <v>0</v>
      </c>
      <c r="AD29" s="201">
        <f t="shared" si="30"/>
        <v>7.104218399136081E-4</v>
      </c>
      <c r="AE29" s="206">
        <f t="shared" si="31"/>
        <v>7.104218399136081E-4</v>
      </c>
      <c r="AF29" s="58">
        <f t="shared" si="8"/>
        <v>5.8666666666666666E-2</v>
      </c>
      <c r="AG29" s="61">
        <f t="shared" si="9"/>
        <v>5.8666666666666666E-2</v>
      </c>
      <c r="AH29" s="58">
        <f t="shared" si="10"/>
        <v>1.8897220941701976E-3</v>
      </c>
      <c r="AI29" s="49">
        <f t="shared" si="11"/>
        <v>0.57274900605478418</v>
      </c>
      <c r="AJ29" s="61">
        <f t="shared" si="57"/>
        <v>0.57463872814895434</v>
      </c>
      <c r="AK29" s="269">
        <f t="shared" si="12"/>
        <v>2.9333333333333331</v>
      </c>
      <c r="AL29" s="268">
        <f t="shared" si="13"/>
        <v>5</v>
      </c>
      <c r="AM29" s="270">
        <f t="shared" si="32"/>
        <v>0.58666666666666667</v>
      </c>
      <c r="AN29" s="269">
        <f t="shared" si="33"/>
        <v>2</v>
      </c>
      <c r="AO29" s="268">
        <f t="shared" si="34"/>
        <v>0.5382995448632667</v>
      </c>
      <c r="AP29" s="268">
        <f t="shared" si="35"/>
        <v>1.0898516862311034</v>
      </c>
      <c r="AQ29" s="268">
        <f t="shared" si="36"/>
        <v>2.1797033724622072</v>
      </c>
      <c r="AR29" s="268">
        <f t="shared" si="58"/>
        <v>2.1797033724622068</v>
      </c>
      <c r="AS29" s="270">
        <f t="shared" si="59"/>
        <v>0.9233126273891904</v>
      </c>
      <c r="AT29" s="269"/>
      <c r="AU29" s="268">
        <f t="shared" si="37"/>
        <v>3.441777777777778E-3</v>
      </c>
      <c r="AV29" s="270">
        <f t="shared" si="60"/>
        <v>3.441777777777778E-3</v>
      </c>
      <c r="AW29" s="269">
        <f t="shared" si="38"/>
        <v>0.11424000000000001</v>
      </c>
      <c r="AX29" s="268">
        <f t="shared" si="39"/>
        <v>0.29333333333333333</v>
      </c>
      <c r="AY29" s="270">
        <f t="shared" si="61"/>
        <v>0.40757333333333334</v>
      </c>
      <c r="AZ29" s="263">
        <f t="shared" si="14"/>
        <v>0</v>
      </c>
      <c r="BA29" s="262">
        <f t="shared" si="15"/>
        <v>0</v>
      </c>
      <c r="BB29" s="262">
        <f t="shared" si="62"/>
        <v>0</v>
      </c>
      <c r="BC29" s="264" t="e">
        <f t="shared" si="40"/>
        <v>#DIV/0!</v>
      </c>
      <c r="BD29" s="263">
        <v>0</v>
      </c>
      <c r="BE29" s="262">
        <f t="shared" si="63"/>
        <v>0</v>
      </c>
      <c r="BF29" s="264">
        <f t="shared" si="64"/>
        <v>0</v>
      </c>
      <c r="BG29" s="263">
        <f t="shared" si="41"/>
        <v>0</v>
      </c>
      <c r="BH29" s="262">
        <f t="shared" si="42"/>
        <v>0</v>
      </c>
      <c r="BI29" s="264">
        <f t="shared" si="43"/>
        <v>0</v>
      </c>
      <c r="BK29" s="258">
        <f t="shared" si="17"/>
        <v>0</v>
      </c>
      <c r="BL29" s="257">
        <f t="shared" si="18"/>
        <v>0</v>
      </c>
      <c r="BM29" s="257">
        <f t="shared" si="19"/>
        <v>0</v>
      </c>
      <c r="BN29" s="259">
        <f t="shared" si="44"/>
        <v>0</v>
      </c>
      <c r="BO29" s="258">
        <v>0</v>
      </c>
      <c r="BP29" s="257">
        <f t="shared" si="45"/>
        <v>0</v>
      </c>
      <c r="BQ29" s="259">
        <f t="shared" si="65"/>
        <v>0</v>
      </c>
      <c r="BR29" s="258">
        <f t="shared" si="46"/>
        <v>0</v>
      </c>
      <c r="BS29" s="257">
        <f t="shared" si="66"/>
        <v>0</v>
      </c>
      <c r="BT29" s="259">
        <f t="shared" si="67"/>
        <v>0</v>
      </c>
      <c r="BU29" s="275">
        <f t="shared" si="20"/>
        <v>0</v>
      </c>
      <c r="BV29" s="274">
        <f t="shared" si="21"/>
        <v>0</v>
      </c>
      <c r="BW29" s="274">
        <f t="shared" si="22"/>
        <v>0</v>
      </c>
      <c r="BX29" s="276">
        <f t="shared" si="47"/>
        <v>0</v>
      </c>
      <c r="BY29" s="275">
        <v>0</v>
      </c>
      <c r="BZ29" s="274">
        <f t="shared" si="48"/>
        <v>0</v>
      </c>
      <c r="CA29" s="276">
        <f t="shared" si="68"/>
        <v>0</v>
      </c>
      <c r="CB29" s="275">
        <f t="shared" si="49"/>
        <v>0</v>
      </c>
      <c r="CC29" s="274">
        <f t="shared" si="50"/>
        <v>0</v>
      </c>
      <c r="CD29" s="276">
        <f t="shared" si="69"/>
        <v>0</v>
      </c>
      <c r="CE29" s="58">
        <f t="shared" si="51"/>
        <v>2.6996029916717106E-3</v>
      </c>
      <c r="CF29" s="49">
        <f t="shared" si="24"/>
        <v>7.3499999999999996E-2</v>
      </c>
      <c r="CG29" s="61">
        <f t="shared" si="70"/>
        <v>3.2340000000000001E-2</v>
      </c>
      <c r="CH29" s="49">
        <f t="shared" si="71"/>
        <v>7.104218399136081E-4</v>
      </c>
      <c r="CI29" s="49">
        <f t="shared" si="72"/>
        <v>1.2122371974249841</v>
      </c>
      <c r="CJ29" s="49">
        <f t="shared" si="52"/>
        <v>70.758254179232623</v>
      </c>
      <c r="CN29" s="49">
        <f t="shared" si="53"/>
        <v>0.40757333333333334</v>
      </c>
      <c r="CO29" s="49">
        <f t="shared" si="54"/>
        <v>0</v>
      </c>
      <c r="CP29" s="49">
        <f t="shared" si="55"/>
        <v>0</v>
      </c>
      <c r="CQ29" s="49" t="str">
        <f t="shared" si="26"/>
        <v/>
      </c>
    </row>
    <row r="30" spans="1:95" x14ac:dyDescent="0.45">
      <c r="L30" s="49">
        <f t="shared" si="56"/>
        <v>15.333333333333332</v>
      </c>
      <c r="Q30" s="49">
        <v>23</v>
      </c>
      <c r="R30" s="278">
        <f t="shared" si="0"/>
        <v>3.0666666666666664</v>
      </c>
      <c r="S30" s="201">
        <f t="shared" si="1"/>
        <v>42</v>
      </c>
      <c r="T30" s="206">
        <f t="shared" si="2"/>
        <v>7.3015873015873006E-2</v>
      </c>
      <c r="U30" s="205">
        <f t="shared" si="3"/>
        <v>2</v>
      </c>
      <c r="V30" s="201">
        <f t="shared" si="4"/>
        <v>0.45955882352941174</v>
      </c>
      <c r="W30" s="201">
        <f t="shared" si="5"/>
        <v>0.54044117647058831</v>
      </c>
      <c r="X30" s="201">
        <f t="shared" si="27"/>
        <v>0</v>
      </c>
      <c r="Y30" s="205">
        <f t="shared" si="28"/>
        <v>0.15888253968253968</v>
      </c>
      <c r="Z30" s="201">
        <f t="shared" si="6"/>
        <v>0.30637254901960786</v>
      </c>
      <c r="AA30" s="201">
        <f t="shared" si="29"/>
        <v>0.31206881419234361</v>
      </c>
      <c r="AB30" s="206">
        <f t="shared" si="7"/>
        <v>0.12327052273286462</v>
      </c>
      <c r="AC30" s="205">
        <v>0</v>
      </c>
      <c r="AD30" s="201">
        <f t="shared" si="30"/>
        <v>7.5978108874168475E-4</v>
      </c>
      <c r="AE30" s="206">
        <f t="shared" si="31"/>
        <v>7.5978108874168475E-4</v>
      </c>
      <c r="AF30" s="58">
        <f t="shared" si="8"/>
        <v>6.133333333333333E-2</v>
      </c>
      <c r="AG30" s="61">
        <f t="shared" si="9"/>
        <v>6.133333333333333E-2</v>
      </c>
      <c r="AH30" s="58">
        <f t="shared" si="10"/>
        <v>2.0210176960528811E-3</v>
      </c>
      <c r="AI30" s="49">
        <f t="shared" si="11"/>
        <v>0.59641022609053729</v>
      </c>
      <c r="AJ30" s="61">
        <f t="shared" si="57"/>
        <v>0.59843124378659018</v>
      </c>
      <c r="AK30" s="269">
        <f t="shared" si="12"/>
        <v>3.0666666666666664</v>
      </c>
      <c r="AL30" s="268">
        <f t="shared" si="13"/>
        <v>5</v>
      </c>
      <c r="AM30" s="270">
        <f t="shared" si="32"/>
        <v>0.61333333333333329</v>
      </c>
      <c r="AN30" s="269">
        <f t="shared" si="33"/>
        <v>2</v>
      </c>
      <c r="AO30" s="268">
        <f t="shared" si="34"/>
        <v>0.5404411764705882</v>
      </c>
      <c r="AP30" s="268">
        <f t="shared" si="35"/>
        <v>1.134875283446712</v>
      </c>
      <c r="AQ30" s="268">
        <f t="shared" si="36"/>
        <v>2.1883753501400558</v>
      </c>
      <c r="AR30" s="268">
        <f t="shared" si="58"/>
        <v>2.2290629585167396</v>
      </c>
      <c r="AS30" s="270">
        <f t="shared" si="59"/>
        <v>0.95484936324533487</v>
      </c>
      <c r="AT30" s="269"/>
      <c r="AU30" s="268">
        <f t="shared" si="37"/>
        <v>3.7617777777777775E-3</v>
      </c>
      <c r="AV30" s="270">
        <f t="shared" si="60"/>
        <v>3.7617777777777775E-3</v>
      </c>
      <c r="AW30" s="269">
        <f t="shared" si="38"/>
        <v>0.11424000000000001</v>
      </c>
      <c r="AX30" s="268">
        <f t="shared" si="39"/>
        <v>0.30666666666666664</v>
      </c>
      <c r="AY30" s="270">
        <f t="shared" si="61"/>
        <v>0.42090666666666665</v>
      </c>
      <c r="AZ30" s="263">
        <f t="shared" si="14"/>
        <v>0</v>
      </c>
      <c r="BA30" s="262">
        <f t="shared" si="15"/>
        <v>0</v>
      </c>
      <c r="BB30" s="262">
        <f t="shared" si="62"/>
        <v>0</v>
      </c>
      <c r="BC30" s="264" t="e">
        <f t="shared" si="40"/>
        <v>#DIV/0!</v>
      </c>
      <c r="BD30" s="263">
        <v>0</v>
      </c>
      <c r="BE30" s="262">
        <f t="shared" si="63"/>
        <v>0</v>
      </c>
      <c r="BF30" s="264">
        <f t="shared" si="64"/>
        <v>0</v>
      </c>
      <c r="BG30" s="263">
        <f t="shared" si="41"/>
        <v>0</v>
      </c>
      <c r="BH30" s="262">
        <f t="shared" si="42"/>
        <v>0</v>
      </c>
      <c r="BI30" s="264">
        <f t="shared" si="43"/>
        <v>0</v>
      </c>
      <c r="BK30" s="258">
        <f t="shared" si="17"/>
        <v>0</v>
      </c>
      <c r="BL30" s="257">
        <f t="shared" si="18"/>
        <v>0</v>
      </c>
      <c r="BM30" s="257">
        <f t="shared" si="19"/>
        <v>0</v>
      </c>
      <c r="BN30" s="259">
        <f t="shared" si="44"/>
        <v>0</v>
      </c>
      <c r="BO30" s="258">
        <v>0</v>
      </c>
      <c r="BP30" s="257">
        <f t="shared" si="45"/>
        <v>0</v>
      </c>
      <c r="BQ30" s="259">
        <f t="shared" si="65"/>
        <v>0</v>
      </c>
      <c r="BR30" s="258">
        <f t="shared" si="46"/>
        <v>0</v>
      </c>
      <c r="BS30" s="257">
        <f t="shared" si="66"/>
        <v>0</v>
      </c>
      <c r="BT30" s="259">
        <f t="shared" si="67"/>
        <v>0</v>
      </c>
      <c r="BU30" s="275">
        <f t="shared" si="20"/>
        <v>0</v>
      </c>
      <c r="BV30" s="274">
        <f t="shared" si="21"/>
        <v>0</v>
      </c>
      <c r="BW30" s="274">
        <f t="shared" si="22"/>
        <v>0</v>
      </c>
      <c r="BX30" s="276">
        <f t="shared" si="47"/>
        <v>0</v>
      </c>
      <c r="BY30" s="275">
        <v>0</v>
      </c>
      <c r="BZ30" s="274">
        <f t="shared" si="48"/>
        <v>0</v>
      </c>
      <c r="CA30" s="276">
        <f t="shared" si="68"/>
        <v>0</v>
      </c>
      <c r="CB30" s="275">
        <f t="shared" si="49"/>
        <v>0</v>
      </c>
      <c r="CC30" s="274">
        <f t="shared" si="50"/>
        <v>0</v>
      </c>
      <c r="CD30" s="276">
        <f t="shared" si="69"/>
        <v>0</v>
      </c>
      <c r="CE30" s="58">
        <f t="shared" si="51"/>
        <v>2.8871681372184019E-3</v>
      </c>
      <c r="CF30" s="49">
        <f t="shared" si="24"/>
        <v>7.3499999999999996E-2</v>
      </c>
      <c r="CG30" s="61">
        <f t="shared" si="70"/>
        <v>3.2340000000000001E-2</v>
      </c>
      <c r="CH30" s="49">
        <f t="shared" si="71"/>
        <v>7.5978108874168475E-4</v>
      </c>
      <c r="CI30" s="49">
        <f t="shared" si="72"/>
        <v>1.2552533041236611</v>
      </c>
      <c r="CJ30" s="49">
        <f t="shared" si="52"/>
        <v>70.95611874798044</v>
      </c>
      <c r="CN30" s="49">
        <f t="shared" si="53"/>
        <v>0.42090666666666665</v>
      </c>
      <c r="CO30" s="49">
        <f t="shared" si="54"/>
        <v>0</v>
      </c>
      <c r="CP30" s="49">
        <f t="shared" si="55"/>
        <v>0</v>
      </c>
      <c r="CQ30" s="49" t="str">
        <f t="shared" si="26"/>
        <v/>
      </c>
    </row>
    <row r="31" spans="1:95" x14ac:dyDescent="0.45">
      <c r="L31" s="49">
        <f t="shared" si="56"/>
        <v>16</v>
      </c>
      <c r="Q31" s="49">
        <v>24</v>
      </c>
      <c r="R31" s="278">
        <f t="shared" si="0"/>
        <v>3.2</v>
      </c>
      <c r="S31" s="201">
        <f t="shared" si="1"/>
        <v>42</v>
      </c>
      <c r="T31" s="206">
        <f t="shared" si="2"/>
        <v>7.6190476190476197E-2</v>
      </c>
      <c r="U31" s="205">
        <f t="shared" si="3"/>
        <v>2</v>
      </c>
      <c r="V31" s="201">
        <f t="shared" si="4"/>
        <v>0.45955882352941174</v>
      </c>
      <c r="W31" s="201">
        <f t="shared" si="5"/>
        <v>0.54044117647058831</v>
      </c>
      <c r="X31" s="201">
        <f t="shared" si="27"/>
        <v>0</v>
      </c>
      <c r="Y31" s="205">
        <f t="shared" si="28"/>
        <v>0.16579047619047621</v>
      </c>
      <c r="Z31" s="201">
        <f t="shared" si="6"/>
        <v>0.30637254901960786</v>
      </c>
      <c r="AA31" s="201">
        <f t="shared" si="29"/>
        <v>0.31897675070028014</v>
      </c>
      <c r="AB31" s="206">
        <f t="shared" si="7"/>
        <v>0.12738261169300999</v>
      </c>
      <c r="AC31" s="205">
        <v>0</v>
      </c>
      <c r="AD31" s="201">
        <f t="shared" si="30"/>
        <v>8.1131648808660832E-4</v>
      </c>
      <c r="AE31" s="206">
        <f t="shared" si="31"/>
        <v>8.1131648808660832E-4</v>
      </c>
      <c r="AF31" s="58">
        <f t="shared" si="8"/>
        <v>6.4000000000000001E-2</v>
      </c>
      <c r="AG31" s="61">
        <f t="shared" si="9"/>
        <v>6.4000000000000001E-2</v>
      </c>
      <c r="AH31" s="58">
        <f t="shared" si="10"/>
        <v>2.158101858310378E-3</v>
      </c>
      <c r="AI31" s="49">
        <f t="shared" si="11"/>
        <v>0.62234110548577815</v>
      </c>
      <c r="AJ31" s="61">
        <f t="shared" si="57"/>
        <v>0.62449920734408848</v>
      </c>
      <c r="AK31" s="269">
        <f t="shared" si="12"/>
        <v>3.2</v>
      </c>
      <c r="AL31" s="268">
        <f t="shared" si="13"/>
        <v>5</v>
      </c>
      <c r="AM31" s="270">
        <f t="shared" si="32"/>
        <v>0.64</v>
      </c>
      <c r="AN31" s="269">
        <f t="shared" si="33"/>
        <v>2</v>
      </c>
      <c r="AO31" s="268">
        <f t="shared" si="34"/>
        <v>0.5404411764705882</v>
      </c>
      <c r="AP31" s="268">
        <f t="shared" si="35"/>
        <v>1.18421768707483</v>
      </c>
      <c r="AQ31" s="268">
        <f t="shared" si="36"/>
        <v>2.1883753501400558</v>
      </c>
      <c r="AR31" s="268">
        <f t="shared" si="58"/>
        <v>2.2784053621448579</v>
      </c>
      <c r="AS31" s="270">
        <f t="shared" si="59"/>
        <v>0.98670146736686781</v>
      </c>
      <c r="AT31" s="269"/>
      <c r="AU31" s="268">
        <f t="shared" si="37"/>
        <v>4.0960000000000007E-3</v>
      </c>
      <c r="AV31" s="270">
        <f t="shared" si="60"/>
        <v>4.0960000000000007E-3</v>
      </c>
      <c r="AW31" s="269">
        <f t="shared" si="38"/>
        <v>0.11424000000000001</v>
      </c>
      <c r="AX31" s="268">
        <f t="shared" si="39"/>
        <v>0.32</v>
      </c>
      <c r="AY31" s="270">
        <f t="shared" si="61"/>
        <v>0.43424000000000001</v>
      </c>
      <c r="AZ31" s="263">
        <f t="shared" si="14"/>
        <v>0</v>
      </c>
      <c r="BA31" s="262">
        <f t="shared" si="15"/>
        <v>0</v>
      </c>
      <c r="BB31" s="262">
        <f t="shared" si="62"/>
        <v>0</v>
      </c>
      <c r="BC31" s="264" t="e">
        <f t="shared" si="40"/>
        <v>#DIV/0!</v>
      </c>
      <c r="BD31" s="263">
        <v>0</v>
      </c>
      <c r="BE31" s="262">
        <f t="shared" si="63"/>
        <v>0</v>
      </c>
      <c r="BF31" s="264">
        <f t="shared" si="64"/>
        <v>0</v>
      </c>
      <c r="BG31" s="263">
        <f t="shared" si="41"/>
        <v>0</v>
      </c>
      <c r="BH31" s="262">
        <f t="shared" si="42"/>
        <v>0</v>
      </c>
      <c r="BI31" s="264">
        <f t="shared" si="43"/>
        <v>0</v>
      </c>
      <c r="BK31" s="258">
        <f t="shared" si="17"/>
        <v>0</v>
      </c>
      <c r="BL31" s="257">
        <f t="shared" si="18"/>
        <v>0</v>
      </c>
      <c r="BM31" s="257">
        <f t="shared" si="19"/>
        <v>0</v>
      </c>
      <c r="BN31" s="259">
        <f t="shared" si="44"/>
        <v>0</v>
      </c>
      <c r="BO31" s="258">
        <v>0</v>
      </c>
      <c r="BP31" s="257">
        <f t="shared" si="45"/>
        <v>0</v>
      </c>
      <c r="BQ31" s="259">
        <f t="shared" si="65"/>
        <v>0</v>
      </c>
      <c r="BR31" s="258">
        <f t="shared" si="46"/>
        <v>0</v>
      </c>
      <c r="BS31" s="257">
        <f t="shared" si="66"/>
        <v>0</v>
      </c>
      <c r="BT31" s="259">
        <f t="shared" si="67"/>
        <v>0</v>
      </c>
      <c r="BU31" s="275">
        <f t="shared" si="20"/>
        <v>0</v>
      </c>
      <c r="BV31" s="274">
        <f t="shared" si="21"/>
        <v>0</v>
      </c>
      <c r="BW31" s="274">
        <f t="shared" si="22"/>
        <v>0</v>
      </c>
      <c r="BX31" s="276">
        <f t="shared" si="47"/>
        <v>0</v>
      </c>
      <c r="BY31" s="275">
        <v>0</v>
      </c>
      <c r="BZ31" s="274">
        <f t="shared" si="48"/>
        <v>0</v>
      </c>
      <c r="CA31" s="276">
        <f t="shared" si="68"/>
        <v>0</v>
      </c>
      <c r="CB31" s="275">
        <f t="shared" si="49"/>
        <v>0</v>
      </c>
      <c r="CC31" s="274">
        <f t="shared" si="50"/>
        <v>0</v>
      </c>
      <c r="CD31" s="276">
        <f t="shared" si="69"/>
        <v>0</v>
      </c>
      <c r="CE31" s="58">
        <f t="shared" si="51"/>
        <v>3.0830026547291113E-3</v>
      </c>
      <c r="CF31" s="49">
        <f t="shared" si="24"/>
        <v>7.3499999999999996E-2</v>
      </c>
      <c r="CG31" s="61">
        <f t="shared" si="70"/>
        <v>3.2340000000000001E-2</v>
      </c>
      <c r="CH31" s="49">
        <f t="shared" si="71"/>
        <v>8.1131648808660832E-4</v>
      </c>
      <c r="CI31" s="49">
        <f t="shared" si="72"/>
        <v>1.3005695264869042</v>
      </c>
      <c r="CJ31" s="49">
        <f t="shared" si="52"/>
        <v>71.102112325279094</v>
      </c>
      <c r="CN31" s="49">
        <f t="shared" si="53"/>
        <v>0.43424000000000001</v>
      </c>
      <c r="CO31" s="49">
        <f t="shared" si="54"/>
        <v>0</v>
      </c>
      <c r="CP31" s="49">
        <f t="shared" si="55"/>
        <v>0</v>
      </c>
      <c r="CQ31" s="49" t="str">
        <f t="shared" si="26"/>
        <v/>
      </c>
    </row>
    <row r="32" spans="1:95" x14ac:dyDescent="0.45">
      <c r="L32" s="49">
        <f t="shared" si="56"/>
        <v>16.666666666666668</v>
      </c>
      <c r="Q32" s="49">
        <v>25</v>
      </c>
      <c r="R32" s="278">
        <f t="shared" si="0"/>
        <v>3.3333333333333335</v>
      </c>
      <c r="S32" s="201">
        <f t="shared" si="1"/>
        <v>42</v>
      </c>
      <c r="T32" s="206">
        <f t="shared" si="2"/>
        <v>7.9365079365079375E-2</v>
      </c>
      <c r="U32" s="205">
        <f t="shared" si="3"/>
        <v>2</v>
      </c>
      <c r="V32" s="201">
        <f t="shared" si="4"/>
        <v>0.45955882352941174</v>
      </c>
      <c r="W32" s="201">
        <f t="shared" si="5"/>
        <v>0.54044117647058831</v>
      </c>
      <c r="X32" s="201">
        <f t="shared" si="27"/>
        <v>0</v>
      </c>
      <c r="Y32" s="205">
        <f t="shared" si="28"/>
        <v>0.17269841269841271</v>
      </c>
      <c r="Z32" s="201">
        <f t="shared" si="6"/>
        <v>0.30637254901960786</v>
      </c>
      <c r="AA32" s="201">
        <f t="shared" si="29"/>
        <v>0.32588468720821662</v>
      </c>
      <c r="AB32" s="206">
        <f t="shared" si="7"/>
        <v>0.13153287673797273</v>
      </c>
      <c r="AC32" s="205">
        <v>0</v>
      </c>
      <c r="AD32" s="201">
        <f t="shared" si="30"/>
        <v>8.6504488314833651E-4</v>
      </c>
      <c r="AE32" s="206">
        <f t="shared" si="31"/>
        <v>8.6504488314833651E-4</v>
      </c>
      <c r="AF32" s="58">
        <f t="shared" si="8"/>
        <v>6.6666666666666666E-2</v>
      </c>
      <c r="AG32" s="61">
        <f t="shared" si="9"/>
        <v>6.6666666666666666E-2</v>
      </c>
      <c r="AH32" s="58">
        <f t="shared" si="10"/>
        <v>2.301019389174575E-3</v>
      </c>
      <c r="AI32" s="49">
        <f t="shared" si="11"/>
        <v>0.64827198488101878</v>
      </c>
      <c r="AJ32" s="61">
        <f t="shared" si="57"/>
        <v>0.65057300427019338</v>
      </c>
      <c r="AK32" s="269">
        <f t="shared" si="12"/>
        <v>3.3333333333333335</v>
      </c>
      <c r="AL32" s="268">
        <f t="shared" si="13"/>
        <v>5</v>
      </c>
      <c r="AM32" s="270">
        <f t="shared" si="32"/>
        <v>0.66666666666666674</v>
      </c>
      <c r="AN32" s="269">
        <f t="shared" si="33"/>
        <v>2</v>
      </c>
      <c r="AO32" s="268">
        <f t="shared" si="34"/>
        <v>0.54044117647058831</v>
      </c>
      <c r="AP32" s="268">
        <f t="shared" si="35"/>
        <v>1.2335600907029478</v>
      </c>
      <c r="AQ32" s="268">
        <f t="shared" si="36"/>
        <v>2.1883753501400562</v>
      </c>
      <c r="AR32" s="268">
        <f t="shared" si="58"/>
        <v>2.3277477657729762</v>
      </c>
      <c r="AS32" s="270">
        <f t="shared" si="59"/>
        <v>1.0188492821698429</v>
      </c>
      <c r="AT32" s="269"/>
      <c r="AU32" s="268">
        <f t="shared" si="37"/>
        <v>4.4444444444444453E-3</v>
      </c>
      <c r="AV32" s="270">
        <f t="shared" si="60"/>
        <v>4.4444444444444453E-3</v>
      </c>
      <c r="AW32" s="269">
        <f t="shared" si="38"/>
        <v>0.11424000000000001</v>
      </c>
      <c r="AX32" s="268">
        <f t="shared" si="39"/>
        <v>0.33333333333333337</v>
      </c>
      <c r="AY32" s="270">
        <f t="shared" si="61"/>
        <v>0.44757333333333338</v>
      </c>
      <c r="AZ32" s="263">
        <f t="shared" si="14"/>
        <v>0</v>
      </c>
      <c r="BA32" s="262">
        <f t="shared" si="15"/>
        <v>0</v>
      </c>
      <c r="BB32" s="262">
        <f t="shared" si="62"/>
        <v>0</v>
      </c>
      <c r="BC32" s="264" t="e">
        <f t="shared" si="40"/>
        <v>#DIV/0!</v>
      </c>
      <c r="BD32" s="263">
        <v>0</v>
      </c>
      <c r="BE32" s="262">
        <f t="shared" si="63"/>
        <v>0</v>
      </c>
      <c r="BF32" s="264">
        <f t="shared" si="64"/>
        <v>0</v>
      </c>
      <c r="BG32" s="263">
        <f t="shared" si="41"/>
        <v>0</v>
      </c>
      <c r="BH32" s="262">
        <f t="shared" si="42"/>
        <v>0</v>
      </c>
      <c r="BI32" s="264">
        <f t="shared" si="43"/>
        <v>0</v>
      </c>
      <c r="BK32" s="258">
        <f t="shared" si="17"/>
        <v>0</v>
      </c>
      <c r="BL32" s="257">
        <f t="shared" si="18"/>
        <v>0</v>
      </c>
      <c r="BM32" s="257">
        <f t="shared" si="19"/>
        <v>0</v>
      </c>
      <c r="BN32" s="259">
        <f t="shared" si="44"/>
        <v>0</v>
      </c>
      <c r="BO32" s="258">
        <v>0</v>
      </c>
      <c r="BP32" s="257">
        <f t="shared" si="45"/>
        <v>0</v>
      </c>
      <c r="BQ32" s="259">
        <f t="shared" si="65"/>
        <v>0</v>
      </c>
      <c r="BR32" s="258">
        <f t="shared" si="46"/>
        <v>0</v>
      </c>
      <c r="BS32" s="257">
        <f t="shared" si="66"/>
        <v>0</v>
      </c>
      <c r="BT32" s="259">
        <f t="shared" si="67"/>
        <v>0</v>
      </c>
      <c r="BU32" s="275">
        <f t="shared" si="20"/>
        <v>0</v>
      </c>
      <c r="BV32" s="274">
        <f t="shared" si="21"/>
        <v>0</v>
      </c>
      <c r="BW32" s="274">
        <f t="shared" si="22"/>
        <v>0</v>
      </c>
      <c r="BX32" s="276">
        <f t="shared" si="47"/>
        <v>0</v>
      </c>
      <c r="BY32" s="275">
        <v>0</v>
      </c>
      <c r="BZ32" s="274">
        <f t="shared" si="48"/>
        <v>0</v>
      </c>
      <c r="CA32" s="276">
        <f t="shared" si="68"/>
        <v>0</v>
      </c>
      <c r="CB32" s="275">
        <f t="shared" si="49"/>
        <v>0</v>
      </c>
      <c r="CC32" s="274">
        <f t="shared" si="50"/>
        <v>0</v>
      </c>
      <c r="CD32" s="276">
        <f t="shared" si="69"/>
        <v>0</v>
      </c>
      <c r="CE32" s="58">
        <f t="shared" si="51"/>
        <v>3.2871705559636786E-3</v>
      </c>
      <c r="CF32" s="49">
        <f t="shared" si="24"/>
        <v>7.3499999999999996E-2</v>
      </c>
      <c r="CG32" s="61">
        <f t="shared" si="70"/>
        <v>3.2340000000000001E-2</v>
      </c>
      <c r="CH32" s="49">
        <f t="shared" si="71"/>
        <v>8.6504488314833651E-4</v>
      </c>
      <c r="CI32" s="49">
        <f t="shared" si="72"/>
        <v>1.3459163308204167</v>
      </c>
      <c r="CJ32" s="49">
        <f t="shared" si="52"/>
        <v>71.236492441703732</v>
      </c>
      <c r="CN32" s="49">
        <f t="shared" si="53"/>
        <v>0.44757333333333338</v>
      </c>
      <c r="CO32" s="49">
        <f t="shared" si="54"/>
        <v>0</v>
      </c>
      <c r="CP32" s="49">
        <f t="shared" si="55"/>
        <v>0</v>
      </c>
      <c r="CQ32" s="49" t="str">
        <f t="shared" si="26"/>
        <v/>
      </c>
    </row>
    <row r="33" spans="12:95" x14ac:dyDescent="0.45">
      <c r="L33" s="49">
        <f t="shared" si="56"/>
        <v>17.333333333333336</v>
      </c>
      <c r="Q33" s="49">
        <v>26</v>
      </c>
      <c r="R33" s="278">
        <f t="shared" si="0"/>
        <v>3.4666666666666668</v>
      </c>
      <c r="S33" s="201">
        <f t="shared" si="1"/>
        <v>42</v>
      </c>
      <c r="T33" s="206">
        <f t="shared" si="2"/>
        <v>8.2539682539682538E-2</v>
      </c>
      <c r="U33" s="205">
        <f t="shared" si="3"/>
        <v>2</v>
      </c>
      <c r="V33" s="201">
        <f t="shared" si="4"/>
        <v>0.45955882352941174</v>
      </c>
      <c r="W33" s="201">
        <f t="shared" si="5"/>
        <v>0.54044117647058831</v>
      </c>
      <c r="X33" s="201">
        <f t="shared" si="27"/>
        <v>0</v>
      </c>
      <c r="Y33" s="205">
        <f t="shared" si="28"/>
        <v>0.17960634920634921</v>
      </c>
      <c r="Z33" s="201">
        <f t="shared" si="6"/>
        <v>0.30637254901960786</v>
      </c>
      <c r="AA33" s="201">
        <f t="shared" si="29"/>
        <v>0.33279262371615315</v>
      </c>
      <c r="AB33" s="206">
        <f t="shared" si="7"/>
        <v>0.13571781562690069</v>
      </c>
      <c r="AC33" s="205">
        <v>0</v>
      </c>
      <c r="AD33" s="201">
        <f t="shared" si="30"/>
        <v>9.2096627392687039E-4</v>
      </c>
      <c r="AE33" s="206">
        <f t="shared" si="31"/>
        <v>9.2096627392687039E-4</v>
      </c>
      <c r="AF33" s="58">
        <f t="shared" si="8"/>
        <v>6.9333333333333344E-2</v>
      </c>
      <c r="AG33" s="61">
        <f t="shared" si="9"/>
        <v>6.9333333333333344E-2</v>
      </c>
      <c r="AH33" s="58">
        <f t="shared" si="10"/>
        <v>2.4497702886454756E-3</v>
      </c>
      <c r="AI33" s="49">
        <f t="shared" si="11"/>
        <v>0.67420286427625953</v>
      </c>
      <c r="AJ33" s="61">
        <f t="shared" si="57"/>
        <v>0.67665263456490499</v>
      </c>
      <c r="AK33" s="269">
        <f t="shared" si="12"/>
        <v>3.4666666666666668</v>
      </c>
      <c r="AL33" s="268">
        <f t="shared" si="13"/>
        <v>5</v>
      </c>
      <c r="AM33" s="270">
        <f t="shared" si="32"/>
        <v>0.69333333333333336</v>
      </c>
      <c r="AN33" s="269">
        <f t="shared" si="33"/>
        <v>2</v>
      </c>
      <c r="AO33" s="268">
        <f t="shared" si="34"/>
        <v>0.54044117647058831</v>
      </c>
      <c r="AP33" s="268">
        <f t="shared" si="35"/>
        <v>1.2829024943310656</v>
      </c>
      <c r="AQ33" s="268">
        <f t="shared" si="36"/>
        <v>2.1883753501400562</v>
      </c>
      <c r="AR33" s="268">
        <f t="shared" si="58"/>
        <v>2.377090169401094</v>
      </c>
      <c r="AS33" s="270">
        <f t="shared" si="59"/>
        <v>1.0512656794132702</v>
      </c>
      <c r="AT33" s="269"/>
      <c r="AU33" s="268">
        <f t="shared" si="37"/>
        <v>4.8071111111111118E-3</v>
      </c>
      <c r="AV33" s="270">
        <f t="shared" si="60"/>
        <v>4.8071111111111118E-3</v>
      </c>
      <c r="AW33" s="269">
        <f t="shared" si="38"/>
        <v>0.11424000000000001</v>
      </c>
      <c r="AX33" s="268">
        <f t="shared" si="39"/>
        <v>0.34666666666666668</v>
      </c>
      <c r="AY33" s="270">
        <f t="shared" si="61"/>
        <v>0.46090666666666669</v>
      </c>
      <c r="AZ33" s="263">
        <f t="shared" si="14"/>
        <v>0</v>
      </c>
      <c r="BA33" s="262">
        <f t="shared" si="15"/>
        <v>0</v>
      </c>
      <c r="BB33" s="262">
        <f t="shared" si="62"/>
        <v>0</v>
      </c>
      <c r="BC33" s="264" t="e">
        <f t="shared" si="40"/>
        <v>#DIV/0!</v>
      </c>
      <c r="BD33" s="263">
        <v>0</v>
      </c>
      <c r="BE33" s="262">
        <f t="shared" si="63"/>
        <v>0</v>
      </c>
      <c r="BF33" s="264">
        <f t="shared" si="64"/>
        <v>0</v>
      </c>
      <c r="BG33" s="263">
        <f t="shared" si="41"/>
        <v>0</v>
      </c>
      <c r="BH33" s="262">
        <f t="shared" si="42"/>
        <v>0</v>
      </c>
      <c r="BI33" s="264">
        <f t="shared" si="43"/>
        <v>0</v>
      </c>
      <c r="BK33" s="258">
        <f t="shared" si="17"/>
        <v>0</v>
      </c>
      <c r="BL33" s="257">
        <f t="shared" si="18"/>
        <v>0</v>
      </c>
      <c r="BM33" s="257">
        <f t="shared" si="19"/>
        <v>0</v>
      </c>
      <c r="BN33" s="259">
        <f t="shared" si="44"/>
        <v>0</v>
      </c>
      <c r="BO33" s="258">
        <v>0</v>
      </c>
      <c r="BP33" s="257">
        <f t="shared" si="45"/>
        <v>0</v>
      </c>
      <c r="BQ33" s="259">
        <f t="shared" si="65"/>
        <v>0</v>
      </c>
      <c r="BR33" s="258">
        <f t="shared" si="46"/>
        <v>0</v>
      </c>
      <c r="BS33" s="257">
        <f t="shared" si="66"/>
        <v>0</v>
      </c>
      <c r="BT33" s="259">
        <f t="shared" si="67"/>
        <v>0</v>
      </c>
      <c r="BU33" s="275">
        <f t="shared" si="20"/>
        <v>0</v>
      </c>
      <c r="BV33" s="274">
        <f t="shared" si="21"/>
        <v>0</v>
      </c>
      <c r="BW33" s="274">
        <f t="shared" si="22"/>
        <v>0</v>
      </c>
      <c r="BX33" s="276">
        <f t="shared" si="47"/>
        <v>0</v>
      </c>
      <c r="BY33" s="275">
        <v>0</v>
      </c>
      <c r="BZ33" s="274">
        <f t="shared" si="48"/>
        <v>0</v>
      </c>
      <c r="CA33" s="276">
        <f t="shared" si="68"/>
        <v>0</v>
      </c>
      <c r="CB33" s="275">
        <f t="shared" si="49"/>
        <v>0</v>
      </c>
      <c r="CC33" s="274">
        <f t="shared" si="50"/>
        <v>0</v>
      </c>
      <c r="CD33" s="276">
        <f t="shared" si="69"/>
        <v>0</v>
      </c>
      <c r="CE33" s="58">
        <f t="shared" si="51"/>
        <v>3.4996718409221073E-3</v>
      </c>
      <c r="CF33" s="49">
        <f t="shared" si="24"/>
        <v>7.3499999999999996E-2</v>
      </c>
      <c r="CG33" s="61">
        <f t="shared" si="70"/>
        <v>3.2340000000000001E-2</v>
      </c>
      <c r="CH33" s="49">
        <f t="shared" si="71"/>
        <v>9.2096627392687039E-4</v>
      </c>
      <c r="CI33" s="49">
        <f t="shared" si="72"/>
        <v>1.3912937171241984</v>
      </c>
      <c r="CJ33" s="49">
        <f t="shared" si="52"/>
        <v>71.360538019898073</v>
      </c>
      <c r="CN33" s="49">
        <f t="shared" si="53"/>
        <v>0.46090666666666669</v>
      </c>
      <c r="CO33" s="49">
        <f t="shared" si="54"/>
        <v>0</v>
      </c>
      <c r="CP33" s="49">
        <f t="shared" si="55"/>
        <v>0</v>
      </c>
      <c r="CQ33" s="49" t="str">
        <f t="shared" si="26"/>
        <v/>
      </c>
    </row>
    <row r="34" spans="12:95" x14ac:dyDescent="0.45">
      <c r="L34" s="49">
        <f t="shared" si="56"/>
        <v>18</v>
      </c>
      <c r="Q34" s="49">
        <v>27</v>
      </c>
      <c r="R34" s="278">
        <f t="shared" si="0"/>
        <v>3.6</v>
      </c>
      <c r="S34" s="201">
        <f t="shared" si="1"/>
        <v>42</v>
      </c>
      <c r="T34" s="206">
        <f t="shared" si="2"/>
        <v>8.5714285714285715E-2</v>
      </c>
      <c r="U34" s="205">
        <f t="shared" si="3"/>
        <v>2</v>
      </c>
      <c r="V34" s="201">
        <f t="shared" si="4"/>
        <v>0.45955882352941174</v>
      </c>
      <c r="W34" s="201">
        <f t="shared" si="5"/>
        <v>0.54044117647058831</v>
      </c>
      <c r="X34" s="201">
        <f t="shared" si="27"/>
        <v>0</v>
      </c>
      <c r="Y34" s="205">
        <f t="shared" si="28"/>
        <v>0.18651428571428572</v>
      </c>
      <c r="Z34" s="201">
        <f t="shared" si="6"/>
        <v>0.30637254901960786</v>
      </c>
      <c r="AA34" s="201">
        <f t="shared" si="29"/>
        <v>0.33970056022408968</v>
      </c>
      <c r="AB34" s="206">
        <f t="shared" si="7"/>
        <v>0.13993431747946672</v>
      </c>
      <c r="AC34" s="205">
        <v>0</v>
      </c>
      <c r="AD34" s="201">
        <f t="shared" si="30"/>
        <v>9.7908066042220912E-4</v>
      </c>
      <c r="AE34" s="206">
        <f t="shared" si="31"/>
        <v>9.7908066042220912E-4</v>
      </c>
      <c r="AF34" s="58">
        <f t="shared" si="8"/>
        <v>7.2000000000000008E-2</v>
      </c>
      <c r="AG34" s="61">
        <f t="shared" si="9"/>
        <v>7.2000000000000008E-2</v>
      </c>
      <c r="AH34" s="58">
        <f t="shared" si="10"/>
        <v>2.6043545567230766E-3</v>
      </c>
      <c r="AI34" s="49">
        <f t="shared" si="11"/>
        <v>0.70013374367150027</v>
      </c>
      <c r="AJ34" s="61">
        <f t="shared" si="57"/>
        <v>0.70273809822822331</v>
      </c>
      <c r="AK34" s="269">
        <f t="shared" si="12"/>
        <v>3.6</v>
      </c>
      <c r="AL34" s="268">
        <f t="shared" si="13"/>
        <v>5</v>
      </c>
      <c r="AM34" s="270">
        <f t="shared" si="32"/>
        <v>0.72</v>
      </c>
      <c r="AN34" s="269">
        <f t="shared" si="33"/>
        <v>2</v>
      </c>
      <c r="AO34" s="268">
        <f t="shared" si="34"/>
        <v>0.54044117647058831</v>
      </c>
      <c r="AP34" s="268">
        <f t="shared" si="35"/>
        <v>1.3322448979591834</v>
      </c>
      <c r="AQ34" s="268">
        <f t="shared" si="36"/>
        <v>2.1883753501400562</v>
      </c>
      <c r="AR34" s="268">
        <f t="shared" si="58"/>
        <v>2.4264325730292118</v>
      </c>
      <c r="AS34" s="270">
        <f t="shared" si="59"/>
        <v>1.0839265623217522</v>
      </c>
      <c r="AT34" s="269"/>
      <c r="AU34" s="268">
        <f t="shared" si="37"/>
        <v>5.1840000000000002E-3</v>
      </c>
      <c r="AV34" s="270">
        <f t="shared" si="60"/>
        <v>5.1840000000000002E-3</v>
      </c>
      <c r="AW34" s="269">
        <f t="shared" si="38"/>
        <v>0.11424000000000001</v>
      </c>
      <c r="AX34" s="268">
        <f t="shared" si="39"/>
        <v>0.36</v>
      </c>
      <c r="AY34" s="270">
        <f t="shared" si="61"/>
        <v>0.47423999999999999</v>
      </c>
      <c r="AZ34" s="263">
        <f t="shared" si="14"/>
        <v>0</v>
      </c>
      <c r="BA34" s="262">
        <f t="shared" si="15"/>
        <v>0</v>
      </c>
      <c r="BB34" s="262">
        <f t="shared" si="62"/>
        <v>0</v>
      </c>
      <c r="BC34" s="264" t="e">
        <f t="shared" si="40"/>
        <v>#DIV/0!</v>
      </c>
      <c r="BD34" s="263">
        <v>0</v>
      </c>
      <c r="BE34" s="262">
        <f t="shared" si="63"/>
        <v>0</v>
      </c>
      <c r="BF34" s="264">
        <f t="shared" si="64"/>
        <v>0</v>
      </c>
      <c r="BG34" s="263">
        <f t="shared" si="41"/>
        <v>0</v>
      </c>
      <c r="BH34" s="262">
        <f t="shared" si="42"/>
        <v>0</v>
      </c>
      <c r="BI34" s="264">
        <f t="shared" si="43"/>
        <v>0</v>
      </c>
      <c r="BK34" s="258">
        <f t="shared" si="17"/>
        <v>0</v>
      </c>
      <c r="BL34" s="257">
        <f t="shared" si="18"/>
        <v>0</v>
      </c>
      <c r="BM34" s="257">
        <f t="shared" si="19"/>
        <v>0</v>
      </c>
      <c r="BN34" s="259">
        <f t="shared" si="44"/>
        <v>0</v>
      </c>
      <c r="BO34" s="258">
        <v>0</v>
      </c>
      <c r="BP34" s="257">
        <f t="shared" si="45"/>
        <v>0</v>
      </c>
      <c r="BQ34" s="259">
        <f t="shared" si="65"/>
        <v>0</v>
      </c>
      <c r="BR34" s="258">
        <f t="shared" si="46"/>
        <v>0</v>
      </c>
      <c r="BS34" s="257">
        <f t="shared" si="66"/>
        <v>0</v>
      </c>
      <c r="BT34" s="259">
        <f t="shared" si="67"/>
        <v>0</v>
      </c>
      <c r="BU34" s="275">
        <f t="shared" si="20"/>
        <v>0</v>
      </c>
      <c r="BV34" s="274">
        <f t="shared" si="21"/>
        <v>0</v>
      </c>
      <c r="BW34" s="274">
        <f t="shared" si="22"/>
        <v>0</v>
      </c>
      <c r="BX34" s="276">
        <f t="shared" si="47"/>
        <v>0</v>
      </c>
      <c r="BY34" s="275">
        <v>0</v>
      </c>
      <c r="BZ34" s="274">
        <f t="shared" si="48"/>
        <v>0</v>
      </c>
      <c r="CA34" s="276">
        <f t="shared" si="68"/>
        <v>0</v>
      </c>
      <c r="CB34" s="275">
        <f t="shared" si="49"/>
        <v>0</v>
      </c>
      <c r="CC34" s="274">
        <f t="shared" si="50"/>
        <v>0</v>
      </c>
      <c r="CD34" s="276">
        <f t="shared" si="69"/>
        <v>0</v>
      </c>
      <c r="CE34" s="58">
        <f t="shared" si="51"/>
        <v>3.7205065096043949E-3</v>
      </c>
      <c r="CF34" s="49">
        <f t="shared" si="24"/>
        <v>7.3499999999999996E-2</v>
      </c>
      <c r="CG34" s="61">
        <f t="shared" si="70"/>
        <v>3.2340000000000001E-2</v>
      </c>
      <c r="CH34" s="49">
        <f t="shared" si="71"/>
        <v>9.7908066042220912E-4</v>
      </c>
      <c r="CI34" s="49">
        <f t="shared" si="72"/>
        <v>1.4367016853982499</v>
      </c>
      <c r="CJ34" s="49">
        <f t="shared" si="52"/>
        <v>71.475346861154222</v>
      </c>
      <c r="CN34" s="49">
        <f t="shared" si="53"/>
        <v>0.47423999999999999</v>
      </c>
      <c r="CO34" s="49">
        <f t="shared" si="54"/>
        <v>0</v>
      </c>
      <c r="CP34" s="49">
        <f t="shared" si="55"/>
        <v>0</v>
      </c>
      <c r="CQ34" s="49" t="str">
        <f t="shared" si="26"/>
        <v/>
      </c>
    </row>
    <row r="35" spans="12:95" x14ac:dyDescent="0.45">
      <c r="L35" s="49">
        <f t="shared" si="56"/>
        <v>18.666666666666668</v>
      </c>
      <c r="Q35" s="49">
        <v>28</v>
      </c>
      <c r="R35" s="278">
        <f t="shared" si="0"/>
        <v>3.7333333333333334</v>
      </c>
      <c r="S35" s="201">
        <f t="shared" si="1"/>
        <v>42</v>
      </c>
      <c r="T35" s="206">
        <f t="shared" si="2"/>
        <v>8.8888888888888892E-2</v>
      </c>
      <c r="U35" s="205">
        <f t="shared" si="3"/>
        <v>2</v>
      </c>
      <c r="V35" s="201">
        <f t="shared" si="4"/>
        <v>0.45955882352941174</v>
      </c>
      <c r="W35" s="201">
        <f t="shared" si="5"/>
        <v>0.54044117647058831</v>
      </c>
      <c r="X35" s="201">
        <f t="shared" si="27"/>
        <v>0</v>
      </c>
      <c r="Y35" s="205">
        <f t="shared" si="28"/>
        <v>0.19342222222222225</v>
      </c>
      <c r="Z35" s="201">
        <f t="shared" si="6"/>
        <v>0.30637254901960786</v>
      </c>
      <c r="AA35" s="201">
        <f t="shared" si="29"/>
        <v>0.34660849673202621</v>
      </c>
      <c r="AB35" s="206">
        <f t="shared" si="7"/>
        <v>0.14417961316596417</v>
      </c>
      <c r="AC35" s="205">
        <v>0</v>
      </c>
      <c r="AD35" s="201">
        <f t="shared" si="30"/>
        <v>1.0393880426343535E-3</v>
      </c>
      <c r="AE35" s="206">
        <f t="shared" si="31"/>
        <v>1.0393880426343535E-3</v>
      </c>
      <c r="AF35" s="58">
        <f t="shared" si="8"/>
        <v>7.4666666666666673E-2</v>
      </c>
      <c r="AG35" s="61">
        <f t="shared" si="9"/>
        <v>7.4666666666666673E-2</v>
      </c>
      <c r="AH35" s="58">
        <f t="shared" si="10"/>
        <v>2.7647721934073804E-3</v>
      </c>
      <c r="AI35" s="49">
        <f t="shared" si="11"/>
        <v>0.72606462306674113</v>
      </c>
      <c r="AJ35" s="61">
        <f t="shared" si="57"/>
        <v>0.72882939526014856</v>
      </c>
      <c r="AK35" s="269">
        <f t="shared" si="12"/>
        <v>3.7333333333333334</v>
      </c>
      <c r="AL35" s="268">
        <f t="shared" si="13"/>
        <v>5</v>
      </c>
      <c r="AM35" s="270">
        <f t="shared" si="32"/>
        <v>0.7466666666666667</v>
      </c>
      <c r="AN35" s="269">
        <f t="shared" si="33"/>
        <v>2</v>
      </c>
      <c r="AO35" s="268">
        <f t="shared" si="34"/>
        <v>0.5404411764705882</v>
      </c>
      <c r="AP35" s="268">
        <f t="shared" si="35"/>
        <v>1.3815873015873017</v>
      </c>
      <c r="AQ35" s="268">
        <f t="shared" si="36"/>
        <v>2.1883753501400558</v>
      </c>
      <c r="AR35" s="268">
        <f t="shared" si="58"/>
        <v>2.4757749766573296</v>
      </c>
      <c r="AS35" s="270">
        <f t="shared" si="59"/>
        <v>1.1168104813088136</v>
      </c>
      <c r="AT35" s="269"/>
      <c r="AU35" s="268">
        <f t="shared" si="37"/>
        <v>5.5751111111111123E-3</v>
      </c>
      <c r="AV35" s="270">
        <f t="shared" si="60"/>
        <v>5.5751111111111123E-3</v>
      </c>
      <c r="AW35" s="269">
        <f t="shared" si="38"/>
        <v>0.11424000000000001</v>
      </c>
      <c r="AX35" s="268">
        <f t="shared" si="39"/>
        <v>0.37333333333333335</v>
      </c>
      <c r="AY35" s="270">
        <f t="shared" si="61"/>
        <v>0.48757333333333336</v>
      </c>
      <c r="AZ35" s="263">
        <f t="shared" si="14"/>
        <v>0</v>
      </c>
      <c r="BA35" s="262">
        <f t="shared" si="15"/>
        <v>0</v>
      </c>
      <c r="BB35" s="262">
        <f t="shared" si="62"/>
        <v>0</v>
      </c>
      <c r="BC35" s="264" t="e">
        <f t="shared" si="40"/>
        <v>#DIV/0!</v>
      </c>
      <c r="BD35" s="263">
        <v>0</v>
      </c>
      <c r="BE35" s="262">
        <f t="shared" si="63"/>
        <v>0</v>
      </c>
      <c r="BF35" s="264">
        <f t="shared" si="64"/>
        <v>0</v>
      </c>
      <c r="BG35" s="263">
        <f t="shared" si="41"/>
        <v>0</v>
      </c>
      <c r="BH35" s="262">
        <f t="shared" si="42"/>
        <v>0</v>
      </c>
      <c r="BI35" s="264">
        <f t="shared" si="43"/>
        <v>0</v>
      </c>
      <c r="BK35" s="258">
        <f t="shared" si="17"/>
        <v>0</v>
      </c>
      <c r="BL35" s="257">
        <f t="shared" si="18"/>
        <v>0</v>
      </c>
      <c r="BM35" s="257">
        <f t="shared" si="19"/>
        <v>0</v>
      </c>
      <c r="BN35" s="259">
        <f t="shared" si="44"/>
        <v>0</v>
      </c>
      <c r="BO35" s="258">
        <v>0</v>
      </c>
      <c r="BP35" s="257">
        <f t="shared" si="45"/>
        <v>0</v>
      </c>
      <c r="BQ35" s="259">
        <f t="shared" si="65"/>
        <v>0</v>
      </c>
      <c r="BR35" s="258">
        <f t="shared" si="46"/>
        <v>0</v>
      </c>
      <c r="BS35" s="257">
        <f t="shared" si="66"/>
        <v>0</v>
      </c>
      <c r="BT35" s="259">
        <f t="shared" si="67"/>
        <v>0</v>
      </c>
      <c r="BU35" s="275">
        <f t="shared" si="20"/>
        <v>0</v>
      </c>
      <c r="BV35" s="274">
        <f t="shared" si="21"/>
        <v>0</v>
      </c>
      <c r="BW35" s="274">
        <f t="shared" si="22"/>
        <v>0</v>
      </c>
      <c r="BX35" s="276">
        <f t="shared" si="47"/>
        <v>0</v>
      </c>
      <c r="BY35" s="275">
        <v>0</v>
      </c>
      <c r="BZ35" s="274">
        <f t="shared" si="48"/>
        <v>0</v>
      </c>
      <c r="CA35" s="276">
        <f t="shared" si="68"/>
        <v>0</v>
      </c>
      <c r="CB35" s="275">
        <f t="shared" si="49"/>
        <v>0</v>
      </c>
      <c r="CC35" s="274">
        <f t="shared" si="50"/>
        <v>0</v>
      </c>
      <c r="CD35" s="276">
        <f t="shared" si="69"/>
        <v>0</v>
      </c>
      <c r="CE35" s="58">
        <f t="shared" si="51"/>
        <v>3.9496745620105434E-3</v>
      </c>
      <c r="CF35" s="49">
        <f t="shared" si="24"/>
        <v>7.3499999999999996E-2</v>
      </c>
      <c r="CG35" s="61">
        <f t="shared" si="70"/>
        <v>3.2340000000000001E-2</v>
      </c>
      <c r="CH35" s="49">
        <f t="shared" si="71"/>
        <v>1.0393880426343535E-3</v>
      </c>
      <c r="CI35" s="49">
        <f t="shared" si="72"/>
        <v>1.4821402356425712</v>
      </c>
      <c r="CJ35" s="49">
        <f t="shared" si="52"/>
        <v>71.581866612093677</v>
      </c>
      <c r="CN35" s="49">
        <f t="shared" si="53"/>
        <v>0.48757333333333336</v>
      </c>
      <c r="CO35" s="49">
        <f t="shared" si="54"/>
        <v>0</v>
      </c>
      <c r="CP35" s="49">
        <f t="shared" si="55"/>
        <v>0</v>
      </c>
      <c r="CQ35" s="49" t="str">
        <f t="shared" si="26"/>
        <v/>
      </c>
    </row>
    <row r="36" spans="12:95" s="203" customFormat="1" x14ac:dyDescent="0.45">
      <c r="L36" s="49">
        <f t="shared" si="56"/>
        <v>19.333333333333332</v>
      </c>
      <c r="Q36" s="203">
        <v>29</v>
      </c>
      <c r="R36" s="278">
        <f t="shared" si="0"/>
        <v>3.8666666666666667</v>
      </c>
      <c r="S36" s="201">
        <f t="shared" si="1"/>
        <v>42</v>
      </c>
      <c r="T36" s="206">
        <f t="shared" si="2"/>
        <v>9.2063492063492069E-2</v>
      </c>
      <c r="U36" s="205">
        <f t="shared" si="3"/>
        <v>2</v>
      </c>
      <c r="V36" s="201">
        <f t="shared" si="4"/>
        <v>0.45955882352941174</v>
      </c>
      <c r="W36" s="201">
        <f t="shared" si="5"/>
        <v>0.54044117647058831</v>
      </c>
      <c r="X36" s="201">
        <f t="shared" si="27"/>
        <v>0</v>
      </c>
      <c r="Y36" s="205">
        <f t="shared" si="28"/>
        <v>0.20033015873015875</v>
      </c>
      <c r="Z36" s="201">
        <f t="shared" si="6"/>
        <v>0.30637254901960786</v>
      </c>
      <c r="AA36" s="201">
        <f t="shared" si="29"/>
        <v>0.35351643323996268</v>
      </c>
      <c r="AB36" s="206">
        <f t="shared" si="7"/>
        <v>0.14845123243431174</v>
      </c>
      <c r="AC36" s="205">
        <v>0</v>
      </c>
      <c r="AD36" s="201">
        <f t="shared" si="30"/>
        <v>1.1018884205633026E-3</v>
      </c>
      <c r="AE36" s="206">
        <f t="shared" si="31"/>
        <v>1.1018884205633026E-3</v>
      </c>
      <c r="AF36" s="58">
        <f t="shared" si="8"/>
        <v>7.7333333333333337E-2</v>
      </c>
      <c r="AG36" s="61">
        <f t="shared" si="9"/>
        <v>7.7333333333333337E-2</v>
      </c>
      <c r="AH36" s="58">
        <f t="shared" si="10"/>
        <v>2.9310231986983851E-3</v>
      </c>
      <c r="AI36" s="49">
        <f t="shared" si="11"/>
        <v>0.75199550246198177</v>
      </c>
      <c r="AJ36" s="211">
        <f t="shared" si="57"/>
        <v>0.75492652566068019</v>
      </c>
      <c r="AK36" s="269">
        <f t="shared" si="12"/>
        <v>3.8666666666666667</v>
      </c>
      <c r="AL36" s="268">
        <f t="shared" si="13"/>
        <v>5</v>
      </c>
      <c r="AM36" s="270">
        <f t="shared" si="32"/>
        <v>0.77333333333333332</v>
      </c>
      <c r="AN36" s="269">
        <f t="shared" si="33"/>
        <v>2</v>
      </c>
      <c r="AO36" s="268">
        <f t="shared" si="34"/>
        <v>0.54044117647058831</v>
      </c>
      <c r="AP36" s="268">
        <f t="shared" si="35"/>
        <v>1.4309297052154193</v>
      </c>
      <c r="AQ36" s="268">
        <f t="shared" si="36"/>
        <v>2.1883753501400562</v>
      </c>
      <c r="AR36" s="268">
        <f t="shared" si="58"/>
        <v>2.5251173802854474</v>
      </c>
      <c r="AS36" s="270">
        <f t="shared" si="59"/>
        <v>1.1498983018841114</v>
      </c>
      <c r="AT36" s="269"/>
      <c r="AU36" s="268">
        <f t="shared" si="37"/>
        <v>5.9804444444444436E-3</v>
      </c>
      <c r="AV36" s="270">
        <f t="shared" si="60"/>
        <v>5.9804444444444436E-3</v>
      </c>
      <c r="AW36" s="269">
        <f t="shared" si="38"/>
        <v>0.11424000000000001</v>
      </c>
      <c r="AX36" s="268">
        <f t="shared" si="39"/>
        <v>0.38666666666666666</v>
      </c>
      <c r="AY36" s="270">
        <f t="shared" si="61"/>
        <v>0.50090666666666661</v>
      </c>
      <c r="AZ36" s="263">
        <f t="shared" si="14"/>
        <v>0</v>
      </c>
      <c r="BA36" s="262">
        <f t="shared" si="15"/>
        <v>0</v>
      </c>
      <c r="BB36" s="262">
        <f t="shared" si="62"/>
        <v>0</v>
      </c>
      <c r="BC36" s="264" t="e">
        <f t="shared" si="40"/>
        <v>#DIV/0!</v>
      </c>
      <c r="BD36" s="263">
        <v>0</v>
      </c>
      <c r="BE36" s="262">
        <f t="shared" si="63"/>
        <v>0</v>
      </c>
      <c r="BF36" s="264">
        <f t="shared" si="64"/>
        <v>0</v>
      </c>
      <c r="BG36" s="263">
        <f t="shared" si="41"/>
        <v>0</v>
      </c>
      <c r="BH36" s="262">
        <f t="shared" si="42"/>
        <v>0</v>
      </c>
      <c r="BI36" s="264">
        <f t="shared" si="43"/>
        <v>0</v>
      </c>
      <c r="BJ36" s="49"/>
      <c r="BK36" s="258">
        <f t="shared" si="17"/>
        <v>0</v>
      </c>
      <c r="BL36" s="257">
        <f t="shared" si="18"/>
        <v>0</v>
      </c>
      <c r="BM36" s="257">
        <f t="shared" si="19"/>
        <v>0</v>
      </c>
      <c r="BN36" s="259">
        <f t="shared" si="44"/>
        <v>0</v>
      </c>
      <c r="BO36" s="258">
        <v>0</v>
      </c>
      <c r="BP36" s="257">
        <f t="shared" si="45"/>
        <v>0</v>
      </c>
      <c r="BQ36" s="259">
        <f t="shared" si="65"/>
        <v>0</v>
      </c>
      <c r="BR36" s="258">
        <f t="shared" si="46"/>
        <v>0</v>
      </c>
      <c r="BS36" s="257">
        <f t="shared" si="66"/>
        <v>0</v>
      </c>
      <c r="BT36" s="259">
        <f t="shared" si="67"/>
        <v>0</v>
      </c>
      <c r="BU36" s="275">
        <f t="shared" si="20"/>
        <v>0</v>
      </c>
      <c r="BV36" s="274">
        <f t="shared" si="21"/>
        <v>0</v>
      </c>
      <c r="BW36" s="274">
        <f t="shared" si="22"/>
        <v>0</v>
      </c>
      <c r="BX36" s="276">
        <f t="shared" si="47"/>
        <v>0</v>
      </c>
      <c r="BY36" s="275">
        <v>0</v>
      </c>
      <c r="BZ36" s="274">
        <f t="shared" si="48"/>
        <v>0</v>
      </c>
      <c r="CA36" s="276">
        <f t="shared" si="68"/>
        <v>0</v>
      </c>
      <c r="CB36" s="275">
        <f t="shared" si="49"/>
        <v>0</v>
      </c>
      <c r="CC36" s="274">
        <f t="shared" si="50"/>
        <v>0</v>
      </c>
      <c r="CD36" s="276">
        <f t="shared" si="69"/>
        <v>0</v>
      </c>
      <c r="CE36" s="58">
        <f t="shared" si="51"/>
        <v>4.1871759981405498E-3</v>
      </c>
      <c r="CF36" s="49">
        <f t="shared" si="24"/>
        <v>7.3499999999999996E-2</v>
      </c>
      <c r="CG36" s="61">
        <f t="shared" si="70"/>
        <v>3.2340000000000001E-2</v>
      </c>
      <c r="CH36" s="49">
        <f t="shared" si="71"/>
        <v>1.1018884205633026E-3</v>
      </c>
      <c r="CI36" s="49">
        <f t="shared" si="72"/>
        <v>1.5276093678571616</v>
      </c>
      <c r="CJ36" s="49">
        <f t="shared" si="52"/>
        <v>71.680919588090575</v>
      </c>
      <c r="CN36" s="49">
        <f t="shared" si="53"/>
        <v>0.50090666666666661</v>
      </c>
      <c r="CO36" s="49">
        <f t="shared" si="54"/>
        <v>0</v>
      </c>
      <c r="CP36" s="49">
        <f t="shared" si="55"/>
        <v>0</v>
      </c>
      <c r="CQ36" s="49" t="str">
        <f t="shared" si="26"/>
        <v/>
      </c>
    </row>
    <row r="37" spans="12:95" x14ac:dyDescent="0.45">
      <c r="L37" s="49">
        <f t="shared" si="56"/>
        <v>20</v>
      </c>
      <c r="Q37" s="49">
        <v>30</v>
      </c>
      <c r="R37" s="278">
        <f t="shared" si="0"/>
        <v>4</v>
      </c>
      <c r="S37" s="201">
        <f t="shared" si="1"/>
        <v>42</v>
      </c>
      <c r="T37" s="206">
        <f t="shared" si="2"/>
        <v>9.5238095238095233E-2</v>
      </c>
      <c r="U37" s="205">
        <f t="shared" si="3"/>
        <v>2</v>
      </c>
      <c r="V37" s="201">
        <f t="shared" si="4"/>
        <v>0.45955882352941174</v>
      </c>
      <c r="W37" s="201">
        <f t="shared" si="5"/>
        <v>0.54044117647058831</v>
      </c>
      <c r="X37" s="201">
        <f t="shared" si="27"/>
        <v>0</v>
      </c>
      <c r="Y37" s="205">
        <f t="shared" si="28"/>
        <v>0.20723809523809525</v>
      </c>
      <c r="Z37" s="201">
        <f t="shared" si="6"/>
        <v>0.30637254901960786</v>
      </c>
      <c r="AA37" s="201">
        <f t="shared" si="29"/>
        <v>0.36042436974789915</v>
      </c>
      <c r="AB37" s="206">
        <f t="shared" si="7"/>
        <v>0.1527469668575489</v>
      </c>
      <c r="AC37" s="205">
        <v>0</v>
      </c>
      <c r="AD37" s="201">
        <f t="shared" si="30"/>
        <v>1.1665817942090573E-3</v>
      </c>
      <c r="AE37" s="206">
        <f t="shared" si="31"/>
        <v>1.1665817942090573E-3</v>
      </c>
      <c r="AF37" s="58">
        <f t="shared" si="8"/>
        <v>0.08</v>
      </c>
      <c r="AG37" s="61">
        <f t="shared" si="9"/>
        <v>0.08</v>
      </c>
      <c r="AH37" s="58">
        <f t="shared" si="10"/>
        <v>3.1031075725960924E-3</v>
      </c>
      <c r="AI37" s="49">
        <f t="shared" si="11"/>
        <v>0.77792638185722252</v>
      </c>
      <c r="AJ37" s="61">
        <f t="shared" si="57"/>
        <v>0.78102948942981865</v>
      </c>
      <c r="AK37" s="269">
        <f t="shared" si="12"/>
        <v>4</v>
      </c>
      <c r="AL37" s="268">
        <f t="shared" si="13"/>
        <v>5</v>
      </c>
      <c r="AM37" s="270">
        <f t="shared" si="32"/>
        <v>0.8</v>
      </c>
      <c r="AN37" s="269">
        <f t="shared" si="33"/>
        <v>2</v>
      </c>
      <c r="AO37" s="268">
        <f t="shared" si="34"/>
        <v>0.54044117647058831</v>
      </c>
      <c r="AP37" s="268">
        <f t="shared" si="35"/>
        <v>1.4802721088435373</v>
      </c>
      <c r="AQ37" s="268">
        <f t="shared" si="36"/>
        <v>2.1883753501400562</v>
      </c>
      <c r="AR37" s="268">
        <f t="shared" si="58"/>
        <v>2.5744597839135652</v>
      </c>
      <c r="AS37" s="270">
        <f t="shared" si="59"/>
        <v>1.183172917645966</v>
      </c>
      <c r="AT37" s="269"/>
      <c r="AU37" s="268">
        <f t="shared" si="37"/>
        <v>6.4000000000000012E-3</v>
      </c>
      <c r="AV37" s="270">
        <f t="shared" si="60"/>
        <v>6.4000000000000012E-3</v>
      </c>
      <c r="AW37" s="269">
        <f t="shared" si="38"/>
        <v>0.11424000000000001</v>
      </c>
      <c r="AX37" s="268">
        <f t="shared" si="39"/>
        <v>0.4</v>
      </c>
      <c r="AY37" s="270">
        <f t="shared" si="61"/>
        <v>0.51424000000000003</v>
      </c>
      <c r="AZ37" s="263">
        <f t="shared" si="14"/>
        <v>0</v>
      </c>
      <c r="BA37" s="262">
        <f t="shared" si="15"/>
        <v>0</v>
      </c>
      <c r="BB37" s="262">
        <f t="shared" si="62"/>
        <v>0</v>
      </c>
      <c r="BC37" s="264" t="e">
        <f t="shared" si="40"/>
        <v>#DIV/0!</v>
      </c>
      <c r="BD37" s="263">
        <v>0</v>
      </c>
      <c r="BE37" s="262">
        <f t="shared" si="63"/>
        <v>0</v>
      </c>
      <c r="BF37" s="264">
        <f t="shared" si="64"/>
        <v>0</v>
      </c>
      <c r="BG37" s="263">
        <f t="shared" si="41"/>
        <v>0</v>
      </c>
      <c r="BH37" s="262">
        <f t="shared" si="42"/>
        <v>0</v>
      </c>
      <c r="BI37" s="264">
        <f t="shared" si="43"/>
        <v>0</v>
      </c>
      <c r="BK37" s="258">
        <f t="shared" si="17"/>
        <v>0</v>
      </c>
      <c r="BL37" s="257">
        <f t="shared" si="18"/>
        <v>0</v>
      </c>
      <c r="BM37" s="257">
        <f t="shared" si="19"/>
        <v>0</v>
      </c>
      <c r="BN37" s="259">
        <f t="shared" si="44"/>
        <v>0</v>
      </c>
      <c r="BO37" s="258">
        <v>0</v>
      </c>
      <c r="BP37" s="257">
        <f t="shared" si="45"/>
        <v>0</v>
      </c>
      <c r="BQ37" s="259">
        <f t="shared" si="65"/>
        <v>0</v>
      </c>
      <c r="BR37" s="258">
        <f t="shared" si="46"/>
        <v>0</v>
      </c>
      <c r="BS37" s="257">
        <f t="shared" si="66"/>
        <v>0</v>
      </c>
      <c r="BT37" s="259">
        <f t="shared" si="67"/>
        <v>0</v>
      </c>
      <c r="BU37" s="275">
        <f t="shared" si="20"/>
        <v>0</v>
      </c>
      <c r="BV37" s="274">
        <f t="shared" si="21"/>
        <v>0</v>
      </c>
      <c r="BW37" s="274">
        <f t="shared" si="22"/>
        <v>0</v>
      </c>
      <c r="BX37" s="276">
        <f t="shared" si="47"/>
        <v>0</v>
      </c>
      <c r="BY37" s="275">
        <v>0</v>
      </c>
      <c r="BZ37" s="274">
        <f t="shared" si="48"/>
        <v>0</v>
      </c>
      <c r="CA37" s="276">
        <f t="shared" si="68"/>
        <v>0</v>
      </c>
      <c r="CB37" s="275">
        <f t="shared" si="49"/>
        <v>0</v>
      </c>
      <c r="CC37" s="274">
        <f t="shared" si="50"/>
        <v>0</v>
      </c>
      <c r="CD37" s="276">
        <f t="shared" si="69"/>
        <v>0</v>
      </c>
      <c r="CE37" s="58">
        <f t="shared" si="51"/>
        <v>4.4330108179944172E-3</v>
      </c>
      <c r="CF37" s="49">
        <f t="shared" si="24"/>
        <v>7.3499999999999996E-2</v>
      </c>
      <c r="CG37" s="61">
        <f t="shared" si="70"/>
        <v>3.2340000000000001E-2</v>
      </c>
      <c r="CH37" s="49">
        <f t="shared" si="71"/>
        <v>1.1665817942090573E-3</v>
      </c>
      <c r="CI37" s="49">
        <f t="shared" si="72"/>
        <v>1.5731090820420224</v>
      </c>
      <c r="CJ37" s="49">
        <f t="shared" si="52"/>
        <v>71.773222829766951</v>
      </c>
      <c r="CN37" s="49">
        <f t="shared" si="53"/>
        <v>0.51424000000000003</v>
      </c>
      <c r="CO37" s="49">
        <f t="shared" si="54"/>
        <v>0</v>
      </c>
      <c r="CP37" s="49">
        <f t="shared" si="55"/>
        <v>0</v>
      </c>
      <c r="CQ37" s="49" t="str">
        <f t="shared" si="26"/>
        <v/>
      </c>
    </row>
    <row r="38" spans="12:95" x14ac:dyDescent="0.45">
      <c r="L38" s="49">
        <f t="shared" si="56"/>
        <v>20.666666666666664</v>
      </c>
      <c r="Q38" s="49">
        <v>31</v>
      </c>
      <c r="R38" s="278">
        <f t="shared" si="0"/>
        <v>4.1333333333333329</v>
      </c>
      <c r="S38" s="201">
        <f t="shared" si="1"/>
        <v>42</v>
      </c>
      <c r="T38" s="206">
        <f t="shared" si="2"/>
        <v>9.8412698412698396E-2</v>
      </c>
      <c r="U38" s="205">
        <f t="shared" si="3"/>
        <v>2</v>
      </c>
      <c r="V38" s="201">
        <f t="shared" si="4"/>
        <v>0.45955882352941174</v>
      </c>
      <c r="W38" s="201">
        <f t="shared" si="5"/>
        <v>0.54044117647058831</v>
      </c>
      <c r="X38" s="201">
        <f t="shared" si="27"/>
        <v>0</v>
      </c>
      <c r="Y38" s="205">
        <f t="shared" si="28"/>
        <v>0.21414603174603172</v>
      </c>
      <c r="Z38" s="201">
        <f t="shared" si="6"/>
        <v>0.30637254901960786</v>
      </c>
      <c r="AA38" s="201">
        <f t="shared" si="29"/>
        <v>0.36733230625583568</v>
      </c>
      <c r="AB38" s="206">
        <f t="shared" si="7"/>
        <v>0.15706483779456287</v>
      </c>
      <c r="AC38" s="205">
        <v>0</v>
      </c>
      <c r="AD38" s="201">
        <f t="shared" si="30"/>
        <v>1.2334681635716173E-3</v>
      </c>
      <c r="AE38" s="206">
        <f t="shared" si="31"/>
        <v>1.2334681635716173E-3</v>
      </c>
      <c r="AF38" s="58">
        <f t="shared" si="8"/>
        <v>8.2666666666666652E-2</v>
      </c>
      <c r="AG38" s="61">
        <f t="shared" si="9"/>
        <v>8.2666666666666652E-2</v>
      </c>
      <c r="AH38" s="58">
        <f t="shared" si="10"/>
        <v>3.281025315100502E-3</v>
      </c>
      <c r="AI38" s="49">
        <f t="shared" si="11"/>
        <v>0.80385726125246315</v>
      </c>
      <c r="AJ38" s="61">
        <f t="shared" si="57"/>
        <v>0.8071382865675637</v>
      </c>
      <c r="AK38" s="269">
        <f t="shared" si="12"/>
        <v>4.1333333333333329</v>
      </c>
      <c r="AL38" s="268">
        <f t="shared" si="13"/>
        <v>5</v>
      </c>
      <c r="AM38" s="270">
        <f t="shared" si="32"/>
        <v>0.82666666666666655</v>
      </c>
      <c r="AN38" s="269">
        <f t="shared" si="33"/>
        <v>2</v>
      </c>
      <c r="AO38" s="268">
        <f t="shared" si="34"/>
        <v>0.5404411764705882</v>
      </c>
      <c r="AP38" s="268">
        <f t="shared" si="35"/>
        <v>1.5296145124716551</v>
      </c>
      <c r="AQ38" s="268">
        <f t="shared" si="36"/>
        <v>2.1883753501400558</v>
      </c>
      <c r="AR38" s="268">
        <f t="shared" si="58"/>
        <v>2.623802187541683</v>
      </c>
      <c r="AS38" s="270">
        <f t="shared" si="59"/>
        <v>1.216619002106222</v>
      </c>
      <c r="AT38" s="269"/>
      <c r="AU38" s="268">
        <f t="shared" si="37"/>
        <v>6.8337777777777763E-3</v>
      </c>
      <c r="AV38" s="270">
        <f t="shared" si="60"/>
        <v>6.8337777777777763E-3</v>
      </c>
      <c r="AW38" s="269">
        <f t="shared" si="38"/>
        <v>0.11424000000000001</v>
      </c>
      <c r="AX38" s="268">
        <f t="shared" si="39"/>
        <v>0.41333333333333327</v>
      </c>
      <c r="AY38" s="270">
        <f t="shared" si="61"/>
        <v>0.52757333333333323</v>
      </c>
      <c r="AZ38" s="263">
        <f t="shared" si="14"/>
        <v>0</v>
      </c>
      <c r="BA38" s="262">
        <f t="shared" si="15"/>
        <v>0</v>
      </c>
      <c r="BB38" s="262">
        <f t="shared" si="62"/>
        <v>0</v>
      </c>
      <c r="BC38" s="264" t="e">
        <f t="shared" si="40"/>
        <v>#DIV/0!</v>
      </c>
      <c r="BD38" s="263">
        <v>0</v>
      </c>
      <c r="BE38" s="262">
        <f t="shared" si="63"/>
        <v>0</v>
      </c>
      <c r="BF38" s="264">
        <f t="shared" si="64"/>
        <v>0</v>
      </c>
      <c r="BG38" s="263">
        <f t="shared" si="41"/>
        <v>0</v>
      </c>
      <c r="BH38" s="262">
        <f t="shared" si="42"/>
        <v>0</v>
      </c>
      <c r="BI38" s="264">
        <f t="shared" si="43"/>
        <v>0</v>
      </c>
      <c r="BK38" s="258">
        <f t="shared" si="17"/>
        <v>0</v>
      </c>
      <c r="BL38" s="257">
        <f t="shared" si="18"/>
        <v>0</v>
      </c>
      <c r="BM38" s="257">
        <f t="shared" si="19"/>
        <v>0</v>
      </c>
      <c r="BN38" s="259">
        <f t="shared" si="44"/>
        <v>0</v>
      </c>
      <c r="BO38" s="258">
        <v>0</v>
      </c>
      <c r="BP38" s="257">
        <f t="shared" si="45"/>
        <v>0</v>
      </c>
      <c r="BQ38" s="259">
        <f t="shared" si="65"/>
        <v>0</v>
      </c>
      <c r="BR38" s="258">
        <f t="shared" si="46"/>
        <v>0</v>
      </c>
      <c r="BS38" s="257">
        <f t="shared" si="66"/>
        <v>0</v>
      </c>
      <c r="BT38" s="259">
        <f t="shared" si="67"/>
        <v>0</v>
      </c>
      <c r="BU38" s="275">
        <f t="shared" si="20"/>
        <v>0</v>
      </c>
      <c r="BV38" s="274">
        <f t="shared" si="21"/>
        <v>0</v>
      </c>
      <c r="BW38" s="274">
        <f t="shared" si="22"/>
        <v>0</v>
      </c>
      <c r="BX38" s="276">
        <f t="shared" si="47"/>
        <v>0</v>
      </c>
      <c r="BY38" s="275">
        <v>0</v>
      </c>
      <c r="BZ38" s="274">
        <f t="shared" si="48"/>
        <v>0</v>
      </c>
      <c r="CA38" s="276">
        <f t="shared" si="68"/>
        <v>0</v>
      </c>
      <c r="CB38" s="275">
        <f t="shared" si="49"/>
        <v>0</v>
      </c>
      <c r="CC38" s="274">
        <f t="shared" si="50"/>
        <v>0</v>
      </c>
      <c r="CD38" s="276">
        <f t="shared" si="69"/>
        <v>0</v>
      </c>
      <c r="CE38" s="58">
        <f t="shared" si="51"/>
        <v>4.6871790215721456E-3</v>
      </c>
      <c r="CF38" s="49">
        <f t="shared" si="24"/>
        <v>7.3499999999999996E-2</v>
      </c>
      <c r="CG38" s="61">
        <f t="shared" si="70"/>
        <v>3.2340000000000001E-2</v>
      </c>
      <c r="CH38" s="49">
        <f t="shared" si="71"/>
        <v>1.2334681635716173E-3</v>
      </c>
      <c r="CI38" s="49">
        <f t="shared" si="72"/>
        <v>1.618639378197152</v>
      </c>
      <c r="CJ38" s="49">
        <f t="shared" si="52"/>
        <v>71.859404427416621</v>
      </c>
      <c r="CN38" s="49">
        <f t="shared" si="53"/>
        <v>0.52757333333333323</v>
      </c>
      <c r="CO38" s="49">
        <f t="shared" si="54"/>
        <v>0</v>
      </c>
      <c r="CP38" s="49">
        <f t="shared" si="55"/>
        <v>0</v>
      </c>
      <c r="CQ38" s="49" t="str">
        <f t="shared" si="26"/>
        <v/>
      </c>
    </row>
    <row r="39" spans="12:95" x14ac:dyDescent="0.45">
      <c r="L39" s="49">
        <f t="shared" si="56"/>
        <v>21.333333333333332</v>
      </c>
      <c r="Q39" s="49">
        <v>32</v>
      </c>
      <c r="R39" s="278">
        <f t="shared" si="0"/>
        <v>4.2666666666666666</v>
      </c>
      <c r="S39" s="201">
        <f t="shared" si="1"/>
        <v>42</v>
      </c>
      <c r="T39" s="206">
        <f t="shared" ref="T39:T70" si="73">(R39)/(S39*EFF_est)</f>
        <v>0.10158730158730159</v>
      </c>
      <c r="U39" s="205">
        <f t="shared" ref="U39:U70" si="74">IF(R39&lt;((((Np/NS1_)*(AL39)/((S39+((Np/NS1_)*(AL39)))))^2)*(S39^2))/(2*Lm*Fsw),1,2)</f>
        <v>2</v>
      </c>
      <c r="V39" s="201">
        <f t="shared" ref="V39:V70" si="75">CHOOSE(U39,SQRT((2*Lm*R39*Fsw)/((S39^2)*EFF_est)),(((Np/NS1_)*(AL39))/(S39+((Np/NS1_)*(AL39)))))</f>
        <v>0.45955882352941174</v>
      </c>
      <c r="W39" s="201">
        <f t="shared" ref="W39:W70" si="76">CHOOSE(U39,(NS1_*S39*V39)/(Np*AL39),1-V39)</f>
        <v>0.54044117647058831</v>
      </c>
      <c r="X39" s="201">
        <f t="shared" si="27"/>
        <v>0</v>
      </c>
      <c r="Y39" s="205">
        <f t="shared" si="28"/>
        <v>0.22105396825396825</v>
      </c>
      <c r="Z39" s="201">
        <f t="shared" ref="Z39:Z70" si="77">(S39*V39)/(Lm*Fsw)</f>
        <v>0.30637254901960786</v>
      </c>
      <c r="AA39" s="201">
        <f t="shared" si="29"/>
        <v>0.37424024276377221</v>
      </c>
      <c r="AB39" s="206">
        <f t="shared" ref="AB39:AB70" si="78">CHOOSE(U39,AA39*SQRT(V39/3),SQRT(V39*((AA39^2)+((Z39^2)/(3))-(AA39*Z39))))</f>
        <v>0.1614030686604801</v>
      </c>
      <c r="AC39" s="205">
        <v>0</v>
      </c>
      <c r="AD39" s="201">
        <f t="shared" ref="AD39:AD70" si="79">(AB39^2)*Rdcr</f>
        <v>1.3025475286509826E-3</v>
      </c>
      <c r="AE39" s="206">
        <f t="shared" si="31"/>
        <v>1.3025475286509826E-3</v>
      </c>
      <c r="AF39" s="58">
        <f t="shared" ref="AF39:AF70" si="80">R39*0.02</f>
        <v>8.533333333333333E-2</v>
      </c>
      <c r="AG39" s="61">
        <f t="shared" ref="AG39:AG70" si="81">R39*0.02</f>
        <v>8.533333333333333E-2</v>
      </c>
      <c r="AH39" s="58">
        <f t="shared" ref="AH39:AH70" si="82">(AB39^2)*RDS_on</f>
        <v>3.4647764262116139E-3</v>
      </c>
      <c r="AI39" s="49">
        <f t="shared" ref="AI39:AI70" si="83">((Y39*(S39+((Np/NS1_)*VOUT1)))/2)*Fsw*(tr_sw+tf_sw)</f>
        <v>0.82978814064770412</v>
      </c>
      <c r="AJ39" s="61">
        <f t="shared" si="57"/>
        <v>0.83325291707391569</v>
      </c>
      <c r="AK39" s="269">
        <f t="shared" ref="AK39:AK70" si="84">Q39*$B$11</f>
        <v>4.2666666666666666</v>
      </c>
      <c r="AL39" s="268">
        <f t="shared" si="13"/>
        <v>5</v>
      </c>
      <c r="AM39" s="270">
        <f t="shared" si="32"/>
        <v>0.85333333333333328</v>
      </c>
      <c r="AN39" s="269">
        <f t="shared" si="33"/>
        <v>2</v>
      </c>
      <c r="AO39" s="268">
        <f t="shared" si="34"/>
        <v>0.54044117647058831</v>
      </c>
      <c r="AP39" s="268">
        <f t="shared" si="35"/>
        <v>1.578956916099773</v>
      </c>
      <c r="AQ39" s="268">
        <f t="shared" si="36"/>
        <v>2.1883753501400562</v>
      </c>
      <c r="AR39" s="268">
        <f t="shared" si="58"/>
        <v>2.6731445911698009</v>
      </c>
      <c r="AS39" s="270">
        <f t="shared" si="59"/>
        <v>1.2502227938976227</v>
      </c>
      <c r="AT39" s="269"/>
      <c r="AU39" s="268">
        <f t="shared" si="37"/>
        <v>7.2817777777777768E-3</v>
      </c>
      <c r="AV39" s="270">
        <f t="shared" si="60"/>
        <v>7.2817777777777768E-3</v>
      </c>
      <c r="AW39" s="269">
        <f t="shared" si="38"/>
        <v>0.11424000000000001</v>
      </c>
      <c r="AX39" s="268">
        <f t="shared" si="39"/>
        <v>0.42666666666666664</v>
      </c>
      <c r="AY39" s="270">
        <f t="shared" si="61"/>
        <v>0.54090666666666665</v>
      </c>
      <c r="AZ39" s="263">
        <f t="shared" ref="AZ39:AZ70" si="85">IF(EN_OUT_2=1,Q39*$B$15,0)</f>
        <v>0</v>
      </c>
      <c r="BA39" s="262">
        <f t="shared" ref="BA39:BA70" si="86">IF(EN_OUT_2=1,VOUT2,0)</f>
        <v>0</v>
      </c>
      <c r="BB39" s="262">
        <f t="shared" si="62"/>
        <v>0</v>
      </c>
      <c r="BC39" s="264" t="e">
        <f t="shared" si="40"/>
        <v>#DIV/0!</v>
      </c>
      <c r="BD39" s="263">
        <v>0</v>
      </c>
      <c r="BE39" s="262">
        <f t="shared" si="63"/>
        <v>0</v>
      </c>
      <c r="BF39" s="264">
        <f t="shared" si="64"/>
        <v>0</v>
      </c>
      <c r="BG39" s="263">
        <f t="shared" si="41"/>
        <v>0</v>
      </c>
      <c r="BH39" s="262">
        <f t="shared" si="42"/>
        <v>0</v>
      </c>
      <c r="BI39" s="264">
        <f t="shared" si="43"/>
        <v>0</v>
      </c>
      <c r="BK39" s="258">
        <f t="shared" ref="BK39:BK70" si="87">IF(EN_OUT_3=1,Q39*$B$19,0)</f>
        <v>0</v>
      </c>
      <c r="BL39" s="257">
        <f t="shared" si="18"/>
        <v>0</v>
      </c>
      <c r="BM39" s="257">
        <f t="shared" ref="BM39:BM70" si="88">IF(EN_OUT_3=1,BK39/BL39,0)</f>
        <v>0</v>
      </c>
      <c r="BN39" s="259">
        <f t="shared" si="44"/>
        <v>0</v>
      </c>
      <c r="BO39" s="258">
        <v>0</v>
      </c>
      <c r="BP39" s="257">
        <f t="shared" si="45"/>
        <v>0</v>
      </c>
      <c r="BQ39" s="259">
        <f t="shared" si="65"/>
        <v>0</v>
      </c>
      <c r="BR39" s="258">
        <f t="shared" si="46"/>
        <v>0</v>
      </c>
      <c r="BS39" s="257">
        <f t="shared" si="66"/>
        <v>0</v>
      </c>
      <c r="BT39" s="259">
        <f t="shared" si="67"/>
        <v>0</v>
      </c>
      <c r="BU39" s="275">
        <f t="shared" ref="BU39:BU70" si="89">IF(EN_OUT_4=1,Q39*$B$22,0)</f>
        <v>0</v>
      </c>
      <c r="BV39" s="274">
        <f t="shared" ref="BV39:BV70" si="90">IF(EN_OUT_4=1,VOUT4,0)</f>
        <v>0</v>
      </c>
      <c r="BW39" s="274">
        <f t="shared" ref="BW39:BW70" si="91">IF(EN_OUT_4=1,BU39/BV39,0)</f>
        <v>0</v>
      </c>
      <c r="BX39" s="276">
        <f t="shared" si="47"/>
        <v>0</v>
      </c>
      <c r="BY39" s="275">
        <v>0</v>
      </c>
      <c r="BZ39" s="274">
        <f t="shared" si="48"/>
        <v>0</v>
      </c>
      <c r="CA39" s="276">
        <f t="shared" si="68"/>
        <v>0</v>
      </c>
      <c r="CB39" s="275">
        <f t="shared" si="49"/>
        <v>0</v>
      </c>
      <c r="CC39" s="274">
        <f t="shared" si="50"/>
        <v>0</v>
      </c>
      <c r="CD39" s="276">
        <f t="shared" si="69"/>
        <v>0</v>
      </c>
      <c r="CE39" s="58">
        <f t="shared" si="51"/>
        <v>4.9496806088737341E-3</v>
      </c>
      <c r="CF39" s="49">
        <f t="shared" si="24"/>
        <v>7.3499999999999996E-2</v>
      </c>
      <c r="CG39" s="61">
        <f t="shared" si="70"/>
        <v>3.2340000000000001E-2</v>
      </c>
      <c r="CH39" s="49">
        <f t="shared" si="71"/>
        <v>1.3025475286509826E-3</v>
      </c>
      <c r="CI39" s="49">
        <f t="shared" si="72"/>
        <v>1.6642002563225515</v>
      </c>
      <c r="CJ39" s="49">
        <f t="shared" si="52"/>
        <v>71.940016899185835</v>
      </c>
      <c r="CN39" s="49">
        <f t="shared" si="53"/>
        <v>0.54090666666666665</v>
      </c>
      <c r="CO39" s="49">
        <f t="shared" si="54"/>
        <v>0</v>
      </c>
      <c r="CP39" s="49">
        <f t="shared" si="55"/>
        <v>0</v>
      </c>
      <c r="CQ39" s="49" t="str">
        <f t="shared" ref="CQ39:CQ70" si="92">IF(num_VOUT=4,CD39,"")</f>
        <v/>
      </c>
    </row>
    <row r="40" spans="12:95" x14ac:dyDescent="0.45">
      <c r="L40" s="49">
        <f t="shared" si="56"/>
        <v>22.000000000000004</v>
      </c>
      <c r="Q40" s="49">
        <v>33</v>
      </c>
      <c r="R40" s="278">
        <f t="shared" si="0"/>
        <v>4.4000000000000004</v>
      </c>
      <c r="S40" s="201">
        <f t="shared" si="1"/>
        <v>42</v>
      </c>
      <c r="T40" s="206">
        <f t="shared" si="73"/>
        <v>0.10476190476190476</v>
      </c>
      <c r="U40" s="205">
        <f t="shared" si="74"/>
        <v>2</v>
      </c>
      <c r="V40" s="201">
        <f t="shared" si="75"/>
        <v>0.45955882352941174</v>
      </c>
      <c r="W40" s="201">
        <f t="shared" si="76"/>
        <v>0.54044117647058831</v>
      </c>
      <c r="X40" s="201">
        <f t="shared" si="27"/>
        <v>0</v>
      </c>
      <c r="Y40" s="205">
        <f t="shared" ref="Y40:Y71" si="93">R40/(S40*EFF_est*V40)</f>
        <v>0.22796190476190478</v>
      </c>
      <c r="Z40" s="201">
        <f t="shared" si="77"/>
        <v>0.30637254901960786</v>
      </c>
      <c r="AA40" s="201">
        <f t="shared" si="29"/>
        <v>0.38114817927170874</v>
      </c>
      <c r="AB40" s="206">
        <f t="shared" si="78"/>
        <v>0.16576006089810377</v>
      </c>
      <c r="AC40" s="205">
        <v>0</v>
      </c>
      <c r="AD40" s="201">
        <f t="shared" si="79"/>
        <v>1.3738198894471536E-3</v>
      </c>
      <c r="AE40" s="206">
        <f t="shared" si="31"/>
        <v>1.3738198894471536E-3</v>
      </c>
      <c r="AF40" s="58">
        <f t="shared" si="80"/>
        <v>8.8000000000000009E-2</v>
      </c>
      <c r="AG40" s="61">
        <f t="shared" si="81"/>
        <v>8.8000000000000009E-2</v>
      </c>
      <c r="AH40" s="58">
        <f t="shared" si="82"/>
        <v>3.6543609059294284E-3</v>
      </c>
      <c r="AI40" s="49">
        <f t="shared" si="83"/>
        <v>0.85571902004294487</v>
      </c>
      <c r="AJ40" s="61">
        <f t="shared" si="57"/>
        <v>0.85937338094887428</v>
      </c>
      <c r="AK40" s="269">
        <f t="shared" si="84"/>
        <v>4.4000000000000004</v>
      </c>
      <c r="AL40" s="268">
        <f t="shared" si="13"/>
        <v>5</v>
      </c>
      <c r="AM40" s="270">
        <f t="shared" si="32"/>
        <v>0.88000000000000012</v>
      </c>
      <c r="AN40" s="269">
        <f t="shared" ref="AN40:AN71" si="94">IF(((AL40*AO40)/(Fsw*$AO$2))/2&gt;AP40,1,2)</f>
        <v>2</v>
      </c>
      <c r="AO40" s="268">
        <f t="shared" ref="AO40:AO71" si="95">AM40/AP40</f>
        <v>0.54044117647058831</v>
      </c>
      <c r="AP40" s="268">
        <f t="shared" ref="AP40:AP71" si="96">Np*$Y40*AK40/(R40*NS1_)</f>
        <v>1.6282993197278912</v>
      </c>
      <c r="AQ40" s="268">
        <f t="shared" ref="AQ40:AQ71" si="97">(AL40*AO40)/(Fsw*$AO$2)</f>
        <v>2.1883753501400562</v>
      </c>
      <c r="AR40" s="268">
        <f t="shared" si="58"/>
        <v>2.7224869947979196</v>
      </c>
      <c r="AS40" s="270">
        <f t="shared" si="59"/>
        <v>1.2839719106493661</v>
      </c>
      <c r="AT40" s="269"/>
      <c r="AU40" s="268">
        <f t="shared" ref="AU40:AU71" si="98">(AM40^2)*Rdcr1</f>
        <v>7.7440000000000018E-3</v>
      </c>
      <c r="AV40" s="270">
        <f t="shared" si="60"/>
        <v>7.7440000000000018E-3</v>
      </c>
      <c r="AW40" s="269">
        <f t="shared" ref="AW40:AW71" si="99">(VOUT1+((NS1_/Np)*S40))*QRR1_*Fsw</f>
        <v>0.11424000000000001</v>
      </c>
      <c r="AX40" s="268">
        <f t="shared" ref="AX40:AX71" si="100">AM40*VD1_</f>
        <v>0.44000000000000006</v>
      </c>
      <c r="AY40" s="270">
        <f t="shared" si="61"/>
        <v>0.55424000000000007</v>
      </c>
      <c r="AZ40" s="263">
        <f t="shared" si="85"/>
        <v>0</v>
      </c>
      <c r="BA40" s="262">
        <f t="shared" si="86"/>
        <v>0</v>
      </c>
      <c r="BB40" s="262">
        <f t="shared" si="62"/>
        <v>0</v>
      </c>
      <c r="BC40" s="264" t="e">
        <f t="shared" ref="BC40:BC71" si="101">Y40*(Np/NS2_)*(AZ40/R40)</f>
        <v>#DIV/0!</v>
      </c>
      <c r="BD40" s="263">
        <v>0</v>
      </c>
      <c r="BE40" s="262">
        <f t="shared" ref="BE40:BE71" si="102">(BB40^2)*Rdcr2</f>
        <v>0</v>
      </c>
      <c r="BF40" s="264">
        <f t="shared" si="64"/>
        <v>0</v>
      </c>
      <c r="BG40" s="263">
        <f t="shared" ref="BG40:BG71" si="103">(VOUT2+((NS2_/Np)*S40))*QRR2_*Fsw</f>
        <v>0</v>
      </c>
      <c r="BH40" s="262">
        <f t="shared" ref="BH40:BH71" si="104">BB40*VD2_</f>
        <v>0</v>
      </c>
      <c r="BI40" s="264">
        <f t="shared" ref="BI40:BI71" si="105">BH40+BG40</f>
        <v>0</v>
      </c>
      <c r="BK40" s="258">
        <f t="shared" si="87"/>
        <v>0</v>
      </c>
      <c r="BL40" s="257">
        <f t="shared" si="18"/>
        <v>0</v>
      </c>
      <c r="BM40" s="257">
        <f t="shared" si="88"/>
        <v>0</v>
      </c>
      <c r="BN40" s="259">
        <f t="shared" si="44"/>
        <v>0</v>
      </c>
      <c r="BO40" s="258">
        <v>0</v>
      </c>
      <c r="BP40" s="257">
        <f t="shared" ref="BP40:BP71" si="106">(BM40^2)*Rdcr3</f>
        <v>0</v>
      </c>
      <c r="BQ40" s="259">
        <f t="shared" si="65"/>
        <v>0</v>
      </c>
      <c r="BR40" s="258">
        <f t="shared" ref="BR40:BR71" si="107">(VOUT3+((NS3_/Np)*S40))*QRR3_*Fsw</f>
        <v>0</v>
      </c>
      <c r="BS40" s="257">
        <f t="shared" ref="BS40:BS71" si="108">BM40*VD3_</f>
        <v>0</v>
      </c>
      <c r="BT40" s="259">
        <f t="shared" si="67"/>
        <v>0</v>
      </c>
      <c r="BU40" s="275">
        <f t="shared" si="89"/>
        <v>0</v>
      </c>
      <c r="BV40" s="274">
        <f t="shared" si="90"/>
        <v>0</v>
      </c>
      <c r="BW40" s="274">
        <f t="shared" si="91"/>
        <v>0</v>
      </c>
      <c r="BX40" s="276">
        <f t="shared" ref="BX40:BX71" si="109">Y40*(Np/NS4_)*(BU40/R40)</f>
        <v>0</v>
      </c>
      <c r="BY40" s="275">
        <v>0</v>
      </c>
      <c r="BZ40" s="274">
        <f t="shared" ref="BZ40:BZ71" si="110">(BW40^2)*Rdcr4</f>
        <v>0</v>
      </c>
      <c r="CA40" s="276">
        <f t="shared" si="68"/>
        <v>0</v>
      </c>
      <c r="CB40" s="275">
        <f t="shared" ref="CB40:CB71" si="111">(VOUT4+((NS4_/Np)*S40))*QRR4_*Fsw</f>
        <v>0</v>
      </c>
      <c r="CC40" s="274">
        <f t="shared" ref="CC40:CC71" si="112">BW40*VD4_</f>
        <v>0</v>
      </c>
      <c r="CD40" s="276">
        <f t="shared" si="69"/>
        <v>0</v>
      </c>
      <c r="CE40" s="58">
        <f t="shared" ref="CE40:CE71" si="113">(AB40^2)*R_cs</f>
        <v>5.2205155798991836E-3</v>
      </c>
      <c r="CF40" s="49">
        <f t="shared" si="24"/>
        <v>7.3499999999999996E-2</v>
      </c>
      <c r="CG40" s="61">
        <f t="shared" si="70"/>
        <v>3.2340000000000001E-2</v>
      </c>
      <c r="CH40" s="49">
        <f t="shared" si="71"/>
        <v>1.3738198894471536E-3</v>
      </c>
      <c r="CI40" s="49">
        <f t="shared" si="72"/>
        <v>1.7097917164182208</v>
      </c>
      <c r="CJ40" s="49">
        <f t="shared" ref="CJ40:CJ71" si="114">(R40/(R40+CI40))*100</f>
        <v>72.015548225258286</v>
      </c>
      <c r="CN40" s="49">
        <f t="shared" si="53"/>
        <v>0.55424000000000007</v>
      </c>
      <c r="CO40" s="49">
        <f t="shared" si="54"/>
        <v>0</v>
      </c>
      <c r="CP40" s="49">
        <f t="shared" si="55"/>
        <v>0</v>
      </c>
      <c r="CQ40" s="49" t="str">
        <f t="shared" si="92"/>
        <v/>
      </c>
    </row>
    <row r="41" spans="12:95" x14ac:dyDescent="0.45">
      <c r="L41" s="49">
        <f t="shared" si="56"/>
        <v>22.666666666666664</v>
      </c>
      <c r="Q41" s="49">
        <v>34</v>
      </c>
      <c r="R41" s="278">
        <f t="shared" si="0"/>
        <v>4.5333333333333332</v>
      </c>
      <c r="S41" s="201">
        <f t="shared" si="1"/>
        <v>42</v>
      </c>
      <c r="T41" s="206">
        <f t="shared" si="73"/>
        <v>0.10793650793650793</v>
      </c>
      <c r="U41" s="205">
        <f t="shared" si="74"/>
        <v>2</v>
      </c>
      <c r="V41" s="201">
        <f t="shared" si="75"/>
        <v>0.45955882352941174</v>
      </c>
      <c r="W41" s="201">
        <f t="shared" si="76"/>
        <v>0.54044117647058831</v>
      </c>
      <c r="X41" s="201">
        <f t="shared" si="27"/>
        <v>0</v>
      </c>
      <c r="Y41" s="205">
        <f t="shared" si="93"/>
        <v>0.23486984126984128</v>
      </c>
      <c r="Z41" s="201">
        <f t="shared" si="77"/>
        <v>0.30637254901960786</v>
      </c>
      <c r="AA41" s="201">
        <f t="shared" si="29"/>
        <v>0.38805611577964522</v>
      </c>
      <c r="AB41" s="206">
        <f t="shared" si="78"/>
        <v>0.17013437312666291</v>
      </c>
      <c r="AC41" s="205">
        <v>0</v>
      </c>
      <c r="AD41" s="201">
        <f t="shared" si="79"/>
        <v>1.4472852459601279E-3</v>
      </c>
      <c r="AE41" s="206">
        <f t="shared" si="31"/>
        <v>1.4472852459601279E-3</v>
      </c>
      <c r="AF41" s="58">
        <f t="shared" si="80"/>
        <v>9.0666666666666659E-2</v>
      </c>
      <c r="AG41" s="61">
        <f t="shared" si="81"/>
        <v>9.0666666666666659E-2</v>
      </c>
      <c r="AH41" s="58">
        <f t="shared" si="82"/>
        <v>3.8497787542539404E-3</v>
      </c>
      <c r="AI41" s="49">
        <f t="shared" si="83"/>
        <v>0.88164989943818561</v>
      </c>
      <c r="AJ41" s="61">
        <f t="shared" si="57"/>
        <v>0.88549967819243958</v>
      </c>
      <c r="AK41" s="269">
        <f t="shared" si="84"/>
        <v>4.5333333333333332</v>
      </c>
      <c r="AL41" s="268">
        <f t="shared" si="13"/>
        <v>5</v>
      </c>
      <c r="AM41" s="270">
        <f t="shared" si="32"/>
        <v>0.90666666666666662</v>
      </c>
      <c r="AN41" s="269">
        <f t="shared" si="94"/>
        <v>2</v>
      </c>
      <c r="AO41" s="268">
        <f t="shared" si="95"/>
        <v>0.54044117647058831</v>
      </c>
      <c r="AP41" s="268">
        <f t="shared" si="96"/>
        <v>1.6776417233560088</v>
      </c>
      <c r="AQ41" s="268">
        <f t="shared" si="97"/>
        <v>2.1883753501400562</v>
      </c>
      <c r="AR41" s="268">
        <f t="shared" si="58"/>
        <v>2.7718293984260369</v>
      </c>
      <c r="AS41" s="270">
        <f t="shared" si="59"/>
        <v>1.3178551874740083</v>
      </c>
      <c r="AT41" s="269"/>
      <c r="AU41" s="268">
        <f t="shared" si="98"/>
        <v>8.2204444444444434E-3</v>
      </c>
      <c r="AV41" s="270">
        <f t="shared" si="60"/>
        <v>8.2204444444444434E-3</v>
      </c>
      <c r="AW41" s="269">
        <f t="shared" si="99"/>
        <v>0.11424000000000001</v>
      </c>
      <c r="AX41" s="268">
        <f t="shared" si="100"/>
        <v>0.45333333333333331</v>
      </c>
      <c r="AY41" s="270">
        <f t="shared" si="61"/>
        <v>0.56757333333333326</v>
      </c>
      <c r="AZ41" s="263">
        <f t="shared" si="85"/>
        <v>0</v>
      </c>
      <c r="BA41" s="262">
        <f t="shared" si="86"/>
        <v>0</v>
      </c>
      <c r="BB41" s="262">
        <f t="shared" si="62"/>
        <v>0</v>
      </c>
      <c r="BC41" s="264" t="e">
        <f t="shared" si="101"/>
        <v>#DIV/0!</v>
      </c>
      <c r="BD41" s="263">
        <v>0</v>
      </c>
      <c r="BE41" s="262">
        <f t="shared" si="102"/>
        <v>0</v>
      </c>
      <c r="BF41" s="264">
        <f t="shared" si="64"/>
        <v>0</v>
      </c>
      <c r="BG41" s="263">
        <f t="shared" si="103"/>
        <v>0</v>
      </c>
      <c r="BH41" s="262">
        <f t="shared" si="104"/>
        <v>0</v>
      </c>
      <c r="BI41" s="264">
        <f t="shared" si="105"/>
        <v>0</v>
      </c>
      <c r="BK41" s="258">
        <f t="shared" si="87"/>
        <v>0</v>
      </c>
      <c r="BL41" s="257">
        <f t="shared" si="18"/>
        <v>0</v>
      </c>
      <c r="BM41" s="257">
        <f t="shared" si="88"/>
        <v>0</v>
      </c>
      <c r="BN41" s="259">
        <f t="shared" si="44"/>
        <v>0</v>
      </c>
      <c r="BO41" s="258">
        <v>0</v>
      </c>
      <c r="BP41" s="257">
        <f t="shared" si="106"/>
        <v>0</v>
      </c>
      <c r="BQ41" s="259">
        <f t="shared" si="65"/>
        <v>0</v>
      </c>
      <c r="BR41" s="258">
        <f t="shared" si="107"/>
        <v>0</v>
      </c>
      <c r="BS41" s="257">
        <f t="shared" si="108"/>
        <v>0</v>
      </c>
      <c r="BT41" s="259">
        <f t="shared" si="67"/>
        <v>0</v>
      </c>
      <c r="BU41" s="275">
        <f t="shared" si="89"/>
        <v>0</v>
      </c>
      <c r="BV41" s="274">
        <f t="shared" si="90"/>
        <v>0</v>
      </c>
      <c r="BW41" s="274">
        <f t="shared" si="91"/>
        <v>0</v>
      </c>
      <c r="BX41" s="276">
        <f t="shared" si="109"/>
        <v>0</v>
      </c>
      <c r="BY41" s="275">
        <v>0</v>
      </c>
      <c r="BZ41" s="274">
        <f t="shared" si="110"/>
        <v>0</v>
      </c>
      <c r="CA41" s="276">
        <f t="shared" si="68"/>
        <v>0</v>
      </c>
      <c r="CB41" s="275">
        <f t="shared" si="111"/>
        <v>0</v>
      </c>
      <c r="CC41" s="274">
        <f t="shared" si="112"/>
        <v>0</v>
      </c>
      <c r="CD41" s="276">
        <f t="shared" si="69"/>
        <v>0</v>
      </c>
      <c r="CE41" s="58">
        <f t="shared" si="113"/>
        <v>5.4996839346484862E-3</v>
      </c>
      <c r="CF41" s="49">
        <f t="shared" si="24"/>
        <v>7.3499999999999996E-2</v>
      </c>
      <c r="CG41" s="61">
        <f t="shared" si="70"/>
        <v>3.2340000000000001E-2</v>
      </c>
      <c r="CH41" s="49">
        <f t="shared" si="71"/>
        <v>1.4472852459601279E-3</v>
      </c>
      <c r="CI41" s="49">
        <f t="shared" si="72"/>
        <v>1.7554137584841591</v>
      </c>
      <c r="CJ41" s="49">
        <f t="shared" si="114"/>
        <v>72.086431003590704</v>
      </c>
      <c r="CN41" s="49">
        <f t="shared" si="53"/>
        <v>0.56757333333333326</v>
      </c>
      <c r="CO41" s="49">
        <f t="shared" si="54"/>
        <v>0</v>
      </c>
      <c r="CP41" s="49">
        <f t="shared" si="55"/>
        <v>0</v>
      </c>
      <c r="CQ41" s="49" t="str">
        <f t="shared" si="92"/>
        <v/>
      </c>
    </row>
    <row r="42" spans="12:95" x14ac:dyDescent="0.45">
      <c r="L42" s="49">
        <f t="shared" si="56"/>
        <v>23.333333333333332</v>
      </c>
      <c r="Q42" s="49">
        <v>35</v>
      </c>
      <c r="R42" s="278">
        <f t="shared" si="0"/>
        <v>4.666666666666667</v>
      </c>
      <c r="S42" s="201">
        <f t="shared" si="1"/>
        <v>42</v>
      </c>
      <c r="T42" s="206">
        <f t="shared" si="73"/>
        <v>0.11111111111111112</v>
      </c>
      <c r="U42" s="205">
        <f t="shared" si="74"/>
        <v>2</v>
      </c>
      <c r="V42" s="201">
        <f t="shared" si="75"/>
        <v>0.45955882352941174</v>
      </c>
      <c r="W42" s="201">
        <f t="shared" si="76"/>
        <v>0.54044117647058831</v>
      </c>
      <c r="X42" s="201">
        <f t="shared" si="27"/>
        <v>0</v>
      </c>
      <c r="Y42" s="205">
        <f t="shared" si="93"/>
        <v>0.24177777777777781</v>
      </c>
      <c r="Z42" s="201">
        <f t="shared" si="77"/>
        <v>0.30637254901960786</v>
      </c>
      <c r="AA42" s="201">
        <f t="shared" si="29"/>
        <v>0.39496405228758175</v>
      </c>
      <c r="AB42" s="206">
        <f t="shared" si="78"/>
        <v>0.17452470301879383</v>
      </c>
      <c r="AC42" s="205">
        <v>0</v>
      </c>
      <c r="AD42" s="201">
        <f t="shared" si="79"/>
        <v>1.5229435981899094E-3</v>
      </c>
      <c r="AE42" s="206">
        <f t="shared" si="31"/>
        <v>1.5229435981899094E-3</v>
      </c>
      <c r="AF42" s="58">
        <f t="shared" si="80"/>
        <v>9.3333333333333338E-2</v>
      </c>
      <c r="AG42" s="61">
        <f t="shared" si="81"/>
        <v>9.3333333333333338E-2</v>
      </c>
      <c r="AH42" s="58">
        <f t="shared" si="82"/>
        <v>4.0510299711851586E-3</v>
      </c>
      <c r="AI42" s="49">
        <f t="shared" si="83"/>
        <v>0.90758077883342636</v>
      </c>
      <c r="AJ42" s="61">
        <f t="shared" si="57"/>
        <v>0.91163180880461148</v>
      </c>
      <c r="AK42" s="269">
        <f t="shared" si="84"/>
        <v>4.666666666666667</v>
      </c>
      <c r="AL42" s="268">
        <f t="shared" si="13"/>
        <v>5</v>
      </c>
      <c r="AM42" s="270">
        <f t="shared" si="32"/>
        <v>0.93333333333333335</v>
      </c>
      <c r="AN42" s="269">
        <f t="shared" si="94"/>
        <v>2</v>
      </c>
      <c r="AO42" s="268">
        <f t="shared" si="95"/>
        <v>0.5404411764705882</v>
      </c>
      <c r="AP42" s="268">
        <f t="shared" si="96"/>
        <v>1.7269841269841271</v>
      </c>
      <c r="AQ42" s="268">
        <f t="shared" si="97"/>
        <v>2.1883753501400558</v>
      </c>
      <c r="AR42" s="268">
        <f t="shared" si="58"/>
        <v>2.8211718020541552</v>
      </c>
      <c r="AS42" s="270">
        <f t="shared" si="59"/>
        <v>1.3518625365871673</v>
      </c>
      <c r="AT42" s="269"/>
      <c r="AU42" s="268">
        <f t="shared" si="98"/>
        <v>8.7111111111111122E-3</v>
      </c>
      <c r="AV42" s="270">
        <f t="shared" si="60"/>
        <v>8.7111111111111122E-3</v>
      </c>
      <c r="AW42" s="269">
        <f t="shared" si="99"/>
        <v>0.11424000000000001</v>
      </c>
      <c r="AX42" s="268">
        <f t="shared" si="100"/>
        <v>0.46666666666666667</v>
      </c>
      <c r="AY42" s="270">
        <f t="shared" si="61"/>
        <v>0.58090666666666668</v>
      </c>
      <c r="AZ42" s="263">
        <f t="shared" si="85"/>
        <v>0</v>
      </c>
      <c r="BA42" s="262">
        <f t="shared" si="86"/>
        <v>0</v>
      </c>
      <c r="BB42" s="262">
        <f t="shared" si="62"/>
        <v>0</v>
      </c>
      <c r="BC42" s="264" t="e">
        <f t="shared" si="101"/>
        <v>#DIV/0!</v>
      </c>
      <c r="BD42" s="263">
        <v>0</v>
      </c>
      <c r="BE42" s="262">
        <f t="shared" si="102"/>
        <v>0</v>
      </c>
      <c r="BF42" s="264">
        <f t="shared" si="64"/>
        <v>0</v>
      </c>
      <c r="BG42" s="263">
        <f t="shared" si="103"/>
        <v>0</v>
      </c>
      <c r="BH42" s="262">
        <f t="shared" si="104"/>
        <v>0</v>
      </c>
      <c r="BI42" s="264">
        <f t="shared" si="105"/>
        <v>0</v>
      </c>
      <c r="BK42" s="258">
        <f t="shared" si="87"/>
        <v>0</v>
      </c>
      <c r="BL42" s="257">
        <f t="shared" si="18"/>
        <v>0</v>
      </c>
      <c r="BM42" s="257">
        <f t="shared" si="88"/>
        <v>0</v>
      </c>
      <c r="BN42" s="259">
        <f t="shared" si="44"/>
        <v>0</v>
      </c>
      <c r="BO42" s="258">
        <v>0</v>
      </c>
      <c r="BP42" s="257">
        <f t="shared" si="106"/>
        <v>0</v>
      </c>
      <c r="BQ42" s="259">
        <f t="shared" si="65"/>
        <v>0</v>
      </c>
      <c r="BR42" s="258">
        <f t="shared" si="107"/>
        <v>0</v>
      </c>
      <c r="BS42" s="257">
        <f t="shared" si="108"/>
        <v>0</v>
      </c>
      <c r="BT42" s="259">
        <f t="shared" si="67"/>
        <v>0</v>
      </c>
      <c r="BU42" s="275">
        <f t="shared" si="89"/>
        <v>0</v>
      </c>
      <c r="BV42" s="274">
        <f t="shared" si="90"/>
        <v>0</v>
      </c>
      <c r="BW42" s="274">
        <f t="shared" si="91"/>
        <v>0</v>
      </c>
      <c r="BX42" s="276">
        <f t="shared" si="109"/>
        <v>0</v>
      </c>
      <c r="BY42" s="275">
        <v>0</v>
      </c>
      <c r="BZ42" s="274">
        <f t="shared" si="110"/>
        <v>0</v>
      </c>
      <c r="CA42" s="276">
        <f t="shared" si="68"/>
        <v>0</v>
      </c>
      <c r="CB42" s="275">
        <f t="shared" si="111"/>
        <v>0</v>
      </c>
      <c r="CC42" s="274">
        <f t="shared" si="112"/>
        <v>0</v>
      </c>
      <c r="CD42" s="276">
        <f t="shared" si="69"/>
        <v>0</v>
      </c>
      <c r="CE42" s="58">
        <f t="shared" si="113"/>
        <v>5.787185673121655E-3</v>
      </c>
      <c r="CF42" s="49">
        <f t="shared" si="24"/>
        <v>7.3499999999999996E-2</v>
      </c>
      <c r="CG42" s="61">
        <f t="shared" si="70"/>
        <v>3.2340000000000001E-2</v>
      </c>
      <c r="CH42" s="49">
        <f t="shared" si="71"/>
        <v>1.5229435981899094E-3</v>
      </c>
      <c r="CI42" s="49">
        <f t="shared" si="72"/>
        <v>1.8010663825203674</v>
      </c>
      <c r="CJ42" s="49">
        <f t="shared" si="114"/>
        <v>72.153050089988596</v>
      </c>
      <c r="CN42" s="49">
        <f t="shared" si="53"/>
        <v>0.58090666666666668</v>
      </c>
      <c r="CO42" s="49">
        <f t="shared" si="54"/>
        <v>0</v>
      </c>
      <c r="CP42" s="49">
        <f t="shared" si="55"/>
        <v>0</v>
      </c>
      <c r="CQ42" s="49" t="str">
        <f t="shared" si="92"/>
        <v/>
      </c>
    </row>
    <row r="43" spans="12:95" x14ac:dyDescent="0.45">
      <c r="L43" s="49">
        <f t="shared" si="56"/>
        <v>24</v>
      </c>
      <c r="Q43" s="49">
        <v>36</v>
      </c>
      <c r="R43" s="278">
        <f t="shared" si="0"/>
        <v>4.8</v>
      </c>
      <c r="S43" s="201">
        <f t="shared" si="1"/>
        <v>42</v>
      </c>
      <c r="T43" s="206">
        <f t="shared" si="73"/>
        <v>0.11428571428571428</v>
      </c>
      <c r="U43" s="205">
        <f t="shared" si="74"/>
        <v>2</v>
      </c>
      <c r="V43" s="201">
        <f t="shared" si="75"/>
        <v>0.45955882352941174</v>
      </c>
      <c r="W43" s="201">
        <f t="shared" si="76"/>
        <v>0.54044117647058831</v>
      </c>
      <c r="X43" s="201">
        <f t="shared" si="27"/>
        <v>0</v>
      </c>
      <c r="Y43" s="205">
        <f t="shared" si="93"/>
        <v>0.24868571428571429</v>
      </c>
      <c r="Z43" s="201">
        <f t="shared" si="77"/>
        <v>0.30637254901960786</v>
      </c>
      <c r="AA43" s="201">
        <f t="shared" si="29"/>
        <v>0.40187198879551822</v>
      </c>
      <c r="AB43" s="206">
        <f t="shared" si="78"/>
        <v>0.17892987152158216</v>
      </c>
      <c r="AC43" s="205">
        <v>0</v>
      </c>
      <c r="AD43" s="201">
        <f t="shared" si="79"/>
        <v>1.6007949461364951E-3</v>
      </c>
      <c r="AE43" s="206">
        <f t="shared" si="31"/>
        <v>1.6007949461364951E-3</v>
      </c>
      <c r="AF43" s="58">
        <f t="shared" si="80"/>
        <v>9.6000000000000002E-2</v>
      </c>
      <c r="AG43" s="61">
        <f t="shared" si="81"/>
        <v>9.6000000000000002E-2</v>
      </c>
      <c r="AH43" s="58">
        <f t="shared" si="82"/>
        <v>4.2581145567230768E-3</v>
      </c>
      <c r="AI43" s="49">
        <f t="shared" si="83"/>
        <v>0.933511658228667</v>
      </c>
      <c r="AJ43" s="61">
        <f t="shared" si="57"/>
        <v>0.93776977278539009</v>
      </c>
      <c r="AK43" s="269">
        <f t="shared" si="84"/>
        <v>4.8</v>
      </c>
      <c r="AL43" s="268">
        <f t="shared" si="13"/>
        <v>5</v>
      </c>
      <c r="AM43" s="270">
        <f t="shared" si="32"/>
        <v>0.96</v>
      </c>
      <c r="AN43" s="269">
        <f t="shared" si="94"/>
        <v>2</v>
      </c>
      <c r="AO43" s="268">
        <f t="shared" si="95"/>
        <v>0.5404411764705882</v>
      </c>
      <c r="AP43" s="268">
        <f t="shared" si="96"/>
        <v>1.7763265306122449</v>
      </c>
      <c r="AQ43" s="268">
        <f t="shared" si="97"/>
        <v>2.1883753501400558</v>
      </c>
      <c r="AR43" s="268">
        <f t="shared" si="58"/>
        <v>2.870514205682273</v>
      </c>
      <c r="AS43" s="270">
        <f t="shared" si="59"/>
        <v>1.3859848250842413</v>
      </c>
      <c r="AT43" s="269"/>
      <c r="AU43" s="268">
        <f t="shared" si="98"/>
        <v>9.2160000000000002E-3</v>
      </c>
      <c r="AV43" s="270">
        <f t="shared" si="60"/>
        <v>9.2160000000000002E-3</v>
      </c>
      <c r="AW43" s="269">
        <f t="shared" si="99"/>
        <v>0.11424000000000001</v>
      </c>
      <c r="AX43" s="268">
        <f t="shared" si="100"/>
        <v>0.48</v>
      </c>
      <c r="AY43" s="270">
        <f t="shared" si="61"/>
        <v>0.59423999999999999</v>
      </c>
      <c r="AZ43" s="263">
        <f t="shared" si="85"/>
        <v>0</v>
      </c>
      <c r="BA43" s="262">
        <f t="shared" si="86"/>
        <v>0</v>
      </c>
      <c r="BB43" s="262">
        <f t="shared" si="62"/>
        <v>0</v>
      </c>
      <c r="BC43" s="264" t="e">
        <f t="shared" si="101"/>
        <v>#DIV/0!</v>
      </c>
      <c r="BD43" s="263">
        <v>0</v>
      </c>
      <c r="BE43" s="262">
        <f t="shared" si="102"/>
        <v>0</v>
      </c>
      <c r="BF43" s="264">
        <f t="shared" si="64"/>
        <v>0</v>
      </c>
      <c r="BG43" s="263">
        <f t="shared" si="103"/>
        <v>0</v>
      </c>
      <c r="BH43" s="262">
        <f t="shared" si="104"/>
        <v>0</v>
      </c>
      <c r="BI43" s="264">
        <f t="shared" si="105"/>
        <v>0</v>
      </c>
      <c r="BK43" s="258">
        <f t="shared" si="87"/>
        <v>0</v>
      </c>
      <c r="BL43" s="257">
        <f t="shared" si="18"/>
        <v>0</v>
      </c>
      <c r="BM43" s="257">
        <f t="shared" si="88"/>
        <v>0</v>
      </c>
      <c r="BN43" s="259">
        <f t="shared" si="44"/>
        <v>0</v>
      </c>
      <c r="BO43" s="258">
        <v>0</v>
      </c>
      <c r="BP43" s="257">
        <f t="shared" si="106"/>
        <v>0</v>
      </c>
      <c r="BQ43" s="259">
        <f t="shared" si="65"/>
        <v>0</v>
      </c>
      <c r="BR43" s="258">
        <f t="shared" si="107"/>
        <v>0</v>
      </c>
      <c r="BS43" s="257">
        <f t="shared" si="108"/>
        <v>0</v>
      </c>
      <c r="BT43" s="259">
        <f t="shared" si="67"/>
        <v>0</v>
      </c>
      <c r="BU43" s="275">
        <f t="shared" si="89"/>
        <v>0</v>
      </c>
      <c r="BV43" s="274">
        <f t="shared" si="90"/>
        <v>0</v>
      </c>
      <c r="BW43" s="274">
        <f t="shared" si="91"/>
        <v>0</v>
      </c>
      <c r="BX43" s="276">
        <f t="shared" si="109"/>
        <v>0</v>
      </c>
      <c r="BY43" s="275">
        <v>0</v>
      </c>
      <c r="BZ43" s="274">
        <f t="shared" si="110"/>
        <v>0</v>
      </c>
      <c r="CA43" s="276">
        <f t="shared" si="68"/>
        <v>0</v>
      </c>
      <c r="CB43" s="275">
        <f t="shared" si="111"/>
        <v>0</v>
      </c>
      <c r="CC43" s="274">
        <f t="shared" si="112"/>
        <v>0</v>
      </c>
      <c r="CD43" s="276">
        <f t="shared" si="69"/>
        <v>0</v>
      </c>
      <c r="CE43" s="58">
        <f t="shared" si="113"/>
        <v>6.0830207953186813E-3</v>
      </c>
      <c r="CF43" s="49">
        <f t="shared" si="24"/>
        <v>7.3499999999999996E-2</v>
      </c>
      <c r="CG43" s="61">
        <f t="shared" si="70"/>
        <v>3.2340000000000001E-2</v>
      </c>
      <c r="CH43" s="49">
        <f t="shared" si="71"/>
        <v>1.6007949461364951E-3</v>
      </c>
      <c r="CI43" s="49">
        <f t="shared" si="72"/>
        <v>1.8467495885268455</v>
      </c>
      <c r="CJ43" s="49">
        <f t="shared" si="114"/>
        <v>72.215749007385881</v>
      </c>
      <c r="CN43" s="49">
        <f t="shared" si="53"/>
        <v>0.59423999999999999</v>
      </c>
      <c r="CO43" s="49">
        <f t="shared" si="54"/>
        <v>0</v>
      </c>
      <c r="CP43" s="49">
        <f t="shared" si="55"/>
        <v>0</v>
      </c>
      <c r="CQ43" s="49" t="str">
        <f t="shared" si="92"/>
        <v/>
      </c>
    </row>
    <row r="44" spans="12:95" x14ac:dyDescent="0.45">
      <c r="L44" s="49">
        <f t="shared" si="56"/>
        <v>24.666666666666668</v>
      </c>
      <c r="Q44" s="49">
        <v>37</v>
      </c>
      <c r="R44" s="278">
        <f t="shared" si="0"/>
        <v>4.9333333333333336</v>
      </c>
      <c r="S44" s="201">
        <f t="shared" si="1"/>
        <v>42</v>
      </c>
      <c r="T44" s="206">
        <f t="shared" si="73"/>
        <v>0.11746031746031746</v>
      </c>
      <c r="U44" s="205">
        <f t="shared" si="74"/>
        <v>2</v>
      </c>
      <c r="V44" s="201">
        <f t="shared" si="75"/>
        <v>0.45955882352941174</v>
      </c>
      <c r="W44" s="201">
        <f t="shared" si="76"/>
        <v>0.54044117647058831</v>
      </c>
      <c r="X44" s="201">
        <f t="shared" si="27"/>
        <v>0</v>
      </c>
      <c r="Y44" s="205">
        <f t="shared" si="93"/>
        <v>0.25559365079365082</v>
      </c>
      <c r="Z44" s="201">
        <f t="shared" si="77"/>
        <v>0.30637254901960786</v>
      </c>
      <c r="AA44" s="201">
        <f t="shared" si="29"/>
        <v>0.40877992530345475</v>
      </c>
      <c r="AB44" s="206">
        <f t="shared" si="78"/>
        <v>0.18334880909348097</v>
      </c>
      <c r="AC44" s="205">
        <v>0</v>
      </c>
      <c r="AD44" s="201">
        <f t="shared" si="79"/>
        <v>1.6808392897998865E-3</v>
      </c>
      <c r="AE44" s="206">
        <f t="shared" si="31"/>
        <v>1.6808392897998865E-3</v>
      </c>
      <c r="AF44" s="58">
        <f t="shared" si="80"/>
        <v>9.866666666666668E-2</v>
      </c>
      <c r="AG44" s="61">
        <f t="shared" si="81"/>
        <v>9.866666666666668E-2</v>
      </c>
      <c r="AH44" s="58">
        <f t="shared" si="82"/>
        <v>4.4710325108676986E-3</v>
      </c>
      <c r="AI44" s="49">
        <f t="shared" si="83"/>
        <v>0.95944253762390774</v>
      </c>
      <c r="AJ44" s="61">
        <f t="shared" si="57"/>
        <v>0.96391357013477541</v>
      </c>
      <c r="AK44" s="269">
        <f t="shared" si="84"/>
        <v>4.9333333333333336</v>
      </c>
      <c r="AL44" s="268">
        <f t="shared" si="13"/>
        <v>5</v>
      </c>
      <c r="AM44" s="270">
        <f t="shared" si="32"/>
        <v>0.98666666666666669</v>
      </c>
      <c r="AN44" s="269">
        <f t="shared" si="94"/>
        <v>2</v>
      </c>
      <c r="AO44" s="268">
        <f t="shared" si="95"/>
        <v>0.54044117647058831</v>
      </c>
      <c r="AP44" s="268">
        <f t="shared" si="96"/>
        <v>1.8256689342403627</v>
      </c>
      <c r="AQ44" s="268">
        <f t="shared" si="97"/>
        <v>2.1883753501400562</v>
      </c>
      <c r="AR44" s="268">
        <f t="shared" si="58"/>
        <v>2.9198566093103908</v>
      </c>
      <c r="AS44" s="270">
        <f t="shared" si="59"/>
        <v>1.4202137683320295</v>
      </c>
      <c r="AT44" s="269"/>
      <c r="AU44" s="268">
        <f t="shared" si="98"/>
        <v>9.7351111111111128E-3</v>
      </c>
      <c r="AV44" s="270">
        <f t="shared" si="60"/>
        <v>9.7351111111111128E-3</v>
      </c>
      <c r="AW44" s="269">
        <f t="shared" si="99"/>
        <v>0.11424000000000001</v>
      </c>
      <c r="AX44" s="268">
        <f t="shared" si="100"/>
        <v>0.49333333333333335</v>
      </c>
      <c r="AY44" s="270">
        <f t="shared" si="61"/>
        <v>0.6075733333333333</v>
      </c>
      <c r="AZ44" s="263">
        <f t="shared" si="85"/>
        <v>0</v>
      </c>
      <c r="BA44" s="262">
        <f t="shared" si="86"/>
        <v>0</v>
      </c>
      <c r="BB44" s="262">
        <f t="shared" si="62"/>
        <v>0</v>
      </c>
      <c r="BC44" s="264" t="e">
        <f t="shared" si="101"/>
        <v>#DIV/0!</v>
      </c>
      <c r="BD44" s="263">
        <v>0</v>
      </c>
      <c r="BE44" s="262">
        <f t="shared" si="102"/>
        <v>0</v>
      </c>
      <c r="BF44" s="264">
        <f t="shared" si="64"/>
        <v>0</v>
      </c>
      <c r="BG44" s="263">
        <f t="shared" si="103"/>
        <v>0</v>
      </c>
      <c r="BH44" s="262">
        <f t="shared" si="104"/>
        <v>0</v>
      </c>
      <c r="BI44" s="264">
        <f t="shared" si="105"/>
        <v>0</v>
      </c>
      <c r="BK44" s="258">
        <f t="shared" si="87"/>
        <v>0</v>
      </c>
      <c r="BL44" s="257">
        <f t="shared" si="18"/>
        <v>0</v>
      </c>
      <c r="BM44" s="257">
        <f t="shared" si="88"/>
        <v>0</v>
      </c>
      <c r="BN44" s="259">
        <f t="shared" si="44"/>
        <v>0</v>
      </c>
      <c r="BO44" s="258">
        <v>0</v>
      </c>
      <c r="BP44" s="257">
        <f t="shared" si="106"/>
        <v>0</v>
      </c>
      <c r="BQ44" s="259">
        <f t="shared" si="65"/>
        <v>0</v>
      </c>
      <c r="BR44" s="258">
        <f t="shared" si="107"/>
        <v>0</v>
      </c>
      <c r="BS44" s="257">
        <f t="shared" si="108"/>
        <v>0</v>
      </c>
      <c r="BT44" s="259">
        <f t="shared" si="67"/>
        <v>0</v>
      </c>
      <c r="BU44" s="275">
        <f t="shared" si="89"/>
        <v>0</v>
      </c>
      <c r="BV44" s="274">
        <f t="shared" si="90"/>
        <v>0</v>
      </c>
      <c r="BW44" s="274">
        <f t="shared" si="91"/>
        <v>0</v>
      </c>
      <c r="BX44" s="276">
        <f t="shared" si="109"/>
        <v>0</v>
      </c>
      <c r="BY44" s="275">
        <v>0</v>
      </c>
      <c r="BZ44" s="274">
        <f t="shared" si="110"/>
        <v>0</v>
      </c>
      <c r="CA44" s="276">
        <f t="shared" si="68"/>
        <v>0</v>
      </c>
      <c r="CB44" s="275">
        <f t="shared" si="111"/>
        <v>0</v>
      </c>
      <c r="CC44" s="274">
        <f t="shared" si="112"/>
        <v>0</v>
      </c>
      <c r="CD44" s="276">
        <f t="shared" si="69"/>
        <v>0</v>
      </c>
      <c r="CE44" s="58">
        <f t="shared" si="113"/>
        <v>6.3871893012395686E-3</v>
      </c>
      <c r="CF44" s="49">
        <f t="shared" si="24"/>
        <v>7.3499999999999996E-2</v>
      </c>
      <c r="CG44" s="61">
        <f t="shared" si="70"/>
        <v>3.2340000000000001E-2</v>
      </c>
      <c r="CH44" s="49">
        <f t="shared" si="71"/>
        <v>1.6808392897998865E-3</v>
      </c>
      <c r="CI44" s="49">
        <f t="shared" si="72"/>
        <v>1.8924633765035925</v>
      </c>
      <c r="CJ44" s="49">
        <f t="shared" si="114"/>
        <v>72.274835349604132</v>
      </c>
      <c r="CN44" s="49">
        <f t="shared" si="53"/>
        <v>0.6075733333333333</v>
      </c>
      <c r="CO44" s="49">
        <f t="shared" si="54"/>
        <v>0</v>
      </c>
      <c r="CP44" s="49">
        <f t="shared" si="55"/>
        <v>0</v>
      </c>
      <c r="CQ44" s="49" t="str">
        <f t="shared" si="92"/>
        <v/>
      </c>
    </row>
    <row r="45" spans="12:95" x14ac:dyDescent="0.45">
      <c r="L45" s="49">
        <f t="shared" si="56"/>
        <v>25.333333333333329</v>
      </c>
      <c r="Q45" s="49">
        <v>38</v>
      </c>
      <c r="R45" s="278">
        <f t="shared" si="0"/>
        <v>5.0666666666666664</v>
      </c>
      <c r="S45" s="201">
        <f t="shared" si="1"/>
        <v>42</v>
      </c>
      <c r="T45" s="206">
        <f t="shared" si="73"/>
        <v>0.12063492063492062</v>
      </c>
      <c r="U45" s="205">
        <f t="shared" si="74"/>
        <v>2</v>
      </c>
      <c r="V45" s="201">
        <f t="shared" si="75"/>
        <v>0.45955882352941174</v>
      </c>
      <c r="W45" s="201">
        <f t="shared" si="76"/>
        <v>0.54044117647058831</v>
      </c>
      <c r="X45" s="201">
        <f t="shared" si="27"/>
        <v>0</v>
      </c>
      <c r="Y45" s="205">
        <f t="shared" si="93"/>
        <v>0.26250158730158729</v>
      </c>
      <c r="Z45" s="201">
        <f t="shared" si="77"/>
        <v>0.30637254901960786</v>
      </c>
      <c r="AA45" s="201">
        <f t="shared" si="29"/>
        <v>0.41568786181139122</v>
      </c>
      <c r="AB45" s="206">
        <f t="shared" si="78"/>
        <v>0.18778054367692532</v>
      </c>
      <c r="AC45" s="205">
        <v>0</v>
      </c>
      <c r="AD45" s="201">
        <f t="shared" si="79"/>
        <v>1.763076629180083E-3</v>
      </c>
      <c r="AE45" s="206">
        <f t="shared" si="31"/>
        <v>1.763076629180083E-3</v>
      </c>
      <c r="AF45" s="58">
        <f t="shared" si="80"/>
        <v>0.10133333333333333</v>
      </c>
      <c r="AG45" s="61">
        <f t="shared" si="81"/>
        <v>0.10133333333333333</v>
      </c>
      <c r="AH45" s="58">
        <f t="shared" si="82"/>
        <v>4.6897838336190205E-3</v>
      </c>
      <c r="AI45" s="49">
        <f t="shared" si="83"/>
        <v>0.98537341701914849</v>
      </c>
      <c r="AJ45" s="61">
        <f t="shared" si="57"/>
        <v>0.99006320085276756</v>
      </c>
      <c r="AK45" s="269">
        <f t="shared" si="84"/>
        <v>5.0666666666666664</v>
      </c>
      <c r="AL45" s="268">
        <f t="shared" si="13"/>
        <v>5</v>
      </c>
      <c r="AM45" s="270">
        <f t="shared" si="32"/>
        <v>1.0133333333333332</v>
      </c>
      <c r="AN45" s="269">
        <f t="shared" si="94"/>
        <v>2</v>
      </c>
      <c r="AO45" s="268">
        <f t="shared" si="95"/>
        <v>0.5404411764705882</v>
      </c>
      <c r="AP45" s="268">
        <f t="shared" si="96"/>
        <v>1.8750113378684805</v>
      </c>
      <c r="AQ45" s="268">
        <f t="shared" si="97"/>
        <v>2.1883753501400558</v>
      </c>
      <c r="AR45" s="268">
        <f t="shared" si="58"/>
        <v>2.9691990129385086</v>
      </c>
      <c r="AS45" s="270">
        <f t="shared" si="59"/>
        <v>1.4545418368050125</v>
      </c>
      <c r="AT45" s="269"/>
      <c r="AU45" s="268">
        <f t="shared" si="98"/>
        <v>1.0268444444444443E-2</v>
      </c>
      <c r="AV45" s="270">
        <f t="shared" si="60"/>
        <v>1.0268444444444443E-2</v>
      </c>
      <c r="AW45" s="269">
        <f t="shared" si="99"/>
        <v>0.11424000000000001</v>
      </c>
      <c r="AX45" s="268">
        <f t="shared" si="100"/>
        <v>0.5066666666666666</v>
      </c>
      <c r="AY45" s="270">
        <f t="shared" si="61"/>
        <v>0.62090666666666661</v>
      </c>
      <c r="AZ45" s="263">
        <f t="shared" si="85"/>
        <v>0</v>
      </c>
      <c r="BA45" s="262">
        <f t="shared" si="86"/>
        <v>0</v>
      </c>
      <c r="BB45" s="262">
        <f t="shared" si="62"/>
        <v>0</v>
      </c>
      <c r="BC45" s="264" t="e">
        <f t="shared" si="101"/>
        <v>#DIV/0!</v>
      </c>
      <c r="BD45" s="263">
        <v>0</v>
      </c>
      <c r="BE45" s="262">
        <f t="shared" si="102"/>
        <v>0</v>
      </c>
      <c r="BF45" s="264">
        <f t="shared" si="64"/>
        <v>0</v>
      </c>
      <c r="BG45" s="263">
        <f t="shared" si="103"/>
        <v>0</v>
      </c>
      <c r="BH45" s="262">
        <f t="shared" si="104"/>
        <v>0</v>
      </c>
      <c r="BI45" s="264">
        <f t="shared" si="105"/>
        <v>0</v>
      </c>
      <c r="BK45" s="258">
        <f t="shared" si="87"/>
        <v>0</v>
      </c>
      <c r="BL45" s="257">
        <f t="shared" si="18"/>
        <v>0</v>
      </c>
      <c r="BM45" s="257">
        <f t="shared" si="88"/>
        <v>0</v>
      </c>
      <c r="BN45" s="259">
        <f t="shared" si="44"/>
        <v>0</v>
      </c>
      <c r="BO45" s="258">
        <v>0</v>
      </c>
      <c r="BP45" s="257">
        <f t="shared" si="106"/>
        <v>0</v>
      </c>
      <c r="BQ45" s="259">
        <f t="shared" si="65"/>
        <v>0</v>
      </c>
      <c r="BR45" s="258">
        <f t="shared" si="107"/>
        <v>0</v>
      </c>
      <c r="BS45" s="257">
        <f t="shared" si="108"/>
        <v>0</v>
      </c>
      <c r="BT45" s="259">
        <f t="shared" si="67"/>
        <v>0</v>
      </c>
      <c r="BU45" s="275">
        <f t="shared" si="89"/>
        <v>0</v>
      </c>
      <c r="BV45" s="274">
        <f t="shared" si="90"/>
        <v>0</v>
      </c>
      <c r="BW45" s="274">
        <f t="shared" si="91"/>
        <v>0</v>
      </c>
      <c r="BX45" s="276">
        <f t="shared" si="109"/>
        <v>0</v>
      </c>
      <c r="BY45" s="275">
        <v>0</v>
      </c>
      <c r="BZ45" s="274">
        <f t="shared" si="110"/>
        <v>0</v>
      </c>
      <c r="CA45" s="276">
        <f t="shared" si="68"/>
        <v>0</v>
      </c>
      <c r="CB45" s="275">
        <f t="shared" si="111"/>
        <v>0</v>
      </c>
      <c r="CC45" s="274">
        <f t="shared" si="112"/>
        <v>0</v>
      </c>
      <c r="CD45" s="276">
        <f t="shared" si="69"/>
        <v>0</v>
      </c>
      <c r="CE45" s="58">
        <f t="shared" si="113"/>
        <v>6.6996911908843151E-3</v>
      </c>
      <c r="CF45" s="49">
        <f t="shared" si="24"/>
        <v>7.3499999999999996E-2</v>
      </c>
      <c r="CG45" s="61">
        <f t="shared" si="70"/>
        <v>3.2340000000000001E-2</v>
      </c>
      <c r="CH45" s="49">
        <f t="shared" si="71"/>
        <v>1.763076629180083E-3</v>
      </c>
      <c r="CI45" s="49">
        <f t="shared" si="72"/>
        <v>1.9382077464506096</v>
      </c>
      <c r="CJ45" s="49">
        <f t="shared" si="114"/>
        <v>72.330585358944674</v>
      </c>
      <c r="CN45" s="49">
        <f t="shared" si="53"/>
        <v>0.62090666666666661</v>
      </c>
      <c r="CO45" s="49">
        <f t="shared" si="54"/>
        <v>0</v>
      </c>
      <c r="CP45" s="49">
        <f t="shared" si="55"/>
        <v>0</v>
      </c>
      <c r="CQ45" s="49" t="str">
        <f t="shared" si="92"/>
        <v/>
      </c>
    </row>
    <row r="46" spans="12:95" x14ac:dyDescent="0.45">
      <c r="L46" s="49">
        <f t="shared" si="56"/>
        <v>26</v>
      </c>
      <c r="Q46" s="49">
        <v>39</v>
      </c>
      <c r="R46" s="278">
        <f t="shared" si="0"/>
        <v>5.2</v>
      </c>
      <c r="S46" s="201">
        <f t="shared" si="1"/>
        <v>42</v>
      </c>
      <c r="T46" s="206">
        <f t="shared" si="73"/>
        <v>0.12380952380952381</v>
      </c>
      <c r="U46" s="205">
        <f t="shared" si="74"/>
        <v>2</v>
      </c>
      <c r="V46" s="201">
        <f t="shared" si="75"/>
        <v>0.45955882352941174</v>
      </c>
      <c r="W46" s="201">
        <f t="shared" si="76"/>
        <v>0.54044117647058831</v>
      </c>
      <c r="X46" s="201">
        <f t="shared" si="27"/>
        <v>0</v>
      </c>
      <c r="Y46" s="205">
        <f t="shared" si="93"/>
        <v>0.26940952380952382</v>
      </c>
      <c r="Z46" s="201">
        <f t="shared" si="77"/>
        <v>0.30637254901960786</v>
      </c>
      <c r="AA46" s="201">
        <f t="shared" si="29"/>
        <v>0.42259579831932775</v>
      </c>
      <c r="AB46" s="206">
        <f t="shared" si="78"/>
        <v>0.19222419016747527</v>
      </c>
      <c r="AC46" s="205">
        <v>0</v>
      </c>
      <c r="AD46" s="201">
        <f t="shared" si="79"/>
        <v>1.8475069642770849E-3</v>
      </c>
      <c r="AE46" s="206">
        <f t="shared" si="31"/>
        <v>1.8475069642770849E-3</v>
      </c>
      <c r="AF46" s="58">
        <f t="shared" si="80"/>
        <v>0.10400000000000001</v>
      </c>
      <c r="AG46" s="61">
        <f t="shared" si="81"/>
        <v>0.10400000000000001</v>
      </c>
      <c r="AH46" s="58">
        <f t="shared" si="82"/>
        <v>4.9143685249770459E-3</v>
      </c>
      <c r="AI46" s="49">
        <f t="shared" si="83"/>
        <v>1.0113042964143892</v>
      </c>
      <c r="AJ46" s="61">
        <f t="shared" si="57"/>
        <v>1.0162186649393663</v>
      </c>
      <c r="AK46" s="269">
        <f t="shared" si="84"/>
        <v>5.2</v>
      </c>
      <c r="AL46" s="268">
        <f t="shared" si="13"/>
        <v>5</v>
      </c>
      <c r="AM46" s="270">
        <f t="shared" si="32"/>
        <v>1.04</v>
      </c>
      <c r="AN46" s="269">
        <f t="shared" si="94"/>
        <v>2</v>
      </c>
      <c r="AO46" s="268">
        <f t="shared" si="95"/>
        <v>0.54044117647058831</v>
      </c>
      <c r="AP46" s="268">
        <f t="shared" si="96"/>
        <v>1.9243537414965985</v>
      </c>
      <c r="AQ46" s="268">
        <f t="shared" si="97"/>
        <v>2.1883753501400562</v>
      </c>
      <c r="AR46" s="268">
        <f t="shared" si="58"/>
        <v>3.0185414165666264</v>
      </c>
      <c r="AS46" s="270">
        <f t="shared" si="59"/>
        <v>1.4889621745136783</v>
      </c>
      <c r="AT46" s="269"/>
      <c r="AU46" s="268">
        <f t="shared" si="98"/>
        <v>1.0816000000000001E-2</v>
      </c>
      <c r="AV46" s="270">
        <f t="shared" si="60"/>
        <v>1.0816000000000001E-2</v>
      </c>
      <c r="AW46" s="269">
        <f t="shared" si="99"/>
        <v>0.11424000000000001</v>
      </c>
      <c r="AX46" s="268">
        <f t="shared" si="100"/>
        <v>0.52</v>
      </c>
      <c r="AY46" s="270">
        <f t="shared" si="61"/>
        <v>0.63424000000000003</v>
      </c>
      <c r="AZ46" s="263">
        <f t="shared" si="85"/>
        <v>0</v>
      </c>
      <c r="BA46" s="262">
        <f t="shared" si="86"/>
        <v>0</v>
      </c>
      <c r="BB46" s="262">
        <f t="shared" si="62"/>
        <v>0</v>
      </c>
      <c r="BC46" s="264" t="e">
        <f t="shared" si="101"/>
        <v>#DIV/0!</v>
      </c>
      <c r="BD46" s="263">
        <v>0</v>
      </c>
      <c r="BE46" s="262">
        <f t="shared" si="102"/>
        <v>0</v>
      </c>
      <c r="BF46" s="264">
        <f t="shared" si="64"/>
        <v>0</v>
      </c>
      <c r="BG46" s="263">
        <f t="shared" si="103"/>
        <v>0</v>
      </c>
      <c r="BH46" s="262">
        <f t="shared" si="104"/>
        <v>0</v>
      </c>
      <c r="BI46" s="264">
        <f t="shared" si="105"/>
        <v>0</v>
      </c>
      <c r="BK46" s="258">
        <f t="shared" si="87"/>
        <v>0</v>
      </c>
      <c r="BL46" s="257">
        <f t="shared" si="18"/>
        <v>0</v>
      </c>
      <c r="BM46" s="257">
        <f t="shared" si="88"/>
        <v>0</v>
      </c>
      <c r="BN46" s="259">
        <f t="shared" si="44"/>
        <v>0</v>
      </c>
      <c r="BO46" s="258">
        <v>0</v>
      </c>
      <c r="BP46" s="257">
        <f t="shared" si="106"/>
        <v>0</v>
      </c>
      <c r="BQ46" s="259">
        <f t="shared" si="65"/>
        <v>0</v>
      </c>
      <c r="BR46" s="258">
        <f t="shared" si="107"/>
        <v>0</v>
      </c>
      <c r="BS46" s="257">
        <f t="shared" si="108"/>
        <v>0</v>
      </c>
      <c r="BT46" s="259">
        <f t="shared" si="67"/>
        <v>0</v>
      </c>
      <c r="BU46" s="275">
        <f t="shared" si="89"/>
        <v>0</v>
      </c>
      <c r="BV46" s="274">
        <f t="shared" si="90"/>
        <v>0</v>
      </c>
      <c r="BW46" s="274">
        <f t="shared" si="91"/>
        <v>0</v>
      </c>
      <c r="BX46" s="276">
        <f t="shared" si="109"/>
        <v>0</v>
      </c>
      <c r="BY46" s="275">
        <v>0</v>
      </c>
      <c r="BZ46" s="274">
        <f t="shared" si="110"/>
        <v>0</v>
      </c>
      <c r="CA46" s="276">
        <f t="shared" si="68"/>
        <v>0</v>
      </c>
      <c r="CB46" s="275">
        <f t="shared" si="111"/>
        <v>0</v>
      </c>
      <c r="CC46" s="274">
        <f t="shared" si="112"/>
        <v>0</v>
      </c>
      <c r="CD46" s="276">
        <f t="shared" si="69"/>
        <v>0</v>
      </c>
      <c r="CE46" s="58">
        <f t="shared" si="113"/>
        <v>7.0205264642529217E-3</v>
      </c>
      <c r="CF46" s="49">
        <f t="shared" si="24"/>
        <v>7.3499999999999996E-2</v>
      </c>
      <c r="CG46" s="61">
        <f t="shared" si="70"/>
        <v>3.2340000000000001E-2</v>
      </c>
      <c r="CH46" s="49">
        <f t="shared" si="71"/>
        <v>1.8475069642770849E-3</v>
      </c>
      <c r="CI46" s="49">
        <f t="shared" si="72"/>
        <v>1.9839826983678968</v>
      </c>
      <c r="CJ46" s="49">
        <f t="shared" si="114"/>
        <v>72.383247821314626</v>
      </c>
      <c r="CN46" s="49">
        <f t="shared" si="53"/>
        <v>0.63424000000000003</v>
      </c>
      <c r="CO46" s="49">
        <f t="shared" si="54"/>
        <v>0</v>
      </c>
      <c r="CP46" s="49">
        <f t="shared" si="55"/>
        <v>0</v>
      </c>
      <c r="CQ46" s="49" t="str">
        <f t="shared" si="92"/>
        <v/>
      </c>
    </row>
    <row r="47" spans="12:95" x14ac:dyDescent="0.45">
      <c r="L47" s="49">
        <f t="shared" si="56"/>
        <v>26.666666666666668</v>
      </c>
      <c r="Q47" s="49">
        <v>40</v>
      </c>
      <c r="R47" s="278">
        <f t="shared" si="0"/>
        <v>5.333333333333333</v>
      </c>
      <c r="S47" s="201">
        <f t="shared" si="1"/>
        <v>42</v>
      </c>
      <c r="T47" s="206">
        <f t="shared" si="73"/>
        <v>0.12698412698412698</v>
      </c>
      <c r="U47" s="205">
        <f t="shared" si="74"/>
        <v>2</v>
      </c>
      <c r="V47" s="201">
        <f t="shared" si="75"/>
        <v>0.45955882352941174</v>
      </c>
      <c r="W47" s="201">
        <f t="shared" si="76"/>
        <v>0.54044117647058831</v>
      </c>
      <c r="X47" s="201">
        <f t="shared" si="27"/>
        <v>0</v>
      </c>
      <c r="Y47" s="205">
        <f t="shared" si="93"/>
        <v>0.2763174603174603</v>
      </c>
      <c r="Z47" s="201">
        <f t="shared" si="77"/>
        <v>0.30637254901960786</v>
      </c>
      <c r="AA47" s="201">
        <f t="shared" si="29"/>
        <v>0.42950373482726423</v>
      </c>
      <c r="AB47" s="206">
        <f t="shared" si="78"/>
        <v>0.19667894117525092</v>
      </c>
      <c r="AC47" s="205">
        <v>0</v>
      </c>
      <c r="AD47" s="201">
        <f t="shared" si="79"/>
        <v>1.9341302950908906E-3</v>
      </c>
      <c r="AE47" s="206">
        <f t="shared" si="31"/>
        <v>1.9341302950908906E-3</v>
      </c>
      <c r="AF47" s="58">
        <f t="shared" si="80"/>
        <v>0.10666666666666666</v>
      </c>
      <c r="AG47" s="61">
        <f t="shared" si="81"/>
        <v>0.10666666666666666</v>
      </c>
      <c r="AH47" s="58">
        <f t="shared" si="82"/>
        <v>5.1447865849417688E-3</v>
      </c>
      <c r="AI47" s="49">
        <f t="shared" si="83"/>
        <v>1.0372351758096299</v>
      </c>
      <c r="AJ47" s="61">
        <f t="shared" si="57"/>
        <v>1.0423799623945715</v>
      </c>
      <c r="AK47" s="269">
        <f t="shared" si="84"/>
        <v>5.333333333333333</v>
      </c>
      <c r="AL47" s="268">
        <f t="shared" si="13"/>
        <v>5</v>
      </c>
      <c r="AM47" s="270">
        <f t="shared" si="32"/>
        <v>1.0666666666666667</v>
      </c>
      <c r="AN47" s="269">
        <f t="shared" si="94"/>
        <v>2</v>
      </c>
      <c r="AO47" s="268">
        <f t="shared" si="95"/>
        <v>0.54044117647058831</v>
      </c>
      <c r="AP47" s="268">
        <f t="shared" si="96"/>
        <v>1.9736961451247161</v>
      </c>
      <c r="AQ47" s="268">
        <f t="shared" si="97"/>
        <v>2.1883753501400562</v>
      </c>
      <c r="AR47" s="268">
        <f t="shared" si="58"/>
        <v>3.0678838201947443</v>
      </c>
      <c r="AS47" s="270">
        <f t="shared" si="59"/>
        <v>1.5234685274429101</v>
      </c>
      <c r="AT47" s="269"/>
      <c r="AU47" s="268">
        <f t="shared" si="98"/>
        <v>1.1377777777777778E-2</v>
      </c>
      <c r="AV47" s="270">
        <f t="shared" si="60"/>
        <v>1.1377777777777778E-2</v>
      </c>
      <c r="AW47" s="269">
        <f t="shared" si="99"/>
        <v>0.11424000000000001</v>
      </c>
      <c r="AX47" s="268">
        <f t="shared" si="100"/>
        <v>0.53333333333333333</v>
      </c>
      <c r="AY47" s="270">
        <f t="shared" si="61"/>
        <v>0.64757333333333333</v>
      </c>
      <c r="AZ47" s="263">
        <f t="shared" si="85"/>
        <v>0</v>
      </c>
      <c r="BA47" s="262">
        <f t="shared" si="86"/>
        <v>0</v>
      </c>
      <c r="BB47" s="262">
        <f t="shared" si="62"/>
        <v>0</v>
      </c>
      <c r="BC47" s="264" t="e">
        <f t="shared" si="101"/>
        <v>#DIV/0!</v>
      </c>
      <c r="BD47" s="263">
        <v>0</v>
      </c>
      <c r="BE47" s="262">
        <f t="shared" si="102"/>
        <v>0</v>
      </c>
      <c r="BF47" s="264">
        <f t="shared" si="64"/>
        <v>0</v>
      </c>
      <c r="BG47" s="263">
        <f t="shared" si="103"/>
        <v>0</v>
      </c>
      <c r="BH47" s="262">
        <f t="shared" si="104"/>
        <v>0</v>
      </c>
      <c r="BI47" s="264">
        <f t="shared" si="105"/>
        <v>0</v>
      </c>
      <c r="BK47" s="258">
        <f t="shared" si="87"/>
        <v>0</v>
      </c>
      <c r="BL47" s="257">
        <f t="shared" si="18"/>
        <v>0</v>
      </c>
      <c r="BM47" s="257">
        <f t="shared" si="88"/>
        <v>0</v>
      </c>
      <c r="BN47" s="259">
        <f t="shared" si="44"/>
        <v>0</v>
      </c>
      <c r="BO47" s="258">
        <v>0</v>
      </c>
      <c r="BP47" s="257">
        <f t="shared" si="106"/>
        <v>0</v>
      </c>
      <c r="BQ47" s="259">
        <f t="shared" si="65"/>
        <v>0</v>
      </c>
      <c r="BR47" s="258">
        <f t="shared" si="107"/>
        <v>0</v>
      </c>
      <c r="BS47" s="257">
        <f t="shared" si="108"/>
        <v>0</v>
      </c>
      <c r="BT47" s="259">
        <f t="shared" si="67"/>
        <v>0</v>
      </c>
      <c r="BU47" s="275">
        <f t="shared" si="89"/>
        <v>0</v>
      </c>
      <c r="BV47" s="274">
        <f t="shared" si="90"/>
        <v>0</v>
      </c>
      <c r="BW47" s="274">
        <f t="shared" si="91"/>
        <v>0</v>
      </c>
      <c r="BX47" s="276">
        <f t="shared" si="109"/>
        <v>0</v>
      </c>
      <c r="BY47" s="275">
        <v>0</v>
      </c>
      <c r="BZ47" s="274">
        <f t="shared" si="110"/>
        <v>0</v>
      </c>
      <c r="CA47" s="276">
        <f t="shared" si="68"/>
        <v>0</v>
      </c>
      <c r="CB47" s="275">
        <f t="shared" si="111"/>
        <v>0</v>
      </c>
      <c r="CC47" s="274">
        <f t="shared" si="112"/>
        <v>0</v>
      </c>
      <c r="CD47" s="276">
        <f t="shared" si="69"/>
        <v>0</v>
      </c>
      <c r="CE47" s="58">
        <f t="shared" si="113"/>
        <v>7.3496951213453841E-3</v>
      </c>
      <c r="CF47" s="49">
        <f t="shared" si="24"/>
        <v>7.3499999999999996E-2</v>
      </c>
      <c r="CG47" s="61">
        <f t="shared" si="70"/>
        <v>3.2340000000000001E-2</v>
      </c>
      <c r="CH47" s="49">
        <f t="shared" si="71"/>
        <v>1.9341302950908906E-3</v>
      </c>
      <c r="CI47" s="49">
        <f t="shared" si="72"/>
        <v>2.0297882322554521</v>
      </c>
      <c r="CJ47" s="49">
        <f t="shared" si="114"/>
        <v>72.433047394714009</v>
      </c>
      <c r="CN47" s="49">
        <f t="shared" si="53"/>
        <v>0.64757333333333333</v>
      </c>
      <c r="CO47" s="49">
        <f t="shared" si="54"/>
        <v>0</v>
      </c>
      <c r="CP47" s="49">
        <f t="shared" si="55"/>
        <v>0</v>
      </c>
      <c r="CQ47" s="49" t="str">
        <f t="shared" si="92"/>
        <v/>
      </c>
    </row>
    <row r="48" spans="12:95" x14ac:dyDescent="0.45">
      <c r="L48" s="49">
        <f t="shared" si="56"/>
        <v>27.333333333333332</v>
      </c>
      <c r="Q48" s="49">
        <v>41</v>
      </c>
      <c r="R48" s="278">
        <f t="shared" si="0"/>
        <v>5.4666666666666668</v>
      </c>
      <c r="S48" s="201">
        <f t="shared" si="1"/>
        <v>42</v>
      </c>
      <c r="T48" s="206">
        <f t="shared" si="73"/>
        <v>0.13015873015873017</v>
      </c>
      <c r="U48" s="205">
        <f t="shared" si="74"/>
        <v>2</v>
      </c>
      <c r="V48" s="201">
        <f t="shared" si="75"/>
        <v>0.45955882352941174</v>
      </c>
      <c r="W48" s="201">
        <f t="shared" si="76"/>
        <v>0.54044117647058831</v>
      </c>
      <c r="X48" s="201">
        <f t="shared" si="27"/>
        <v>0</v>
      </c>
      <c r="Y48" s="205">
        <f t="shared" si="93"/>
        <v>0.28322539682539682</v>
      </c>
      <c r="Z48" s="201">
        <f t="shared" si="77"/>
        <v>0.30637254901960786</v>
      </c>
      <c r="AA48" s="201">
        <f t="shared" si="29"/>
        <v>0.43641167133520076</v>
      </c>
      <c r="AB48" s="206">
        <f t="shared" si="78"/>
        <v>0.20114405890413486</v>
      </c>
      <c r="AC48" s="205">
        <v>0</v>
      </c>
      <c r="AD48" s="201">
        <f t="shared" si="79"/>
        <v>2.0229466216215037E-3</v>
      </c>
      <c r="AE48" s="206">
        <f t="shared" si="31"/>
        <v>2.0229466216215037E-3</v>
      </c>
      <c r="AF48" s="58">
        <f t="shared" si="80"/>
        <v>0.10933333333333334</v>
      </c>
      <c r="AG48" s="61">
        <f t="shared" si="81"/>
        <v>0.10933333333333334</v>
      </c>
      <c r="AH48" s="58">
        <f t="shared" si="82"/>
        <v>5.3810380135132004E-3</v>
      </c>
      <c r="AI48" s="49">
        <f t="shared" si="83"/>
        <v>1.0631660552048707</v>
      </c>
      <c r="AJ48" s="61">
        <f t="shared" si="57"/>
        <v>1.068547093218384</v>
      </c>
      <c r="AK48" s="269">
        <f t="shared" si="84"/>
        <v>5.4666666666666668</v>
      </c>
      <c r="AL48" s="268">
        <f t="shared" si="13"/>
        <v>5</v>
      </c>
      <c r="AM48" s="270">
        <f t="shared" si="32"/>
        <v>1.0933333333333333</v>
      </c>
      <c r="AN48" s="269">
        <f t="shared" si="94"/>
        <v>2</v>
      </c>
      <c r="AO48" s="268">
        <f t="shared" si="95"/>
        <v>0.5404411764705882</v>
      </c>
      <c r="AP48" s="268">
        <f t="shared" si="96"/>
        <v>2.0230385487528344</v>
      </c>
      <c r="AQ48" s="268">
        <f t="shared" si="97"/>
        <v>2.1883753501400558</v>
      </c>
      <c r="AR48" s="268">
        <f t="shared" si="58"/>
        <v>3.1172262238228621</v>
      </c>
      <c r="AS48" s="270">
        <f t="shared" si="59"/>
        <v>1.5580551806485559</v>
      </c>
      <c r="AT48" s="269"/>
      <c r="AU48" s="268">
        <f t="shared" si="98"/>
        <v>1.1953777777777777E-2</v>
      </c>
      <c r="AV48" s="270">
        <f t="shared" si="60"/>
        <v>1.1953777777777777E-2</v>
      </c>
      <c r="AW48" s="269">
        <f t="shared" si="99"/>
        <v>0.11424000000000001</v>
      </c>
      <c r="AX48" s="268">
        <f t="shared" si="100"/>
        <v>0.54666666666666663</v>
      </c>
      <c r="AY48" s="270">
        <f t="shared" si="61"/>
        <v>0.66090666666666664</v>
      </c>
      <c r="AZ48" s="263">
        <f t="shared" si="85"/>
        <v>0</v>
      </c>
      <c r="BA48" s="262">
        <f t="shared" si="86"/>
        <v>0</v>
      </c>
      <c r="BB48" s="262">
        <f t="shared" si="62"/>
        <v>0</v>
      </c>
      <c r="BC48" s="264" t="e">
        <f t="shared" si="101"/>
        <v>#DIV/0!</v>
      </c>
      <c r="BD48" s="263">
        <v>0</v>
      </c>
      <c r="BE48" s="262">
        <f t="shared" si="102"/>
        <v>0</v>
      </c>
      <c r="BF48" s="264">
        <f t="shared" si="64"/>
        <v>0</v>
      </c>
      <c r="BG48" s="263">
        <f t="shared" si="103"/>
        <v>0</v>
      </c>
      <c r="BH48" s="262">
        <f t="shared" si="104"/>
        <v>0</v>
      </c>
      <c r="BI48" s="264">
        <f t="shared" si="105"/>
        <v>0</v>
      </c>
      <c r="BK48" s="258">
        <f t="shared" si="87"/>
        <v>0</v>
      </c>
      <c r="BL48" s="257">
        <f t="shared" si="18"/>
        <v>0</v>
      </c>
      <c r="BM48" s="257">
        <f t="shared" si="88"/>
        <v>0</v>
      </c>
      <c r="BN48" s="259">
        <f t="shared" si="44"/>
        <v>0</v>
      </c>
      <c r="BO48" s="258">
        <v>0</v>
      </c>
      <c r="BP48" s="257">
        <f t="shared" si="106"/>
        <v>0</v>
      </c>
      <c r="BQ48" s="259">
        <f t="shared" si="65"/>
        <v>0</v>
      </c>
      <c r="BR48" s="258">
        <f t="shared" si="107"/>
        <v>0</v>
      </c>
      <c r="BS48" s="257">
        <f t="shared" si="108"/>
        <v>0</v>
      </c>
      <c r="BT48" s="259">
        <f t="shared" si="67"/>
        <v>0</v>
      </c>
      <c r="BU48" s="275">
        <f t="shared" si="89"/>
        <v>0</v>
      </c>
      <c r="BV48" s="274">
        <f t="shared" si="90"/>
        <v>0</v>
      </c>
      <c r="BW48" s="274">
        <f t="shared" si="91"/>
        <v>0</v>
      </c>
      <c r="BX48" s="276">
        <f t="shared" si="109"/>
        <v>0</v>
      </c>
      <c r="BY48" s="275">
        <v>0</v>
      </c>
      <c r="BZ48" s="274">
        <f t="shared" si="110"/>
        <v>0</v>
      </c>
      <c r="CA48" s="276">
        <f t="shared" si="68"/>
        <v>0</v>
      </c>
      <c r="CB48" s="275">
        <f t="shared" si="111"/>
        <v>0</v>
      </c>
      <c r="CC48" s="274">
        <f t="shared" si="112"/>
        <v>0</v>
      </c>
      <c r="CD48" s="276">
        <f t="shared" si="69"/>
        <v>0</v>
      </c>
      <c r="CE48" s="58">
        <f t="shared" si="113"/>
        <v>7.6871971621617144E-3</v>
      </c>
      <c r="CF48" s="49">
        <f t="shared" si="24"/>
        <v>7.3499999999999996E-2</v>
      </c>
      <c r="CG48" s="61">
        <f t="shared" si="70"/>
        <v>3.2340000000000001E-2</v>
      </c>
      <c r="CH48" s="49">
        <f t="shared" si="71"/>
        <v>2.0229466216215037E-3</v>
      </c>
      <c r="CI48" s="49">
        <f t="shared" si="72"/>
        <v>2.0756243481132786</v>
      </c>
      <c r="CJ48" s="49">
        <f t="shared" si="114"/>
        <v>72.480187464977618</v>
      </c>
      <c r="CN48" s="49">
        <f t="shared" si="53"/>
        <v>0.66090666666666664</v>
      </c>
      <c r="CO48" s="49">
        <f t="shared" si="54"/>
        <v>0</v>
      </c>
      <c r="CP48" s="49">
        <f t="shared" si="55"/>
        <v>0</v>
      </c>
      <c r="CQ48" s="49" t="str">
        <f t="shared" si="92"/>
        <v/>
      </c>
    </row>
    <row r="49" spans="12:95" x14ac:dyDescent="0.45">
      <c r="L49" s="49">
        <f t="shared" si="56"/>
        <v>27.999999999999996</v>
      </c>
      <c r="Q49" s="49">
        <v>42</v>
      </c>
      <c r="R49" s="278">
        <f t="shared" si="0"/>
        <v>5.6</v>
      </c>
      <c r="S49" s="201">
        <f t="shared" si="1"/>
        <v>42</v>
      </c>
      <c r="T49" s="206">
        <f t="shared" si="73"/>
        <v>0.13333333333333333</v>
      </c>
      <c r="U49" s="205">
        <f t="shared" si="74"/>
        <v>2</v>
      </c>
      <c r="V49" s="201">
        <f t="shared" si="75"/>
        <v>0.45955882352941174</v>
      </c>
      <c r="W49" s="201">
        <f t="shared" si="76"/>
        <v>0.54044117647058831</v>
      </c>
      <c r="X49" s="201">
        <f t="shared" si="27"/>
        <v>0</v>
      </c>
      <c r="Y49" s="205">
        <f t="shared" si="93"/>
        <v>0.2901333333333333</v>
      </c>
      <c r="Z49" s="201">
        <f t="shared" si="77"/>
        <v>0.30637254901960786</v>
      </c>
      <c r="AA49" s="201">
        <f t="shared" si="29"/>
        <v>0.44331960784313723</v>
      </c>
      <c r="AB49" s="206">
        <f t="shared" si="78"/>
        <v>0.20561886799945769</v>
      </c>
      <c r="AC49" s="205">
        <v>0</v>
      </c>
      <c r="AD49" s="201">
        <f t="shared" si="79"/>
        <v>2.1139559438689208E-3</v>
      </c>
      <c r="AE49" s="206">
        <f t="shared" si="31"/>
        <v>2.1139559438689208E-3</v>
      </c>
      <c r="AF49" s="58">
        <f t="shared" si="80"/>
        <v>0.11199999999999999</v>
      </c>
      <c r="AG49" s="61">
        <f t="shared" si="81"/>
        <v>0.11199999999999999</v>
      </c>
      <c r="AH49" s="58">
        <f t="shared" si="82"/>
        <v>5.6231228106913287E-3</v>
      </c>
      <c r="AI49" s="49">
        <f t="shared" si="83"/>
        <v>1.0890969346001114</v>
      </c>
      <c r="AJ49" s="61">
        <f t="shared" si="57"/>
        <v>1.0947200574108027</v>
      </c>
      <c r="AK49" s="269">
        <f t="shared" si="84"/>
        <v>5.6</v>
      </c>
      <c r="AL49" s="268">
        <f t="shared" si="13"/>
        <v>5</v>
      </c>
      <c r="AM49" s="270">
        <f t="shared" si="32"/>
        <v>1.1199999999999999</v>
      </c>
      <c r="AN49" s="269">
        <f t="shared" si="94"/>
        <v>2</v>
      </c>
      <c r="AO49" s="268">
        <f t="shared" si="95"/>
        <v>0.54044117647058831</v>
      </c>
      <c r="AP49" s="268">
        <f t="shared" si="96"/>
        <v>2.0723809523809518</v>
      </c>
      <c r="AQ49" s="268">
        <f t="shared" si="97"/>
        <v>2.1883753501400562</v>
      </c>
      <c r="AR49" s="268">
        <f t="shared" si="58"/>
        <v>3.1665686274509799</v>
      </c>
      <c r="AS49" s="270">
        <f t="shared" si="59"/>
        <v>1.5927169028558417</v>
      </c>
      <c r="AT49" s="269"/>
      <c r="AU49" s="268">
        <f t="shared" si="98"/>
        <v>1.2543999999999998E-2</v>
      </c>
      <c r="AV49" s="270">
        <f t="shared" si="60"/>
        <v>1.2543999999999998E-2</v>
      </c>
      <c r="AW49" s="269">
        <f t="shared" si="99"/>
        <v>0.11424000000000001</v>
      </c>
      <c r="AX49" s="268">
        <f t="shared" si="100"/>
        <v>0.55999999999999994</v>
      </c>
      <c r="AY49" s="270">
        <f t="shared" si="61"/>
        <v>0.67423999999999995</v>
      </c>
      <c r="AZ49" s="263">
        <f t="shared" si="85"/>
        <v>0</v>
      </c>
      <c r="BA49" s="262">
        <f t="shared" si="86"/>
        <v>0</v>
      </c>
      <c r="BB49" s="262">
        <f t="shared" si="62"/>
        <v>0</v>
      </c>
      <c r="BC49" s="264" t="e">
        <f t="shared" si="101"/>
        <v>#DIV/0!</v>
      </c>
      <c r="BD49" s="263">
        <v>0</v>
      </c>
      <c r="BE49" s="262">
        <f t="shared" si="102"/>
        <v>0</v>
      </c>
      <c r="BF49" s="264">
        <f t="shared" si="64"/>
        <v>0</v>
      </c>
      <c r="BG49" s="263">
        <f t="shared" si="103"/>
        <v>0</v>
      </c>
      <c r="BH49" s="262">
        <f t="shared" si="104"/>
        <v>0</v>
      </c>
      <c r="BI49" s="264">
        <f t="shared" si="105"/>
        <v>0</v>
      </c>
      <c r="BK49" s="258">
        <f t="shared" si="87"/>
        <v>0</v>
      </c>
      <c r="BL49" s="257">
        <f t="shared" si="18"/>
        <v>0</v>
      </c>
      <c r="BM49" s="257">
        <f t="shared" si="88"/>
        <v>0</v>
      </c>
      <c r="BN49" s="259">
        <f t="shared" si="44"/>
        <v>0</v>
      </c>
      <c r="BO49" s="258">
        <v>0</v>
      </c>
      <c r="BP49" s="257">
        <f t="shared" si="106"/>
        <v>0</v>
      </c>
      <c r="BQ49" s="259">
        <f t="shared" si="65"/>
        <v>0</v>
      </c>
      <c r="BR49" s="258">
        <f t="shared" si="107"/>
        <v>0</v>
      </c>
      <c r="BS49" s="257">
        <f t="shared" si="108"/>
        <v>0</v>
      </c>
      <c r="BT49" s="259">
        <f t="shared" si="67"/>
        <v>0</v>
      </c>
      <c r="BU49" s="275">
        <f t="shared" si="89"/>
        <v>0</v>
      </c>
      <c r="BV49" s="274">
        <f t="shared" si="90"/>
        <v>0</v>
      </c>
      <c r="BW49" s="274">
        <f t="shared" si="91"/>
        <v>0</v>
      </c>
      <c r="BX49" s="276">
        <f t="shared" si="109"/>
        <v>0</v>
      </c>
      <c r="BY49" s="275">
        <v>0</v>
      </c>
      <c r="BZ49" s="274">
        <f t="shared" si="110"/>
        <v>0</v>
      </c>
      <c r="CA49" s="276">
        <f t="shared" si="68"/>
        <v>0</v>
      </c>
      <c r="CB49" s="275">
        <f t="shared" si="111"/>
        <v>0</v>
      </c>
      <c r="CC49" s="274">
        <f t="shared" si="112"/>
        <v>0</v>
      </c>
      <c r="CD49" s="276">
        <f t="shared" si="69"/>
        <v>0</v>
      </c>
      <c r="CE49" s="58">
        <f t="shared" si="113"/>
        <v>8.0330325867018978E-3</v>
      </c>
      <c r="CF49" s="49">
        <f t="shared" si="24"/>
        <v>7.3499999999999996E-2</v>
      </c>
      <c r="CG49" s="61">
        <f t="shared" si="70"/>
        <v>3.2340000000000001E-2</v>
      </c>
      <c r="CH49" s="49">
        <f t="shared" si="71"/>
        <v>2.1139559438689208E-3</v>
      </c>
      <c r="CI49" s="49">
        <f t="shared" si="72"/>
        <v>2.1214910459413736</v>
      </c>
      <c r="CJ49" s="49">
        <f t="shared" si="114"/>
        <v>72.524852605294569</v>
      </c>
      <c r="CN49" s="49">
        <f t="shared" si="53"/>
        <v>0.67423999999999995</v>
      </c>
      <c r="CO49" s="49">
        <f t="shared" si="54"/>
        <v>0</v>
      </c>
      <c r="CP49" s="49">
        <f t="shared" si="55"/>
        <v>0</v>
      </c>
      <c r="CQ49" s="49" t="str">
        <f t="shared" si="92"/>
        <v/>
      </c>
    </row>
    <row r="50" spans="12:95" x14ac:dyDescent="0.45">
      <c r="L50" s="49">
        <f t="shared" si="56"/>
        <v>28.666666666666668</v>
      </c>
      <c r="Q50" s="49">
        <v>43</v>
      </c>
      <c r="R50" s="278">
        <f t="shared" si="0"/>
        <v>5.7333333333333334</v>
      </c>
      <c r="S50" s="201">
        <f t="shared" si="1"/>
        <v>42</v>
      </c>
      <c r="T50" s="206">
        <f t="shared" si="73"/>
        <v>0.13650793650793652</v>
      </c>
      <c r="U50" s="205">
        <f t="shared" si="74"/>
        <v>2</v>
      </c>
      <c r="V50" s="201">
        <f t="shared" si="75"/>
        <v>0.45955882352941174</v>
      </c>
      <c r="W50" s="201">
        <f t="shared" si="76"/>
        <v>0.54044117647058831</v>
      </c>
      <c r="X50" s="201">
        <f t="shared" si="27"/>
        <v>0</v>
      </c>
      <c r="Y50" s="205">
        <f t="shared" si="93"/>
        <v>0.29704126984126983</v>
      </c>
      <c r="Z50" s="201">
        <f t="shared" si="77"/>
        <v>0.30637254901960786</v>
      </c>
      <c r="AA50" s="201">
        <f t="shared" si="29"/>
        <v>0.45022754435107376</v>
      </c>
      <c r="AB50" s="206">
        <f t="shared" si="78"/>
        <v>0.21010274923632694</v>
      </c>
      <c r="AC50" s="205">
        <v>0</v>
      </c>
      <c r="AD50" s="201">
        <f t="shared" si="79"/>
        <v>2.207158261833144E-3</v>
      </c>
      <c r="AE50" s="206">
        <f t="shared" si="31"/>
        <v>2.207158261833144E-3</v>
      </c>
      <c r="AF50" s="58">
        <f t="shared" si="80"/>
        <v>0.11466666666666667</v>
      </c>
      <c r="AG50" s="61">
        <f t="shared" si="81"/>
        <v>0.11466666666666667</v>
      </c>
      <c r="AH50" s="58">
        <f t="shared" si="82"/>
        <v>5.8710409764761639E-3</v>
      </c>
      <c r="AI50" s="49">
        <f t="shared" si="83"/>
        <v>1.1150278139953522</v>
      </c>
      <c r="AJ50" s="61">
        <f t="shared" si="57"/>
        <v>1.1208988549718284</v>
      </c>
      <c r="AK50" s="269">
        <f t="shared" si="84"/>
        <v>5.7333333333333334</v>
      </c>
      <c r="AL50" s="268">
        <f t="shared" si="13"/>
        <v>5</v>
      </c>
      <c r="AM50" s="270">
        <f t="shared" si="32"/>
        <v>1.1466666666666667</v>
      </c>
      <c r="AN50" s="269">
        <f t="shared" si="94"/>
        <v>2</v>
      </c>
      <c r="AO50" s="268">
        <f t="shared" si="95"/>
        <v>0.54044117647058831</v>
      </c>
      <c r="AP50" s="268">
        <f t="shared" si="96"/>
        <v>2.12172335600907</v>
      </c>
      <c r="AQ50" s="268">
        <f t="shared" si="97"/>
        <v>2.1883753501400562</v>
      </c>
      <c r="AR50" s="268">
        <f t="shared" si="58"/>
        <v>3.2159110310790981</v>
      </c>
      <c r="AS50" s="270">
        <f t="shared" si="59"/>
        <v>1.6274488975693746</v>
      </c>
      <c r="AT50" s="269"/>
      <c r="AU50" s="268">
        <f t="shared" si="98"/>
        <v>1.3148444444444445E-2</v>
      </c>
      <c r="AV50" s="270">
        <f t="shared" si="60"/>
        <v>1.3148444444444445E-2</v>
      </c>
      <c r="AW50" s="269">
        <f t="shared" si="99"/>
        <v>0.11424000000000001</v>
      </c>
      <c r="AX50" s="268">
        <f t="shared" si="100"/>
        <v>0.57333333333333336</v>
      </c>
      <c r="AY50" s="270">
        <f t="shared" si="61"/>
        <v>0.68757333333333337</v>
      </c>
      <c r="AZ50" s="263">
        <f t="shared" si="85"/>
        <v>0</v>
      </c>
      <c r="BA50" s="262">
        <f t="shared" si="86"/>
        <v>0</v>
      </c>
      <c r="BB50" s="262">
        <f t="shared" si="62"/>
        <v>0</v>
      </c>
      <c r="BC50" s="264" t="e">
        <f t="shared" si="101"/>
        <v>#DIV/0!</v>
      </c>
      <c r="BD50" s="263">
        <v>0</v>
      </c>
      <c r="BE50" s="262">
        <f t="shared" si="102"/>
        <v>0</v>
      </c>
      <c r="BF50" s="264">
        <f t="shared" si="64"/>
        <v>0</v>
      </c>
      <c r="BG50" s="263">
        <f t="shared" si="103"/>
        <v>0</v>
      </c>
      <c r="BH50" s="262">
        <f t="shared" si="104"/>
        <v>0</v>
      </c>
      <c r="BI50" s="264">
        <f t="shared" si="105"/>
        <v>0</v>
      </c>
      <c r="BK50" s="258">
        <f t="shared" si="87"/>
        <v>0</v>
      </c>
      <c r="BL50" s="257">
        <f t="shared" si="18"/>
        <v>0</v>
      </c>
      <c r="BM50" s="257">
        <f t="shared" si="88"/>
        <v>0</v>
      </c>
      <c r="BN50" s="259">
        <f t="shared" si="44"/>
        <v>0</v>
      </c>
      <c r="BO50" s="258">
        <v>0</v>
      </c>
      <c r="BP50" s="257">
        <f t="shared" si="106"/>
        <v>0</v>
      </c>
      <c r="BQ50" s="259">
        <f t="shared" si="65"/>
        <v>0</v>
      </c>
      <c r="BR50" s="258">
        <f t="shared" si="107"/>
        <v>0</v>
      </c>
      <c r="BS50" s="257">
        <f t="shared" si="108"/>
        <v>0</v>
      </c>
      <c r="BT50" s="259">
        <f t="shared" si="67"/>
        <v>0</v>
      </c>
      <c r="BU50" s="275">
        <f t="shared" si="89"/>
        <v>0</v>
      </c>
      <c r="BV50" s="274">
        <f t="shared" si="90"/>
        <v>0</v>
      </c>
      <c r="BW50" s="274">
        <f t="shared" si="91"/>
        <v>0</v>
      </c>
      <c r="BX50" s="276">
        <f t="shared" si="109"/>
        <v>0</v>
      </c>
      <c r="BY50" s="275">
        <v>0</v>
      </c>
      <c r="BZ50" s="274">
        <f t="shared" si="110"/>
        <v>0</v>
      </c>
      <c r="CA50" s="276">
        <f t="shared" si="68"/>
        <v>0</v>
      </c>
      <c r="CB50" s="275">
        <f t="shared" si="111"/>
        <v>0</v>
      </c>
      <c r="CC50" s="274">
        <f t="shared" si="112"/>
        <v>0</v>
      </c>
      <c r="CD50" s="276">
        <f t="shared" si="69"/>
        <v>0</v>
      </c>
      <c r="CE50" s="58">
        <f t="shared" si="113"/>
        <v>8.3872013949659475E-3</v>
      </c>
      <c r="CF50" s="49">
        <f t="shared" si="24"/>
        <v>7.3499999999999996E-2</v>
      </c>
      <c r="CG50" s="61">
        <f t="shared" si="70"/>
        <v>3.2340000000000001E-2</v>
      </c>
      <c r="CH50" s="49">
        <f t="shared" si="71"/>
        <v>2.207158261833144E-3</v>
      </c>
      <c r="CI50" s="49">
        <f t="shared" si="72"/>
        <v>2.1673883257397382</v>
      </c>
      <c r="CJ50" s="49">
        <f t="shared" si="114"/>
        <v>72.567210702192725</v>
      </c>
      <c r="CN50" s="49">
        <f t="shared" si="53"/>
        <v>0.68757333333333337</v>
      </c>
      <c r="CO50" s="49">
        <f t="shared" si="54"/>
        <v>0</v>
      </c>
      <c r="CP50" s="49">
        <f t="shared" si="55"/>
        <v>0</v>
      </c>
      <c r="CQ50" s="49" t="str">
        <f t="shared" si="92"/>
        <v/>
      </c>
    </row>
    <row r="51" spans="12:95" x14ac:dyDescent="0.45">
      <c r="L51" s="49">
        <f t="shared" si="56"/>
        <v>29.333333333333332</v>
      </c>
      <c r="Q51" s="49">
        <v>44</v>
      </c>
      <c r="R51" s="278">
        <f t="shared" si="0"/>
        <v>5.8666666666666663</v>
      </c>
      <c r="S51" s="201">
        <f t="shared" si="1"/>
        <v>42</v>
      </c>
      <c r="T51" s="206">
        <f t="shared" si="73"/>
        <v>0.13968253968253969</v>
      </c>
      <c r="U51" s="205">
        <f t="shared" si="74"/>
        <v>2</v>
      </c>
      <c r="V51" s="201">
        <f t="shared" si="75"/>
        <v>0.45955882352941174</v>
      </c>
      <c r="W51" s="201">
        <f t="shared" si="76"/>
        <v>0.54044117647058831</v>
      </c>
      <c r="X51" s="201">
        <f t="shared" si="27"/>
        <v>0</v>
      </c>
      <c r="Y51" s="205">
        <f t="shared" si="93"/>
        <v>0.30394920634920636</v>
      </c>
      <c r="Z51" s="201">
        <f t="shared" si="77"/>
        <v>0.30637254901960786</v>
      </c>
      <c r="AA51" s="201">
        <f t="shared" si="29"/>
        <v>0.45713548085901029</v>
      </c>
      <c r="AB51" s="206">
        <f t="shared" si="78"/>
        <v>0.21459513393896762</v>
      </c>
      <c r="AC51" s="205">
        <v>0</v>
      </c>
      <c r="AD51" s="201">
        <f t="shared" si="79"/>
        <v>2.3025535755141729E-3</v>
      </c>
      <c r="AE51" s="206">
        <f t="shared" si="31"/>
        <v>2.3025535755141729E-3</v>
      </c>
      <c r="AF51" s="58">
        <f t="shared" si="80"/>
        <v>0.11733333333333333</v>
      </c>
      <c r="AG51" s="61">
        <f t="shared" si="81"/>
        <v>0.11733333333333333</v>
      </c>
      <c r="AH51" s="58">
        <f t="shared" si="82"/>
        <v>6.1247925108676993E-3</v>
      </c>
      <c r="AI51" s="49">
        <f t="shared" si="83"/>
        <v>1.1409586933905931</v>
      </c>
      <c r="AJ51" s="61">
        <f t="shared" si="57"/>
        <v>1.1470834859014607</v>
      </c>
      <c r="AK51" s="269">
        <f t="shared" si="84"/>
        <v>5.8666666666666663</v>
      </c>
      <c r="AL51" s="268">
        <f t="shared" si="13"/>
        <v>5</v>
      </c>
      <c r="AM51" s="270">
        <f t="shared" si="32"/>
        <v>1.1733333333333333</v>
      </c>
      <c r="AN51" s="269">
        <f t="shared" si="94"/>
        <v>2</v>
      </c>
      <c r="AO51" s="268">
        <f t="shared" si="95"/>
        <v>0.5404411764705882</v>
      </c>
      <c r="AP51" s="268">
        <f t="shared" si="96"/>
        <v>2.1710657596371883</v>
      </c>
      <c r="AQ51" s="268">
        <f t="shared" si="97"/>
        <v>2.1883753501400558</v>
      </c>
      <c r="AR51" s="268">
        <f t="shared" si="58"/>
        <v>3.2652534347072164</v>
      </c>
      <c r="AS51" s="270">
        <f t="shared" si="59"/>
        <v>1.6622467598455428</v>
      </c>
      <c r="AT51" s="269"/>
      <c r="AU51" s="268">
        <f t="shared" si="98"/>
        <v>1.3767111111111112E-2</v>
      </c>
      <c r="AV51" s="270">
        <f t="shared" si="60"/>
        <v>1.3767111111111112E-2</v>
      </c>
      <c r="AW51" s="269">
        <f t="shared" si="99"/>
        <v>0.11424000000000001</v>
      </c>
      <c r="AX51" s="268">
        <f t="shared" si="100"/>
        <v>0.58666666666666667</v>
      </c>
      <c r="AY51" s="270">
        <f t="shared" si="61"/>
        <v>0.70090666666666668</v>
      </c>
      <c r="AZ51" s="263">
        <f t="shared" si="85"/>
        <v>0</v>
      </c>
      <c r="BA51" s="262">
        <f t="shared" si="86"/>
        <v>0</v>
      </c>
      <c r="BB51" s="262">
        <f t="shared" si="62"/>
        <v>0</v>
      </c>
      <c r="BC51" s="264" t="e">
        <f t="shared" si="101"/>
        <v>#DIV/0!</v>
      </c>
      <c r="BD51" s="263">
        <v>0</v>
      </c>
      <c r="BE51" s="262">
        <f t="shared" si="102"/>
        <v>0</v>
      </c>
      <c r="BF51" s="264">
        <f t="shared" si="64"/>
        <v>0</v>
      </c>
      <c r="BG51" s="263">
        <f t="shared" si="103"/>
        <v>0</v>
      </c>
      <c r="BH51" s="262">
        <f t="shared" si="104"/>
        <v>0</v>
      </c>
      <c r="BI51" s="264">
        <f t="shared" si="105"/>
        <v>0</v>
      </c>
      <c r="BK51" s="258">
        <f t="shared" si="87"/>
        <v>0</v>
      </c>
      <c r="BL51" s="257">
        <f t="shared" si="18"/>
        <v>0</v>
      </c>
      <c r="BM51" s="257">
        <f t="shared" si="88"/>
        <v>0</v>
      </c>
      <c r="BN51" s="259">
        <f t="shared" si="44"/>
        <v>0</v>
      </c>
      <c r="BO51" s="258">
        <v>0</v>
      </c>
      <c r="BP51" s="257">
        <f t="shared" si="106"/>
        <v>0</v>
      </c>
      <c r="BQ51" s="259">
        <f t="shared" si="65"/>
        <v>0</v>
      </c>
      <c r="BR51" s="258">
        <f t="shared" si="107"/>
        <v>0</v>
      </c>
      <c r="BS51" s="257">
        <f t="shared" si="108"/>
        <v>0</v>
      </c>
      <c r="BT51" s="259">
        <f t="shared" si="67"/>
        <v>0</v>
      </c>
      <c r="BU51" s="275">
        <f t="shared" si="89"/>
        <v>0</v>
      </c>
      <c r="BV51" s="274">
        <f t="shared" si="90"/>
        <v>0</v>
      </c>
      <c r="BW51" s="274">
        <f t="shared" si="91"/>
        <v>0</v>
      </c>
      <c r="BX51" s="276">
        <f t="shared" si="109"/>
        <v>0</v>
      </c>
      <c r="BY51" s="275">
        <v>0</v>
      </c>
      <c r="BZ51" s="274">
        <f t="shared" si="110"/>
        <v>0</v>
      </c>
      <c r="CA51" s="276">
        <f t="shared" si="68"/>
        <v>0</v>
      </c>
      <c r="CB51" s="275">
        <f t="shared" si="111"/>
        <v>0</v>
      </c>
      <c r="CC51" s="274">
        <f t="shared" si="112"/>
        <v>0</v>
      </c>
      <c r="CD51" s="276">
        <f t="shared" si="69"/>
        <v>0</v>
      </c>
      <c r="CE51" s="58">
        <f t="shared" si="113"/>
        <v>8.7497035869538563E-3</v>
      </c>
      <c r="CF51" s="49">
        <f t="shared" si="24"/>
        <v>7.3499999999999996E-2</v>
      </c>
      <c r="CG51" s="61">
        <f t="shared" si="70"/>
        <v>3.2340000000000001E-2</v>
      </c>
      <c r="CH51" s="49">
        <f t="shared" si="71"/>
        <v>2.3025535755141729E-3</v>
      </c>
      <c r="CI51" s="49">
        <f t="shared" si="72"/>
        <v>2.2133161875083731</v>
      </c>
      <c r="CJ51" s="49">
        <f t="shared" si="114"/>
        <v>72.607414799590558</v>
      </c>
      <c r="CN51" s="49">
        <f t="shared" si="53"/>
        <v>0.70090666666666668</v>
      </c>
      <c r="CO51" s="49">
        <f t="shared" si="54"/>
        <v>0</v>
      </c>
      <c r="CP51" s="49">
        <f t="shared" si="55"/>
        <v>0</v>
      </c>
      <c r="CQ51" s="49" t="str">
        <f t="shared" si="92"/>
        <v/>
      </c>
    </row>
    <row r="52" spans="12:95" x14ac:dyDescent="0.45">
      <c r="L52" s="49">
        <f t="shared" si="56"/>
        <v>30</v>
      </c>
      <c r="Q52" s="49">
        <v>45</v>
      </c>
      <c r="R52" s="278">
        <f t="shared" si="0"/>
        <v>6</v>
      </c>
      <c r="S52" s="201">
        <f t="shared" si="1"/>
        <v>42</v>
      </c>
      <c r="T52" s="206">
        <f t="shared" si="73"/>
        <v>0.14285714285714285</v>
      </c>
      <c r="U52" s="205">
        <f t="shared" si="74"/>
        <v>2</v>
      </c>
      <c r="V52" s="201">
        <f t="shared" si="75"/>
        <v>0.45955882352941174</v>
      </c>
      <c r="W52" s="201">
        <f t="shared" si="76"/>
        <v>0.54044117647058831</v>
      </c>
      <c r="X52" s="201">
        <f t="shared" si="27"/>
        <v>0</v>
      </c>
      <c r="Y52" s="205">
        <f t="shared" si="93"/>
        <v>0.31085714285714289</v>
      </c>
      <c r="Z52" s="201">
        <f t="shared" si="77"/>
        <v>0.30637254901960786</v>
      </c>
      <c r="AA52" s="201">
        <f t="shared" si="29"/>
        <v>0.46404341736694682</v>
      </c>
      <c r="AB52" s="206">
        <f t="shared" si="78"/>
        <v>0.21909549903692707</v>
      </c>
      <c r="AC52" s="205">
        <v>0</v>
      </c>
      <c r="AD52" s="201">
        <f t="shared" si="79"/>
        <v>2.4001418849120058E-3</v>
      </c>
      <c r="AE52" s="206">
        <f t="shared" si="31"/>
        <v>2.4001418849120058E-3</v>
      </c>
      <c r="AF52" s="58">
        <f t="shared" si="80"/>
        <v>0.12</v>
      </c>
      <c r="AG52" s="61">
        <f t="shared" si="81"/>
        <v>0.12</v>
      </c>
      <c r="AH52" s="58">
        <f t="shared" si="82"/>
        <v>6.3843774138659356E-3</v>
      </c>
      <c r="AI52" s="49">
        <f t="shared" si="83"/>
        <v>1.1668895727858337</v>
      </c>
      <c r="AJ52" s="61">
        <f t="shared" si="57"/>
        <v>1.1732739501996996</v>
      </c>
      <c r="AK52" s="269">
        <f t="shared" si="84"/>
        <v>6</v>
      </c>
      <c r="AL52" s="268">
        <f t="shared" si="13"/>
        <v>5</v>
      </c>
      <c r="AM52" s="270">
        <f t="shared" si="32"/>
        <v>1.2</v>
      </c>
      <c r="AN52" s="269">
        <f t="shared" si="94"/>
        <v>2</v>
      </c>
      <c r="AO52" s="268">
        <f t="shared" si="95"/>
        <v>0.5404411764705882</v>
      </c>
      <c r="AP52" s="268">
        <f t="shared" si="96"/>
        <v>2.2204081632653061</v>
      </c>
      <c r="AQ52" s="268">
        <f t="shared" si="97"/>
        <v>2.1883753501400558</v>
      </c>
      <c r="AR52" s="268">
        <f t="shared" si="58"/>
        <v>3.3145958383353342</v>
      </c>
      <c r="AS52" s="270">
        <f t="shared" si="59"/>
        <v>1.6971064379980432</v>
      </c>
      <c r="AT52" s="269"/>
      <c r="AU52" s="268">
        <f t="shared" si="98"/>
        <v>1.44E-2</v>
      </c>
      <c r="AV52" s="270">
        <f t="shared" si="60"/>
        <v>1.44E-2</v>
      </c>
      <c r="AW52" s="269">
        <f t="shared" si="99"/>
        <v>0.11424000000000001</v>
      </c>
      <c r="AX52" s="268">
        <f t="shared" si="100"/>
        <v>0.6</v>
      </c>
      <c r="AY52" s="270">
        <f t="shared" si="61"/>
        <v>0.71423999999999999</v>
      </c>
      <c r="AZ52" s="263">
        <f t="shared" si="85"/>
        <v>0</v>
      </c>
      <c r="BA52" s="262">
        <f t="shared" si="86"/>
        <v>0</v>
      </c>
      <c r="BB52" s="262">
        <f t="shared" si="62"/>
        <v>0</v>
      </c>
      <c r="BC52" s="264" t="e">
        <f t="shared" si="101"/>
        <v>#DIV/0!</v>
      </c>
      <c r="BD52" s="263">
        <v>0</v>
      </c>
      <c r="BE52" s="262">
        <f t="shared" si="102"/>
        <v>0</v>
      </c>
      <c r="BF52" s="264">
        <f t="shared" si="64"/>
        <v>0</v>
      </c>
      <c r="BG52" s="263">
        <f t="shared" si="103"/>
        <v>0</v>
      </c>
      <c r="BH52" s="262">
        <f t="shared" si="104"/>
        <v>0</v>
      </c>
      <c r="BI52" s="264">
        <f t="shared" si="105"/>
        <v>0</v>
      </c>
      <c r="BK52" s="258">
        <f t="shared" si="87"/>
        <v>0</v>
      </c>
      <c r="BL52" s="257">
        <f t="shared" si="18"/>
        <v>0</v>
      </c>
      <c r="BM52" s="257">
        <f t="shared" si="88"/>
        <v>0</v>
      </c>
      <c r="BN52" s="259">
        <f t="shared" si="44"/>
        <v>0</v>
      </c>
      <c r="BO52" s="258">
        <v>0</v>
      </c>
      <c r="BP52" s="257">
        <f t="shared" si="106"/>
        <v>0</v>
      </c>
      <c r="BQ52" s="259">
        <f t="shared" si="65"/>
        <v>0</v>
      </c>
      <c r="BR52" s="258">
        <f t="shared" si="107"/>
        <v>0</v>
      </c>
      <c r="BS52" s="257">
        <f t="shared" si="108"/>
        <v>0</v>
      </c>
      <c r="BT52" s="259">
        <f t="shared" si="67"/>
        <v>0</v>
      </c>
      <c r="BU52" s="275">
        <f t="shared" si="89"/>
        <v>0</v>
      </c>
      <c r="BV52" s="274">
        <f t="shared" si="90"/>
        <v>0</v>
      </c>
      <c r="BW52" s="274">
        <f t="shared" si="91"/>
        <v>0</v>
      </c>
      <c r="BX52" s="276">
        <f t="shared" si="109"/>
        <v>0</v>
      </c>
      <c r="BY52" s="275">
        <v>0</v>
      </c>
      <c r="BZ52" s="274">
        <f t="shared" si="110"/>
        <v>0</v>
      </c>
      <c r="CA52" s="276">
        <f t="shared" si="68"/>
        <v>0</v>
      </c>
      <c r="CB52" s="275">
        <f t="shared" si="111"/>
        <v>0</v>
      </c>
      <c r="CC52" s="274">
        <f t="shared" si="112"/>
        <v>0</v>
      </c>
      <c r="CD52" s="276">
        <f t="shared" si="69"/>
        <v>0</v>
      </c>
      <c r="CE52" s="58">
        <f t="shared" si="113"/>
        <v>9.120539162665621E-3</v>
      </c>
      <c r="CF52" s="49">
        <f t="shared" si="24"/>
        <v>7.3499999999999996E-2</v>
      </c>
      <c r="CG52" s="61">
        <f t="shared" si="70"/>
        <v>3.2340000000000001E-2</v>
      </c>
      <c r="CH52" s="49">
        <f t="shared" si="71"/>
        <v>2.4001418849120058E-3</v>
      </c>
      <c r="CI52" s="49">
        <f t="shared" si="72"/>
        <v>2.2592746312472776</v>
      </c>
      <c r="CJ52" s="49">
        <f t="shared" si="114"/>
        <v>72.645604703592554</v>
      </c>
      <c r="CN52" s="49">
        <f t="shared" si="53"/>
        <v>0.71423999999999999</v>
      </c>
      <c r="CO52" s="49">
        <f t="shared" si="54"/>
        <v>0</v>
      </c>
      <c r="CP52" s="49">
        <f t="shared" si="55"/>
        <v>0</v>
      </c>
      <c r="CQ52" s="49" t="str">
        <f t="shared" si="92"/>
        <v/>
      </c>
    </row>
    <row r="53" spans="12:95" x14ac:dyDescent="0.45">
      <c r="L53" s="49">
        <f t="shared" si="56"/>
        <v>30.666666666666664</v>
      </c>
      <c r="Q53" s="49">
        <v>46</v>
      </c>
      <c r="R53" s="278">
        <f t="shared" si="0"/>
        <v>6.1333333333333329</v>
      </c>
      <c r="S53" s="201">
        <f t="shared" si="1"/>
        <v>42</v>
      </c>
      <c r="T53" s="206">
        <f t="shared" si="73"/>
        <v>0.14603174603174601</v>
      </c>
      <c r="U53" s="205">
        <f t="shared" si="74"/>
        <v>2</v>
      </c>
      <c r="V53" s="201">
        <f t="shared" si="75"/>
        <v>0.45955882352941174</v>
      </c>
      <c r="W53" s="201">
        <f t="shared" si="76"/>
        <v>0.54044117647058831</v>
      </c>
      <c r="X53" s="201">
        <f t="shared" si="27"/>
        <v>0</v>
      </c>
      <c r="Y53" s="205">
        <f t="shared" si="93"/>
        <v>0.31776507936507936</v>
      </c>
      <c r="Z53" s="201">
        <f t="shared" si="77"/>
        <v>0.30637254901960786</v>
      </c>
      <c r="AA53" s="201">
        <f t="shared" si="29"/>
        <v>0.47095135387488329</v>
      </c>
      <c r="AB53" s="206">
        <f t="shared" si="78"/>
        <v>0.22360336267715847</v>
      </c>
      <c r="AC53" s="205">
        <v>0</v>
      </c>
      <c r="AD53" s="201">
        <f t="shared" si="79"/>
        <v>2.4999231900266431E-3</v>
      </c>
      <c r="AE53" s="206">
        <f t="shared" si="31"/>
        <v>2.4999231900266431E-3</v>
      </c>
      <c r="AF53" s="58">
        <f t="shared" si="80"/>
        <v>0.12266666666666666</v>
      </c>
      <c r="AG53" s="61">
        <f t="shared" si="81"/>
        <v>0.12266666666666666</v>
      </c>
      <c r="AH53" s="58">
        <f t="shared" si="82"/>
        <v>6.649795685470871E-3</v>
      </c>
      <c r="AI53" s="49">
        <f t="shared" si="83"/>
        <v>1.1928204521810746</v>
      </c>
      <c r="AJ53" s="61">
        <f t="shared" si="57"/>
        <v>1.1994702478665455</v>
      </c>
      <c r="AK53" s="269">
        <f t="shared" si="84"/>
        <v>6.1333333333333329</v>
      </c>
      <c r="AL53" s="268">
        <f t="shared" si="13"/>
        <v>5</v>
      </c>
      <c r="AM53" s="270">
        <f t="shared" si="32"/>
        <v>1.2266666666666666</v>
      </c>
      <c r="AN53" s="269">
        <f t="shared" si="94"/>
        <v>2</v>
      </c>
      <c r="AO53" s="268">
        <f t="shared" si="95"/>
        <v>0.5404411764705882</v>
      </c>
      <c r="AP53" s="268">
        <f t="shared" si="96"/>
        <v>2.2697505668934239</v>
      </c>
      <c r="AQ53" s="268">
        <f t="shared" si="97"/>
        <v>2.1883753501400558</v>
      </c>
      <c r="AR53" s="268">
        <f t="shared" si="58"/>
        <v>3.363938241963452</v>
      </c>
      <c r="AS53" s="270">
        <f t="shared" si="59"/>
        <v>1.7320241996092236</v>
      </c>
      <c r="AT53" s="269"/>
      <c r="AU53" s="268">
        <f t="shared" si="98"/>
        <v>1.504711111111111E-2</v>
      </c>
      <c r="AV53" s="270">
        <f t="shared" si="60"/>
        <v>1.504711111111111E-2</v>
      </c>
      <c r="AW53" s="269">
        <f t="shared" si="99"/>
        <v>0.11424000000000001</v>
      </c>
      <c r="AX53" s="268">
        <f t="shared" si="100"/>
        <v>0.61333333333333329</v>
      </c>
      <c r="AY53" s="270">
        <f t="shared" si="61"/>
        <v>0.72757333333333329</v>
      </c>
      <c r="AZ53" s="263">
        <f t="shared" si="85"/>
        <v>0</v>
      </c>
      <c r="BA53" s="262">
        <f t="shared" si="86"/>
        <v>0</v>
      </c>
      <c r="BB53" s="262">
        <f t="shared" si="62"/>
        <v>0</v>
      </c>
      <c r="BC53" s="264" t="e">
        <f t="shared" si="101"/>
        <v>#DIV/0!</v>
      </c>
      <c r="BD53" s="263">
        <v>0</v>
      </c>
      <c r="BE53" s="262">
        <f t="shared" si="102"/>
        <v>0</v>
      </c>
      <c r="BF53" s="264">
        <f t="shared" si="64"/>
        <v>0</v>
      </c>
      <c r="BG53" s="263">
        <f t="shared" si="103"/>
        <v>0</v>
      </c>
      <c r="BH53" s="262">
        <f t="shared" si="104"/>
        <v>0</v>
      </c>
      <c r="BI53" s="264">
        <f t="shared" si="105"/>
        <v>0</v>
      </c>
      <c r="BK53" s="258">
        <f t="shared" si="87"/>
        <v>0</v>
      </c>
      <c r="BL53" s="257">
        <f t="shared" si="18"/>
        <v>0</v>
      </c>
      <c r="BM53" s="257">
        <f t="shared" si="88"/>
        <v>0</v>
      </c>
      <c r="BN53" s="259">
        <f t="shared" si="44"/>
        <v>0</v>
      </c>
      <c r="BO53" s="258">
        <v>0</v>
      </c>
      <c r="BP53" s="257">
        <f t="shared" si="106"/>
        <v>0</v>
      </c>
      <c r="BQ53" s="259">
        <f t="shared" si="65"/>
        <v>0</v>
      </c>
      <c r="BR53" s="258">
        <f t="shared" si="107"/>
        <v>0</v>
      </c>
      <c r="BS53" s="257">
        <f t="shared" si="108"/>
        <v>0</v>
      </c>
      <c r="BT53" s="259">
        <f t="shared" si="67"/>
        <v>0</v>
      </c>
      <c r="BU53" s="275">
        <f t="shared" si="89"/>
        <v>0</v>
      </c>
      <c r="BV53" s="274">
        <f t="shared" si="90"/>
        <v>0</v>
      </c>
      <c r="BW53" s="274">
        <f t="shared" si="91"/>
        <v>0</v>
      </c>
      <c r="BX53" s="276">
        <f t="shared" si="109"/>
        <v>0</v>
      </c>
      <c r="BY53" s="275">
        <v>0</v>
      </c>
      <c r="BZ53" s="274">
        <f t="shared" si="110"/>
        <v>0</v>
      </c>
      <c r="CA53" s="276">
        <f t="shared" si="68"/>
        <v>0</v>
      </c>
      <c r="CB53" s="275">
        <f t="shared" si="111"/>
        <v>0</v>
      </c>
      <c r="CC53" s="274">
        <f t="shared" si="112"/>
        <v>0</v>
      </c>
      <c r="CD53" s="276">
        <f t="shared" si="69"/>
        <v>0</v>
      </c>
      <c r="CE53" s="58">
        <f t="shared" si="113"/>
        <v>9.4997081221012431E-3</v>
      </c>
      <c r="CF53" s="49">
        <f t="shared" si="24"/>
        <v>7.3499999999999996E-2</v>
      </c>
      <c r="CG53" s="61">
        <f t="shared" si="70"/>
        <v>3.2340000000000001E-2</v>
      </c>
      <c r="CH53" s="49">
        <f t="shared" si="71"/>
        <v>2.4999231900266431E-3</v>
      </c>
      <c r="CI53" s="49">
        <f t="shared" si="72"/>
        <v>2.3052636569564506</v>
      </c>
      <c r="CJ53" s="49">
        <f t="shared" si="114"/>
        <v>72.681908383477776</v>
      </c>
      <c r="CN53" s="49">
        <f t="shared" si="53"/>
        <v>0.72757333333333329</v>
      </c>
      <c r="CO53" s="49">
        <f t="shared" si="54"/>
        <v>0</v>
      </c>
      <c r="CP53" s="49">
        <f t="shared" si="55"/>
        <v>0</v>
      </c>
      <c r="CQ53" s="49" t="str">
        <f t="shared" si="92"/>
        <v/>
      </c>
    </row>
    <row r="54" spans="12:95" x14ac:dyDescent="0.45">
      <c r="L54" s="49">
        <f t="shared" si="56"/>
        <v>31.333333333333336</v>
      </c>
      <c r="Q54" s="49">
        <v>47</v>
      </c>
      <c r="R54" s="278">
        <f t="shared" si="0"/>
        <v>6.2666666666666666</v>
      </c>
      <c r="S54" s="201">
        <f t="shared" si="1"/>
        <v>42</v>
      </c>
      <c r="T54" s="206">
        <f t="shared" si="73"/>
        <v>0.1492063492063492</v>
      </c>
      <c r="U54" s="205">
        <f t="shared" si="74"/>
        <v>2</v>
      </c>
      <c r="V54" s="201">
        <f t="shared" si="75"/>
        <v>0.45955882352941174</v>
      </c>
      <c r="W54" s="201">
        <f t="shared" si="76"/>
        <v>0.54044117647058831</v>
      </c>
      <c r="X54" s="201">
        <f t="shared" si="27"/>
        <v>0</v>
      </c>
      <c r="Y54" s="205">
        <f t="shared" si="93"/>
        <v>0.32467301587301589</v>
      </c>
      <c r="Z54" s="201">
        <f t="shared" si="77"/>
        <v>0.30637254901960786</v>
      </c>
      <c r="AA54" s="201">
        <f t="shared" si="29"/>
        <v>0.47785929038281982</v>
      </c>
      <c r="AB54" s="206">
        <f t="shared" si="78"/>
        <v>0.22811828032220863</v>
      </c>
      <c r="AC54" s="205">
        <v>0</v>
      </c>
      <c r="AD54" s="201">
        <f t="shared" si="79"/>
        <v>2.6018974908580878E-3</v>
      </c>
      <c r="AE54" s="206">
        <f t="shared" si="31"/>
        <v>2.6018974908580878E-3</v>
      </c>
      <c r="AF54" s="58">
        <f t="shared" si="80"/>
        <v>0.12533333333333332</v>
      </c>
      <c r="AG54" s="61">
        <f t="shared" si="81"/>
        <v>0.12533333333333332</v>
      </c>
      <c r="AH54" s="58">
        <f t="shared" si="82"/>
        <v>6.9210473256825136E-3</v>
      </c>
      <c r="AI54" s="49">
        <f t="shared" si="83"/>
        <v>1.2187513315763152</v>
      </c>
      <c r="AJ54" s="61">
        <f t="shared" si="57"/>
        <v>1.2256723789019977</v>
      </c>
      <c r="AK54" s="269">
        <f t="shared" si="84"/>
        <v>6.2666666666666666</v>
      </c>
      <c r="AL54" s="268">
        <f t="shared" si="13"/>
        <v>5</v>
      </c>
      <c r="AM54" s="270">
        <f t="shared" si="32"/>
        <v>1.2533333333333334</v>
      </c>
      <c r="AN54" s="269">
        <f t="shared" si="94"/>
        <v>2</v>
      </c>
      <c r="AO54" s="268">
        <f t="shared" si="95"/>
        <v>0.54044117647058831</v>
      </c>
      <c r="AP54" s="268">
        <f t="shared" si="96"/>
        <v>2.3190929705215417</v>
      </c>
      <c r="AQ54" s="268">
        <f t="shared" si="97"/>
        <v>2.1883753501400562</v>
      </c>
      <c r="AR54" s="268">
        <f t="shared" si="58"/>
        <v>3.4132806455915699</v>
      </c>
      <c r="AS54" s="270">
        <f t="shared" si="59"/>
        <v>1.7669966013067782</v>
      </c>
      <c r="AT54" s="269"/>
      <c r="AU54" s="268">
        <f t="shared" si="98"/>
        <v>1.5708444444444448E-2</v>
      </c>
      <c r="AV54" s="270">
        <f t="shared" si="60"/>
        <v>1.5708444444444448E-2</v>
      </c>
      <c r="AW54" s="269">
        <f t="shared" si="99"/>
        <v>0.11424000000000001</v>
      </c>
      <c r="AX54" s="268">
        <f t="shared" si="100"/>
        <v>0.62666666666666671</v>
      </c>
      <c r="AY54" s="270">
        <f t="shared" si="61"/>
        <v>0.74090666666666671</v>
      </c>
      <c r="AZ54" s="263">
        <f t="shared" si="85"/>
        <v>0</v>
      </c>
      <c r="BA54" s="262">
        <f t="shared" si="86"/>
        <v>0</v>
      </c>
      <c r="BB54" s="262">
        <f t="shared" si="62"/>
        <v>0</v>
      </c>
      <c r="BC54" s="264" t="e">
        <f t="shared" si="101"/>
        <v>#DIV/0!</v>
      </c>
      <c r="BD54" s="263">
        <v>0</v>
      </c>
      <c r="BE54" s="262">
        <f t="shared" si="102"/>
        <v>0</v>
      </c>
      <c r="BF54" s="264">
        <f t="shared" si="64"/>
        <v>0</v>
      </c>
      <c r="BG54" s="263">
        <f t="shared" si="103"/>
        <v>0</v>
      </c>
      <c r="BH54" s="262">
        <f t="shared" si="104"/>
        <v>0</v>
      </c>
      <c r="BI54" s="264">
        <f t="shared" si="105"/>
        <v>0</v>
      </c>
      <c r="BK54" s="258">
        <f t="shared" si="87"/>
        <v>0</v>
      </c>
      <c r="BL54" s="257">
        <f t="shared" si="18"/>
        <v>0</v>
      </c>
      <c r="BM54" s="257">
        <f t="shared" si="88"/>
        <v>0</v>
      </c>
      <c r="BN54" s="259">
        <f t="shared" si="44"/>
        <v>0</v>
      </c>
      <c r="BO54" s="258">
        <v>0</v>
      </c>
      <c r="BP54" s="257">
        <f t="shared" si="106"/>
        <v>0</v>
      </c>
      <c r="BQ54" s="259">
        <f t="shared" si="65"/>
        <v>0</v>
      </c>
      <c r="BR54" s="258">
        <f t="shared" si="107"/>
        <v>0</v>
      </c>
      <c r="BS54" s="257">
        <f t="shared" si="108"/>
        <v>0</v>
      </c>
      <c r="BT54" s="259">
        <f t="shared" si="67"/>
        <v>0</v>
      </c>
      <c r="BU54" s="275">
        <f t="shared" si="89"/>
        <v>0</v>
      </c>
      <c r="BV54" s="274">
        <f t="shared" si="90"/>
        <v>0</v>
      </c>
      <c r="BW54" s="274">
        <f t="shared" si="91"/>
        <v>0</v>
      </c>
      <c r="BX54" s="276">
        <f t="shared" si="109"/>
        <v>0</v>
      </c>
      <c r="BY54" s="275">
        <v>0</v>
      </c>
      <c r="BZ54" s="274">
        <f t="shared" si="110"/>
        <v>0</v>
      </c>
      <c r="CA54" s="276">
        <f t="shared" si="68"/>
        <v>0</v>
      </c>
      <c r="CB54" s="275">
        <f t="shared" si="111"/>
        <v>0</v>
      </c>
      <c r="CC54" s="274">
        <f t="shared" si="112"/>
        <v>0</v>
      </c>
      <c r="CD54" s="276">
        <f t="shared" si="69"/>
        <v>0</v>
      </c>
      <c r="CE54" s="58">
        <f t="shared" si="113"/>
        <v>9.8872104652607332E-3</v>
      </c>
      <c r="CF54" s="49">
        <f t="shared" si="24"/>
        <v>7.3499999999999996E-2</v>
      </c>
      <c r="CG54" s="61">
        <f t="shared" si="70"/>
        <v>3.2340000000000001E-2</v>
      </c>
      <c r="CH54" s="49">
        <f t="shared" si="71"/>
        <v>2.6018974908580878E-3</v>
      </c>
      <c r="CI54" s="49">
        <f t="shared" si="72"/>
        <v>2.3512832646358941</v>
      </c>
      <c r="CJ54" s="49">
        <f t="shared" si="114"/>
        <v>72.716443198452069</v>
      </c>
      <c r="CN54" s="49">
        <f t="shared" si="53"/>
        <v>0.74090666666666671</v>
      </c>
      <c r="CO54" s="49">
        <f t="shared" si="54"/>
        <v>0</v>
      </c>
      <c r="CP54" s="49">
        <f t="shared" si="55"/>
        <v>0</v>
      </c>
      <c r="CQ54" s="49" t="str">
        <f t="shared" si="92"/>
        <v/>
      </c>
    </row>
    <row r="55" spans="12:95" x14ac:dyDescent="0.45">
      <c r="L55" s="49">
        <f t="shared" si="56"/>
        <v>32</v>
      </c>
      <c r="Q55" s="49">
        <v>48</v>
      </c>
      <c r="R55" s="278">
        <f t="shared" si="0"/>
        <v>6.4</v>
      </c>
      <c r="S55" s="201">
        <f t="shared" si="1"/>
        <v>42</v>
      </c>
      <c r="T55" s="206">
        <f t="shared" si="73"/>
        <v>0.15238095238095239</v>
      </c>
      <c r="U55" s="205">
        <f t="shared" si="74"/>
        <v>2</v>
      </c>
      <c r="V55" s="201">
        <f t="shared" si="75"/>
        <v>0.45955882352941174</v>
      </c>
      <c r="W55" s="201">
        <f t="shared" si="76"/>
        <v>0.54044117647058831</v>
      </c>
      <c r="X55" s="201">
        <f t="shared" si="27"/>
        <v>0</v>
      </c>
      <c r="Y55" s="205">
        <f t="shared" si="93"/>
        <v>0.33158095238095242</v>
      </c>
      <c r="Z55" s="201">
        <f t="shared" si="77"/>
        <v>0.30637254901960786</v>
      </c>
      <c r="AA55" s="201">
        <f t="shared" si="29"/>
        <v>0.48476722689075635</v>
      </c>
      <c r="AB55" s="206">
        <f t="shared" si="78"/>
        <v>0.23263984127428974</v>
      </c>
      <c r="AC55" s="205">
        <v>0</v>
      </c>
      <c r="AD55" s="201">
        <f t="shared" si="79"/>
        <v>2.7060647874063365E-3</v>
      </c>
      <c r="AE55" s="206">
        <f t="shared" si="31"/>
        <v>2.7060647874063365E-3</v>
      </c>
      <c r="AF55" s="58">
        <f t="shared" si="80"/>
        <v>0.128</v>
      </c>
      <c r="AG55" s="61">
        <f t="shared" si="81"/>
        <v>0.128</v>
      </c>
      <c r="AH55" s="58">
        <f t="shared" si="82"/>
        <v>7.1981323345008553E-3</v>
      </c>
      <c r="AI55" s="49">
        <f t="shared" si="83"/>
        <v>1.2446822109715563</v>
      </c>
      <c r="AJ55" s="61">
        <f t="shared" si="57"/>
        <v>1.2518803433060572</v>
      </c>
      <c r="AK55" s="269">
        <f t="shared" si="84"/>
        <v>6.4</v>
      </c>
      <c r="AL55" s="268">
        <f t="shared" si="13"/>
        <v>5</v>
      </c>
      <c r="AM55" s="270">
        <f t="shared" si="32"/>
        <v>1.28</v>
      </c>
      <c r="AN55" s="269">
        <f t="shared" si="94"/>
        <v>2</v>
      </c>
      <c r="AO55" s="268">
        <f t="shared" si="95"/>
        <v>0.5404411764705882</v>
      </c>
      <c r="AP55" s="268">
        <f t="shared" si="96"/>
        <v>2.36843537414966</v>
      </c>
      <c r="AQ55" s="268">
        <f t="shared" si="97"/>
        <v>2.1883753501400558</v>
      </c>
      <c r="AR55" s="268">
        <f t="shared" si="58"/>
        <v>3.4626230492196877</v>
      </c>
      <c r="AS55" s="270">
        <f t="shared" si="59"/>
        <v>1.8020204618393221</v>
      </c>
      <c r="AT55" s="269"/>
      <c r="AU55" s="268">
        <f t="shared" si="98"/>
        <v>1.6384000000000003E-2</v>
      </c>
      <c r="AV55" s="270">
        <f t="shared" si="60"/>
        <v>1.6384000000000003E-2</v>
      </c>
      <c r="AW55" s="269">
        <f t="shared" si="99"/>
        <v>0.11424000000000001</v>
      </c>
      <c r="AX55" s="268">
        <f t="shared" si="100"/>
        <v>0.64</v>
      </c>
      <c r="AY55" s="270">
        <f t="shared" si="61"/>
        <v>0.75424000000000002</v>
      </c>
      <c r="AZ55" s="263">
        <f t="shared" si="85"/>
        <v>0</v>
      </c>
      <c r="BA55" s="262">
        <f t="shared" si="86"/>
        <v>0</v>
      </c>
      <c r="BB55" s="262">
        <f t="shared" si="62"/>
        <v>0</v>
      </c>
      <c r="BC55" s="264" t="e">
        <f t="shared" si="101"/>
        <v>#DIV/0!</v>
      </c>
      <c r="BD55" s="263">
        <v>0</v>
      </c>
      <c r="BE55" s="262">
        <f t="shared" si="102"/>
        <v>0</v>
      </c>
      <c r="BF55" s="264">
        <f t="shared" si="64"/>
        <v>0</v>
      </c>
      <c r="BG55" s="263">
        <f t="shared" si="103"/>
        <v>0</v>
      </c>
      <c r="BH55" s="262">
        <f t="shared" si="104"/>
        <v>0</v>
      </c>
      <c r="BI55" s="264">
        <f t="shared" si="105"/>
        <v>0</v>
      </c>
      <c r="BK55" s="258">
        <f t="shared" si="87"/>
        <v>0</v>
      </c>
      <c r="BL55" s="257">
        <f t="shared" si="18"/>
        <v>0</v>
      </c>
      <c r="BM55" s="257">
        <f t="shared" si="88"/>
        <v>0</v>
      </c>
      <c r="BN55" s="259">
        <f t="shared" si="44"/>
        <v>0</v>
      </c>
      <c r="BO55" s="258">
        <v>0</v>
      </c>
      <c r="BP55" s="257">
        <f t="shared" si="106"/>
        <v>0</v>
      </c>
      <c r="BQ55" s="259">
        <f t="shared" si="65"/>
        <v>0</v>
      </c>
      <c r="BR55" s="258">
        <f t="shared" si="107"/>
        <v>0</v>
      </c>
      <c r="BS55" s="257">
        <f t="shared" si="108"/>
        <v>0</v>
      </c>
      <c r="BT55" s="259">
        <f t="shared" si="67"/>
        <v>0</v>
      </c>
      <c r="BU55" s="275">
        <f t="shared" si="89"/>
        <v>0</v>
      </c>
      <c r="BV55" s="274">
        <f t="shared" si="90"/>
        <v>0</v>
      </c>
      <c r="BW55" s="274">
        <f t="shared" si="91"/>
        <v>0</v>
      </c>
      <c r="BX55" s="276">
        <f t="shared" si="109"/>
        <v>0</v>
      </c>
      <c r="BY55" s="275">
        <v>0</v>
      </c>
      <c r="BZ55" s="274">
        <f t="shared" si="110"/>
        <v>0</v>
      </c>
      <c r="CA55" s="276">
        <f t="shared" si="68"/>
        <v>0</v>
      </c>
      <c r="CB55" s="275">
        <f t="shared" si="111"/>
        <v>0</v>
      </c>
      <c r="CC55" s="274">
        <f t="shared" si="112"/>
        <v>0</v>
      </c>
      <c r="CD55" s="276">
        <f t="shared" si="69"/>
        <v>0</v>
      </c>
      <c r="CE55" s="58">
        <f t="shared" si="113"/>
        <v>1.0283046192144079E-2</v>
      </c>
      <c r="CF55" s="49">
        <f t="shared" si="24"/>
        <v>7.3499999999999996E-2</v>
      </c>
      <c r="CG55" s="61">
        <f t="shared" si="70"/>
        <v>3.2340000000000001E-2</v>
      </c>
      <c r="CH55" s="49">
        <f t="shared" si="71"/>
        <v>2.7060647874063365E-3</v>
      </c>
      <c r="CI55" s="49">
        <f t="shared" si="72"/>
        <v>2.397333454285608</v>
      </c>
      <c r="CJ55" s="49">
        <f t="shared" si="114"/>
        <v>72.749316974932327</v>
      </c>
      <c r="CN55" s="49">
        <f t="shared" si="53"/>
        <v>0.75424000000000002</v>
      </c>
      <c r="CO55" s="49">
        <f t="shared" si="54"/>
        <v>0</v>
      </c>
      <c r="CP55" s="49">
        <f t="shared" si="55"/>
        <v>0</v>
      </c>
      <c r="CQ55" s="49" t="str">
        <f t="shared" si="92"/>
        <v/>
      </c>
    </row>
    <row r="56" spans="12:95" x14ac:dyDescent="0.45">
      <c r="L56" s="49">
        <f t="shared" si="56"/>
        <v>32.666666666666664</v>
      </c>
      <c r="Q56" s="49">
        <v>49</v>
      </c>
      <c r="R56" s="278">
        <f t="shared" si="0"/>
        <v>6.5333333333333332</v>
      </c>
      <c r="S56" s="201">
        <f t="shared" si="1"/>
        <v>42</v>
      </c>
      <c r="T56" s="206">
        <f t="shared" si="73"/>
        <v>0.15555555555555556</v>
      </c>
      <c r="U56" s="205">
        <f t="shared" si="74"/>
        <v>2</v>
      </c>
      <c r="V56" s="201">
        <f t="shared" si="75"/>
        <v>0.45955882352941174</v>
      </c>
      <c r="W56" s="201">
        <f t="shared" si="76"/>
        <v>0.54044117647058831</v>
      </c>
      <c r="X56" s="201">
        <f t="shared" si="27"/>
        <v>0</v>
      </c>
      <c r="Y56" s="205">
        <f t="shared" si="93"/>
        <v>0.33848888888888889</v>
      </c>
      <c r="Z56" s="201">
        <f t="shared" si="77"/>
        <v>0.30637254901960786</v>
      </c>
      <c r="AA56" s="201">
        <f t="shared" si="29"/>
        <v>0.49167516339869283</v>
      </c>
      <c r="AB56" s="206">
        <f t="shared" si="78"/>
        <v>0.2371676655731717</v>
      </c>
      <c r="AC56" s="205">
        <v>0</v>
      </c>
      <c r="AD56" s="201">
        <f t="shared" si="79"/>
        <v>2.8124250796713909E-3</v>
      </c>
      <c r="AE56" s="206">
        <f t="shared" si="31"/>
        <v>2.8124250796713909E-3</v>
      </c>
      <c r="AF56" s="58">
        <f t="shared" si="80"/>
        <v>0.13066666666666665</v>
      </c>
      <c r="AG56" s="61">
        <f t="shared" si="81"/>
        <v>0.13066666666666665</v>
      </c>
      <c r="AH56" s="58">
        <f t="shared" si="82"/>
        <v>7.4810507119258997E-3</v>
      </c>
      <c r="AI56" s="49">
        <f t="shared" si="83"/>
        <v>1.2706130903667967</v>
      </c>
      <c r="AJ56" s="61">
        <f t="shared" si="57"/>
        <v>1.2780941410787225</v>
      </c>
      <c r="AK56" s="269">
        <f t="shared" si="84"/>
        <v>6.5333333333333332</v>
      </c>
      <c r="AL56" s="268">
        <f t="shared" si="13"/>
        <v>5</v>
      </c>
      <c r="AM56" s="270">
        <f t="shared" si="32"/>
        <v>1.3066666666666666</v>
      </c>
      <c r="AN56" s="269">
        <f t="shared" si="94"/>
        <v>2</v>
      </c>
      <c r="AO56" s="268">
        <f t="shared" si="95"/>
        <v>0.5404411764705882</v>
      </c>
      <c r="AP56" s="268">
        <f t="shared" si="96"/>
        <v>2.4177777777777778</v>
      </c>
      <c r="AQ56" s="268">
        <f t="shared" si="97"/>
        <v>2.1883753501400558</v>
      </c>
      <c r="AR56" s="268">
        <f t="shared" si="58"/>
        <v>3.5119654528478055</v>
      </c>
      <c r="AS56" s="270">
        <f t="shared" si="59"/>
        <v>1.8370928380475677</v>
      </c>
      <c r="AT56" s="269"/>
      <c r="AU56" s="268">
        <f t="shared" si="98"/>
        <v>1.7073777777777778E-2</v>
      </c>
      <c r="AV56" s="270">
        <f t="shared" si="60"/>
        <v>1.7073777777777778E-2</v>
      </c>
      <c r="AW56" s="269">
        <f t="shared" si="99"/>
        <v>0.11424000000000001</v>
      </c>
      <c r="AX56" s="268">
        <f t="shared" si="100"/>
        <v>0.65333333333333332</v>
      </c>
      <c r="AY56" s="270">
        <f t="shared" si="61"/>
        <v>0.76757333333333333</v>
      </c>
      <c r="AZ56" s="263">
        <f t="shared" si="85"/>
        <v>0</v>
      </c>
      <c r="BA56" s="262">
        <f t="shared" si="86"/>
        <v>0</v>
      </c>
      <c r="BB56" s="262">
        <f t="shared" si="62"/>
        <v>0</v>
      </c>
      <c r="BC56" s="264" t="e">
        <f t="shared" si="101"/>
        <v>#DIV/0!</v>
      </c>
      <c r="BD56" s="263">
        <v>0</v>
      </c>
      <c r="BE56" s="262">
        <f t="shared" si="102"/>
        <v>0</v>
      </c>
      <c r="BF56" s="264">
        <f t="shared" si="64"/>
        <v>0</v>
      </c>
      <c r="BG56" s="263">
        <f t="shared" si="103"/>
        <v>0</v>
      </c>
      <c r="BH56" s="262">
        <f t="shared" si="104"/>
        <v>0</v>
      </c>
      <c r="BI56" s="264">
        <f t="shared" si="105"/>
        <v>0</v>
      </c>
      <c r="BK56" s="258">
        <f t="shared" si="87"/>
        <v>0</v>
      </c>
      <c r="BL56" s="257">
        <f t="shared" si="18"/>
        <v>0</v>
      </c>
      <c r="BM56" s="257">
        <f t="shared" si="88"/>
        <v>0</v>
      </c>
      <c r="BN56" s="259">
        <f t="shared" si="44"/>
        <v>0</v>
      </c>
      <c r="BO56" s="258">
        <v>0</v>
      </c>
      <c r="BP56" s="257">
        <f t="shared" si="106"/>
        <v>0</v>
      </c>
      <c r="BQ56" s="259">
        <f t="shared" si="65"/>
        <v>0</v>
      </c>
      <c r="BR56" s="258">
        <f t="shared" si="107"/>
        <v>0</v>
      </c>
      <c r="BS56" s="257">
        <f t="shared" si="108"/>
        <v>0</v>
      </c>
      <c r="BT56" s="259">
        <f t="shared" si="67"/>
        <v>0</v>
      </c>
      <c r="BU56" s="275">
        <f t="shared" si="89"/>
        <v>0</v>
      </c>
      <c r="BV56" s="274">
        <f t="shared" si="90"/>
        <v>0</v>
      </c>
      <c r="BW56" s="274">
        <f t="shared" si="91"/>
        <v>0</v>
      </c>
      <c r="BX56" s="276">
        <f t="shared" si="109"/>
        <v>0</v>
      </c>
      <c r="BY56" s="275">
        <v>0</v>
      </c>
      <c r="BZ56" s="274">
        <f t="shared" si="110"/>
        <v>0</v>
      </c>
      <c r="CA56" s="276">
        <f t="shared" si="68"/>
        <v>0</v>
      </c>
      <c r="CB56" s="275">
        <f t="shared" si="111"/>
        <v>0</v>
      </c>
      <c r="CC56" s="274">
        <f t="shared" si="112"/>
        <v>0</v>
      </c>
      <c r="CD56" s="276">
        <f t="shared" si="69"/>
        <v>0</v>
      </c>
      <c r="CE56" s="58">
        <f t="shared" si="113"/>
        <v>1.0687215302751284E-2</v>
      </c>
      <c r="CF56" s="49">
        <f t="shared" si="24"/>
        <v>7.3499999999999996E-2</v>
      </c>
      <c r="CG56" s="61">
        <f t="shared" si="70"/>
        <v>3.2340000000000001E-2</v>
      </c>
      <c r="CH56" s="49">
        <f t="shared" si="71"/>
        <v>2.8124250796713909E-3</v>
      </c>
      <c r="CI56" s="49">
        <f t="shared" si="72"/>
        <v>2.4434142259055891</v>
      </c>
      <c r="CJ56" s="49">
        <f t="shared" si="114"/>
        <v>72.780628955185307</v>
      </c>
      <c r="CN56" s="49">
        <f t="shared" si="53"/>
        <v>0.76757333333333333</v>
      </c>
      <c r="CO56" s="49">
        <f t="shared" si="54"/>
        <v>0</v>
      </c>
      <c r="CP56" s="49">
        <f t="shared" si="55"/>
        <v>0</v>
      </c>
      <c r="CQ56" s="49" t="str">
        <f t="shared" si="92"/>
        <v/>
      </c>
    </row>
    <row r="57" spans="12:95" x14ac:dyDescent="0.45">
      <c r="L57" s="49">
        <f t="shared" si="56"/>
        <v>33.333333333333336</v>
      </c>
      <c r="Q57" s="49">
        <v>50</v>
      </c>
      <c r="R57" s="278">
        <f t="shared" si="0"/>
        <v>6.666666666666667</v>
      </c>
      <c r="S57" s="201">
        <f t="shared" si="1"/>
        <v>42</v>
      </c>
      <c r="T57" s="206">
        <f t="shared" si="73"/>
        <v>0.15873015873015875</v>
      </c>
      <c r="U57" s="205">
        <f t="shared" si="74"/>
        <v>2</v>
      </c>
      <c r="V57" s="201">
        <f t="shared" si="75"/>
        <v>0.45955882352941174</v>
      </c>
      <c r="W57" s="201">
        <f t="shared" si="76"/>
        <v>0.54044117647058831</v>
      </c>
      <c r="X57" s="201">
        <f t="shared" si="27"/>
        <v>0</v>
      </c>
      <c r="Y57" s="205">
        <f t="shared" si="93"/>
        <v>0.34539682539682542</v>
      </c>
      <c r="Z57" s="201">
        <f t="shared" si="77"/>
        <v>0.30637254901960786</v>
      </c>
      <c r="AA57" s="201">
        <f t="shared" si="29"/>
        <v>0.49858309990662936</v>
      </c>
      <c r="AB57" s="206">
        <f t="shared" si="78"/>
        <v>0.24170140122280012</v>
      </c>
      <c r="AC57" s="205">
        <v>0</v>
      </c>
      <c r="AD57" s="201">
        <f t="shared" si="79"/>
        <v>2.9209783676532506E-3</v>
      </c>
      <c r="AE57" s="206">
        <f t="shared" si="31"/>
        <v>2.9209783676532506E-3</v>
      </c>
      <c r="AF57" s="58">
        <f t="shared" si="80"/>
        <v>0.13333333333333333</v>
      </c>
      <c r="AG57" s="61">
        <f t="shared" si="81"/>
        <v>0.13333333333333333</v>
      </c>
      <c r="AH57" s="58">
        <f t="shared" si="82"/>
        <v>7.7698024579576459E-3</v>
      </c>
      <c r="AI57" s="49">
        <f t="shared" si="83"/>
        <v>1.2965439697620376</v>
      </c>
      <c r="AJ57" s="61">
        <f t="shared" si="57"/>
        <v>1.3043137722199951</v>
      </c>
      <c r="AK57" s="269">
        <f t="shared" si="84"/>
        <v>6.666666666666667</v>
      </c>
      <c r="AL57" s="268">
        <f t="shared" si="13"/>
        <v>5</v>
      </c>
      <c r="AM57" s="270">
        <f t="shared" si="32"/>
        <v>1.3333333333333335</v>
      </c>
      <c r="AN57" s="269">
        <f t="shared" si="94"/>
        <v>2</v>
      </c>
      <c r="AO57" s="268">
        <f t="shared" si="95"/>
        <v>0.54044117647058831</v>
      </c>
      <c r="AP57" s="268">
        <f t="shared" si="96"/>
        <v>2.4671201814058956</v>
      </c>
      <c r="AQ57" s="268">
        <f t="shared" si="97"/>
        <v>2.1883753501400562</v>
      </c>
      <c r="AR57" s="268">
        <f t="shared" si="58"/>
        <v>3.5613078564759237</v>
      </c>
      <c r="AS57" s="270">
        <f t="shared" si="59"/>
        <v>1.8722110033818036</v>
      </c>
      <c r="AT57" s="269"/>
      <c r="AU57" s="268">
        <f t="shared" si="98"/>
        <v>1.7777777777777781E-2</v>
      </c>
      <c r="AV57" s="270">
        <f t="shared" si="60"/>
        <v>1.7777777777777781E-2</v>
      </c>
      <c r="AW57" s="269">
        <f t="shared" si="99"/>
        <v>0.11424000000000001</v>
      </c>
      <c r="AX57" s="268">
        <f t="shared" si="100"/>
        <v>0.66666666666666674</v>
      </c>
      <c r="AY57" s="270">
        <f t="shared" si="61"/>
        <v>0.78090666666666675</v>
      </c>
      <c r="AZ57" s="263">
        <f t="shared" si="85"/>
        <v>0</v>
      </c>
      <c r="BA57" s="262">
        <f t="shared" si="86"/>
        <v>0</v>
      </c>
      <c r="BB57" s="262">
        <f t="shared" si="62"/>
        <v>0</v>
      </c>
      <c r="BC57" s="264" t="e">
        <f t="shared" si="101"/>
        <v>#DIV/0!</v>
      </c>
      <c r="BD57" s="263">
        <v>0</v>
      </c>
      <c r="BE57" s="262">
        <f t="shared" si="102"/>
        <v>0</v>
      </c>
      <c r="BF57" s="264">
        <f t="shared" si="64"/>
        <v>0</v>
      </c>
      <c r="BG57" s="263">
        <f t="shared" si="103"/>
        <v>0</v>
      </c>
      <c r="BH57" s="262">
        <f t="shared" si="104"/>
        <v>0</v>
      </c>
      <c r="BI57" s="264">
        <f t="shared" si="105"/>
        <v>0</v>
      </c>
      <c r="BK57" s="258">
        <f t="shared" si="87"/>
        <v>0</v>
      </c>
      <c r="BL57" s="257">
        <f t="shared" si="18"/>
        <v>0</v>
      </c>
      <c r="BM57" s="257">
        <f t="shared" si="88"/>
        <v>0</v>
      </c>
      <c r="BN57" s="259">
        <f t="shared" si="44"/>
        <v>0</v>
      </c>
      <c r="BO57" s="258">
        <v>0</v>
      </c>
      <c r="BP57" s="257">
        <f t="shared" si="106"/>
        <v>0</v>
      </c>
      <c r="BQ57" s="259">
        <f t="shared" si="65"/>
        <v>0</v>
      </c>
      <c r="BR57" s="258">
        <f t="shared" si="107"/>
        <v>0</v>
      </c>
      <c r="BS57" s="257">
        <f t="shared" si="108"/>
        <v>0</v>
      </c>
      <c r="BT57" s="259">
        <f t="shared" si="67"/>
        <v>0</v>
      </c>
      <c r="BU57" s="275">
        <f t="shared" si="89"/>
        <v>0</v>
      </c>
      <c r="BV57" s="274">
        <f t="shared" si="90"/>
        <v>0</v>
      </c>
      <c r="BW57" s="274">
        <f t="shared" si="91"/>
        <v>0</v>
      </c>
      <c r="BX57" s="276">
        <f t="shared" si="109"/>
        <v>0</v>
      </c>
      <c r="BY57" s="275">
        <v>0</v>
      </c>
      <c r="BZ57" s="274">
        <f t="shared" si="110"/>
        <v>0</v>
      </c>
      <c r="CA57" s="276">
        <f t="shared" si="68"/>
        <v>0</v>
      </c>
      <c r="CB57" s="275">
        <f t="shared" si="111"/>
        <v>0</v>
      </c>
      <c r="CC57" s="274">
        <f t="shared" si="112"/>
        <v>0</v>
      </c>
      <c r="CD57" s="276">
        <f t="shared" si="69"/>
        <v>0</v>
      </c>
      <c r="CE57" s="58">
        <f t="shared" si="113"/>
        <v>1.1099717797082352E-2</v>
      </c>
      <c r="CF57" s="49">
        <f t="shared" si="24"/>
        <v>7.3499999999999996E-2</v>
      </c>
      <c r="CG57" s="61">
        <f t="shared" si="70"/>
        <v>3.2340000000000001E-2</v>
      </c>
      <c r="CH57" s="49">
        <f t="shared" si="71"/>
        <v>2.9209783676532506E-3</v>
      </c>
      <c r="CI57" s="49">
        <f t="shared" si="72"/>
        <v>2.489525579495842</v>
      </c>
      <c r="CJ57" s="49">
        <f t="shared" si="114"/>
        <v>72.810470634894799</v>
      </c>
      <c r="CN57" s="49">
        <f t="shared" si="53"/>
        <v>0.78090666666666675</v>
      </c>
      <c r="CO57" s="49">
        <f t="shared" si="54"/>
        <v>0</v>
      </c>
      <c r="CP57" s="49">
        <f t="shared" si="55"/>
        <v>0</v>
      </c>
      <c r="CQ57" s="49" t="str">
        <f t="shared" si="92"/>
        <v/>
      </c>
    </row>
    <row r="58" spans="12:95" x14ac:dyDescent="0.45">
      <c r="L58" s="49">
        <f t="shared" si="56"/>
        <v>34</v>
      </c>
      <c r="Q58" s="49">
        <v>51</v>
      </c>
      <c r="R58" s="278">
        <f t="shared" si="0"/>
        <v>6.8</v>
      </c>
      <c r="S58" s="201">
        <f t="shared" si="1"/>
        <v>42</v>
      </c>
      <c r="T58" s="206">
        <f t="shared" si="73"/>
        <v>0.16190476190476191</v>
      </c>
      <c r="U58" s="205">
        <f t="shared" si="74"/>
        <v>2</v>
      </c>
      <c r="V58" s="201">
        <f t="shared" si="75"/>
        <v>0.45955882352941174</v>
      </c>
      <c r="W58" s="201">
        <f t="shared" si="76"/>
        <v>0.54044117647058831</v>
      </c>
      <c r="X58" s="201">
        <f t="shared" si="27"/>
        <v>0</v>
      </c>
      <c r="Y58" s="205">
        <f t="shared" si="93"/>
        <v>0.3523047619047619</v>
      </c>
      <c r="Z58" s="201">
        <f t="shared" si="77"/>
        <v>0.30637254901960786</v>
      </c>
      <c r="AA58" s="201">
        <f t="shared" si="29"/>
        <v>0.50549103641456583</v>
      </c>
      <c r="AB58" s="206">
        <f t="shared" si="78"/>
        <v>0.24624072170751587</v>
      </c>
      <c r="AC58" s="205">
        <v>0</v>
      </c>
      <c r="AD58" s="201">
        <f t="shared" si="79"/>
        <v>3.0317246513519142E-3</v>
      </c>
      <c r="AE58" s="206">
        <f t="shared" si="31"/>
        <v>3.0317246513519142E-3</v>
      </c>
      <c r="AF58" s="58">
        <f t="shared" si="80"/>
        <v>0.13600000000000001</v>
      </c>
      <c r="AG58" s="61">
        <f t="shared" si="81"/>
        <v>0.13600000000000001</v>
      </c>
      <c r="AH58" s="58">
        <f t="shared" si="82"/>
        <v>8.0643875725960913E-3</v>
      </c>
      <c r="AI58" s="49">
        <f t="shared" si="83"/>
        <v>1.3224748491572784</v>
      </c>
      <c r="AJ58" s="61">
        <f t="shared" si="57"/>
        <v>1.3305392367298745</v>
      </c>
      <c r="AK58" s="269">
        <f t="shared" si="84"/>
        <v>6.8</v>
      </c>
      <c r="AL58" s="268">
        <f t="shared" si="13"/>
        <v>5</v>
      </c>
      <c r="AM58" s="270">
        <f t="shared" si="32"/>
        <v>1.3599999999999999</v>
      </c>
      <c r="AN58" s="269">
        <f t="shared" si="94"/>
        <v>2</v>
      </c>
      <c r="AO58" s="268">
        <f t="shared" si="95"/>
        <v>0.5404411764705882</v>
      </c>
      <c r="AP58" s="268">
        <f t="shared" si="96"/>
        <v>2.5164625850340134</v>
      </c>
      <c r="AQ58" s="268">
        <f t="shared" si="97"/>
        <v>2.1883753501400558</v>
      </c>
      <c r="AR58" s="268">
        <f t="shared" si="58"/>
        <v>3.6106502601040411</v>
      </c>
      <c r="AS58" s="270">
        <f t="shared" si="59"/>
        <v>1.9073724286626079</v>
      </c>
      <c r="AT58" s="269"/>
      <c r="AU58" s="268">
        <f t="shared" si="98"/>
        <v>1.8495999999999999E-2</v>
      </c>
      <c r="AV58" s="270">
        <f t="shared" si="60"/>
        <v>1.8495999999999999E-2</v>
      </c>
      <c r="AW58" s="269">
        <f t="shared" si="99"/>
        <v>0.11424000000000001</v>
      </c>
      <c r="AX58" s="268">
        <f t="shared" si="100"/>
        <v>0.67999999999999994</v>
      </c>
      <c r="AY58" s="270">
        <f t="shared" si="61"/>
        <v>0.79423999999999995</v>
      </c>
      <c r="AZ58" s="263">
        <f t="shared" si="85"/>
        <v>0</v>
      </c>
      <c r="BA58" s="262">
        <f t="shared" si="86"/>
        <v>0</v>
      </c>
      <c r="BB58" s="262">
        <f t="shared" si="62"/>
        <v>0</v>
      </c>
      <c r="BC58" s="264" t="e">
        <f t="shared" si="101"/>
        <v>#DIV/0!</v>
      </c>
      <c r="BD58" s="263">
        <v>0</v>
      </c>
      <c r="BE58" s="262">
        <f t="shared" si="102"/>
        <v>0</v>
      </c>
      <c r="BF58" s="264">
        <f t="shared" si="64"/>
        <v>0</v>
      </c>
      <c r="BG58" s="263">
        <f t="shared" si="103"/>
        <v>0</v>
      </c>
      <c r="BH58" s="262">
        <f t="shared" si="104"/>
        <v>0</v>
      </c>
      <c r="BI58" s="264">
        <f t="shared" si="105"/>
        <v>0</v>
      </c>
      <c r="BK58" s="258">
        <f t="shared" si="87"/>
        <v>0</v>
      </c>
      <c r="BL58" s="257">
        <f t="shared" si="18"/>
        <v>0</v>
      </c>
      <c r="BM58" s="257">
        <f t="shared" si="88"/>
        <v>0</v>
      </c>
      <c r="BN58" s="259">
        <f t="shared" si="44"/>
        <v>0</v>
      </c>
      <c r="BO58" s="258">
        <v>0</v>
      </c>
      <c r="BP58" s="257">
        <f t="shared" si="106"/>
        <v>0</v>
      </c>
      <c r="BQ58" s="259">
        <f t="shared" si="65"/>
        <v>0</v>
      </c>
      <c r="BR58" s="258">
        <f t="shared" si="107"/>
        <v>0</v>
      </c>
      <c r="BS58" s="257">
        <f t="shared" si="108"/>
        <v>0</v>
      </c>
      <c r="BT58" s="259">
        <f t="shared" si="67"/>
        <v>0</v>
      </c>
      <c r="BU58" s="275">
        <f t="shared" si="89"/>
        <v>0</v>
      </c>
      <c r="BV58" s="274">
        <f t="shared" si="90"/>
        <v>0</v>
      </c>
      <c r="BW58" s="274">
        <f t="shared" si="91"/>
        <v>0</v>
      </c>
      <c r="BX58" s="276">
        <f t="shared" si="109"/>
        <v>0</v>
      </c>
      <c r="BY58" s="275">
        <v>0</v>
      </c>
      <c r="BZ58" s="274">
        <f t="shared" si="110"/>
        <v>0</v>
      </c>
      <c r="CA58" s="276">
        <f t="shared" si="68"/>
        <v>0</v>
      </c>
      <c r="CB58" s="275">
        <f t="shared" si="111"/>
        <v>0</v>
      </c>
      <c r="CC58" s="274">
        <f t="shared" si="112"/>
        <v>0</v>
      </c>
      <c r="CD58" s="276">
        <f t="shared" si="69"/>
        <v>0</v>
      </c>
      <c r="CE58" s="58">
        <f t="shared" si="113"/>
        <v>1.1520553675137274E-2</v>
      </c>
      <c r="CF58" s="49">
        <f t="shared" si="24"/>
        <v>7.3499999999999996E-2</v>
      </c>
      <c r="CG58" s="61">
        <f t="shared" si="70"/>
        <v>3.2340000000000001E-2</v>
      </c>
      <c r="CH58" s="49">
        <f t="shared" si="71"/>
        <v>3.0317246513519142E-3</v>
      </c>
      <c r="CI58" s="49">
        <f t="shared" si="72"/>
        <v>2.5356675150563639</v>
      </c>
      <c r="CJ58" s="49">
        <f t="shared" si="114"/>
        <v>72.838926504538705</v>
      </c>
      <c r="CN58" s="49">
        <f t="shared" si="53"/>
        <v>0.79423999999999995</v>
      </c>
      <c r="CO58" s="49">
        <f t="shared" si="54"/>
        <v>0</v>
      </c>
      <c r="CP58" s="49">
        <f t="shared" si="55"/>
        <v>0</v>
      </c>
      <c r="CQ58" s="49" t="str">
        <f t="shared" si="92"/>
        <v/>
      </c>
    </row>
    <row r="59" spans="12:95" x14ac:dyDescent="0.45">
      <c r="L59" s="49">
        <f t="shared" si="56"/>
        <v>34.666666666666671</v>
      </c>
      <c r="Q59" s="49">
        <v>52</v>
      </c>
      <c r="R59" s="278">
        <f t="shared" si="0"/>
        <v>6.9333333333333336</v>
      </c>
      <c r="S59" s="201">
        <f t="shared" si="1"/>
        <v>42</v>
      </c>
      <c r="T59" s="206">
        <f t="shared" si="73"/>
        <v>0.16507936507936508</v>
      </c>
      <c r="U59" s="205">
        <f t="shared" si="74"/>
        <v>2</v>
      </c>
      <c r="V59" s="201">
        <f t="shared" si="75"/>
        <v>0.45955882352941174</v>
      </c>
      <c r="W59" s="201">
        <f t="shared" si="76"/>
        <v>0.54044117647058831</v>
      </c>
      <c r="X59" s="201">
        <f t="shared" si="27"/>
        <v>0</v>
      </c>
      <c r="Y59" s="205">
        <f t="shared" si="93"/>
        <v>0.35921269841269843</v>
      </c>
      <c r="Z59" s="201">
        <f t="shared" si="77"/>
        <v>0.30637254901960786</v>
      </c>
      <c r="AA59" s="201">
        <f t="shared" si="29"/>
        <v>0.51239897292250236</v>
      </c>
      <c r="AB59" s="206">
        <f t="shared" si="78"/>
        <v>0.2507853237638672</v>
      </c>
      <c r="AC59" s="205">
        <v>0</v>
      </c>
      <c r="AD59" s="201">
        <f t="shared" si="79"/>
        <v>3.1446639307673844E-3</v>
      </c>
      <c r="AE59" s="206">
        <f t="shared" si="31"/>
        <v>3.1446639307673844E-3</v>
      </c>
      <c r="AF59" s="58">
        <f t="shared" si="80"/>
        <v>0.13866666666666669</v>
      </c>
      <c r="AG59" s="61">
        <f t="shared" si="81"/>
        <v>0.13866666666666669</v>
      </c>
      <c r="AH59" s="58">
        <f t="shared" si="82"/>
        <v>8.364806055841242E-3</v>
      </c>
      <c r="AI59" s="49">
        <f t="shared" si="83"/>
        <v>1.3484057285525191</v>
      </c>
      <c r="AJ59" s="61">
        <f t="shared" si="57"/>
        <v>1.3567705346083603</v>
      </c>
      <c r="AK59" s="269">
        <f t="shared" si="84"/>
        <v>6.9333333333333336</v>
      </c>
      <c r="AL59" s="268">
        <f t="shared" si="13"/>
        <v>5</v>
      </c>
      <c r="AM59" s="270">
        <f t="shared" si="32"/>
        <v>1.3866666666666667</v>
      </c>
      <c r="AN59" s="269">
        <f t="shared" si="94"/>
        <v>2</v>
      </c>
      <c r="AO59" s="268">
        <f t="shared" si="95"/>
        <v>0.54044117647058831</v>
      </c>
      <c r="AP59" s="268">
        <f t="shared" si="96"/>
        <v>2.5658049886621312</v>
      </c>
      <c r="AQ59" s="268">
        <f t="shared" si="97"/>
        <v>2.1883753501400562</v>
      </c>
      <c r="AR59" s="268">
        <f t="shared" si="58"/>
        <v>3.6599926637321594</v>
      </c>
      <c r="AS59" s="270">
        <f t="shared" si="59"/>
        <v>1.9425747648213856</v>
      </c>
      <c r="AT59" s="269"/>
      <c r="AU59" s="268">
        <f t="shared" si="98"/>
        <v>1.9228444444444447E-2</v>
      </c>
      <c r="AV59" s="270">
        <f t="shared" si="60"/>
        <v>1.9228444444444447E-2</v>
      </c>
      <c r="AW59" s="269">
        <f t="shared" si="99"/>
        <v>0.11424000000000001</v>
      </c>
      <c r="AX59" s="268">
        <f t="shared" si="100"/>
        <v>0.69333333333333336</v>
      </c>
      <c r="AY59" s="270">
        <f t="shared" si="61"/>
        <v>0.80757333333333337</v>
      </c>
      <c r="AZ59" s="263">
        <f t="shared" si="85"/>
        <v>0</v>
      </c>
      <c r="BA59" s="262">
        <f t="shared" si="86"/>
        <v>0</v>
      </c>
      <c r="BB59" s="262">
        <f t="shared" si="62"/>
        <v>0</v>
      </c>
      <c r="BC59" s="264" t="e">
        <f t="shared" si="101"/>
        <v>#DIV/0!</v>
      </c>
      <c r="BD59" s="263">
        <v>0</v>
      </c>
      <c r="BE59" s="262">
        <f t="shared" si="102"/>
        <v>0</v>
      </c>
      <c r="BF59" s="264">
        <f t="shared" si="64"/>
        <v>0</v>
      </c>
      <c r="BG59" s="263">
        <f t="shared" si="103"/>
        <v>0</v>
      </c>
      <c r="BH59" s="262">
        <f t="shared" si="104"/>
        <v>0</v>
      </c>
      <c r="BI59" s="264">
        <f t="shared" si="105"/>
        <v>0</v>
      </c>
      <c r="BK59" s="258">
        <f t="shared" si="87"/>
        <v>0</v>
      </c>
      <c r="BL59" s="257">
        <f t="shared" si="18"/>
        <v>0</v>
      </c>
      <c r="BM59" s="257">
        <f t="shared" si="88"/>
        <v>0</v>
      </c>
      <c r="BN59" s="259">
        <f t="shared" si="44"/>
        <v>0</v>
      </c>
      <c r="BO59" s="258">
        <v>0</v>
      </c>
      <c r="BP59" s="257">
        <f t="shared" si="106"/>
        <v>0</v>
      </c>
      <c r="BQ59" s="259">
        <f t="shared" si="65"/>
        <v>0</v>
      </c>
      <c r="BR59" s="258">
        <f t="shared" si="107"/>
        <v>0</v>
      </c>
      <c r="BS59" s="257">
        <f t="shared" si="108"/>
        <v>0</v>
      </c>
      <c r="BT59" s="259">
        <f t="shared" si="67"/>
        <v>0</v>
      </c>
      <c r="BU59" s="275">
        <f t="shared" si="89"/>
        <v>0</v>
      </c>
      <c r="BV59" s="274">
        <f t="shared" si="90"/>
        <v>0</v>
      </c>
      <c r="BW59" s="274">
        <f t="shared" si="91"/>
        <v>0</v>
      </c>
      <c r="BX59" s="276">
        <f t="shared" si="109"/>
        <v>0</v>
      </c>
      <c r="BY59" s="275">
        <v>0</v>
      </c>
      <c r="BZ59" s="274">
        <f t="shared" si="110"/>
        <v>0</v>
      </c>
      <c r="CA59" s="276">
        <f t="shared" si="68"/>
        <v>0</v>
      </c>
      <c r="CB59" s="275">
        <f t="shared" si="111"/>
        <v>0</v>
      </c>
      <c r="CC59" s="274">
        <f t="shared" si="112"/>
        <v>0</v>
      </c>
      <c r="CD59" s="276">
        <f t="shared" si="69"/>
        <v>0</v>
      </c>
      <c r="CE59" s="58">
        <f t="shared" si="113"/>
        <v>1.194972293691606E-2</v>
      </c>
      <c r="CF59" s="49">
        <f t="shared" si="24"/>
        <v>7.3499999999999996E-2</v>
      </c>
      <c r="CG59" s="61">
        <f t="shared" si="70"/>
        <v>3.2340000000000001E-2</v>
      </c>
      <c r="CH59" s="49">
        <f t="shared" si="71"/>
        <v>3.1446639307673844E-3</v>
      </c>
      <c r="CI59" s="49">
        <f t="shared" si="72"/>
        <v>2.5818400325871544</v>
      </c>
      <c r="CJ59" s="49">
        <f t="shared" si="114"/>
        <v>72.866074707222211</v>
      </c>
      <c r="CN59" s="49">
        <f t="shared" si="53"/>
        <v>0.80757333333333337</v>
      </c>
      <c r="CO59" s="49">
        <f t="shared" si="54"/>
        <v>0</v>
      </c>
      <c r="CP59" s="49">
        <f t="shared" si="55"/>
        <v>0</v>
      </c>
      <c r="CQ59" s="49" t="str">
        <f t="shared" si="92"/>
        <v/>
      </c>
    </row>
    <row r="60" spans="12:95" x14ac:dyDescent="0.45">
      <c r="L60" s="49">
        <f t="shared" si="56"/>
        <v>35.333333333333336</v>
      </c>
      <c r="Q60" s="49">
        <v>53</v>
      </c>
      <c r="R60" s="278">
        <f t="shared" si="0"/>
        <v>7.0666666666666664</v>
      </c>
      <c r="S60" s="201">
        <f t="shared" si="1"/>
        <v>42</v>
      </c>
      <c r="T60" s="206">
        <f t="shared" si="73"/>
        <v>0.16825396825396824</v>
      </c>
      <c r="U60" s="205">
        <f t="shared" si="74"/>
        <v>2</v>
      </c>
      <c r="V60" s="201">
        <f t="shared" si="75"/>
        <v>0.45955882352941174</v>
      </c>
      <c r="W60" s="201">
        <f t="shared" si="76"/>
        <v>0.54044117647058831</v>
      </c>
      <c r="X60" s="201">
        <f t="shared" si="27"/>
        <v>0</v>
      </c>
      <c r="Y60" s="205">
        <f t="shared" si="93"/>
        <v>0.3661206349206349</v>
      </c>
      <c r="Z60" s="201">
        <f t="shared" si="77"/>
        <v>0.30637254901960786</v>
      </c>
      <c r="AA60" s="201">
        <f t="shared" si="29"/>
        <v>0.51930690943043878</v>
      </c>
      <c r="AB60" s="206">
        <f t="shared" si="78"/>
        <v>0.25533492537840013</v>
      </c>
      <c r="AC60" s="205">
        <v>0</v>
      </c>
      <c r="AD60" s="201">
        <f t="shared" si="79"/>
        <v>3.2597962058996581E-3</v>
      </c>
      <c r="AE60" s="206">
        <f t="shared" si="31"/>
        <v>3.2597962058996581E-3</v>
      </c>
      <c r="AF60" s="58">
        <f t="shared" si="80"/>
        <v>0.14133333333333334</v>
      </c>
      <c r="AG60" s="61">
        <f t="shared" si="81"/>
        <v>0.14133333333333334</v>
      </c>
      <c r="AH60" s="58">
        <f t="shared" si="82"/>
        <v>8.6710579076930902E-3</v>
      </c>
      <c r="AI60" s="49">
        <f t="shared" si="83"/>
        <v>1.3743366079477597</v>
      </c>
      <c r="AJ60" s="61">
        <f t="shared" si="57"/>
        <v>1.3830076658554529</v>
      </c>
      <c r="AK60" s="269">
        <f t="shared" si="84"/>
        <v>7.0666666666666664</v>
      </c>
      <c r="AL60" s="268">
        <f t="shared" si="13"/>
        <v>5</v>
      </c>
      <c r="AM60" s="270">
        <f t="shared" si="32"/>
        <v>1.4133333333333333</v>
      </c>
      <c r="AN60" s="269">
        <f t="shared" si="94"/>
        <v>2</v>
      </c>
      <c r="AO60" s="268">
        <f t="shared" si="95"/>
        <v>0.54044117647058831</v>
      </c>
      <c r="AP60" s="268">
        <f t="shared" si="96"/>
        <v>2.6151473922902491</v>
      </c>
      <c r="AQ60" s="268">
        <f t="shared" si="97"/>
        <v>2.1883753501400562</v>
      </c>
      <c r="AR60" s="268">
        <f t="shared" si="58"/>
        <v>3.7093350673602772</v>
      </c>
      <c r="AS60" s="270">
        <f t="shared" si="59"/>
        <v>1.9778158273913149</v>
      </c>
      <c r="AT60" s="269"/>
      <c r="AU60" s="268">
        <f t="shared" si="98"/>
        <v>1.997511111111111E-2</v>
      </c>
      <c r="AV60" s="270">
        <f t="shared" si="60"/>
        <v>1.997511111111111E-2</v>
      </c>
      <c r="AW60" s="269">
        <f t="shared" si="99"/>
        <v>0.11424000000000001</v>
      </c>
      <c r="AX60" s="268">
        <f t="shared" si="100"/>
        <v>0.70666666666666667</v>
      </c>
      <c r="AY60" s="270">
        <f t="shared" si="61"/>
        <v>0.82090666666666667</v>
      </c>
      <c r="AZ60" s="263">
        <f t="shared" si="85"/>
        <v>0</v>
      </c>
      <c r="BA60" s="262">
        <f t="shared" si="86"/>
        <v>0</v>
      </c>
      <c r="BB60" s="262">
        <f t="shared" si="62"/>
        <v>0</v>
      </c>
      <c r="BC60" s="264" t="e">
        <f t="shared" si="101"/>
        <v>#DIV/0!</v>
      </c>
      <c r="BD60" s="263">
        <v>0</v>
      </c>
      <c r="BE60" s="262">
        <f t="shared" si="102"/>
        <v>0</v>
      </c>
      <c r="BF60" s="264">
        <f t="shared" si="64"/>
        <v>0</v>
      </c>
      <c r="BG60" s="263">
        <f t="shared" si="103"/>
        <v>0</v>
      </c>
      <c r="BH60" s="262">
        <f t="shared" si="104"/>
        <v>0</v>
      </c>
      <c r="BI60" s="264">
        <f t="shared" si="105"/>
        <v>0</v>
      </c>
      <c r="BK60" s="258">
        <f t="shared" si="87"/>
        <v>0</v>
      </c>
      <c r="BL60" s="257">
        <f t="shared" si="18"/>
        <v>0</v>
      </c>
      <c r="BM60" s="257">
        <f t="shared" si="88"/>
        <v>0</v>
      </c>
      <c r="BN60" s="259">
        <f t="shared" si="44"/>
        <v>0</v>
      </c>
      <c r="BO60" s="258">
        <v>0</v>
      </c>
      <c r="BP60" s="257">
        <f t="shared" si="106"/>
        <v>0</v>
      </c>
      <c r="BQ60" s="259">
        <f t="shared" si="65"/>
        <v>0</v>
      </c>
      <c r="BR60" s="258">
        <f t="shared" si="107"/>
        <v>0</v>
      </c>
      <c r="BS60" s="257">
        <f t="shared" si="108"/>
        <v>0</v>
      </c>
      <c r="BT60" s="259">
        <f t="shared" si="67"/>
        <v>0</v>
      </c>
      <c r="BU60" s="275">
        <f t="shared" si="89"/>
        <v>0</v>
      </c>
      <c r="BV60" s="274">
        <f t="shared" si="90"/>
        <v>0</v>
      </c>
      <c r="BW60" s="274">
        <f t="shared" si="91"/>
        <v>0</v>
      </c>
      <c r="BX60" s="276">
        <f t="shared" si="109"/>
        <v>0</v>
      </c>
      <c r="BY60" s="275">
        <v>0</v>
      </c>
      <c r="BZ60" s="274">
        <f t="shared" si="110"/>
        <v>0</v>
      </c>
      <c r="CA60" s="276">
        <f t="shared" si="68"/>
        <v>0</v>
      </c>
      <c r="CB60" s="275">
        <f t="shared" si="111"/>
        <v>0</v>
      </c>
      <c r="CC60" s="274">
        <f t="shared" si="112"/>
        <v>0</v>
      </c>
      <c r="CD60" s="276">
        <f t="shared" si="69"/>
        <v>0</v>
      </c>
      <c r="CE60" s="58">
        <f t="shared" si="113"/>
        <v>1.23872255824187E-2</v>
      </c>
      <c r="CF60" s="49">
        <f t="shared" si="24"/>
        <v>7.3499999999999996E-2</v>
      </c>
      <c r="CG60" s="61">
        <f t="shared" si="70"/>
        <v>3.2340000000000001E-2</v>
      </c>
      <c r="CH60" s="49">
        <f t="shared" si="71"/>
        <v>3.2597962058996581E-3</v>
      </c>
      <c r="CI60" s="49">
        <f t="shared" si="72"/>
        <v>2.6280431320882158</v>
      </c>
      <c r="CJ60" s="49">
        <f t="shared" si="114"/>
        <v>72.891987623747724</v>
      </c>
      <c r="CN60" s="49">
        <f t="shared" si="53"/>
        <v>0.82090666666666667</v>
      </c>
      <c r="CO60" s="49">
        <f t="shared" si="54"/>
        <v>0</v>
      </c>
      <c r="CP60" s="49">
        <f t="shared" si="55"/>
        <v>0</v>
      </c>
      <c r="CQ60" s="49" t="str">
        <f t="shared" si="92"/>
        <v/>
      </c>
    </row>
    <row r="61" spans="12:95" x14ac:dyDescent="0.45">
      <c r="L61" s="49">
        <f t="shared" si="56"/>
        <v>36</v>
      </c>
      <c r="Q61" s="49">
        <v>54</v>
      </c>
      <c r="R61" s="278">
        <f t="shared" si="0"/>
        <v>7.2</v>
      </c>
      <c r="S61" s="201">
        <f t="shared" si="1"/>
        <v>42</v>
      </c>
      <c r="T61" s="206">
        <f t="shared" si="73"/>
        <v>0.17142857142857143</v>
      </c>
      <c r="U61" s="205">
        <f t="shared" si="74"/>
        <v>2</v>
      </c>
      <c r="V61" s="201">
        <f t="shared" si="75"/>
        <v>0.45955882352941174</v>
      </c>
      <c r="W61" s="201">
        <f t="shared" si="76"/>
        <v>0.54044117647058831</v>
      </c>
      <c r="X61" s="201">
        <f t="shared" si="27"/>
        <v>0</v>
      </c>
      <c r="Y61" s="205">
        <f t="shared" si="93"/>
        <v>0.37302857142857143</v>
      </c>
      <c r="Z61" s="201">
        <f t="shared" si="77"/>
        <v>0.30637254901960786</v>
      </c>
      <c r="AA61" s="201">
        <f t="shared" si="29"/>
        <v>0.52621484593837531</v>
      </c>
      <c r="AB61" s="206">
        <f t="shared" si="78"/>
        <v>0.25988926398559598</v>
      </c>
      <c r="AC61" s="205">
        <v>0</v>
      </c>
      <c r="AD61" s="201">
        <f t="shared" si="79"/>
        <v>3.3771214767487397E-3</v>
      </c>
      <c r="AE61" s="206">
        <f t="shared" si="31"/>
        <v>3.3771214767487397E-3</v>
      </c>
      <c r="AF61" s="58">
        <f t="shared" si="80"/>
        <v>0.14400000000000002</v>
      </c>
      <c r="AG61" s="61">
        <f t="shared" si="81"/>
        <v>0.14400000000000002</v>
      </c>
      <c r="AH61" s="58">
        <f t="shared" si="82"/>
        <v>8.983143128151648E-3</v>
      </c>
      <c r="AI61" s="49">
        <f t="shared" si="83"/>
        <v>1.4002674873430005</v>
      </c>
      <c r="AJ61" s="61">
        <f t="shared" si="57"/>
        <v>1.4092506304711523</v>
      </c>
      <c r="AK61" s="269">
        <f t="shared" si="84"/>
        <v>7.2</v>
      </c>
      <c r="AL61" s="268">
        <f t="shared" si="13"/>
        <v>5</v>
      </c>
      <c r="AM61" s="270">
        <f t="shared" si="32"/>
        <v>1.44</v>
      </c>
      <c r="AN61" s="269">
        <f t="shared" si="94"/>
        <v>2</v>
      </c>
      <c r="AO61" s="268">
        <f t="shared" si="95"/>
        <v>0.54044117647058831</v>
      </c>
      <c r="AP61" s="268">
        <f t="shared" si="96"/>
        <v>2.6644897959183669</v>
      </c>
      <c r="AQ61" s="268">
        <f t="shared" si="97"/>
        <v>2.1883753501400562</v>
      </c>
      <c r="AR61" s="268">
        <f t="shared" si="58"/>
        <v>3.758677470988395</v>
      </c>
      <c r="AS61" s="270">
        <f t="shared" si="59"/>
        <v>2.013093582548632</v>
      </c>
      <c r="AT61" s="269"/>
      <c r="AU61" s="268">
        <f t="shared" si="98"/>
        <v>2.0736000000000001E-2</v>
      </c>
      <c r="AV61" s="270">
        <f t="shared" si="60"/>
        <v>2.0736000000000001E-2</v>
      </c>
      <c r="AW61" s="269">
        <f t="shared" si="99"/>
        <v>0.11424000000000001</v>
      </c>
      <c r="AX61" s="268">
        <f t="shared" si="100"/>
        <v>0.72</v>
      </c>
      <c r="AY61" s="270">
        <f t="shared" si="61"/>
        <v>0.83423999999999998</v>
      </c>
      <c r="AZ61" s="263">
        <f t="shared" si="85"/>
        <v>0</v>
      </c>
      <c r="BA61" s="262">
        <f t="shared" si="86"/>
        <v>0</v>
      </c>
      <c r="BB61" s="262">
        <f t="shared" si="62"/>
        <v>0</v>
      </c>
      <c r="BC61" s="264" t="e">
        <f t="shared" si="101"/>
        <v>#DIV/0!</v>
      </c>
      <c r="BD61" s="263">
        <v>0</v>
      </c>
      <c r="BE61" s="262">
        <f t="shared" si="102"/>
        <v>0</v>
      </c>
      <c r="BF61" s="264">
        <f t="shared" si="64"/>
        <v>0</v>
      </c>
      <c r="BG61" s="263">
        <f t="shared" si="103"/>
        <v>0</v>
      </c>
      <c r="BH61" s="262">
        <f t="shared" si="104"/>
        <v>0</v>
      </c>
      <c r="BI61" s="264">
        <f t="shared" si="105"/>
        <v>0</v>
      </c>
      <c r="BK61" s="258">
        <f t="shared" si="87"/>
        <v>0</v>
      </c>
      <c r="BL61" s="257">
        <f t="shared" si="18"/>
        <v>0</v>
      </c>
      <c r="BM61" s="257">
        <f t="shared" si="88"/>
        <v>0</v>
      </c>
      <c r="BN61" s="259">
        <f t="shared" si="44"/>
        <v>0</v>
      </c>
      <c r="BO61" s="258">
        <v>0</v>
      </c>
      <c r="BP61" s="257">
        <f t="shared" si="106"/>
        <v>0</v>
      </c>
      <c r="BQ61" s="259">
        <f t="shared" si="65"/>
        <v>0</v>
      </c>
      <c r="BR61" s="258">
        <f t="shared" si="107"/>
        <v>0</v>
      </c>
      <c r="BS61" s="257">
        <f t="shared" si="108"/>
        <v>0</v>
      </c>
      <c r="BT61" s="259">
        <f t="shared" si="67"/>
        <v>0</v>
      </c>
      <c r="BU61" s="275">
        <f t="shared" si="89"/>
        <v>0</v>
      </c>
      <c r="BV61" s="274">
        <f t="shared" si="90"/>
        <v>0</v>
      </c>
      <c r="BW61" s="274">
        <f t="shared" si="91"/>
        <v>0</v>
      </c>
      <c r="BX61" s="276">
        <f t="shared" si="109"/>
        <v>0</v>
      </c>
      <c r="BY61" s="275">
        <v>0</v>
      </c>
      <c r="BZ61" s="274">
        <f t="shared" si="110"/>
        <v>0</v>
      </c>
      <c r="CA61" s="276">
        <f t="shared" si="68"/>
        <v>0</v>
      </c>
      <c r="CB61" s="275">
        <f t="shared" si="111"/>
        <v>0</v>
      </c>
      <c r="CC61" s="274">
        <f t="shared" si="112"/>
        <v>0</v>
      </c>
      <c r="CD61" s="276">
        <f t="shared" si="69"/>
        <v>0</v>
      </c>
      <c r="CE61" s="58">
        <f t="shared" si="113"/>
        <v>1.283306161164521E-2</v>
      </c>
      <c r="CF61" s="49">
        <f t="shared" si="24"/>
        <v>7.3499999999999996E-2</v>
      </c>
      <c r="CG61" s="61">
        <f t="shared" si="70"/>
        <v>3.2340000000000001E-2</v>
      </c>
      <c r="CH61" s="49">
        <f t="shared" si="71"/>
        <v>3.3771214767487397E-3</v>
      </c>
      <c r="CI61" s="49">
        <f t="shared" si="72"/>
        <v>2.6742768135595463</v>
      </c>
      <c r="CJ61" s="49">
        <f t="shared" si="114"/>
        <v>72.916732394141732</v>
      </c>
      <c r="CN61" s="49">
        <f t="shared" si="53"/>
        <v>0.83423999999999998</v>
      </c>
      <c r="CO61" s="49">
        <f t="shared" si="54"/>
        <v>0</v>
      </c>
      <c r="CP61" s="49">
        <f t="shared" si="55"/>
        <v>0</v>
      </c>
      <c r="CQ61" s="49" t="str">
        <f t="shared" si="92"/>
        <v/>
      </c>
    </row>
    <row r="62" spans="12:95" x14ac:dyDescent="0.45">
      <c r="L62" s="49">
        <f t="shared" si="56"/>
        <v>36.666666666666664</v>
      </c>
      <c r="Q62" s="49">
        <v>55</v>
      </c>
      <c r="R62" s="278">
        <f t="shared" si="0"/>
        <v>7.333333333333333</v>
      </c>
      <c r="S62" s="201">
        <f t="shared" si="1"/>
        <v>42</v>
      </c>
      <c r="T62" s="206">
        <f t="shared" si="73"/>
        <v>0.17460317460317459</v>
      </c>
      <c r="U62" s="205">
        <f t="shared" si="74"/>
        <v>2</v>
      </c>
      <c r="V62" s="201">
        <f t="shared" si="75"/>
        <v>0.45955882352941174</v>
      </c>
      <c r="W62" s="201">
        <f t="shared" si="76"/>
        <v>0.54044117647058831</v>
      </c>
      <c r="X62" s="201">
        <f t="shared" si="27"/>
        <v>0</v>
      </c>
      <c r="Y62" s="205">
        <f t="shared" si="93"/>
        <v>0.37993650793650796</v>
      </c>
      <c r="Z62" s="201">
        <f t="shared" si="77"/>
        <v>0.30637254901960786</v>
      </c>
      <c r="AA62" s="201">
        <f t="shared" si="29"/>
        <v>0.53312278244631184</v>
      </c>
      <c r="AB62" s="206">
        <f t="shared" si="78"/>
        <v>0.26444809484337845</v>
      </c>
      <c r="AC62" s="205">
        <v>0</v>
      </c>
      <c r="AD62" s="201">
        <f t="shared" si="79"/>
        <v>3.496639743314624E-3</v>
      </c>
      <c r="AE62" s="206">
        <f t="shared" si="31"/>
        <v>3.496639743314624E-3</v>
      </c>
      <c r="AF62" s="58">
        <f t="shared" si="80"/>
        <v>0.14666666666666667</v>
      </c>
      <c r="AG62" s="61">
        <f t="shared" si="81"/>
        <v>0.14666666666666667</v>
      </c>
      <c r="AH62" s="58">
        <f t="shared" si="82"/>
        <v>9.3010617172168998E-3</v>
      </c>
      <c r="AI62" s="49">
        <f t="shared" si="83"/>
        <v>1.4261983667382414</v>
      </c>
      <c r="AJ62" s="61">
        <f t="shared" si="57"/>
        <v>1.4354994284554583</v>
      </c>
      <c r="AK62" s="269">
        <f t="shared" si="84"/>
        <v>7.333333333333333</v>
      </c>
      <c r="AL62" s="268">
        <f t="shared" si="13"/>
        <v>5</v>
      </c>
      <c r="AM62" s="270">
        <f t="shared" si="32"/>
        <v>1.4666666666666666</v>
      </c>
      <c r="AN62" s="269">
        <f t="shared" si="94"/>
        <v>2</v>
      </c>
      <c r="AO62" s="268">
        <f t="shared" si="95"/>
        <v>0.54044117647058809</v>
      </c>
      <c r="AP62" s="268">
        <f t="shared" si="96"/>
        <v>2.7138321995464856</v>
      </c>
      <c r="AQ62" s="268">
        <f t="shared" si="97"/>
        <v>2.1883753501400549</v>
      </c>
      <c r="AR62" s="268">
        <f t="shared" si="58"/>
        <v>3.8080198746165133</v>
      </c>
      <c r="AS62" s="270">
        <f t="shared" si="59"/>
        <v>2.0484061345293689</v>
      </c>
      <c r="AT62" s="269"/>
      <c r="AU62" s="268">
        <f t="shared" si="98"/>
        <v>2.1511111111111109E-2</v>
      </c>
      <c r="AV62" s="270">
        <f t="shared" si="60"/>
        <v>2.1511111111111109E-2</v>
      </c>
      <c r="AW62" s="269">
        <f t="shared" si="99"/>
        <v>0.11424000000000001</v>
      </c>
      <c r="AX62" s="268">
        <f t="shared" si="100"/>
        <v>0.73333333333333328</v>
      </c>
      <c r="AY62" s="270">
        <f t="shared" si="61"/>
        <v>0.84757333333333329</v>
      </c>
      <c r="AZ62" s="263">
        <f t="shared" si="85"/>
        <v>0</v>
      </c>
      <c r="BA62" s="262">
        <f t="shared" si="86"/>
        <v>0</v>
      </c>
      <c r="BB62" s="262">
        <f t="shared" si="62"/>
        <v>0</v>
      </c>
      <c r="BC62" s="264" t="e">
        <f t="shared" si="101"/>
        <v>#DIV/0!</v>
      </c>
      <c r="BD62" s="263">
        <v>0</v>
      </c>
      <c r="BE62" s="262">
        <f t="shared" si="102"/>
        <v>0</v>
      </c>
      <c r="BF62" s="264">
        <f t="shared" si="64"/>
        <v>0</v>
      </c>
      <c r="BG62" s="263">
        <f t="shared" si="103"/>
        <v>0</v>
      </c>
      <c r="BH62" s="262">
        <f t="shared" si="104"/>
        <v>0</v>
      </c>
      <c r="BI62" s="264">
        <f t="shared" si="105"/>
        <v>0</v>
      </c>
      <c r="BK62" s="258">
        <f t="shared" si="87"/>
        <v>0</v>
      </c>
      <c r="BL62" s="257">
        <f t="shared" si="18"/>
        <v>0</v>
      </c>
      <c r="BM62" s="257">
        <f t="shared" si="88"/>
        <v>0</v>
      </c>
      <c r="BN62" s="259">
        <f t="shared" si="44"/>
        <v>0</v>
      </c>
      <c r="BO62" s="258">
        <v>0</v>
      </c>
      <c r="BP62" s="257">
        <f t="shared" si="106"/>
        <v>0</v>
      </c>
      <c r="BQ62" s="259">
        <f t="shared" si="65"/>
        <v>0</v>
      </c>
      <c r="BR62" s="258">
        <f t="shared" si="107"/>
        <v>0</v>
      </c>
      <c r="BS62" s="257">
        <f t="shared" si="108"/>
        <v>0</v>
      </c>
      <c r="BT62" s="259">
        <f t="shared" si="67"/>
        <v>0</v>
      </c>
      <c r="BU62" s="275">
        <f t="shared" si="89"/>
        <v>0</v>
      </c>
      <c r="BV62" s="274">
        <f t="shared" si="90"/>
        <v>0</v>
      </c>
      <c r="BW62" s="274">
        <f t="shared" si="91"/>
        <v>0</v>
      </c>
      <c r="BX62" s="276">
        <f t="shared" si="109"/>
        <v>0</v>
      </c>
      <c r="BY62" s="275">
        <v>0</v>
      </c>
      <c r="BZ62" s="274">
        <f t="shared" si="110"/>
        <v>0</v>
      </c>
      <c r="CA62" s="276">
        <f t="shared" si="68"/>
        <v>0</v>
      </c>
      <c r="CB62" s="275">
        <f t="shared" si="111"/>
        <v>0</v>
      </c>
      <c r="CC62" s="274">
        <f t="shared" si="112"/>
        <v>0</v>
      </c>
      <c r="CD62" s="276">
        <f t="shared" si="69"/>
        <v>0</v>
      </c>
      <c r="CE62" s="58">
        <f t="shared" si="113"/>
        <v>1.328723102459557E-2</v>
      </c>
      <c r="CF62" s="49">
        <f t="shared" si="24"/>
        <v>7.3499999999999996E-2</v>
      </c>
      <c r="CG62" s="61">
        <f t="shared" si="70"/>
        <v>3.2340000000000001E-2</v>
      </c>
      <c r="CH62" s="49">
        <f t="shared" si="71"/>
        <v>3.496639743314624E-3</v>
      </c>
      <c r="CI62" s="49">
        <f t="shared" si="72"/>
        <v>2.7205410770011458</v>
      </c>
      <c r="CJ62" s="49">
        <f t="shared" si="114"/>
        <v>72.940371383546676</v>
      </c>
      <c r="CN62" s="49">
        <f t="shared" si="53"/>
        <v>0.84757333333333329</v>
      </c>
      <c r="CO62" s="49">
        <f t="shared" si="54"/>
        <v>0</v>
      </c>
      <c r="CP62" s="49">
        <f t="shared" si="55"/>
        <v>0</v>
      </c>
      <c r="CQ62" s="49" t="str">
        <f t="shared" si="92"/>
        <v/>
      </c>
    </row>
    <row r="63" spans="12:95" x14ac:dyDescent="0.45">
      <c r="L63" s="49">
        <f t="shared" si="56"/>
        <v>37.333333333333336</v>
      </c>
      <c r="Q63" s="49">
        <v>56</v>
      </c>
      <c r="R63" s="278">
        <f t="shared" si="0"/>
        <v>7.4666666666666668</v>
      </c>
      <c r="S63" s="201">
        <f t="shared" si="1"/>
        <v>42</v>
      </c>
      <c r="T63" s="206">
        <f t="shared" si="73"/>
        <v>0.17777777777777778</v>
      </c>
      <c r="U63" s="205">
        <f t="shared" si="74"/>
        <v>2</v>
      </c>
      <c r="V63" s="201">
        <f t="shared" si="75"/>
        <v>0.45955882352941174</v>
      </c>
      <c r="W63" s="201">
        <f t="shared" si="76"/>
        <v>0.54044117647058831</v>
      </c>
      <c r="X63" s="201">
        <f t="shared" si="27"/>
        <v>0</v>
      </c>
      <c r="Y63" s="205">
        <f t="shared" si="93"/>
        <v>0.38684444444444449</v>
      </c>
      <c r="Z63" s="201">
        <f t="shared" si="77"/>
        <v>0.30637254901960786</v>
      </c>
      <c r="AA63" s="201">
        <f t="shared" si="29"/>
        <v>0.54003071895424837</v>
      </c>
      <c r="AB63" s="206">
        <f t="shared" si="78"/>
        <v>0.26901118956643111</v>
      </c>
      <c r="AC63" s="205">
        <v>0</v>
      </c>
      <c r="AD63" s="201">
        <f t="shared" si="79"/>
        <v>3.6183510055973166E-3</v>
      </c>
      <c r="AE63" s="206">
        <f t="shared" si="31"/>
        <v>3.6183510055973166E-3</v>
      </c>
      <c r="AF63" s="58">
        <f t="shared" si="80"/>
        <v>0.14933333333333335</v>
      </c>
      <c r="AG63" s="61">
        <f t="shared" si="81"/>
        <v>0.14933333333333335</v>
      </c>
      <c r="AH63" s="58">
        <f t="shared" si="82"/>
        <v>9.624813674888863E-3</v>
      </c>
      <c r="AI63" s="49">
        <f t="shared" si="83"/>
        <v>1.4521292461334823</v>
      </c>
      <c r="AJ63" s="61">
        <f t="shared" si="57"/>
        <v>1.4617540598083711</v>
      </c>
      <c r="AK63" s="269">
        <f t="shared" si="84"/>
        <v>7.4666666666666668</v>
      </c>
      <c r="AL63" s="268">
        <f t="shared" si="13"/>
        <v>5</v>
      </c>
      <c r="AM63" s="270">
        <f t="shared" si="32"/>
        <v>1.4933333333333334</v>
      </c>
      <c r="AN63" s="269">
        <f t="shared" si="94"/>
        <v>2</v>
      </c>
      <c r="AO63" s="268">
        <f t="shared" si="95"/>
        <v>0.5404411764705882</v>
      </c>
      <c r="AP63" s="268">
        <f t="shared" si="96"/>
        <v>2.7631746031746034</v>
      </c>
      <c r="AQ63" s="268">
        <f t="shared" si="97"/>
        <v>2.1883753501400558</v>
      </c>
      <c r="AR63" s="268">
        <f t="shared" si="58"/>
        <v>3.8573622782446311</v>
      </c>
      <c r="AS63" s="270">
        <f t="shared" si="59"/>
        <v>2.0837517142684678</v>
      </c>
      <c r="AT63" s="269"/>
      <c r="AU63" s="268">
        <f t="shared" si="98"/>
        <v>2.2300444444444449E-2</v>
      </c>
      <c r="AV63" s="270">
        <f t="shared" si="60"/>
        <v>2.2300444444444449E-2</v>
      </c>
      <c r="AW63" s="269">
        <f t="shared" si="99"/>
        <v>0.11424000000000001</v>
      </c>
      <c r="AX63" s="268">
        <f t="shared" si="100"/>
        <v>0.7466666666666667</v>
      </c>
      <c r="AY63" s="270">
        <f t="shared" si="61"/>
        <v>0.86090666666666671</v>
      </c>
      <c r="AZ63" s="263">
        <f t="shared" si="85"/>
        <v>0</v>
      </c>
      <c r="BA63" s="262">
        <f t="shared" si="86"/>
        <v>0</v>
      </c>
      <c r="BB63" s="262">
        <f t="shared" si="62"/>
        <v>0</v>
      </c>
      <c r="BC63" s="264" t="e">
        <f t="shared" si="101"/>
        <v>#DIV/0!</v>
      </c>
      <c r="BD63" s="263">
        <v>0</v>
      </c>
      <c r="BE63" s="262">
        <f t="shared" si="102"/>
        <v>0</v>
      </c>
      <c r="BF63" s="264">
        <f t="shared" si="64"/>
        <v>0</v>
      </c>
      <c r="BG63" s="263">
        <f t="shared" si="103"/>
        <v>0</v>
      </c>
      <c r="BH63" s="262">
        <f t="shared" si="104"/>
        <v>0</v>
      </c>
      <c r="BI63" s="264">
        <f t="shared" si="105"/>
        <v>0</v>
      </c>
      <c r="BK63" s="258">
        <f t="shared" si="87"/>
        <v>0</v>
      </c>
      <c r="BL63" s="257">
        <f t="shared" si="18"/>
        <v>0</v>
      </c>
      <c r="BM63" s="257">
        <f t="shared" si="88"/>
        <v>0</v>
      </c>
      <c r="BN63" s="259">
        <f t="shared" si="44"/>
        <v>0</v>
      </c>
      <c r="BO63" s="258">
        <v>0</v>
      </c>
      <c r="BP63" s="257">
        <f t="shared" si="106"/>
        <v>0</v>
      </c>
      <c r="BQ63" s="259">
        <f t="shared" si="65"/>
        <v>0</v>
      </c>
      <c r="BR63" s="258">
        <f t="shared" si="107"/>
        <v>0</v>
      </c>
      <c r="BS63" s="257">
        <f t="shared" si="108"/>
        <v>0</v>
      </c>
      <c r="BT63" s="259">
        <f t="shared" si="67"/>
        <v>0</v>
      </c>
      <c r="BU63" s="275">
        <f t="shared" si="89"/>
        <v>0</v>
      </c>
      <c r="BV63" s="274">
        <f t="shared" si="90"/>
        <v>0</v>
      </c>
      <c r="BW63" s="274">
        <f t="shared" si="91"/>
        <v>0</v>
      </c>
      <c r="BX63" s="276">
        <f t="shared" si="109"/>
        <v>0</v>
      </c>
      <c r="BY63" s="275">
        <v>0</v>
      </c>
      <c r="BZ63" s="274">
        <f t="shared" si="110"/>
        <v>0</v>
      </c>
      <c r="CA63" s="276">
        <f t="shared" si="68"/>
        <v>0</v>
      </c>
      <c r="CB63" s="275">
        <f t="shared" si="111"/>
        <v>0</v>
      </c>
      <c r="CC63" s="274">
        <f t="shared" si="112"/>
        <v>0</v>
      </c>
      <c r="CD63" s="276">
        <f t="shared" si="69"/>
        <v>0</v>
      </c>
      <c r="CE63" s="58">
        <f t="shared" si="113"/>
        <v>1.3749733821269802E-2</v>
      </c>
      <c r="CF63" s="49">
        <f t="shared" si="24"/>
        <v>7.3499999999999996E-2</v>
      </c>
      <c r="CG63" s="61">
        <f t="shared" si="70"/>
        <v>3.2340000000000001E-2</v>
      </c>
      <c r="CH63" s="49">
        <f t="shared" si="71"/>
        <v>3.6183510055973166E-3</v>
      </c>
      <c r="CI63" s="49">
        <f t="shared" si="72"/>
        <v>2.7668359224130161</v>
      </c>
      <c r="CJ63" s="49">
        <f t="shared" si="114"/>
        <v>72.962962599281056</v>
      </c>
      <c r="CN63" s="49">
        <f t="shared" si="53"/>
        <v>0.86090666666666671</v>
      </c>
      <c r="CO63" s="49">
        <f t="shared" si="54"/>
        <v>0</v>
      </c>
      <c r="CP63" s="49">
        <f t="shared" si="55"/>
        <v>0</v>
      </c>
      <c r="CQ63" s="49" t="str">
        <f t="shared" si="92"/>
        <v/>
      </c>
    </row>
    <row r="64" spans="12:95" x14ac:dyDescent="0.45">
      <c r="L64" s="49">
        <f t="shared" si="56"/>
        <v>38</v>
      </c>
      <c r="Q64" s="49">
        <v>57</v>
      </c>
      <c r="R64" s="278">
        <f t="shared" si="0"/>
        <v>7.6</v>
      </c>
      <c r="S64" s="201">
        <f t="shared" si="1"/>
        <v>42</v>
      </c>
      <c r="T64" s="206">
        <f t="shared" si="73"/>
        <v>0.18095238095238095</v>
      </c>
      <c r="U64" s="205">
        <f t="shared" si="74"/>
        <v>2</v>
      </c>
      <c r="V64" s="201">
        <f t="shared" si="75"/>
        <v>0.45955882352941174</v>
      </c>
      <c r="W64" s="201">
        <f t="shared" si="76"/>
        <v>0.54044117647058831</v>
      </c>
      <c r="X64" s="201">
        <f t="shared" si="27"/>
        <v>0</v>
      </c>
      <c r="Y64" s="205">
        <f t="shared" si="93"/>
        <v>0.39375238095238096</v>
      </c>
      <c r="Z64" s="201">
        <f t="shared" si="77"/>
        <v>0.30637254901960786</v>
      </c>
      <c r="AA64" s="201">
        <f t="shared" si="29"/>
        <v>0.5469386554621849</v>
      </c>
      <c r="AB64" s="206">
        <f t="shared" si="78"/>
        <v>0.27357833479999155</v>
      </c>
      <c r="AC64" s="205">
        <v>0</v>
      </c>
      <c r="AD64" s="201">
        <f t="shared" si="79"/>
        <v>3.742255263596814E-3</v>
      </c>
      <c r="AE64" s="206">
        <f t="shared" si="31"/>
        <v>3.742255263596814E-3</v>
      </c>
      <c r="AF64" s="58">
        <f t="shared" si="80"/>
        <v>0.152</v>
      </c>
      <c r="AG64" s="61">
        <f t="shared" si="81"/>
        <v>0.152</v>
      </c>
      <c r="AH64" s="58">
        <f t="shared" si="82"/>
        <v>9.9543990011675253E-3</v>
      </c>
      <c r="AI64" s="49">
        <f t="shared" si="83"/>
        <v>1.4780601255287227</v>
      </c>
      <c r="AJ64" s="61">
        <f t="shared" si="57"/>
        <v>1.4880145245298901</v>
      </c>
      <c r="AK64" s="269">
        <f t="shared" si="84"/>
        <v>7.6</v>
      </c>
      <c r="AL64" s="268">
        <f t="shared" si="13"/>
        <v>5</v>
      </c>
      <c r="AM64" s="270">
        <f t="shared" si="32"/>
        <v>1.52</v>
      </c>
      <c r="AN64" s="269">
        <f t="shared" si="94"/>
        <v>2</v>
      </c>
      <c r="AO64" s="268">
        <f t="shared" si="95"/>
        <v>0.54044117647058831</v>
      </c>
      <c r="AP64" s="268">
        <f t="shared" si="96"/>
        <v>2.8125170068027208</v>
      </c>
      <c r="AQ64" s="268">
        <f t="shared" si="97"/>
        <v>2.1883753501400562</v>
      </c>
      <c r="AR64" s="268">
        <f t="shared" si="58"/>
        <v>3.9067046818727489</v>
      </c>
      <c r="AS64" s="270">
        <f t="shared" si="59"/>
        <v>2.1191286691270483</v>
      </c>
      <c r="AT64" s="269"/>
      <c r="AU64" s="268">
        <f t="shared" si="98"/>
        <v>2.3104E-2</v>
      </c>
      <c r="AV64" s="270">
        <f t="shared" si="60"/>
        <v>2.3104E-2</v>
      </c>
      <c r="AW64" s="269">
        <f t="shared" si="99"/>
        <v>0.11424000000000001</v>
      </c>
      <c r="AX64" s="268">
        <f t="shared" si="100"/>
        <v>0.76</v>
      </c>
      <c r="AY64" s="270">
        <f t="shared" si="61"/>
        <v>0.87424000000000002</v>
      </c>
      <c r="AZ64" s="263">
        <f t="shared" si="85"/>
        <v>0</v>
      </c>
      <c r="BA64" s="262">
        <f t="shared" si="86"/>
        <v>0</v>
      </c>
      <c r="BB64" s="262">
        <f t="shared" si="62"/>
        <v>0</v>
      </c>
      <c r="BC64" s="264" t="e">
        <f t="shared" si="101"/>
        <v>#DIV/0!</v>
      </c>
      <c r="BD64" s="263">
        <v>0</v>
      </c>
      <c r="BE64" s="262">
        <f t="shared" si="102"/>
        <v>0</v>
      </c>
      <c r="BF64" s="264">
        <f t="shared" si="64"/>
        <v>0</v>
      </c>
      <c r="BG64" s="263">
        <f t="shared" si="103"/>
        <v>0</v>
      </c>
      <c r="BH64" s="262">
        <f t="shared" si="104"/>
        <v>0</v>
      </c>
      <c r="BI64" s="264">
        <f t="shared" si="105"/>
        <v>0</v>
      </c>
      <c r="BK64" s="258">
        <f t="shared" si="87"/>
        <v>0</v>
      </c>
      <c r="BL64" s="257">
        <f t="shared" si="18"/>
        <v>0</v>
      </c>
      <c r="BM64" s="257">
        <f t="shared" si="88"/>
        <v>0</v>
      </c>
      <c r="BN64" s="259">
        <f t="shared" si="44"/>
        <v>0</v>
      </c>
      <c r="BO64" s="258">
        <v>0</v>
      </c>
      <c r="BP64" s="257">
        <f t="shared" si="106"/>
        <v>0</v>
      </c>
      <c r="BQ64" s="259">
        <f t="shared" si="65"/>
        <v>0</v>
      </c>
      <c r="BR64" s="258">
        <f t="shared" si="107"/>
        <v>0</v>
      </c>
      <c r="BS64" s="257">
        <f t="shared" si="108"/>
        <v>0</v>
      </c>
      <c r="BT64" s="259">
        <f t="shared" si="67"/>
        <v>0</v>
      </c>
      <c r="BU64" s="275">
        <f t="shared" si="89"/>
        <v>0</v>
      </c>
      <c r="BV64" s="274">
        <f t="shared" si="90"/>
        <v>0</v>
      </c>
      <c r="BW64" s="274">
        <f t="shared" si="91"/>
        <v>0</v>
      </c>
      <c r="BX64" s="276">
        <f t="shared" si="109"/>
        <v>0</v>
      </c>
      <c r="BY64" s="275">
        <v>0</v>
      </c>
      <c r="BZ64" s="274">
        <f t="shared" si="110"/>
        <v>0</v>
      </c>
      <c r="CA64" s="276">
        <f t="shared" si="68"/>
        <v>0</v>
      </c>
      <c r="CB64" s="275">
        <f t="shared" si="111"/>
        <v>0</v>
      </c>
      <c r="CC64" s="274">
        <f t="shared" si="112"/>
        <v>0</v>
      </c>
      <c r="CD64" s="276">
        <f t="shared" si="69"/>
        <v>0</v>
      </c>
      <c r="CE64" s="58">
        <f t="shared" si="113"/>
        <v>1.4220570001667892E-2</v>
      </c>
      <c r="CF64" s="49">
        <f t="shared" si="24"/>
        <v>7.3499999999999996E-2</v>
      </c>
      <c r="CG64" s="61">
        <f t="shared" si="70"/>
        <v>3.2340000000000001E-2</v>
      </c>
      <c r="CH64" s="49">
        <f t="shared" si="71"/>
        <v>3.742255263596814E-3</v>
      </c>
      <c r="CI64" s="49">
        <f t="shared" si="72"/>
        <v>2.8131613497951551</v>
      </c>
      <c r="CJ64" s="49">
        <f t="shared" si="114"/>
        <v>72.984560064936517</v>
      </c>
      <c r="CN64" s="49">
        <f t="shared" si="53"/>
        <v>0.87424000000000002</v>
      </c>
      <c r="CO64" s="49">
        <f t="shared" si="54"/>
        <v>0</v>
      </c>
      <c r="CP64" s="49">
        <f t="shared" si="55"/>
        <v>0</v>
      </c>
      <c r="CQ64" s="49" t="str">
        <f t="shared" si="92"/>
        <v/>
      </c>
    </row>
    <row r="65" spans="12:95" x14ac:dyDescent="0.45">
      <c r="L65" s="49">
        <f t="shared" si="56"/>
        <v>38.666666666666664</v>
      </c>
      <c r="Q65" s="49">
        <v>58</v>
      </c>
      <c r="R65" s="278">
        <f t="shared" si="0"/>
        <v>7.7333333333333334</v>
      </c>
      <c r="S65" s="201">
        <f t="shared" si="1"/>
        <v>42</v>
      </c>
      <c r="T65" s="206">
        <f t="shared" si="73"/>
        <v>0.18412698412698414</v>
      </c>
      <c r="U65" s="205">
        <f t="shared" si="74"/>
        <v>2</v>
      </c>
      <c r="V65" s="201">
        <f t="shared" si="75"/>
        <v>0.45955882352941174</v>
      </c>
      <c r="W65" s="201">
        <f t="shared" si="76"/>
        <v>0.54044117647058831</v>
      </c>
      <c r="X65" s="201">
        <f t="shared" si="27"/>
        <v>0</v>
      </c>
      <c r="Y65" s="205">
        <f t="shared" si="93"/>
        <v>0.40066031746031749</v>
      </c>
      <c r="Z65" s="201">
        <f t="shared" si="77"/>
        <v>0.30637254901960786</v>
      </c>
      <c r="AA65" s="201">
        <f t="shared" si="29"/>
        <v>0.55384659197012143</v>
      </c>
      <c r="AB65" s="206">
        <f t="shared" si="78"/>
        <v>0.27814933101890121</v>
      </c>
      <c r="AC65" s="205">
        <v>0</v>
      </c>
      <c r="AD65" s="201">
        <f t="shared" si="79"/>
        <v>3.868352517313114E-3</v>
      </c>
      <c r="AE65" s="206">
        <f t="shared" si="31"/>
        <v>3.868352517313114E-3</v>
      </c>
      <c r="AF65" s="58">
        <f t="shared" si="80"/>
        <v>0.15466666666666667</v>
      </c>
      <c r="AG65" s="61">
        <f t="shared" si="81"/>
        <v>0.15466666666666667</v>
      </c>
      <c r="AH65" s="58">
        <f t="shared" si="82"/>
        <v>1.0289817696052883E-2</v>
      </c>
      <c r="AI65" s="49">
        <f t="shared" si="83"/>
        <v>1.5039910049239635</v>
      </c>
      <c r="AJ65" s="61">
        <f t="shared" si="57"/>
        <v>1.5142808226200164</v>
      </c>
      <c r="AK65" s="269">
        <f t="shared" si="84"/>
        <v>7.7333333333333334</v>
      </c>
      <c r="AL65" s="268">
        <f t="shared" si="13"/>
        <v>5</v>
      </c>
      <c r="AM65" s="270">
        <f t="shared" si="32"/>
        <v>1.5466666666666666</v>
      </c>
      <c r="AN65" s="269">
        <f t="shared" si="94"/>
        <v>2</v>
      </c>
      <c r="AO65" s="268">
        <f t="shared" si="95"/>
        <v>0.54044117647058831</v>
      </c>
      <c r="AP65" s="268">
        <f t="shared" si="96"/>
        <v>2.8618594104308386</v>
      </c>
      <c r="AQ65" s="268">
        <f t="shared" si="97"/>
        <v>2.1883753501400562</v>
      </c>
      <c r="AR65" s="268">
        <f t="shared" si="58"/>
        <v>3.9560470855008667</v>
      </c>
      <c r="AS65" s="270">
        <f t="shared" si="59"/>
        <v>2.1545354535898769</v>
      </c>
      <c r="AT65" s="269"/>
      <c r="AU65" s="268">
        <f t="shared" si="98"/>
        <v>2.3921777777777774E-2</v>
      </c>
      <c r="AV65" s="270">
        <f t="shared" si="60"/>
        <v>2.3921777777777774E-2</v>
      </c>
      <c r="AW65" s="269">
        <f t="shared" si="99"/>
        <v>0.11424000000000001</v>
      </c>
      <c r="AX65" s="268">
        <f t="shared" si="100"/>
        <v>0.77333333333333332</v>
      </c>
      <c r="AY65" s="270">
        <f t="shared" si="61"/>
        <v>0.88757333333333333</v>
      </c>
      <c r="AZ65" s="263">
        <f t="shared" si="85"/>
        <v>0</v>
      </c>
      <c r="BA65" s="262">
        <f t="shared" si="86"/>
        <v>0</v>
      </c>
      <c r="BB65" s="262">
        <f t="shared" si="62"/>
        <v>0</v>
      </c>
      <c r="BC65" s="264" t="e">
        <f t="shared" si="101"/>
        <v>#DIV/0!</v>
      </c>
      <c r="BD65" s="263">
        <v>0</v>
      </c>
      <c r="BE65" s="262">
        <f t="shared" si="102"/>
        <v>0</v>
      </c>
      <c r="BF65" s="264">
        <f t="shared" si="64"/>
        <v>0</v>
      </c>
      <c r="BG65" s="263">
        <f t="shared" si="103"/>
        <v>0</v>
      </c>
      <c r="BH65" s="262">
        <f t="shared" si="104"/>
        <v>0</v>
      </c>
      <c r="BI65" s="264">
        <f t="shared" si="105"/>
        <v>0</v>
      </c>
      <c r="BK65" s="258">
        <f t="shared" si="87"/>
        <v>0</v>
      </c>
      <c r="BL65" s="257">
        <f t="shared" si="18"/>
        <v>0</v>
      </c>
      <c r="BM65" s="257">
        <f t="shared" si="88"/>
        <v>0</v>
      </c>
      <c r="BN65" s="259">
        <f t="shared" si="44"/>
        <v>0</v>
      </c>
      <c r="BO65" s="258">
        <v>0</v>
      </c>
      <c r="BP65" s="257">
        <f t="shared" si="106"/>
        <v>0</v>
      </c>
      <c r="BQ65" s="259">
        <f t="shared" si="65"/>
        <v>0</v>
      </c>
      <c r="BR65" s="258">
        <f t="shared" si="107"/>
        <v>0</v>
      </c>
      <c r="BS65" s="257">
        <f t="shared" si="108"/>
        <v>0</v>
      </c>
      <c r="BT65" s="259">
        <f t="shared" si="67"/>
        <v>0</v>
      </c>
      <c r="BU65" s="275">
        <f t="shared" si="89"/>
        <v>0</v>
      </c>
      <c r="BV65" s="274">
        <f t="shared" si="90"/>
        <v>0</v>
      </c>
      <c r="BW65" s="274">
        <f t="shared" si="91"/>
        <v>0</v>
      </c>
      <c r="BX65" s="276">
        <f t="shared" si="109"/>
        <v>0</v>
      </c>
      <c r="BY65" s="275">
        <v>0</v>
      </c>
      <c r="BZ65" s="274">
        <f t="shared" si="110"/>
        <v>0</v>
      </c>
      <c r="CA65" s="276">
        <f t="shared" si="68"/>
        <v>0</v>
      </c>
      <c r="CB65" s="275">
        <f t="shared" si="111"/>
        <v>0</v>
      </c>
      <c r="CC65" s="274">
        <f t="shared" si="112"/>
        <v>0</v>
      </c>
      <c r="CD65" s="276">
        <f t="shared" si="69"/>
        <v>0</v>
      </c>
      <c r="CE65" s="58">
        <f t="shared" si="113"/>
        <v>1.4699739565789833E-2</v>
      </c>
      <c r="CF65" s="49">
        <f t="shared" si="24"/>
        <v>7.3499999999999996E-2</v>
      </c>
      <c r="CG65" s="61">
        <f t="shared" si="70"/>
        <v>3.2340000000000001E-2</v>
      </c>
      <c r="CH65" s="49">
        <f t="shared" si="71"/>
        <v>3.868352517313114E-3</v>
      </c>
      <c r="CI65" s="49">
        <f t="shared" si="72"/>
        <v>2.859517359147564</v>
      </c>
      <c r="CJ65" s="49">
        <f t="shared" si="114"/>
        <v>73.005214156588366</v>
      </c>
      <c r="CN65" s="49">
        <f t="shared" si="53"/>
        <v>0.88757333333333333</v>
      </c>
      <c r="CO65" s="49">
        <f t="shared" si="54"/>
        <v>0</v>
      </c>
      <c r="CP65" s="49">
        <f t="shared" si="55"/>
        <v>0</v>
      </c>
      <c r="CQ65" s="49" t="str">
        <f t="shared" si="92"/>
        <v/>
      </c>
    </row>
    <row r="66" spans="12:95" x14ac:dyDescent="0.45">
      <c r="L66" s="49">
        <f t="shared" si="56"/>
        <v>39.333333333333329</v>
      </c>
      <c r="Q66" s="49">
        <v>59</v>
      </c>
      <c r="R66" s="278">
        <f t="shared" si="0"/>
        <v>7.8666666666666663</v>
      </c>
      <c r="S66" s="201">
        <f t="shared" si="1"/>
        <v>42</v>
      </c>
      <c r="T66" s="206">
        <f t="shared" si="73"/>
        <v>0.1873015873015873</v>
      </c>
      <c r="U66" s="205">
        <f t="shared" si="74"/>
        <v>2</v>
      </c>
      <c r="V66" s="201">
        <f t="shared" si="75"/>
        <v>0.45955882352941174</v>
      </c>
      <c r="W66" s="201">
        <f t="shared" si="76"/>
        <v>0.54044117647058831</v>
      </c>
      <c r="X66" s="201">
        <f t="shared" si="27"/>
        <v>0</v>
      </c>
      <c r="Y66" s="205">
        <f t="shared" si="93"/>
        <v>0.40756825396825397</v>
      </c>
      <c r="Z66" s="201">
        <f t="shared" si="77"/>
        <v>0.30637254901960786</v>
      </c>
      <c r="AA66" s="201">
        <f t="shared" si="29"/>
        <v>0.56075452847805796</v>
      </c>
      <c r="AB66" s="206">
        <f t="shared" si="78"/>
        <v>0.28272399143851307</v>
      </c>
      <c r="AC66" s="205">
        <v>0</v>
      </c>
      <c r="AD66" s="201">
        <f t="shared" si="79"/>
        <v>3.9966427667462202E-3</v>
      </c>
      <c r="AE66" s="206">
        <f t="shared" si="31"/>
        <v>3.9966427667462202E-3</v>
      </c>
      <c r="AF66" s="58">
        <f t="shared" si="80"/>
        <v>0.15733333333333333</v>
      </c>
      <c r="AG66" s="61">
        <f t="shared" si="81"/>
        <v>0.15733333333333333</v>
      </c>
      <c r="AH66" s="58">
        <f t="shared" si="82"/>
        <v>1.0631069759544946E-2</v>
      </c>
      <c r="AI66" s="49">
        <f t="shared" si="83"/>
        <v>1.5299218843192044</v>
      </c>
      <c r="AJ66" s="61">
        <f t="shared" si="57"/>
        <v>1.5405529540787493</v>
      </c>
      <c r="AK66" s="269">
        <f t="shared" si="84"/>
        <v>7.8666666666666663</v>
      </c>
      <c r="AL66" s="268">
        <f t="shared" si="13"/>
        <v>5</v>
      </c>
      <c r="AM66" s="270">
        <f t="shared" si="32"/>
        <v>1.5733333333333333</v>
      </c>
      <c r="AN66" s="269">
        <f t="shared" si="94"/>
        <v>2</v>
      </c>
      <c r="AO66" s="268">
        <f t="shared" si="95"/>
        <v>0.5404411764705882</v>
      </c>
      <c r="AP66" s="268">
        <f t="shared" si="96"/>
        <v>2.9112018140589568</v>
      </c>
      <c r="AQ66" s="268">
        <f t="shared" si="97"/>
        <v>2.1883753501400558</v>
      </c>
      <c r="AR66" s="268">
        <f t="shared" si="58"/>
        <v>4.0053894891289845</v>
      </c>
      <c r="AS66" s="270">
        <f t="shared" si="59"/>
        <v>2.1899706208292984</v>
      </c>
      <c r="AT66" s="269"/>
      <c r="AU66" s="268">
        <f t="shared" si="98"/>
        <v>2.4753777777777777E-2</v>
      </c>
      <c r="AV66" s="270">
        <f t="shared" si="60"/>
        <v>2.4753777777777777E-2</v>
      </c>
      <c r="AW66" s="269">
        <f t="shared" si="99"/>
        <v>0.11424000000000001</v>
      </c>
      <c r="AX66" s="268">
        <f t="shared" si="100"/>
        <v>0.78666666666666663</v>
      </c>
      <c r="AY66" s="270">
        <f t="shared" si="61"/>
        <v>0.90090666666666663</v>
      </c>
      <c r="AZ66" s="263">
        <f t="shared" si="85"/>
        <v>0</v>
      </c>
      <c r="BA66" s="262">
        <f t="shared" si="86"/>
        <v>0</v>
      </c>
      <c r="BB66" s="262">
        <f t="shared" si="62"/>
        <v>0</v>
      </c>
      <c r="BC66" s="264" t="e">
        <f t="shared" si="101"/>
        <v>#DIV/0!</v>
      </c>
      <c r="BD66" s="263">
        <v>0</v>
      </c>
      <c r="BE66" s="262">
        <f t="shared" si="102"/>
        <v>0</v>
      </c>
      <c r="BF66" s="264">
        <f t="shared" si="64"/>
        <v>0</v>
      </c>
      <c r="BG66" s="263">
        <f t="shared" si="103"/>
        <v>0</v>
      </c>
      <c r="BH66" s="262">
        <f t="shared" si="104"/>
        <v>0</v>
      </c>
      <c r="BI66" s="264">
        <f t="shared" si="105"/>
        <v>0</v>
      </c>
      <c r="BK66" s="258">
        <f t="shared" si="87"/>
        <v>0</v>
      </c>
      <c r="BL66" s="257">
        <f t="shared" si="18"/>
        <v>0</v>
      </c>
      <c r="BM66" s="257">
        <f t="shared" si="88"/>
        <v>0</v>
      </c>
      <c r="BN66" s="259">
        <f t="shared" si="44"/>
        <v>0</v>
      </c>
      <c r="BO66" s="258">
        <v>0</v>
      </c>
      <c r="BP66" s="257">
        <f t="shared" si="106"/>
        <v>0</v>
      </c>
      <c r="BQ66" s="259">
        <f t="shared" si="65"/>
        <v>0</v>
      </c>
      <c r="BR66" s="258">
        <f t="shared" si="107"/>
        <v>0</v>
      </c>
      <c r="BS66" s="257">
        <f t="shared" si="108"/>
        <v>0</v>
      </c>
      <c r="BT66" s="259">
        <f t="shared" si="67"/>
        <v>0</v>
      </c>
      <c r="BU66" s="275">
        <f t="shared" si="89"/>
        <v>0</v>
      </c>
      <c r="BV66" s="274">
        <f t="shared" si="90"/>
        <v>0</v>
      </c>
      <c r="BW66" s="274">
        <f t="shared" si="91"/>
        <v>0</v>
      </c>
      <c r="BX66" s="276">
        <f t="shared" si="109"/>
        <v>0</v>
      </c>
      <c r="BY66" s="275">
        <v>0</v>
      </c>
      <c r="BZ66" s="274">
        <f t="shared" si="110"/>
        <v>0</v>
      </c>
      <c r="CA66" s="276">
        <f t="shared" si="68"/>
        <v>0</v>
      </c>
      <c r="CB66" s="275">
        <f t="shared" si="111"/>
        <v>0</v>
      </c>
      <c r="CC66" s="274">
        <f t="shared" si="112"/>
        <v>0</v>
      </c>
      <c r="CD66" s="276">
        <f t="shared" si="69"/>
        <v>0</v>
      </c>
      <c r="CE66" s="58">
        <f t="shared" si="113"/>
        <v>1.5187242513635638E-2</v>
      </c>
      <c r="CF66" s="49">
        <f t="shared" si="24"/>
        <v>7.3499999999999996E-2</v>
      </c>
      <c r="CG66" s="61">
        <f t="shared" si="70"/>
        <v>3.2340000000000001E-2</v>
      </c>
      <c r="CH66" s="49">
        <f t="shared" si="71"/>
        <v>3.9966427667462202E-3</v>
      </c>
      <c r="CI66" s="49">
        <f t="shared" si="72"/>
        <v>2.9059039504702424</v>
      </c>
      <c r="CJ66" s="49">
        <f t="shared" si="114"/>
        <v>73.024971905521269</v>
      </c>
      <c r="CN66" s="49">
        <f t="shared" si="53"/>
        <v>0.90090666666666663</v>
      </c>
      <c r="CO66" s="49">
        <f t="shared" si="54"/>
        <v>0</v>
      </c>
      <c r="CP66" s="49">
        <f t="shared" si="55"/>
        <v>0</v>
      </c>
      <c r="CQ66" s="49" t="str">
        <f t="shared" si="92"/>
        <v/>
      </c>
    </row>
    <row r="67" spans="12:95" x14ac:dyDescent="0.45">
      <c r="L67" s="49">
        <f t="shared" si="56"/>
        <v>40</v>
      </c>
      <c r="Q67" s="49">
        <v>60</v>
      </c>
      <c r="R67" s="278">
        <f t="shared" si="0"/>
        <v>8</v>
      </c>
      <c r="S67" s="201">
        <f t="shared" si="1"/>
        <v>42</v>
      </c>
      <c r="T67" s="206">
        <f t="shared" si="73"/>
        <v>0.19047619047619047</v>
      </c>
      <c r="U67" s="205">
        <f t="shared" si="74"/>
        <v>2</v>
      </c>
      <c r="V67" s="201">
        <f t="shared" si="75"/>
        <v>0.45955882352941174</v>
      </c>
      <c r="W67" s="201">
        <f t="shared" si="76"/>
        <v>0.54044117647058831</v>
      </c>
      <c r="X67" s="201">
        <f t="shared" si="27"/>
        <v>0</v>
      </c>
      <c r="Y67" s="205">
        <f t="shared" si="93"/>
        <v>0.4144761904761905</v>
      </c>
      <c r="Z67" s="201">
        <f t="shared" si="77"/>
        <v>0.30637254901960786</v>
      </c>
      <c r="AA67" s="201">
        <f t="shared" si="29"/>
        <v>0.56766246498599449</v>
      </c>
      <c r="AB67" s="206">
        <f t="shared" si="78"/>
        <v>0.28730214102565033</v>
      </c>
      <c r="AC67" s="205">
        <v>0</v>
      </c>
      <c r="AD67" s="201">
        <f t="shared" si="79"/>
        <v>4.1271260118961334E-3</v>
      </c>
      <c r="AE67" s="206">
        <f t="shared" si="31"/>
        <v>4.1271260118961334E-3</v>
      </c>
      <c r="AF67" s="58">
        <f t="shared" si="80"/>
        <v>0.16</v>
      </c>
      <c r="AG67" s="61">
        <f t="shared" si="81"/>
        <v>0.16</v>
      </c>
      <c r="AH67" s="58">
        <f t="shared" si="82"/>
        <v>1.0978155191643715E-2</v>
      </c>
      <c r="AI67" s="49">
        <f t="shared" si="83"/>
        <v>1.555852763714445</v>
      </c>
      <c r="AJ67" s="61">
        <f t="shared" si="57"/>
        <v>1.5668309189060887</v>
      </c>
      <c r="AK67" s="269">
        <f t="shared" si="84"/>
        <v>8</v>
      </c>
      <c r="AL67" s="268">
        <f t="shared" si="13"/>
        <v>5</v>
      </c>
      <c r="AM67" s="270">
        <f t="shared" si="32"/>
        <v>1.6</v>
      </c>
      <c r="AN67" s="269">
        <f t="shared" si="94"/>
        <v>2</v>
      </c>
      <c r="AO67" s="268">
        <f t="shared" si="95"/>
        <v>0.54044117647058831</v>
      </c>
      <c r="AP67" s="268">
        <f t="shared" si="96"/>
        <v>2.9605442176870747</v>
      </c>
      <c r="AQ67" s="268">
        <f t="shared" si="97"/>
        <v>2.1883753501400562</v>
      </c>
      <c r="AR67" s="268">
        <f t="shared" si="58"/>
        <v>4.0547318927571023</v>
      </c>
      <c r="AS67" s="270">
        <f t="shared" si="59"/>
        <v>2.2254328150441562</v>
      </c>
      <c r="AT67" s="269"/>
      <c r="AU67" s="268">
        <f t="shared" si="98"/>
        <v>2.5600000000000005E-2</v>
      </c>
      <c r="AV67" s="270">
        <f t="shared" si="60"/>
        <v>2.5600000000000005E-2</v>
      </c>
      <c r="AW67" s="269">
        <f t="shared" si="99"/>
        <v>0.11424000000000001</v>
      </c>
      <c r="AX67" s="268">
        <f t="shared" si="100"/>
        <v>0.8</v>
      </c>
      <c r="AY67" s="270">
        <f t="shared" si="61"/>
        <v>0.91424000000000005</v>
      </c>
      <c r="AZ67" s="263">
        <f t="shared" si="85"/>
        <v>0</v>
      </c>
      <c r="BA67" s="262">
        <f t="shared" si="86"/>
        <v>0</v>
      </c>
      <c r="BB67" s="262">
        <f t="shared" si="62"/>
        <v>0</v>
      </c>
      <c r="BC67" s="264" t="e">
        <f t="shared" si="101"/>
        <v>#DIV/0!</v>
      </c>
      <c r="BD67" s="263">
        <v>0</v>
      </c>
      <c r="BE67" s="262">
        <f t="shared" si="102"/>
        <v>0</v>
      </c>
      <c r="BF67" s="264">
        <f t="shared" si="64"/>
        <v>0</v>
      </c>
      <c r="BG67" s="263">
        <f t="shared" si="103"/>
        <v>0</v>
      </c>
      <c r="BH67" s="262">
        <f t="shared" si="104"/>
        <v>0</v>
      </c>
      <c r="BI67" s="264">
        <f t="shared" si="105"/>
        <v>0</v>
      </c>
      <c r="BK67" s="258">
        <f t="shared" si="87"/>
        <v>0</v>
      </c>
      <c r="BL67" s="257">
        <f t="shared" si="18"/>
        <v>0</v>
      </c>
      <c r="BM67" s="257">
        <f t="shared" si="88"/>
        <v>0</v>
      </c>
      <c r="BN67" s="259">
        <f t="shared" si="44"/>
        <v>0</v>
      </c>
      <c r="BO67" s="258">
        <v>0</v>
      </c>
      <c r="BP67" s="257">
        <f t="shared" si="106"/>
        <v>0</v>
      </c>
      <c r="BQ67" s="259">
        <f t="shared" si="65"/>
        <v>0</v>
      </c>
      <c r="BR67" s="258">
        <f t="shared" si="107"/>
        <v>0</v>
      </c>
      <c r="BS67" s="257">
        <f t="shared" si="108"/>
        <v>0</v>
      </c>
      <c r="BT67" s="259">
        <f t="shared" si="67"/>
        <v>0</v>
      </c>
      <c r="BU67" s="275">
        <f t="shared" si="89"/>
        <v>0</v>
      </c>
      <c r="BV67" s="274">
        <f t="shared" si="90"/>
        <v>0</v>
      </c>
      <c r="BW67" s="274">
        <f t="shared" si="91"/>
        <v>0</v>
      </c>
      <c r="BX67" s="276">
        <f t="shared" si="109"/>
        <v>0</v>
      </c>
      <c r="BY67" s="275">
        <v>0</v>
      </c>
      <c r="BZ67" s="274">
        <f t="shared" si="110"/>
        <v>0</v>
      </c>
      <c r="CA67" s="276">
        <f t="shared" si="68"/>
        <v>0</v>
      </c>
      <c r="CB67" s="275">
        <f t="shared" si="111"/>
        <v>0</v>
      </c>
      <c r="CC67" s="274">
        <f t="shared" si="112"/>
        <v>0</v>
      </c>
      <c r="CD67" s="276">
        <f t="shared" si="69"/>
        <v>0</v>
      </c>
      <c r="CE67" s="58">
        <f t="shared" si="113"/>
        <v>1.5683078845205305E-2</v>
      </c>
      <c r="CF67" s="49">
        <f t="shared" si="24"/>
        <v>7.3499999999999996E-2</v>
      </c>
      <c r="CG67" s="61">
        <f t="shared" si="70"/>
        <v>3.2340000000000001E-2</v>
      </c>
      <c r="CH67" s="49">
        <f t="shared" si="71"/>
        <v>4.1271260118961334E-3</v>
      </c>
      <c r="CI67" s="49">
        <f t="shared" si="72"/>
        <v>2.9523211237631903</v>
      </c>
      <c r="CJ67" s="49">
        <f t="shared" si="114"/>
        <v>73.043877271297717</v>
      </c>
      <c r="CN67" s="49">
        <f t="shared" si="53"/>
        <v>0.91424000000000005</v>
      </c>
      <c r="CO67" s="49">
        <f t="shared" si="54"/>
        <v>0</v>
      </c>
      <c r="CP67" s="49">
        <f t="shared" si="55"/>
        <v>0</v>
      </c>
      <c r="CQ67" s="49" t="str">
        <f t="shared" si="92"/>
        <v/>
      </c>
    </row>
    <row r="68" spans="12:95" x14ac:dyDescent="0.45">
      <c r="L68" s="49">
        <f t="shared" si="56"/>
        <v>40.666666666666664</v>
      </c>
      <c r="Q68" s="49">
        <v>61</v>
      </c>
      <c r="R68" s="278">
        <f t="shared" si="0"/>
        <v>8.1333333333333329</v>
      </c>
      <c r="S68" s="201">
        <f t="shared" si="1"/>
        <v>42</v>
      </c>
      <c r="T68" s="206">
        <f t="shared" si="73"/>
        <v>0.19365079365079363</v>
      </c>
      <c r="U68" s="205">
        <f t="shared" si="74"/>
        <v>2</v>
      </c>
      <c r="V68" s="201">
        <f t="shared" si="75"/>
        <v>0.45955882352941174</v>
      </c>
      <c r="W68" s="201">
        <f t="shared" si="76"/>
        <v>0.54044117647058831</v>
      </c>
      <c r="X68" s="201">
        <f t="shared" si="27"/>
        <v>0</v>
      </c>
      <c r="Y68" s="205">
        <f t="shared" si="93"/>
        <v>0.42138412698412697</v>
      </c>
      <c r="Z68" s="201">
        <f t="shared" si="77"/>
        <v>0.30637254901960786</v>
      </c>
      <c r="AA68" s="201">
        <f t="shared" si="29"/>
        <v>0.5745704014939309</v>
      </c>
      <c r="AB68" s="206">
        <f t="shared" si="78"/>
        <v>0.29188361559919218</v>
      </c>
      <c r="AC68" s="205">
        <v>0</v>
      </c>
      <c r="AD68" s="201">
        <f t="shared" si="79"/>
        <v>4.2598022527628497E-3</v>
      </c>
      <c r="AE68" s="206">
        <f t="shared" si="31"/>
        <v>4.2598022527628497E-3</v>
      </c>
      <c r="AF68" s="58">
        <f t="shared" si="80"/>
        <v>0.16266666666666665</v>
      </c>
      <c r="AG68" s="61">
        <f t="shared" si="81"/>
        <v>0.16266666666666665</v>
      </c>
      <c r="AH68" s="58">
        <f t="shared" si="82"/>
        <v>1.1331073992349181E-2</v>
      </c>
      <c r="AI68" s="49">
        <f t="shared" si="83"/>
        <v>1.5817836431096854</v>
      </c>
      <c r="AJ68" s="61">
        <f t="shared" si="57"/>
        <v>1.5931147171020346</v>
      </c>
      <c r="AK68" s="269">
        <f t="shared" si="84"/>
        <v>8.1333333333333329</v>
      </c>
      <c r="AL68" s="268">
        <f t="shared" si="13"/>
        <v>5</v>
      </c>
      <c r="AM68" s="270">
        <f t="shared" si="32"/>
        <v>1.6266666666666665</v>
      </c>
      <c r="AN68" s="269">
        <f t="shared" si="94"/>
        <v>2</v>
      </c>
      <c r="AO68" s="268">
        <f t="shared" si="95"/>
        <v>0.54044117647058831</v>
      </c>
      <c r="AP68" s="268">
        <f t="shared" si="96"/>
        <v>3.009886621315192</v>
      </c>
      <c r="AQ68" s="268">
        <f t="shared" si="97"/>
        <v>2.1883753501400562</v>
      </c>
      <c r="AR68" s="268">
        <f t="shared" si="58"/>
        <v>4.1040742963852201</v>
      </c>
      <c r="AS68" s="270">
        <f t="shared" si="59"/>
        <v>2.260920764492957</v>
      </c>
      <c r="AT68" s="269"/>
      <c r="AU68" s="268">
        <f t="shared" si="98"/>
        <v>2.6460444444444439E-2</v>
      </c>
      <c r="AV68" s="270">
        <f t="shared" si="60"/>
        <v>2.6460444444444439E-2</v>
      </c>
      <c r="AW68" s="269">
        <f t="shared" si="99"/>
        <v>0.11424000000000001</v>
      </c>
      <c r="AX68" s="268">
        <f t="shared" si="100"/>
        <v>0.81333333333333324</v>
      </c>
      <c r="AY68" s="270">
        <f t="shared" si="61"/>
        <v>0.92757333333333325</v>
      </c>
      <c r="AZ68" s="263">
        <f t="shared" si="85"/>
        <v>0</v>
      </c>
      <c r="BA68" s="262">
        <f t="shared" si="86"/>
        <v>0</v>
      </c>
      <c r="BB68" s="262">
        <f t="shared" si="62"/>
        <v>0</v>
      </c>
      <c r="BC68" s="264" t="e">
        <f t="shared" si="101"/>
        <v>#DIV/0!</v>
      </c>
      <c r="BD68" s="263">
        <v>0</v>
      </c>
      <c r="BE68" s="262">
        <f t="shared" si="102"/>
        <v>0</v>
      </c>
      <c r="BF68" s="264">
        <f t="shared" si="64"/>
        <v>0</v>
      </c>
      <c r="BG68" s="263">
        <f t="shared" si="103"/>
        <v>0</v>
      </c>
      <c r="BH68" s="262">
        <f t="shared" si="104"/>
        <v>0</v>
      </c>
      <c r="BI68" s="264">
        <f t="shared" si="105"/>
        <v>0</v>
      </c>
      <c r="BK68" s="258">
        <f t="shared" si="87"/>
        <v>0</v>
      </c>
      <c r="BL68" s="257">
        <f t="shared" si="18"/>
        <v>0</v>
      </c>
      <c r="BM68" s="257">
        <f t="shared" si="88"/>
        <v>0</v>
      </c>
      <c r="BN68" s="259">
        <f t="shared" si="44"/>
        <v>0</v>
      </c>
      <c r="BO68" s="258">
        <v>0</v>
      </c>
      <c r="BP68" s="257">
        <f t="shared" si="106"/>
        <v>0</v>
      </c>
      <c r="BQ68" s="259">
        <f t="shared" si="65"/>
        <v>0</v>
      </c>
      <c r="BR68" s="258">
        <f t="shared" si="107"/>
        <v>0</v>
      </c>
      <c r="BS68" s="257">
        <f t="shared" si="108"/>
        <v>0</v>
      </c>
      <c r="BT68" s="259">
        <f t="shared" si="67"/>
        <v>0</v>
      </c>
      <c r="BU68" s="275">
        <f t="shared" si="89"/>
        <v>0</v>
      </c>
      <c r="BV68" s="274">
        <f t="shared" si="90"/>
        <v>0</v>
      </c>
      <c r="BW68" s="274">
        <f t="shared" si="91"/>
        <v>0</v>
      </c>
      <c r="BX68" s="276">
        <f t="shared" si="109"/>
        <v>0</v>
      </c>
      <c r="BY68" s="275">
        <v>0</v>
      </c>
      <c r="BZ68" s="274">
        <f t="shared" si="110"/>
        <v>0</v>
      </c>
      <c r="CA68" s="276">
        <f t="shared" si="68"/>
        <v>0</v>
      </c>
      <c r="CB68" s="275">
        <f t="shared" si="111"/>
        <v>0</v>
      </c>
      <c r="CC68" s="274">
        <f t="shared" si="112"/>
        <v>0</v>
      </c>
      <c r="CD68" s="276">
        <f t="shared" si="69"/>
        <v>0</v>
      </c>
      <c r="CE68" s="58">
        <f t="shared" si="113"/>
        <v>1.6187248560498829E-2</v>
      </c>
      <c r="CF68" s="49">
        <f t="shared" si="24"/>
        <v>7.3499999999999996E-2</v>
      </c>
      <c r="CG68" s="61">
        <f t="shared" si="70"/>
        <v>3.2340000000000001E-2</v>
      </c>
      <c r="CH68" s="49">
        <f t="shared" si="71"/>
        <v>4.2598022527628497E-3</v>
      </c>
      <c r="CI68" s="49">
        <f t="shared" si="72"/>
        <v>2.9987688790264069</v>
      </c>
      <c r="CJ68" s="49">
        <f t="shared" si="114"/>
        <v>73.061971388504347</v>
      </c>
      <c r="CN68" s="49">
        <f t="shared" si="53"/>
        <v>0.92757333333333325</v>
      </c>
      <c r="CO68" s="49">
        <f t="shared" si="54"/>
        <v>0</v>
      </c>
      <c r="CP68" s="49">
        <f t="shared" si="55"/>
        <v>0</v>
      </c>
      <c r="CQ68" s="49" t="str">
        <f t="shared" si="92"/>
        <v/>
      </c>
    </row>
    <row r="69" spans="12:95" x14ac:dyDescent="0.45">
      <c r="L69" s="49">
        <f t="shared" si="56"/>
        <v>41.333333333333329</v>
      </c>
      <c r="Q69" s="49">
        <v>62</v>
      </c>
      <c r="R69" s="278">
        <f t="shared" si="0"/>
        <v>8.2666666666666657</v>
      </c>
      <c r="S69" s="201">
        <f t="shared" si="1"/>
        <v>42</v>
      </c>
      <c r="T69" s="206">
        <f t="shared" si="73"/>
        <v>0.19682539682539679</v>
      </c>
      <c r="U69" s="205">
        <f t="shared" si="74"/>
        <v>2</v>
      </c>
      <c r="V69" s="201">
        <f t="shared" si="75"/>
        <v>0.45955882352941174</v>
      </c>
      <c r="W69" s="201">
        <f t="shared" si="76"/>
        <v>0.54044117647058831</v>
      </c>
      <c r="X69" s="201">
        <f t="shared" si="27"/>
        <v>0</v>
      </c>
      <c r="Y69" s="205">
        <f t="shared" si="93"/>
        <v>0.42829206349206345</v>
      </c>
      <c r="Z69" s="201">
        <f t="shared" si="77"/>
        <v>0.30637254901960786</v>
      </c>
      <c r="AA69" s="201">
        <f t="shared" si="29"/>
        <v>0.58147833800186732</v>
      </c>
      <c r="AB69" s="206">
        <f t="shared" si="78"/>
        <v>0.2964682610110691</v>
      </c>
      <c r="AC69" s="205">
        <v>0</v>
      </c>
      <c r="AD69" s="201">
        <f t="shared" si="79"/>
        <v>4.39467148934637E-3</v>
      </c>
      <c r="AE69" s="206">
        <f t="shared" si="31"/>
        <v>4.39467148934637E-3</v>
      </c>
      <c r="AF69" s="58">
        <f t="shared" si="80"/>
        <v>0.1653333333333333</v>
      </c>
      <c r="AG69" s="61">
        <f t="shared" si="81"/>
        <v>0.1653333333333333</v>
      </c>
      <c r="AH69" s="58">
        <f t="shared" si="82"/>
        <v>1.1689826161661344E-2</v>
      </c>
      <c r="AI69" s="49">
        <f t="shared" si="83"/>
        <v>1.6077145225049263</v>
      </c>
      <c r="AJ69" s="61">
        <f t="shared" si="57"/>
        <v>1.6194043486665877</v>
      </c>
      <c r="AK69" s="269">
        <f t="shared" si="84"/>
        <v>8.2666666666666657</v>
      </c>
      <c r="AL69" s="268">
        <f t="shared" si="13"/>
        <v>5</v>
      </c>
      <c r="AM69" s="270">
        <f t="shared" si="32"/>
        <v>1.6533333333333331</v>
      </c>
      <c r="AN69" s="269">
        <f t="shared" si="94"/>
        <v>2</v>
      </c>
      <c r="AO69" s="268">
        <f t="shared" si="95"/>
        <v>0.5404411764705882</v>
      </c>
      <c r="AP69" s="268">
        <f t="shared" si="96"/>
        <v>3.0592290249433103</v>
      </c>
      <c r="AQ69" s="268">
        <f t="shared" si="97"/>
        <v>2.1883753501400558</v>
      </c>
      <c r="AR69" s="268">
        <f t="shared" si="58"/>
        <v>4.153416700013338</v>
      </c>
      <c r="AS69" s="270">
        <f t="shared" si="59"/>
        <v>2.2964332751498886</v>
      </c>
      <c r="AT69" s="269"/>
      <c r="AU69" s="268">
        <f t="shared" si="98"/>
        <v>2.7335111111111105E-2</v>
      </c>
      <c r="AV69" s="270">
        <f t="shared" si="60"/>
        <v>2.7335111111111105E-2</v>
      </c>
      <c r="AW69" s="269">
        <f t="shared" si="99"/>
        <v>0.11424000000000001</v>
      </c>
      <c r="AX69" s="268">
        <f t="shared" si="100"/>
        <v>0.82666666666666655</v>
      </c>
      <c r="AY69" s="270">
        <f t="shared" si="61"/>
        <v>0.94090666666666656</v>
      </c>
      <c r="AZ69" s="263">
        <f t="shared" si="85"/>
        <v>0</v>
      </c>
      <c r="BA69" s="262">
        <f t="shared" si="86"/>
        <v>0</v>
      </c>
      <c r="BB69" s="262">
        <f t="shared" si="62"/>
        <v>0</v>
      </c>
      <c r="BC69" s="264" t="e">
        <f t="shared" si="101"/>
        <v>#DIV/0!</v>
      </c>
      <c r="BD69" s="263">
        <v>0</v>
      </c>
      <c r="BE69" s="262">
        <f t="shared" si="102"/>
        <v>0</v>
      </c>
      <c r="BF69" s="264">
        <f t="shared" si="64"/>
        <v>0</v>
      </c>
      <c r="BG69" s="263">
        <f t="shared" si="103"/>
        <v>0</v>
      </c>
      <c r="BH69" s="262">
        <f t="shared" si="104"/>
        <v>0</v>
      </c>
      <c r="BI69" s="264">
        <f t="shared" si="105"/>
        <v>0</v>
      </c>
      <c r="BK69" s="258">
        <f t="shared" si="87"/>
        <v>0</v>
      </c>
      <c r="BL69" s="257">
        <f t="shared" si="18"/>
        <v>0</v>
      </c>
      <c r="BM69" s="257">
        <f t="shared" si="88"/>
        <v>0</v>
      </c>
      <c r="BN69" s="259">
        <f t="shared" si="44"/>
        <v>0</v>
      </c>
      <c r="BO69" s="258">
        <v>0</v>
      </c>
      <c r="BP69" s="257">
        <f t="shared" si="106"/>
        <v>0</v>
      </c>
      <c r="BQ69" s="259">
        <f t="shared" si="65"/>
        <v>0</v>
      </c>
      <c r="BR69" s="258">
        <f t="shared" si="107"/>
        <v>0</v>
      </c>
      <c r="BS69" s="257">
        <f t="shared" si="108"/>
        <v>0</v>
      </c>
      <c r="BT69" s="259">
        <f t="shared" si="67"/>
        <v>0</v>
      </c>
      <c r="BU69" s="275">
        <f t="shared" si="89"/>
        <v>0</v>
      </c>
      <c r="BV69" s="274">
        <f t="shared" si="90"/>
        <v>0</v>
      </c>
      <c r="BW69" s="274">
        <f t="shared" si="91"/>
        <v>0</v>
      </c>
      <c r="BX69" s="276">
        <f t="shared" si="109"/>
        <v>0</v>
      </c>
      <c r="BY69" s="275">
        <v>0</v>
      </c>
      <c r="BZ69" s="274">
        <f t="shared" si="110"/>
        <v>0</v>
      </c>
      <c r="CA69" s="276">
        <f t="shared" si="68"/>
        <v>0</v>
      </c>
      <c r="CB69" s="275">
        <f t="shared" si="111"/>
        <v>0</v>
      </c>
      <c r="CC69" s="274">
        <f t="shared" si="112"/>
        <v>0</v>
      </c>
      <c r="CD69" s="276">
        <f t="shared" si="69"/>
        <v>0</v>
      </c>
      <c r="CE69" s="58">
        <f t="shared" si="113"/>
        <v>1.6699751659516204E-2</v>
      </c>
      <c r="CF69" s="49">
        <f t="shared" si="24"/>
        <v>7.3499999999999996E-2</v>
      </c>
      <c r="CG69" s="61">
        <f t="shared" si="70"/>
        <v>3.2340000000000001E-2</v>
      </c>
      <c r="CH69" s="49">
        <f t="shared" si="71"/>
        <v>4.39467148934637E-3</v>
      </c>
      <c r="CI69" s="49">
        <f t="shared" si="72"/>
        <v>3.0452472162598943</v>
      </c>
      <c r="CJ69" s="49">
        <f t="shared" si="114"/>
        <v>73.07929279008934</v>
      </c>
      <c r="CN69" s="49">
        <f t="shared" si="53"/>
        <v>0.94090666666666656</v>
      </c>
      <c r="CO69" s="49">
        <f t="shared" si="54"/>
        <v>0</v>
      </c>
      <c r="CP69" s="49">
        <f t="shared" si="55"/>
        <v>0</v>
      </c>
      <c r="CQ69" s="49" t="str">
        <f t="shared" si="92"/>
        <v/>
      </c>
    </row>
    <row r="70" spans="12:95" x14ac:dyDescent="0.45">
      <c r="L70" s="49">
        <f t="shared" si="56"/>
        <v>42.000000000000007</v>
      </c>
      <c r="Q70" s="49">
        <v>63</v>
      </c>
      <c r="R70" s="278">
        <f t="shared" si="0"/>
        <v>8.4</v>
      </c>
      <c r="S70" s="201">
        <f t="shared" si="1"/>
        <v>42</v>
      </c>
      <c r="T70" s="206">
        <f t="shared" si="73"/>
        <v>0.2</v>
      </c>
      <c r="U70" s="205">
        <f t="shared" si="74"/>
        <v>2</v>
      </c>
      <c r="V70" s="201">
        <f t="shared" si="75"/>
        <v>0.45955882352941174</v>
      </c>
      <c r="W70" s="201">
        <f t="shared" si="76"/>
        <v>0.54044117647058831</v>
      </c>
      <c r="X70" s="201">
        <f t="shared" si="27"/>
        <v>0</v>
      </c>
      <c r="Y70" s="205">
        <f t="shared" si="93"/>
        <v>0.43520000000000003</v>
      </c>
      <c r="Z70" s="201">
        <f t="shared" si="77"/>
        <v>0.30637254901960786</v>
      </c>
      <c r="AA70" s="201">
        <f t="shared" si="29"/>
        <v>0.58838627450980396</v>
      </c>
      <c r="AB70" s="206">
        <f t="shared" si="78"/>
        <v>0.30105593239950279</v>
      </c>
      <c r="AC70" s="205">
        <v>0</v>
      </c>
      <c r="AD70" s="201">
        <f t="shared" si="79"/>
        <v>4.5317337216466995E-3</v>
      </c>
      <c r="AE70" s="206">
        <f t="shared" si="31"/>
        <v>4.5317337216466995E-3</v>
      </c>
      <c r="AF70" s="58">
        <f t="shared" si="80"/>
        <v>0.16800000000000001</v>
      </c>
      <c r="AG70" s="61">
        <f t="shared" si="81"/>
        <v>0.16800000000000001</v>
      </c>
      <c r="AH70" s="58">
        <f t="shared" si="82"/>
        <v>1.2054411699580221E-2</v>
      </c>
      <c r="AI70" s="49">
        <f t="shared" si="83"/>
        <v>1.6336454019001674</v>
      </c>
      <c r="AJ70" s="61">
        <f t="shared" si="57"/>
        <v>1.6456998135997476</v>
      </c>
      <c r="AK70" s="269">
        <f t="shared" si="84"/>
        <v>8.4</v>
      </c>
      <c r="AL70" s="268">
        <f t="shared" si="13"/>
        <v>5</v>
      </c>
      <c r="AM70" s="270">
        <f t="shared" si="32"/>
        <v>1.6800000000000002</v>
      </c>
      <c r="AN70" s="269">
        <f t="shared" si="94"/>
        <v>2</v>
      </c>
      <c r="AO70" s="268">
        <f t="shared" si="95"/>
        <v>0.54044117647058831</v>
      </c>
      <c r="AP70" s="268">
        <f t="shared" si="96"/>
        <v>3.1085714285714285</v>
      </c>
      <c r="AQ70" s="268">
        <f t="shared" si="97"/>
        <v>2.1883753501400562</v>
      </c>
      <c r="AR70" s="268">
        <f t="shared" si="58"/>
        <v>4.2027591036414567</v>
      </c>
      <c r="AS70" s="270">
        <f t="shared" si="59"/>
        <v>2.3319692249204405</v>
      </c>
      <c r="AT70" s="269"/>
      <c r="AU70" s="268">
        <f t="shared" si="98"/>
        <v>2.8224000000000006E-2</v>
      </c>
      <c r="AV70" s="270">
        <f t="shared" si="60"/>
        <v>2.8224000000000006E-2</v>
      </c>
      <c r="AW70" s="269">
        <f t="shared" si="99"/>
        <v>0.11424000000000001</v>
      </c>
      <c r="AX70" s="268">
        <f t="shared" si="100"/>
        <v>0.84000000000000008</v>
      </c>
      <c r="AY70" s="270">
        <f t="shared" si="61"/>
        <v>0.95424000000000009</v>
      </c>
      <c r="AZ70" s="263">
        <f t="shared" si="85"/>
        <v>0</v>
      </c>
      <c r="BA70" s="262">
        <f t="shared" si="86"/>
        <v>0</v>
      </c>
      <c r="BB70" s="262">
        <f t="shared" si="62"/>
        <v>0</v>
      </c>
      <c r="BC70" s="264" t="e">
        <f t="shared" si="101"/>
        <v>#DIV/0!</v>
      </c>
      <c r="BD70" s="263">
        <v>0</v>
      </c>
      <c r="BE70" s="262">
        <f t="shared" si="102"/>
        <v>0</v>
      </c>
      <c r="BF70" s="264">
        <f t="shared" si="64"/>
        <v>0</v>
      </c>
      <c r="BG70" s="263">
        <f t="shared" si="103"/>
        <v>0</v>
      </c>
      <c r="BH70" s="262">
        <f t="shared" si="104"/>
        <v>0</v>
      </c>
      <c r="BI70" s="264">
        <f t="shared" si="105"/>
        <v>0</v>
      </c>
      <c r="BK70" s="258">
        <f t="shared" si="87"/>
        <v>0</v>
      </c>
      <c r="BL70" s="257">
        <f t="shared" si="18"/>
        <v>0</v>
      </c>
      <c r="BM70" s="257">
        <f t="shared" si="88"/>
        <v>0</v>
      </c>
      <c r="BN70" s="259">
        <f t="shared" si="44"/>
        <v>0</v>
      </c>
      <c r="BO70" s="258">
        <v>0</v>
      </c>
      <c r="BP70" s="257">
        <f t="shared" si="106"/>
        <v>0</v>
      </c>
      <c r="BQ70" s="259">
        <f t="shared" si="65"/>
        <v>0</v>
      </c>
      <c r="BR70" s="258">
        <f t="shared" si="107"/>
        <v>0</v>
      </c>
      <c r="BS70" s="257">
        <f t="shared" si="108"/>
        <v>0</v>
      </c>
      <c r="BT70" s="259">
        <f t="shared" si="67"/>
        <v>0</v>
      </c>
      <c r="BU70" s="275">
        <f t="shared" si="89"/>
        <v>0</v>
      </c>
      <c r="BV70" s="274">
        <f t="shared" si="90"/>
        <v>0</v>
      </c>
      <c r="BW70" s="274">
        <f t="shared" si="91"/>
        <v>0</v>
      </c>
      <c r="BX70" s="276">
        <f t="shared" si="109"/>
        <v>0</v>
      </c>
      <c r="BY70" s="275">
        <v>0</v>
      </c>
      <c r="BZ70" s="274">
        <f t="shared" si="110"/>
        <v>0</v>
      </c>
      <c r="CA70" s="276">
        <f t="shared" si="68"/>
        <v>0</v>
      </c>
      <c r="CB70" s="275">
        <f t="shared" si="111"/>
        <v>0</v>
      </c>
      <c r="CC70" s="274">
        <f t="shared" si="112"/>
        <v>0</v>
      </c>
      <c r="CD70" s="276">
        <f t="shared" si="69"/>
        <v>0</v>
      </c>
      <c r="CE70" s="58">
        <f t="shared" si="113"/>
        <v>1.7220588142257458E-2</v>
      </c>
      <c r="CF70" s="49">
        <f t="shared" si="24"/>
        <v>7.3499999999999996E-2</v>
      </c>
      <c r="CG70" s="61">
        <f t="shared" si="70"/>
        <v>3.2340000000000001E-2</v>
      </c>
      <c r="CH70" s="49">
        <f t="shared" si="71"/>
        <v>4.5317337216466995E-3</v>
      </c>
      <c r="CI70" s="49">
        <f t="shared" si="72"/>
        <v>3.091756135463652</v>
      </c>
      <c r="CJ70" s="49">
        <f t="shared" si="114"/>
        <v>73.095877609841821</v>
      </c>
      <c r="CN70" s="49">
        <f t="shared" si="53"/>
        <v>0.95424000000000009</v>
      </c>
      <c r="CO70" s="49">
        <f t="shared" si="54"/>
        <v>0</v>
      </c>
      <c r="CP70" s="49">
        <f t="shared" si="55"/>
        <v>0</v>
      </c>
      <c r="CQ70" s="49" t="str">
        <f t="shared" si="92"/>
        <v/>
      </c>
    </row>
    <row r="71" spans="12:95" x14ac:dyDescent="0.45">
      <c r="L71" s="49">
        <f t="shared" si="56"/>
        <v>42.666666666666664</v>
      </c>
      <c r="Q71" s="49">
        <v>64</v>
      </c>
      <c r="R71" s="278">
        <f t="shared" ref="R71:R134" si="115">AK71+AZ71+BK71+BU71</f>
        <v>8.5333333333333332</v>
      </c>
      <c r="S71" s="201">
        <f t="shared" ref="S71:S134" si="116">VIN_var</f>
        <v>42</v>
      </c>
      <c r="T71" s="206">
        <f t="shared" ref="T71:T102" si="117">(R71)/(S71*EFF_est)</f>
        <v>0.20317460317460317</v>
      </c>
      <c r="U71" s="205">
        <f t="shared" ref="U71:U102" si="118">IF(R71&lt;((((Np/NS1_)*(AL71)/((S71+((Np/NS1_)*(AL71)))))^2)*(S71^2))/(2*Lm*Fsw),1,2)</f>
        <v>2</v>
      </c>
      <c r="V71" s="201">
        <f t="shared" ref="V71:V102" si="119">CHOOSE(U71,SQRT((2*Lm*R71*Fsw)/((S71^2)*EFF_est)),(((Np/NS1_)*(AL71))/(S71+((Np/NS1_)*(AL71)))))</f>
        <v>0.45955882352941174</v>
      </c>
      <c r="W71" s="201">
        <f t="shared" ref="W71:W102" si="120">CHOOSE(U71,(NS1_*S71*V71)/(Np*AL71),1-V71)</f>
        <v>0.54044117647058831</v>
      </c>
      <c r="X71" s="201">
        <f t="shared" si="27"/>
        <v>0</v>
      </c>
      <c r="Y71" s="205">
        <f t="shared" si="93"/>
        <v>0.44210793650793651</v>
      </c>
      <c r="Z71" s="201">
        <f t="shared" ref="Z71:Z102" si="121">(S71*V71)/(Lm*Fsw)</f>
        <v>0.30637254901960786</v>
      </c>
      <c r="AA71" s="201">
        <f t="shared" si="29"/>
        <v>0.59529421101774038</v>
      </c>
      <c r="AB71" s="206">
        <f t="shared" ref="AB71:AB102" si="122">CHOOSE(U71,AA71*SQRT(V71/3),SQRT(V71*((AA71^2)+((Z71^2)/(3))-(AA71*Z71))))</f>
        <v>0.30564649350724865</v>
      </c>
      <c r="AC71" s="205">
        <v>0</v>
      </c>
      <c r="AD71" s="201">
        <f t="shared" ref="AD71:AD102" si="123">(AB71^2)*Rdcr</f>
        <v>4.6709889496638303E-3</v>
      </c>
      <c r="AE71" s="206">
        <f t="shared" si="31"/>
        <v>4.6709889496638303E-3</v>
      </c>
      <c r="AF71" s="58">
        <f t="shared" ref="AF71:AF102" si="124">R71*0.02</f>
        <v>0.17066666666666666</v>
      </c>
      <c r="AG71" s="61">
        <f t="shared" ref="AG71:AG102" si="125">R71*0.02</f>
        <v>0.17066666666666666</v>
      </c>
      <c r="AH71" s="58">
        <f t="shared" ref="AH71:AH102" si="126">(AB71^2)*RDS_on</f>
        <v>1.2424830606105788E-2</v>
      </c>
      <c r="AI71" s="49">
        <f t="shared" ref="AI71:AI102" si="127">((Y71*(S71+((Np/NS1_)*VOUT1)))/2)*Fsw*(tr_sw+tf_sw)</f>
        <v>1.6595762812954082</v>
      </c>
      <c r="AJ71" s="61">
        <f t="shared" si="57"/>
        <v>1.6720011119015141</v>
      </c>
      <c r="AK71" s="269">
        <f t="shared" ref="AK71:AK102" si="128">Q71*$B$11</f>
        <v>8.5333333333333332</v>
      </c>
      <c r="AL71" s="268">
        <f t="shared" ref="AL71:AL134" si="129">VOUT1</f>
        <v>5</v>
      </c>
      <c r="AM71" s="270">
        <f t="shared" si="32"/>
        <v>1.7066666666666666</v>
      </c>
      <c r="AN71" s="269">
        <f t="shared" si="94"/>
        <v>2</v>
      </c>
      <c r="AO71" s="268">
        <f t="shared" si="95"/>
        <v>0.54044117647058831</v>
      </c>
      <c r="AP71" s="268">
        <f t="shared" si="96"/>
        <v>3.1579138321995459</v>
      </c>
      <c r="AQ71" s="268">
        <f t="shared" si="97"/>
        <v>2.1883753501400562</v>
      </c>
      <c r="AR71" s="268">
        <f t="shared" si="58"/>
        <v>4.2521015072695736</v>
      </c>
      <c r="AS71" s="270">
        <f t="shared" si="59"/>
        <v>2.3675275583605342</v>
      </c>
      <c r="AT71" s="269"/>
      <c r="AU71" s="268">
        <f t="shared" si="98"/>
        <v>2.9127111111111107E-2</v>
      </c>
      <c r="AV71" s="270">
        <f t="shared" si="60"/>
        <v>2.9127111111111107E-2</v>
      </c>
      <c r="AW71" s="269">
        <f t="shared" si="99"/>
        <v>0.11424000000000001</v>
      </c>
      <c r="AX71" s="268">
        <f t="shared" si="100"/>
        <v>0.85333333333333328</v>
      </c>
      <c r="AY71" s="270">
        <f t="shared" si="61"/>
        <v>0.96757333333333329</v>
      </c>
      <c r="AZ71" s="263">
        <f t="shared" ref="AZ71:AZ102" si="130">IF(EN_OUT_2=1,Q71*$B$15,0)</f>
        <v>0</v>
      </c>
      <c r="BA71" s="262">
        <f t="shared" ref="BA71:BA102" si="131">IF(EN_OUT_2=1,VOUT2,0)</f>
        <v>0</v>
      </c>
      <c r="BB71" s="262">
        <f t="shared" si="62"/>
        <v>0</v>
      </c>
      <c r="BC71" s="264" t="e">
        <f t="shared" si="101"/>
        <v>#DIV/0!</v>
      </c>
      <c r="BD71" s="263">
        <v>0</v>
      </c>
      <c r="BE71" s="262">
        <f t="shared" si="102"/>
        <v>0</v>
      </c>
      <c r="BF71" s="264">
        <f t="shared" si="64"/>
        <v>0</v>
      </c>
      <c r="BG71" s="263">
        <f t="shared" si="103"/>
        <v>0</v>
      </c>
      <c r="BH71" s="262">
        <f t="shared" si="104"/>
        <v>0</v>
      </c>
      <c r="BI71" s="264">
        <f t="shared" si="105"/>
        <v>0</v>
      </c>
      <c r="BK71" s="258">
        <f t="shared" ref="BK71:BK102" si="132">IF(EN_OUT_3=1,Q71*$B$19,0)</f>
        <v>0</v>
      </c>
      <c r="BL71" s="257">
        <f t="shared" ref="BL71:BL134" si="133">IF(EN_OUT_3=1,VOUT3,0)</f>
        <v>0</v>
      </c>
      <c r="BM71" s="257">
        <f t="shared" ref="BM71:BM102" si="134">IF(EN_OUT_3=1,BK71/BL71,0)</f>
        <v>0</v>
      </c>
      <c r="BN71" s="259">
        <f t="shared" si="44"/>
        <v>0</v>
      </c>
      <c r="BO71" s="258">
        <v>0</v>
      </c>
      <c r="BP71" s="257">
        <f t="shared" si="106"/>
        <v>0</v>
      </c>
      <c r="BQ71" s="259">
        <f t="shared" si="65"/>
        <v>0</v>
      </c>
      <c r="BR71" s="258">
        <f t="shared" si="107"/>
        <v>0</v>
      </c>
      <c r="BS71" s="257">
        <f t="shared" si="108"/>
        <v>0</v>
      </c>
      <c r="BT71" s="259">
        <f t="shared" si="67"/>
        <v>0</v>
      </c>
      <c r="BU71" s="275">
        <f t="shared" ref="BU71:BU102" si="135">IF(EN_OUT_4=1,Q71*$B$22,0)</f>
        <v>0</v>
      </c>
      <c r="BV71" s="274">
        <f t="shared" ref="BV71:BV102" si="136">IF(EN_OUT_4=1,VOUT4,0)</f>
        <v>0</v>
      </c>
      <c r="BW71" s="274">
        <f t="shared" ref="BW71:BW102" si="137">IF(EN_OUT_4=1,BU71/BV71,0)</f>
        <v>0</v>
      </c>
      <c r="BX71" s="276">
        <f t="shared" si="109"/>
        <v>0</v>
      </c>
      <c r="BY71" s="275">
        <v>0</v>
      </c>
      <c r="BZ71" s="274">
        <f t="shared" si="110"/>
        <v>0</v>
      </c>
      <c r="CA71" s="276">
        <f t="shared" si="68"/>
        <v>0</v>
      </c>
      <c r="CB71" s="275">
        <f t="shared" si="111"/>
        <v>0</v>
      </c>
      <c r="CC71" s="274">
        <f t="shared" si="112"/>
        <v>0</v>
      </c>
      <c r="CD71" s="276">
        <f t="shared" si="69"/>
        <v>0</v>
      </c>
      <c r="CE71" s="58">
        <f t="shared" si="113"/>
        <v>1.7749758008722555E-2</v>
      </c>
      <c r="CF71" s="49">
        <f t="shared" ref="CF71:CF134" si="138">Qg_tot*Vcc*Fsw</f>
        <v>7.3499999999999996E-2</v>
      </c>
      <c r="CG71" s="61">
        <f t="shared" si="70"/>
        <v>3.2340000000000001E-2</v>
      </c>
      <c r="CH71" s="49">
        <f t="shared" si="71"/>
        <v>4.6709889496638303E-3</v>
      </c>
      <c r="CI71" s="49">
        <f t="shared" si="72"/>
        <v>3.138295636637678</v>
      </c>
      <c r="CJ71" s="49">
        <f t="shared" si="114"/>
        <v>73.111759766250756</v>
      </c>
      <c r="CN71" s="49">
        <f t="shared" si="53"/>
        <v>0.96757333333333329</v>
      </c>
      <c r="CO71" s="49">
        <f t="shared" si="54"/>
        <v>0</v>
      </c>
      <c r="CP71" s="49">
        <f t="shared" si="55"/>
        <v>0</v>
      </c>
      <c r="CQ71" s="49" t="str">
        <f t="shared" ref="CQ71:CQ102" si="139">IF(num_VOUT=4,CD71,"")</f>
        <v/>
      </c>
    </row>
    <row r="72" spans="12:95" x14ac:dyDescent="0.45">
      <c r="L72" s="49">
        <f t="shared" si="56"/>
        <v>43.333333333333329</v>
      </c>
      <c r="Q72" s="49">
        <v>65</v>
      </c>
      <c r="R72" s="278">
        <f t="shared" si="115"/>
        <v>8.6666666666666661</v>
      </c>
      <c r="S72" s="201">
        <f t="shared" si="116"/>
        <v>42</v>
      </c>
      <c r="T72" s="206">
        <f t="shared" si="117"/>
        <v>0.20634920634920634</v>
      </c>
      <c r="U72" s="205">
        <f t="shared" si="118"/>
        <v>2</v>
      </c>
      <c r="V72" s="201">
        <f t="shared" si="119"/>
        <v>0.45955882352941174</v>
      </c>
      <c r="W72" s="201">
        <f t="shared" si="120"/>
        <v>0.54044117647058831</v>
      </c>
      <c r="X72" s="201">
        <f t="shared" ref="X72:X135" si="140">CHOOSE(U72,1-V72-W72,0)</f>
        <v>0</v>
      </c>
      <c r="Y72" s="205">
        <f t="shared" ref="Y72:Y103" si="141">R72/(S72*EFF_est*V72)</f>
        <v>0.44901587301587298</v>
      </c>
      <c r="Z72" s="201">
        <f t="shared" si="121"/>
        <v>0.30637254901960786</v>
      </c>
      <c r="AA72" s="201">
        <f t="shared" ref="AA72:AA135" si="142">Y72+(Z72/2)</f>
        <v>0.60220214752567691</v>
      </c>
      <c r="AB72" s="206">
        <f t="shared" si="122"/>
        <v>0.31023981605840889</v>
      </c>
      <c r="AC72" s="205">
        <v>0</v>
      </c>
      <c r="AD72" s="201">
        <f t="shared" si="123"/>
        <v>4.8124371733977694E-3</v>
      </c>
      <c r="AE72" s="206">
        <f t="shared" ref="AE72:AE135" si="143">AC72+AD72</f>
        <v>4.8124371733977694E-3</v>
      </c>
      <c r="AF72" s="58">
        <f t="shared" si="124"/>
        <v>0.17333333333333331</v>
      </c>
      <c r="AG72" s="61">
        <f t="shared" si="125"/>
        <v>0.17333333333333331</v>
      </c>
      <c r="AH72" s="58">
        <f t="shared" si="126"/>
        <v>1.2801082881238067E-2</v>
      </c>
      <c r="AI72" s="49">
        <f t="shared" si="127"/>
        <v>1.6855071606906487</v>
      </c>
      <c r="AJ72" s="61">
        <f t="shared" ref="AJ72:AJ135" si="144">AH72+AI72</f>
        <v>1.6983082435718868</v>
      </c>
      <c r="AK72" s="269">
        <f t="shared" si="128"/>
        <v>8.6666666666666661</v>
      </c>
      <c r="AL72" s="268">
        <f t="shared" si="129"/>
        <v>5</v>
      </c>
      <c r="AM72" s="270">
        <f t="shared" ref="AM72:AM103" si="145">AK72/AL72</f>
        <v>1.7333333333333332</v>
      </c>
      <c r="AN72" s="269">
        <f t="shared" ref="AN72:AN103" si="146">IF(((AL72*AO72)/(Fsw*$AO$2))/2&gt;AP72,1,2)</f>
        <v>2</v>
      </c>
      <c r="AO72" s="268">
        <f t="shared" ref="AO72:AO103" si="147">AM72/AP72</f>
        <v>0.5404411764705882</v>
      </c>
      <c r="AP72" s="268">
        <f t="shared" ref="AP72:AP103" si="148">Np*$Y72*AK72/(R72*NS1_)</f>
        <v>3.2072562358276642</v>
      </c>
      <c r="AQ72" s="268">
        <f t="shared" ref="AQ72:AQ103" si="149">(AL72*AO72)/(Fsw*$AO$2)</f>
        <v>2.1883753501400558</v>
      </c>
      <c r="AR72" s="268">
        <f t="shared" si="58"/>
        <v>4.3014439108976923</v>
      </c>
      <c r="AS72" s="270">
        <f t="shared" si="59"/>
        <v>2.4031072818493397</v>
      </c>
      <c r="AT72" s="269"/>
      <c r="AU72" s="268">
        <f t="shared" ref="AU72:AU103" si="150">(AM72^2)*Rdcr1</f>
        <v>3.004444444444444E-2</v>
      </c>
      <c r="AV72" s="270">
        <f t="shared" si="60"/>
        <v>3.004444444444444E-2</v>
      </c>
      <c r="AW72" s="269">
        <f t="shared" ref="AW72:AW103" si="151">(VOUT1+((NS1_/Np)*S72))*QRR1_*Fsw</f>
        <v>0.11424000000000001</v>
      </c>
      <c r="AX72" s="268">
        <f t="shared" ref="AX72:AX103" si="152">AM72*VD1_</f>
        <v>0.86666666666666659</v>
      </c>
      <c r="AY72" s="270">
        <f t="shared" si="61"/>
        <v>0.98090666666666659</v>
      </c>
      <c r="AZ72" s="263">
        <f t="shared" si="130"/>
        <v>0</v>
      </c>
      <c r="BA72" s="262">
        <f t="shared" si="131"/>
        <v>0</v>
      </c>
      <c r="BB72" s="262">
        <f t="shared" si="62"/>
        <v>0</v>
      </c>
      <c r="BC72" s="264" t="e">
        <f t="shared" ref="BC72:BC103" si="153">Y72*(Np/NS2_)*(AZ72/R72)</f>
        <v>#DIV/0!</v>
      </c>
      <c r="BD72" s="263">
        <v>0</v>
      </c>
      <c r="BE72" s="262">
        <f t="shared" ref="BE72:BE103" si="154">(BB72^2)*Rdcr2</f>
        <v>0</v>
      </c>
      <c r="BF72" s="264">
        <f t="shared" si="64"/>
        <v>0</v>
      </c>
      <c r="BG72" s="263">
        <f t="shared" ref="BG72:BG103" si="155">(VOUT2+((NS2_/Np)*S72))*QRR2_*Fsw</f>
        <v>0</v>
      </c>
      <c r="BH72" s="262">
        <f t="shared" ref="BH72:BH103" si="156">BB72*VD2_</f>
        <v>0</v>
      </c>
      <c r="BI72" s="264">
        <f t="shared" ref="BI72:BI103" si="157">BH72+BG72</f>
        <v>0</v>
      </c>
      <c r="BK72" s="258">
        <f t="shared" si="132"/>
        <v>0</v>
      </c>
      <c r="BL72" s="257">
        <f t="shared" si="133"/>
        <v>0</v>
      </c>
      <c r="BM72" s="257">
        <f t="shared" si="134"/>
        <v>0</v>
      </c>
      <c r="BN72" s="259">
        <f t="shared" ref="BN72:BN135" si="158">Y72*(Np/NS3_)*(BK72/R72)</f>
        <v>0</v>
      </c>
      <c r="BO72" s="258">
        <v>0</v>
      </c>
      <c r="BP72" s="257">
        <f t="shared" ref="BP72:BP103" si="159">(BM72^2)*Rdcr3</f>
        <v>0</v>
      </c>
      <c r="BQ72" s="259">
        <f t="shared" si="65"/>
        <v>0</v>
      </c>
      <c r="BR72" s="258">
        <f t="shared" ref="BR72:BR103" si="160">(VOUT3+((NS3_/Np)*S72))*QRR3_*Fsw</f>
        <v>0</v>
      </c>
      <c r="BS72" s="257">
        <f t="shared" ref="BS72:BS103" si="161">BM72*VD3_</f>
        <v>0</v>
      </c>
      <c r="BT72" s="259">
        <f t="shared" si="67"/>
        <v>0</v>
      </c>
      <c r="BU72" s="275">
        <f t="shared" si="135"/>
        <v>0</v>
      </c>
      <c r="BV72" s="274">
        <f t="shared" si="136"/>
        <v>0</v>
      </c>
      <c r="BW72" s="274">
        <f t="shared" si="137"/>
        <v>0</v>
      </c>
      <c r="BX72" s="276">
        <f t="shared" ref="BX72:BX103" si="162">Y72*(Np/NS4_)*(BU72/R72)</f>
        <v>0</v>
      </c>
      <c r="BY72" s="275">
        <v>0</v>
      </c>
      <c r="BZ72" s="274">
        <f t="shared" ref="BZ72:BZ103" si="163">(BW72^2)*Rdcr4</f>
        <v>0</v>
      </c>
      <c r="CA72" s="276">
        <f t="shared" si="68"/>
        <v>0</v>
      </c>
      <c r="CB72" s="275">
        <f t="shared" ref="CB72:CB103" si="164">(VOUT4+((NS4_/Np)*S72))*QRR4_*Fsw</f>
        <v>0</v>
      </c>
      <c r="CC72" s="274">
        <f t="shared" ref="CC72:CC103" si="165">BW72*VD4_</f>
        <v>0</v>
      </c>
      <c r="CD72" s="276">
        <f t="shared" si="69"/>
        <v>0</v>
      </c>
      <c r="CE72" s="58">
        <f t="shared" ref="CE72:CE103" si="166">(AB72^2)*R_cs</f>
        <v>1.8287261258911523E-2</v>
      </c>
      <c r="CF72" s="49">
        <f t="shared" si="138"/>
        <v>7.3499999999999996E-2</v>
      </c>
      <c r="CG72" s="61">
        <f t="shared" si="70"/>
        <v>3.2340000000000001E-2</v>
      </c>
      <c r="CH72" s="49">
        <f t="shared" si="71"/>
        <v>4.8124371733977694E-3</v>
      </c>
      <c r="CI72" s="49">
        <f t="shared" si="72"/>
        <v>3.1848657197819739</v>
      </c>
      <c r="CJ72" s="49">
        <f t="shared" ref="CJ72:CJ103" si="167">(R72/(R72+CI72))*100</f>
        <v>73.126971129711166</v>
      </c>
      <c r="CN72" s="49">
        <f t="shared" ref="CN72:CN135" si="168">AY72</f>
        <v>0.98090666666666659</v>
      </c>
      <c r="CO72" s="49">
        <f t="shared" ref="CO72:CO135" si="169">BI72</f>
        <v>0</v>
      </c>
      <c r="CP72" s="49">
        <f t="shared" ref="CP72:CP135" si="170">BT72</f>
        <v>0</v>
      </c>
      <c r="CQ72" s="49" t="str">
        <f t="shared" si="139"/>
        <v/>
      </c>
    </row>
    <row r="73" spans="12:95" x14ac:dyDescent="0.45">
      <c r="L73" s="49">
        <f t="shared" ref="L73:L136" si="171">R73/$G$10*100</f>
        <v>44.000000000000007</v>
      </c>
      <c r="Q73" s="49">
        <v>66</v>
      </c>
      <c r="R73" s="278">
        <f t="shared" si="115"/>
        <v>8.8000000000000007</v>
      </c>
      <c r="S73" s="201">
        <f t="shared" si="116"/>
        <v>42</v>
      </c>
      <c r="T73" s="206">
        <f t="shared" si="117"/>
        <v>0.20952380952380953</v>
      </c>
      <c r="U73" s="205">
        <f t="shared" si="118"/>
        <v>2</v>
      </c>
      <c r="V73" s="201">
        <f t="shared" si="119"/>
        <v>0.45955882352941174</v>
      </c>
      <c r="W73" s="201">
        <f t="shared" si="120"/>
        <v>0.54044117647058831</v>
      </c>
      <c r="X73" s="201">
        <f t="shared" si="140"/>
        <v>0</v>
      </c>
      <c r="Y73" s="205">
        <f t="shared" si="141"/>
        <v>0.45592380952380956</v>
      </c>
      <c r="Z73" s="201">
        <f t="shared" si="121"/>
        <v>0.30637254901960786</v>
      </c>
      <c r="AA73" s="201">
        <f t="shared" si="142"/>
        <v>0.60911008403361344</v>
      </c>
      <c r="AB73" s="206">
        <f t="shared" si="122"/>
        <v>0.31483577918808758</v>
      </c>
      <c r="AC73" s="205">
        <v>0</v>
      </c>
      <c r="AD73" s="201">
        <f t="shared" si="123"/>
        <v>4.9560783928485124E-3</v>
      </c>
      <c r="AE73" s="206">
        <f t="shared" si="143"/>
        <v>4.9560783928485124E-3</v>
      </c>
      <c r="AF73" s="58">
        <f t="shared" si="124"/>
        <v>0.17600000000000002</v>
      </c>
      <c r="AG73" s="61">
        <f t="shared" si="125"/>
        <v>0.17600000000000002</v>
      </c>
      <c r="AH73" s="58">
        <f t="shared" si="126"/>
        <v>1.3183168524977043E-2</v>
      </c>
      <c r="AI73" s="49">
        <f t="shared" si="127"/>
        <v>1.7114380400858897</v>
      </c>
      <c r="AJ73" s="61">
        <f t="shared" si="144"/>
        <v>1.7246212086108668</v>
      </c>
      <c r="AK73" s="269">
        <f t="shared" si="128"/>
        <v>8.8000000000000007</v>
      </c>
      <c r="AL73" s="268">
        <f t="shared" si="129"/>
        <v>5</v>
      </c>
      <c r="AM73" s="270">
        <f t="shared" si="145"/>
        <v>1.7600000000000002</v>
      </c>
      <c r="AN73" s="269">
        <f t="shared" si="146"/>
        <v>2</v>
      </c>
      <c r="AO73" s="268">
        <f t="shared" si="147"/>
        <v>0.54044117647058831</v>
      </c>
      <c r="AP73" s="268">
        <f t="shared" si="148"/>
        <v>3.2565986394557824</v>
      </c>
      <c r="AQ73" s="268">
        <f t="shared" si="149"/>
        <v>2.1883753501400562</v>
      </c>
      <c r="AR73" s="268">
        <f t="shared" ref="AR73:AR136" si="172">AP73+(AQ73/2)</f>
        <v>4.350786314525811</v>
      </c>
      <c r="AS73" s="270">
        <f t="shared" ref="AS73:AS136" si="173">CHOOSE(AN73,AR73*SQRT(AO73/3),SQRT(AO73*((AR73^2)+((AQ73^2)/(3))-(AQ73*AR73))))</f>
        <v>2.4387074591713986</v>
      </c>
      <c r="AT73" s="269"/>
      <c r="AU73" s="268">
        <f t="shared" si="150"/>
        <v>3.0976000000000007E-2</v>
      </c>
      <c r="AV73" s="270">
        <f t="shared" ref="AV73:AV136" si="174">AT73+AU73</f>
        <v>3.0976000000000007E-2</v>
      </c>
      <c r="AW73" s="269">
        <f t="shared" si="151"/>
        <v>0.11424000000000001</v>
      </c>
      <c r="AX73" s="268">
        <f t="shared" si="152"/>
        <v>0.88000000000000012</v>
      </c>
      <c r="AY73" s="270">
        <f t="shared" ref="AY73:AY136" si="175">AW73+AX73</f>
        <v>0.99424000000000012</v>
      </c>
      <c r="AZ73" s="263">
        <f t="shared" si="130"/>
        <v>0</v>
      </c>
      <c r="BA73" s="262">
        <f t="shared" si="131"/>
        <v>0</v>
      </c>
      <c r="BB73" s="262">
        <f t="shared" ref="BB73:BB136" si="176">IF(EN_OUT_2=1,AZ73/BA73,0)</f>
        <v>0</v>
      </c>
      <c r="BC73" s="264" t="e">
        <f t="shared" si="153"/>
        <v>#DIV/0!</v>
      </c>
      <c r="BD73" s="263">
        <v>0</v>
      </c>
      <c r="BE73" s="262">
        <f t="shared" si="154"/>
        <v>0</v>
      </c>
      <c r="BF73" s="264">
        <f t="shared" ref="BF73:BF136" si="177">BD73+BE73</f>
        <v>0</v>
      </c>
      <c r="BG73" s="263">
        <f t="shared" si="155"/>
        <v>0</v>
      </c>
      <c r="BH73" s="262">
        <f t="shared" si="156"/>
        <v>0</v>
      </c>
      <c r="BI73" s="264">
        <f t="shared" si="157"/>
        <v>0</v>
      </c>
      <c r="BK73" s="258">
        <f t="shared" si="132"/>
        <v>0</v>
      </c>
      <c r="BL73" s="257">
        <f t="shared" si="133"/>
        <v>0</v>
      </c>
      <c r="BM73" s="257">
        <f t="shared" si="134"/>
        <v>0</v>
      </c>
      <c r="BN73" s="259">
        <f t="shared" si="158"/>
        <v>0</v>
      </c>
      <c r="BO73" s="258">
        <v>0</v>
      </c>
      <c r="BP73" s="257">
        <f t="shared" si="159"/>
        <v>0</v>
      </c>
      <c r="BQ73" s="259">
        <f t="shared" ref="BQ73:BQ136" si="178">BO73+BP73</f>
        <v>0</v>
      </c>
      <c r="BR73" s="258">
        <f t="shared" si="160"/>
        <v>0</v>
      </c>
      <c r="BS73" s="257">
        <f t="shared" si="161"/>
        <v>0</v>
      </c>
      <c r="BT73" s="259">
        <f t="shared" ref="BT73:BT136" si="179">BS73+BR73</f>
        <v>0</v>
      </c>
      <c r="BU73" s="275">
        <f t="shared" si="135"/>
        <v>0</v>
      </c>
      <c r="BV73" s="274">
        <f t="shared" si="136"/>
        <v>0</v>
      </c>
      <c r="BW73" s="274">
        <f t="shared" si="137"/>
        <v>0</v>
      </c>
      <c r="BX73" s="276">
        <f t="shared" si="162"/>
        <v>0</v>
      </c>
      <c r="BY73" s="275">
        <v>0</v>
      </c>
      <c r="BZ73" s="274">
        <f t="shared" si="163"/>
        <v>0</v>
      </c>
      <c r="CA73" s="276">
        <f t="shared" ref="CA73:CA136" si="180">BY73+BZ73</f>
        <v>0</v>
      </c>
      <c r="CB73" s="275">
        <f t="shared" si="164"/>
        <v>0</v>
      </c>
      <c r="CC73" s="274">
        <f t="shared" si="165"/>
        <v>0</v>
      </c>
      <c r="CD73" s="276">
        <f t="shared" ref="CD73:CD136" si="181">CC73+CB73</f>
        <v>0</v>
      </c>
      <c r="CE73" s="58">
        <f t="shared" si="166"/>
        <v>1.8833097892824346E-2</v>
      </c>
      <c r="CF73" s="49">
        <f t="shared" si="138"/>
        <v>7.3499999999999996E-2</v>
      </c>
      <c r="CG73" s="61">
        <f t="shared" ref="CG73:CG136" si="182">IQ*S73</f>
        <v>3.2340000000000001E-2</v>
      </c>
      <c r="CH73" s="49">
        <f t="shared" ref="CH73:CH136" si="183">BF73+BQ73+AE73+CA73</f>
        <v>4.9560783928485124E-3</v>
      </c>
      <c r="CI73" s="49">
        <f t="shared" ref="CI73:CI136" si="184">CG73+CF73+CE73+BT73+BQ73+BI73+BF73++AY73+AV73+AJ73+AF73+AE73+AG73+CA73+CD73</f>
        <v>3.2314663848965406</v>
      </c>
      <c r="CJ73" s="49">
        <f t="shared" si="167"/>
        <v>73.14154167481118</v>
      </c>
      <c r="CN73" s="49">
        <f t="shared" si="168"/>
        <v>0.99424000000000012</v>
      </c>
      <c r="CO73" s="49">
        <f t="shared" si="169"/>
        <v>0</v>
      </c>
      <c r="CP73" s="49">
        <f t="shared" si="170"/>
        <v>0</v>
      </c>
      <c r="CQ73" s="49" t="str">
        <f t="shared" si="139"/>
        <v/>
      </c>
    </row>
    <row r="74" spans="12:95" x14ac:dyDescent="0.45">
      <c r="L74" s="49">
        <f t="shared" si="171"/>
        <v>44.666666666666664</v>
      </c>
      <c r="Q74" s="49">
        <v>67</v>
      </c>
      <c r="R74" s="278">
        <f t="shared" si="115"/>
        <v>8.9333333333333336</v>
      </c>
      <c r="S74" s="201">
        <f t="shared" si="116"/>
        <v>42</v>
      </c>
      <c r="T74" s="206">
        <f t="shared" si="117"/>
        <v>0.21269841269841269</v>
      </c>
      <c r="U74" s="205">
        <f t="shared" si="118"/>
        <v>2</v>
      </c>
      <c r="V74" s="201">
        <f t="shared" si="119"/>
        <v>0.45955882352941174</v>
      </c>
      <c r="W74" s="201">
        <f t="shared" si="120"/>
        <v>0.54044117647058831</v>
      </c>
      <c r="X74" s="201">
        <f t="shared" si="140"/>
        <v>0</v>
      </c>
      <c r="Y74" s="205">
        <f t="shared" si="141"/>
        <v>0.46283174603174604</v>
      </c>
      <c r="Z74" s="201">
        <f t="shared" si="121"/>
        <v>0.30637254901960786</v>
      </c>
      <c r="AA74" s="201">
        <f t="shared" si="142"/>
        <v>0.61601802054154997</v>
      </c>
      <c r="AB74" s="206">
        <f t="shared" si="122"/>
        <v>0.31943426891979082</v>
      </c>
      <c r="AC74" s="205">
        <v>0</v>
      </c>
      <c r="AD74" s="201">
        <f t="shared" si="123"/>
        <v>5.1019126080160621E-3</v>
      </c>
      <c r="AE74" s="206">
        <f t="shared" si="143"/>
        <v>5.1019126080160621E-3</v>
      </c>
      <c r="AF74" s="58">
        <f t="shared" si="124"/>
        <v>0.17866666666666667</v>
      </c>
      <c r="AG74" s="61">
        <f t="shared" si="125"/>
        <v>0.17866666666666667</v>
      </c>
      <c r="AH74" s="58">
        <f t="shared" si="126"/>
        <v>1.3571087537322725E-2</v>
      </c>
      <c r="AI74" s="49">
        <f t="shared" si="127"/>
        <v>1.7373689194811304</v>
      </c>
      <c r="AJ74" s="61">
        <f t="shared" si="144"/>
        <v>1.7509400070184531</v>
      </c>
      <c r="AK74" s="269">
        <f t="shared" si="128"/>
        <v>8.9333333333333336</v>
      </c>
      <c r="AL74" s="268">
        <f t="shared" si="129"/>
        <v>5</v>
      </c>
      <c r="AM74" s="270">
        <f t="shared" si="145"/>
        <v>1.7866666666666666</v>
      </c>
      <c r="AN74" s="269">
        <f t="shared" si="146"/>
        <v>2</v>
      </c>
      <c r="AO74" s="268">
        <f t="shared" si="147"/>
        <v>0.5404411764705882</v>
      </c>
      <c r="AP74" s="268">
        <f t="shared" si="148"/>
        <v>3.3059410430839002</v>
      </c>
      <c r="AQ74" s="268">
        <f t="shared" si="149"/>
        <v>2.1883753501400558</v>
      </c>
      <c r="AR74" s="268">
        <f t="shared" si="172"/>
        <v>4.4001287181539279</v>
      </c>
      <c r="AS74" s="270">
        <f t="shared" si="173"/>
        <v>2.474327207468582</v>
      </c>
      <c r="AT74" s="269"/>
      <c r="AU74" s="268">
        <f t="shared" si="150"/>
        <v>3.1921777777777778E-2</v>
      </c>
      <c r="AV74" s="270">
        <f t="shared" si="174"/>
        <v>3.1921777777777778E-2</v>
      </c>
      <c r="AW74" s="269">
        <f t="shared" si="151"/>
        <v>0.11424000000000001</v>
      </c>
      <c r="AX74" s="268">
        <f t="shared" si="152"/>
        <v>0.89333333333333331</v>
      </c>
      <c r="AY74" s="270">
        <f t="shared" si="175"/>
        <v>1.0075733333333332</v>
      </c>
      <c r="AZ74" s="263">
        <f t="shared" si="130"/>
        <v>0</v>
      </c>
      <c r="BA74" s="262">
        <f t="shared" si="131"/>
        <v>0</v>
      </c>
      <c r="BB74" s="262">
        <f t="shared" si="176"/>
        <v>0</v>
      </c>
      <c r="BC74" s="264" t="e">
        <f t="shared" si="153"/>
        <v>#DIV/0!</v>
      </c>
      <c r="BD74" s="263">
        <v>0</v>
      </c>
      <c r="BE74" s="262">
        <f t="shared" si="154"/>
        <v>0</v>
      </c>
      <c r="BF74" s="264">
        <f t="shared" si="177"/>
        <v>0</v>
      </c>
      <c r="BG74" s="263">
        <f t="shared" si="155"/>
        <v>0</v>
      </c>
      <c r="BH74" s="262">
        <f t="shared" si="156"/>
        <v>0</v>
      </c>
      <c r="BI74" s="264">
        <f t="shared" si="157"/>
        <v>0</v>
      </c>
      <c r="BK74" s="258">
        <f t="shared" si="132"/>
        <v>0</v>
      </c>
      <c r="BL74" s="257">
        <f t="shared" si="133"/>
        <v>0</v>
      </c>
      <c r="BM74" s="257">
        <f t="shared" si="134"/>
        <v>0</v>
      </c>
      <c r="BN74" s="259">
        <f t="shared" si="158"/>
        <v>0</v>
      </c>
      <c r="BO74" s="258">
        <v>0</v>
      </c>
      <c r="BP74" s="257">
        <f t="shared" si="159"/>
        <v>0</v>
      </c>
      <c r="BQ74" s="259">
        <f t="shared" si="178"/>
        <v>0</v>
      </c>
      <c r="BR74" s="258">
        <f t="shared" si="160"/>
        <v>0</v>
      </c>
      <c r="BS74" s="257">
        <f t="shared" si="161"/>
        <v>0</v>
      </c>
      <c r="BT74" s="259">
        <f t="shared" si="179"/>
        <v>0</v>
      </c>
      <c r="BU74" s="275">
        <f t="shared" si="135"/>
        <v>0</v>
      </c>
      <c r="BV74" s="274">
        <f t="shared" si="136"/>
        <v>0</v>
      </c>
      <c r="BW74" s="274">
        <f t="shared" si="137"/>
        <v>0</v>
      </c>
      <c r="BX74" s="276">
        <f t="shared" si="162"/>
        <v>0</v>
      </c>
      <c r="BY74" s="275">
        <v>0</v>
      </c>
      <c r="BZ74" s="274">
        <f t="shared" si="163"/>
        <v>0</v>
      </c>
      <c r="CA74" s="276">
        <f t="shared" si="180"/>
        <v>0</v>
      </c>
      <c r="CB74" s="275">
        <f t="shared" si="164"/>
        <v>0</v>
      </c>
      <c r="CC74" s="274">
        <f t="shared" si="165"/>
        <v>0</v>
      </c>
      <c r="CD74" s="276">
        <f t="shared" si="181"/>
        <v>0</v>
      </c>
      <c r="CE74" s="58">
        <f t="shared" si="166"/>
        <v>1.9387267910461036E-2</v>
      </c>
      <c r="CF74" s="49">
        <f t="shared" si="138"/>
        <v>7.3499999999999996E-2</v>
      </c>
      <c r="CG74" s="61">
        <f t="shared" si="182"/>
        <v>3.2340000000000001E-2</v>
      </c>
      <c r="CH74" s="49">
        <f t="shared" si="183"/>
        <v>5.1019126080160621E-3</v>
      </c>
      <c r="CI74" s="49">
        <f t="shared" si="184"/>
        <v>3.2780976319813742</v>
      </c>
      <c r="CJ74" s="49">
        <f t="shared" si="167"/>
        <v>73.155499619229985</v>
      </c>
      <c r="CN74" s="49">
        <f t="shared" si="168"/>
        <v>1.0075733333333332</v>
      </c>
      <c r="CO74" s="49">
        <f t="shared" si="169"/>
        <v>0</v>
      </c>
      <c r="CP74" s="49">
        <f t="shared" si="170"/>
        <v>0</v>
      </c>
      <c r="CQ74" s="49" t="str">
        <f t="shared" si="139"/>
        <v/>
      </c>
    </row>
    <row r="75" spans="12:95" x14ac:dyDescent="0.45">
      <c r="L75" s="49">
        <f t="shared" si="171"/>
        <v>45.333333333333329</v>
      </c>
      <c r="Q75" s="49">
        <v>68</v>
      </c>
      <c r="R75" s="278">
        <f t="shared" si="115"/>
        <v>9.0666666666666664</v>
      </c>
      <c r="S75" s="201">
        <f t="shared" si="116"/>
        <v>42</v>
      </c>
      <c r="T75" s="206">
        <f t="shared" si="117"/>
        <v>0.21587301587301586</v>
      </c>
      <c r="U75" s="205">
        <f t="shared" si="118"/>
        <v>2</v>
      </c>
      <c r="V75" s="201">
        <f t="shared" si="119"/>
        <v>0.45955882352941174</v>
      </c>
      <c r="W75" s="201">
        <f t="shared" si="120"/>
        <v>0.54044117647058831</v>
      </c>
      <c r="X75" s="201">
        <f t="shared" si="140"/>
        <v>0</v>
      </c>
      <c r="Y75" s="205">
        <f t="shared" si="141"/>
        <v>0.46973968253968257</v>
      </c>
      <c r="Z75" s="201">
        <f t="shared" si="121"/>
        <v>0.30637254901960786</v>
      </c>
      <c r="AA75" s="201">
        <f t="shared" si="142"/>
        <v>0.6229259570494865</v>
      </c>
      <c r="AB75" s="206">
        <f t="shared" si="122"/>
        <v>0.32403517768601658</v>
      </c>
      <c r="AC75" s="205">
        <v>0</v>
      </c>
      <c r="AD75" s="201">
        <f t="shared" si="123"/>
        <v>5.2499398189004174E-3</v>
      </c>
      <c r="AE75" s="206">
        <f t="shared" si="143"/>
        <v>5.2499398189004174E-3</v>
      </c>
      <c r="AF75" s="58">
        <f t="shared" si="124"/>
        <v>0.18133333333333332</v>
      </c>
      <c r="AG75" s="61">
        <f t="shared" si="125"/>
        <v>0.18133333333333332</v>
      </c>
      <c r="AH75" s="58">
        <f t="shared" si="126"/>
        <v>1.396483991827511E-2</v>
      </c>
      <c r="AI75" s="49">
        <f t="shared" si="127"/>
        <v>1.7632997988763712</v>
      </c>
      <c r="AJ75" s="61">
        <f t="shared" si="144"/>
        <v>1.7772646387946462</v>
      </c>
      <c r="AK75" s="269">
        <f t="shared" si="128"/>
        <v>9.0666666666666664</v>
      </c>
      <c r="AL75" s="268">
        <f t="shared" si="129"/>
        <v>5</v>
      </c>
      <c r="AM75" s="270">
        <f t="shared" si="145"/>
        <v>1.8133333333333332</v>
      </c>
      <c r="AN75" s="269">
        <f t="shared" si="146"/>
        <v>2</v>
      </c>
      <c r="AO75" s="268">
        <f t="shared" si="147"/>
        <v>0.54044117647058831</v>
      </c>
      <c r="AP75" s="268">
        <f t="shared" si="148"/>
        <v>3.3552834467120176</v>
      </c>
      <c r="AQ75" s="268">
        <f t="shared" si="149"/>
        <v>2.1883753501400562</v>
      </c>
      <c r="AR75" s="268">
        <f t="shared" si="172"/>
        <v>4.4494711217820457</v>
      </c>
      <c r="AS75" s="270">
        <f t="shared" si="173"/>
        <v>2.5099656935266061</v>
      </c>
      <c r="AT75" s="269"/>
      <c r="AU75" s="268">
        <f t="shared" si="150"/>
        <v>3.2881777777777774E-2</v>
      </c>
      <c r="AV75" s="270">
        <f t="shared" si="174"/>
        <v>3.2881777777777774E-2</v>
      </c>
      <c r="AW75" s="269">
        <f t="shared" si="151"/>
        <v>0.11424000000000001</v>
      </c>
      <c r="AX75" s="268">
        <f t="shared" si="152"/>
        <v>0.90666666666666662</v>
      </c>
      <c r="AY75" s="270">
        <f t="shared" si="175"/>
        <v>1.0209066666666666</v>
      </c>
      <c r="AZ75" s="263">
        <f t="shared" si="130"/>
        <v>0</v>
      </c>
      <c r="BA75" s="262">
        <f t="shared" si="131"/>
        <v>0</v>
      </c>
      <c r="BB75" s="262">
        <f t="shared" si="176"/>
        <v>0</v>
      </c>
      <c r="BC75" s="264" t="e">
        <f t="shared" si="153"/>
        <v>#DIV/0!</v>
      </c>
      <c r="BD75" s="263">
        <v>0</v>
      </c>
      <c r="BE75" s="262">
        <f t="shared" si="154"/>
        <v>0</v>
      </c>
      <c r="BF75" s="264">
        <f t="shared" si="177"/>
        <v>0</v>
      </c>
      <c r="BG75" s="263">
        <f t="shared" si="155"/>
        <v>0</v>
      </c>
      <c r="BH75" s="262">
        <f t="shared" si="156"/>
        <v>0</v>
      </c>
      <c r="BI75" s="264">
        <f t="shared" si="157"/>
        <v>0</v>
      </c>
      <c r="BK75" s="258">
        <f t="shared" si="132"/>
        <v>0</v>
      </c>
      <c r="BL75" s="257">
        <f t="shared" si="133"/>
        <v>0</v>
      </c>
      <c r="BM75" s="257">
        <f t="shared" si="134"/>
        <v>0</v>
      </c>
      <c r="BN75" s="259">
        <f t="shared" si="158"/>
        <v>0</v>
      </c>
      <c r="BO75" s="258">
        <v>0</v>
      </c>
      <c r="BP75" s="257">
        <f t="shared" si="159"/>
        <v>0</v>
      </c>
      <c r="BQ75" s="259">
        <f t="shared" si="178"/>
        <v>0</v>
      </c>
      <c r="BR75" s="258">
        <f t="shared" si="160"/>
        <v>0</v>
      </c>
      <c r="BS75" s="257">
        <f t="shared" si="161"/>
        <v>0</v>
      </c>
      <c r="BT75" s="259">
        <f t="shared" si="179"/>
        <v>0</v>
      </c>
      <c r="BU75" s="275">
        <f t="shared" si="135"/>
        <v>0</v>
      </c>
      <c r="BV75" s="274">
        <f t="shared" si="136"/>
        <v>0</v>
      </c>
      <c r="BW75" s="274">
        <f t="shared" si="137"/>
        <v>0</v>
      </c>
      <c r="BX75" s="276">
        <f t="shared" si="162"/>
        <v>0</v>
      </c>
      <c r="BY75" s="275">
        <v>0</v>
      </c>
      <c r="BZ75" s="274">
        <f t="shared" si="163"/>
        <v>0</v>
      </c>
      <c r="CA75" s="276">
        <f t="shared" si="180"/>
        <v>0</v>
      </c>
      <c r="CB75" s="275">
        <f t="shared" si="164"/>
        <v>0</v>
      </c>
      <c r="CC75" s="274">
        <f t="shared" si="165"/>
        <v>0</v>
      </c>
      <c r="CD75" s="276">
        <f t="shared" si="181"/>
        <v>0</v>
      </c>
      <c r="CE75" s="58">
        <f t="shared" si="166"/>
        <v>1.9949771311821584E-2</v>
      </c>
      <c r="CF75" s="49">
        <f t="shared" si="138"/>
        <v>7.3499999999999996E-2</v>
      </c>
      <c r="CG75" s="61">
        <f t="shared" si="182"/>
        <v>3.2340000000000001E-2</v>
      </c>
      <c r="CH75" s="49">
        <f t="shared" si="183"/>
        <v>5.2499398189004174E-3</v>
      </c>
      <c r="CI75" s="49">
        <f t="shared" si="184"/>
        <v>3.324759461036479</v>
      </c>
      <c r="CJ75" s="49">
        <f t="shared" si="167"/>
        <v>73.168871550600528</v>
      </c>
      <c r="CN75" s="49">
        <f t="shared" si="168"/>
        <v>1.0209066666666666</v>
      </c>
      <c r="CO75" s="49">
        <f t="shared" si="169"/>
        <v>0</v>
      </c>
      <c r="CP75" s="49">
        <f t="shared" si="170"/>
        <v>0</v>
      </c>
      <c r="CQ75" s="49" t="str">
        <f t="shared" si="139"/>
        <v/>
      </c>
    </row>
    <row r="76" spans="12:95" x14ac:dyDescent="0.45">
      <c r="L76" s="49">
        <f t="shared" si="171"/>
        <v>46</v>
      </c>
      <c r="Q76" s="49">
        <v>69</v>
      </c>
      <c r="R76" s="278">
        <f t="shared" si="115"/>
        <v>9.1999999999999993</v>
      </c>
      <c r="S76" s="201">
        <f t="shared" si="116"/>
        <v>42</v>
      </c>
      <c r="T76" s="206">
        <f t="shared" si="117"/>
        <v>0.21904761904761902</v>
      </c>
      <c r="U76" s="205">
        <f t="shared" si="118"/>
        <v>2</v>
      </c>
      <c r="V76" s="201">
        <f t="shared" si="119"/>
        <v>0.45955882352941174</v>
      </c>
      <c r="W76" s="201">
        <f t="shared" si="120"/>
        <v>0.54044117647058831</v>
      </c>
      <c r="X76" s="201">
        <f t="shared" si="140"/>
        <v>0</v>
      </c>
      <c r="Y76" s="205">
        <f t="shared" si="141"/>
        <v>0.47664761904761904</v>
      </c>
      <c r="Z76" s="201">
        <f t="shared" si="121"/>
        <v>0.30637254901960786</v>
      </c>
      <c r="AA76" s="201">
        <f t="shared" si="142"/>
        <v>0.62983389355742303</v>
      </c>
      <c r="AB76" s="206">
        <f t="shared" si="122"/>
        <v>0.3286384038879685</v>
      </c>
      <c r="AC76" s="205">
        <v>0</v>
      </c>
      <c r="AD76" s="201">
        <f t="shared" si="123"/>
        <v>5.4001600255015759E-3</v>
      </c>
      <c r="AE76" s="206">
        <f t="shared" si="143"/>
        <v>5.4001600255015759E-3</v>
      </c>
      <c r="AF76" s="58">
        <f t="shared" si="124"/>
        <v>0.184</v>
      </c>
      <c r="AG76" s="61">
        <f t="shared" si="125"/>
        <v>0.184</v>
      </c>
      <c r="AH76" s="58">
        <f t="shared" si="126"/>
        <v>1.4364425667834191E-2</v>
      </c>
      <c r="AI76" s="49">
        <f t="shared" si="127"/>
        <v>1.7892306782716116</v>
      </c>
      <c r="AJ76" s="61">
        <f t="shared" si="144"/>
        <v>1.8035951039394458</v>
      </c>
      <c r="AK76" s="269">
        <f t="shared" si="128"/>
        <v>9.1999999999999993</v>
      </c>
      <c r="AL76" s="268">
        <f t="shared" si="129"/>
        <v>5</v>
      </c>
      <c r="AM76" s="270">
        <f t="shared" si="145"/>
        <v>1.8399999999999999</v>
      </c>
      <c r="AN76" s="269">
        <f t="shared" si="146"/>
        <v>2</v>
      </c>
      <c r="AO76" s="268">
        <f t="shared" si="147"/>
        <v>0.54044117647058831</v>
      </c>
      <c r="AP76" s="268">
        <f t="shared" si="148"/>
        <v>3.4046258503401354</v>
      </c>
      <c r="AQ76" s="268">
        <f t="shared" si="149"/>
        <v>2.1883753501400562</v>
      </c>
      <c r="AR76" s="268">
        <f t="shared" si="172"/>
        <v>4.4988135254101635</v>
      </c>
      <c r="AS76" s="270">
        <f t="shared" si="173"/>
        <v>2.5456221303645767</v>
      </c>
      <c r="AT76" s="269"/>
      <c r="AU76" s="268">
        <f t="shared" si="150"/>
        <v>3.385599999999999E-2</v>
      </c>
      <c r="AV76" s="270">
        <f t="shared" si="174"/>
        <v>3.385599999999999E-2</v>
      </c>
      <c r="AW76" s="269">
        <f t="shared" si="151"/>
        <v>0.11424000000000001</v>
      </c>
      <c r="AX76" s="268">
        <f t="shared" si="152"/>
        <v>0.91999999999999993</v>
      </c>
      <c r="AY76" s="270">
        <f t="shared" si="175"/>
        <v>1.03424</v>
      </c>
      <c r="AZ76" s="263">
        <f t="shared" si="130"/>
        <v>0</v>
      </c>
      <c r="BA76" s="262">
        <f t="shared" si="131"/>
        <v>0</v>
      </c>
      <c r="BB76" s="262">
        <f t="shared" si="176"/>
        <v>0</v>
      </c>
      <c r="BC76" s="264" t="e">
        <f t="shared" si="153"/>
        <v>#DIV/0!</v>
      </c>
      <c r="BD76" s="263">
        <v>0</v>
      </c>
      <c r="BE76" s="262">
        <f t="shared" si="154"/>
        <v>0</v>
      </c>
      <c r="BF76" s="264">
        <f t="shared" si="177"/>
        <v>0</v>
      </c>
      <c r="BG76" s="263">
        <f t="shared" si="155"/>
        <v>0</v>
      </c>
      <c r="BH76" s="262">
        <f t="shared" si="156"/>
        <v>0</v>
      </c>
      <c r="BI76" s="264">
        <f t="shared" si="157"/>
        <v>0</v>
      </c>
      <c r="BK76" s="258">
        <f t="shared" si="132"/>
        <v>0</v>
      </c>
      <c r="BL76" s="257">
        <f t="shared" si="133"/>
        <v>0</v>
      </c>
      <c r="BM76" s="257">
        <f t="shared" si="134"/>
        <v>0</v>
      </c>
      <c r="BN76" s="259">
        <f t="shared" si="158"/>
        <v>0</v>
      </c>
      <c r="BO76" s="258">
        <v>0</v>
      </c>
      <c r="BP76" s="257">
        <f t="shared" si="159"/>
        <v>0</v>
      </c>
      <c r="BQ76" s="259">
        <f t="shared" si="178"/>
        <v>0</v>
      </c>
      <c r="BR76" s="258">
        <f t="shared" si="160"/>
        <v>0</v>
      </c>
      <c r="BS76" s="257">
        <f t="shared" si="161"/>
        <v>0</v>
      </c>
      <c r="BT76" s="259">
        <f t="shared" si="179"/>
        <v>0</v>
      </c>
      <c r="BU76" s="275">
        <f t="shared" si="135"/>
        <v>0</v>
      </c>
      <c r="BV76" s="274">
        <f t="shared" si="136"/>
        <v>0</v>
      </c>
      <c r="BW76" s="274">
        <f t="shared" si="137"/>
        <v>0</v>
      </c>
      <c r="BX76" s="276">
        <f t="shared" si="162"/>
        <v>0</v>
      </c>
      <c r="BY76" s="275">
        <v>0</v>
      </c>
      <c r="BZ76" s="274">
        <f t="shared" si="163"/>
        <v>0</v>
      </c>
      <c r="CA76" s="276">
        <f t="shared" si="180"/>
        <v>0</v>
      </c>
      <c r="CB76" s="275">
        <f t="shared" si="164"/>
        <v>0</v>
      </c>
      <c r="CC76" s="274">
        <f t="shared" si="165"/>
        <v>0</v>
      </c>
      <c r="CD76" s="276">
        <f t="shared" si="181"/>
        <v>0</v>
      </c>
      <c r="CE76" s="58">
        <f t="shared" si="166"/>
        <v>2.0520608096905986E-2</v>
      </c>
      <c r="CF76" s="49">
        <f t="shared" si="138"/>
        <v>7.3499999999999996E-2</v>
      </c>
      <c r="CG76" s="61">
        <f t="shared" si="182"/>
        <v>3.2340000000000001E-2</v>
      </c>
      <c r="CH76" s="49">
        <f t="shared" si="183"/>
        <v>5.4001600255015759E-3</v>
      </c>
      <c r="CI76" s="49">
        <f t="shared" si="184"/>
        <v>3.3714518720618538</v>
      </c>
      <c r="CJ76" s="49">
        <f t="shared" si="167"/>
        <v>73.181682542535953</v>
      </c>
      <c r="CN76" s="49">
        <f t="shared" si="168"/>
        <v>1.03424</v>
      </c>
      <c r="CO76" s="49">
        <f t="shared" si="169"/>
        <v>0</v>
      </c>
      <c r="CP76" s="49">
        <f t="shared" si="170"/>
        <v>0</v>
      </c>
      <c r="CQ76" s="49" t="str">
        <f t="shared" si="139"/>
        <v/>
      </c>
    </row>
    <row r="77" spans="12:95" x14ac:dyDescent="0.45">
      <c r="L77" s="49">
        <f t="shared" si="171"/>
        <v>46.666666666666664</v>
      </c>
      <c r="Q77" s="49">
        <v>70</v>
      </c>
      <c r="R77" s="278">
        <f t="shared" si="115"/>
        <v>9.3333333333333339</v>
      </c>
      <c r="S77" s="201">
        <f t="shared" si="116"/>
        <v>42</v>
      </c>
      <c r="T77" s="206">
        <f t="shared" si="117"/>
        <v>0.22222222222222224</v>
      </c>
      <c r="U77" s="205">
        <f t="shared" si="118"/>
        <v>2</v>
      </c>
      <c r="V77" s="201">
        <f t="shared" si="119"/>
        <v>0.45955882352941174</v>
      </c>
      <c r="W77" s="201">
        <f t="shared" si="120"/>
        <v>0.54044117647058831</v>
      </c>
      <c r="X77" s="201">
        <f t="shared" si="140"/>
        <v>0</v>
      </c>
      <c r="Y77" s="205">
        <f t="shared" si="141"/>
        <v>0.48355555555555563</v>
      </c>
      <c r="Z77" s="201">
        <f t="shared" si="121"/>
        <v>0.30637254901960786</v>
      </c>
      <c r="AA77" s="201">
        <f t="shared" si="142"/>
        <v>0.63674183006535956</v>
      </c>
      <c r="AB77" s="206">
        <f t="shared" si="122"/>
        <v>0.33324385149075264</v>
      </c>
      <c r="AC77" s="205">
        <v>0</v>
      </c>
      <c r="AD77" s="201">
        <f t="shared" si="123"/>
        <v>5.55257322781954E-3</v>
      </c>
      <c r="AE77" s="206">
        <f t="shared" si="143"/>
        <v>5.55257322781954E-3</v>
      </c>
      <c r="AF77" s="58">
        <f t="shared" si="124"/>
        <v>0.18666666666666668</v>
      </c>
      <c r="AG77" s="61">
        <f t="shared" si="125"/>
        <v>0.18666666666666668</v>
      </c>
      <c r="AH77" s="58">
        <f t="shared" si="126"/>
        <v>1.4769844785999978E-2</v>
      </c>
      <c r="AI77" s="49">
        <f t="shared" si="127"/>
        <v>1.8151615576668527</v>
      </c>
      <c r="AJ77" s="61">
        <f t="shared" si="144"/>
        <v>1.8299314024528528</v>
      </c>
      <c r="AK77" s="269">
        <f t="shared" si="128"/>
        <v>9.3333333333333339</v>
      </c>
      <c r="AL77" s="268">
        <f t="shared" si="129"/>
        <v>5</v>
      </c>
      <c r="AM77" s="270">
        <f t="shared" si="145"/>
        <v>1.8666666666666667</v>
      </c>
      <c r="AN77" s="269">
        <f t="shared" si="146"/>
        <v>2</v>
      </c>
      <c r="AO77" s="268">
        <f t="shared" si="147"/>
        <v>0.5404411764705882</v>
      </c>
      <c r="AP77" s="268">
        <f t="shared" si="148"/>
        <v>3.4539682539682541</v>
      </c>
      <c r="AQ77" s="268">
        <f t="shared" si="149"/>
        <v>2.1883753501400558</v>
      </c>
      <c r="AR77" s="268">
        <f t="shared" si="172"/>
        <v>4.5481559290382823</v>
      </c>
      <c r="AS77" s="270">
        <f t="shared" si="173"/>
        <v>2.5812957740994054</v>
      </c>
      <c r="AT77" s="269"/>
      <c r="AU77" s="268">
        <f t="shared" si="150"/>
        <v>3.4844444444444449E-2</v>
      </c>
      <c r="AV77" s="270">
        <f t="shared" si="174"/>
        <v>3.4844444444444449E-2</v>
      </c>
      <c r="AW77" s="269">
        <f t="shared" si="151"/>
        <v>0.11424000000000001</v>
      </c>
      <c r="AX77" s="268">
        <f t="shared" si="152"/>
        <v>0.93333333333333335</v>
      </c>
      <c r="AY77" s="270">
        <f t="shared" si="175"/>
        <v>1.0475733333333332</v>
      </c>
      <c r="AZ77" s="263">
        <f t="shared" si="130"/>
        <v>0</v>
      </c>
      <c r="BA77" s="262">
        <f t="shared" si="131"/>
        <v>0</v>
      </c>
      <c r="BB77" s="262">
        <f t="shared" si="176"/>
        <v>0</v>
      </c>
      <c r="BC77" s="264" t="e">
        <f t="shared" si="153"/>
        <v>#DIV/0!</v>
      </c>
      <c r="BD77" s="263">
        <v>0</v>
      </c>
      <c r="BE77" s="262">
        <f t="shared" si="154"/>
        <v>0</v>
      </c>
      <c r="BF77" s="264">
        <f t="shared" si="177"/>
        <v>0</v>
      </c>
      <c r="BG77" s="263">
        <f t="shared" si="155"/>
        <v>0</v>
      </c>
      <c r="BH77" s="262">
        <f t="shared" si="156"/>
        <v>0</v>
      </c>
      <c r="BI77" s="264">
        <f t="shared" si="157"/>
        <v>0</v>
      </c>
      <c r="BK77" s="258">
        <f t="shared" si="132"/>
        <v>0</v>
      </c>
      <c r="BL77" s="257">
        <f t="shared" si="133"/>
        <v>0</v>
      </c>
      <c r="BM77" s="257">
        <f t="shared" si="134"/>
        <v>0</v>
      </c>
      <c r="BN77" s="259">
        <f t="shared" si="158"/>
        <v>0</v>
      </c>
      <c r="BO77" s="258">
        <v>0</v>
      </c>
      <c r="BP77" s="257">
        <f t="shared" si="159"/>
        <v>0</v>
      </c>
      <c r="BQ77" s="259">
        <f t="shared" si="178"/>
        <v>0</v>
      </c>
      <c r="BR77" s="258">
        <f t="shared" si="160"/>
        <v>0</v>
      </c>
      <c r="BS77" s="257">
        <f t="shared" si="161"/>
        <v>0</v>
      </c>
      <c r="BT77" s="259">
        <f t="shared" si="179"/>
        <v>0</v>
      </c>
      <c r="BU77" s="275">
        <f t="shared" si="135"/>
        <v>0</v>
      </c>
      <c r="BV77" s="274">
        <f t="shared" si="136"/>
        <v>0</v>
      </c>
      <c r="BW77" s="274">
        <f t="shared" si="137"/>
        <v>0</v>
      </c>
      <c r="BX77" s="276">
        <f t="shared" si="162"/>
        <v>0</v>
      </c>
      <c r="BY77" s="275">
        <v>0</v>
      </c>
      <c r="BZ77" s="274">
        <f t="shared" si="163"/>
        <v>0</v>
      </c>
      <c r="CA77" s="276">
        <f t="shared" si="180"/>
        <v>0</v>
      </c>
      <c r="CB77" s="275">
        <f t="shared" si="164"/>
        <v>0</v>
      </c>
      <c r="CC77" s="274">
        <f t="shared" si="165"/>
        <v>0</v>
      </c>
      <c r="CD77" s="276">
        <f t="shared" si="181"/>
        <v>0</v>
      </c>
      <c r="CE77" s="58">
        <f t="shared" si="166"/>
        <v>2.1099778265714252E-2</v>
      </c>
      <c r="CF77" s="49">
        <f t="shared" si="138"/>
        <v>7.3499999999999996E-2</v>
      </c>
      <c r="CG77" s="61">
        <f t="shared" si="182"/>
        <v>3.2340000000000001E-2</v>
      </c>
      <c r="CH77" s="49">
        <f t="shared" si="183"/>
        <v>5.55257322781954E-3</v>
      </c>
      <c r="CI77" s="49">
        <f t="shared" si="184"/>
        <v>3.4181748650574972</v>
      </c>
      <c r="CJ77" s="49">
        <f t="shared" si="167"/>
        <v>73.193956260884889</v>
      </c>
      <c r="CN77" s="49">
        <f t="shared" si="168"/>
        <v>1.0475733333333332</v>
      </c>
      <c r="CO77" s="49">
        <f t="shared" si="169"/>
        <v>0</v>
      </c>
      <c r="CP77" s="49">
        <f t="shared" si="170"/>
        <v>0</v>
      </c>
      <c r="CQ77" s="49" t="str">
        <f t="shared" si="139"/>
        <v/>
      </c>
    </row>
    <row r="78" spans="12:95" x14ac:dyDescent="0.45">
      <c r="L78" s="49">
        <f t="shared" si="171"/>
        <v>47.333333333333336</v>
      </c>
      <c r="Q78" s="49">
        <v>71</v>
      </c>
      <c r="R78" s="278">
        <f t="shared" si="115"/>
        <v>9.4666666666666668</v>
      </c>
      <c r="S78" s="201">
        <f t="shared" si="116"/>
        <v>42</v>
      </c>
      <c r="T78" s="206">
        <f t="shared" si="117"/>
        <v>0.2253968253968254</v>
      </c>
      <c r="U78" s="205">
        <f t="shared" si="118"/>
        <v>2</v>
      </c>
      <c r="V78" s="201">
        <f t="shared" si="119"/>
        <v>0.45955882352941174</v>
      </c>
      <c r="W78" s="201">
        <f t="shared" si="120"/>
        <v>0.54044117647058831</v>
      </c>
      <c r="X78" s="201">
        <f t="shared" si="140"/>
        <v>0</v>
      </c>
      <c r="Y78" s="205">
        <f t="shared" si="141"/>
        <v>0.4904634920634921</v>
      </c>
      <c r="Z78" s="201">
        <f t="shared" si="121"/>
        <v>0.30637254901960786</v>
      </c>
      <c r="AA78" s="201">
        <f t="shared" si="142"/>
        <v>0.64364976657329609</v>
      </c>
      <c r="AB78" s="206">
        <f t="shared" si="122"/>
        <v>0.33785142965079518</v>
      </c>
      <c r="AC78" s="205">
        <v>0</v>
      </c>
      <c r="AD78" s="201">
        <f t="shared" si="123"/>
        <v>5.7071794258543099E-3</v>
      </c>
      <c r="AE78" s="206">
        <f t="shared" si="143"/>
        <v>5.7071794258543099E-3</v>
      </c>
      <c r="AF78" s="58">
        <f t="shared" si="124"/>
        <v>0.18933333333333335</v>
      </c>
      <c r="AG78" s="61">
        <f t="shared" si="125"/>
        <v>0.18933333333333335</v>
      </c>
      <c r="AH78" s="58">
        <f t="shared" si="126"/>
        <v>1.5181097272772465E-2</v>
      </c>
      <c r="AI78" s="49">
        <f t="shared" si="127"/>
        <v>1.8410924370620936</v>
      </c>
      <c r="AJ78" s="61">
        <f t="shared" si="144"/>
        <v>1.856273534334866</v>
      </c>
      <c r="AK78" s="269">
        <f t="shared" si="128"/>
        <v>9.4666666666666668</v>
      </c>
      <c r="AL78" s="268">
        <f t="shared" si="129"/>
        <v>5</v>
      </c>
      <c r="AM78" s="270">
        <f t="shared" si="145"/>
        <v>1.8933333333333333</v>
      </c>
      <c r="AN78" s="269">
        <f t="shared" si="146"/>
        <v>2</v>
      </c>
      <c r="AO78" s="268">
        <f t="shared" si="147"/>
        <v>0.54044117647058831</v>
      </c>
      <c r="AP78" s="268">
        <f t="shared" si="148"/>
        <v>3.5033106575963715</v>
      </c>
      <c r="AQ78" s="268">
        <f t="shared" si="149"/>
        <v>2.1883753501400562</v>
      </c>
      <c r="AR78" s="268">
        <f t="shared" si="172"/>
        <v>4.5974983326663992</v>
      </c>
      <c r="AS78" s="270">
        <f t="shared" si="173"/>
        <v>2.6169859210597917</v>
      </c>
      <c r="AT78" s="269"/>
      <c r="AU78" s="268">
        <f t="shared" si="150"/>
        <v>3.5847111111111107E-2</v>
      </c>
      <c r="AV78" s="270">
        <f t="shared" si="174"/>
        <v>3.5847111111111107E-2</v>
      </c>
      <c r="AW78" s="269">
        <f t="shared" si="151"/>
        <v>0.11424000000000001</v>
      </c>
      <c r="AX78" s="268">
        <f t="shared" si="152"/>
        <v>0.94666666666666666</v>
      </c>
      <c r="AY78" s="270">
        <f t="shared" si="175"/>
        <v>1.0609066666666667</v>
      </c>
      <c r="AZ78" s="263">
        <f t="shared" si="130"/>
        <v>0</v>
      </c>
      <c r="BA78" s="262">
        <f t="shared" si="131"/>
        <v>0</v>
      </c>
      <c r="BB78" s="262">
        <f t="shared" si="176"/>
        <v>0</v>
      </c>
      <c r="BC78" s="264" t="e">
        <f t="shared" si="153"/>
        <v>#DIV/0!</v>
      </c>
      <c r="BD78" s="263">
        <v>0</v>
      </c>
      <c r="BE78" s="262">
        <f t="shared" si="154"/>
        <v>0</v>
      </c>
      <c r="BF78" s="264">
        <f t="shared" si="177"/>
        <v>0</v>
      </c>
      <c r="BG78" s="263">
        <f t="shared" si="155"/>
        <v>0</v>
      </c>
      <c r="BH78" s="262">
        <f t="shared" si="156"/>
        <v>0</v>
      </c>
      <c r="BI78" s="264">
        <f t="shared" si="157"/>
        <v>0</v>
      </c>
      <c r="BK78" s="258">
        <f t="shared" si="132"/>
        <v>0</v>
      </c>
      <c r="BL78" s="257">
        <f t="shared" si="133"/>
        <v>0</v>
      </c>
      <c r="BM78" s="257">
        <f t="shared" si="134"/>
        <v>0</v>
      </c>
      <c r="BN78" s="259">
        <f t="shared" si="158"/>
        <v>0</v>
      </c>
      <c r="BO78" s="258">
        <v>0</v>
      </c>
      <c r="BP78" s="257">
        <f t="shared" si="159"/>
        <v>0</v>
      </c>
      <c r="BQ78" s="259">
        <f t="shared" si="178"/>
        <v>0</v>
      </c>
      <c r="BR78" s="258">
        <f t="shared" si="160"/>
        <v>0</v>
      </c>
      <c r="BS78" s="257">
        <f t="shared" si="161"/>
        <v>0</v>
      </c>
      <c r="BT78" s="259">
        <f t="shared" si="179"/>
        <v>0</v>
      </c>
      <c r="BU78" s="275">
        <f t="shared" si="135"/>
        <v>0</v>
      </c>
      <c r="BV78" s="274">
        <f t="shared" si="136"/>
        <v>0</v>
      </c>
      <c r="BW78" s="274">
        <f t="shared" si="137"/>
        <v>0</v>
      </c>
      <c r="BX78" s="276">
        <f t="shared" si="162"/>
        <v>0</v>
      </c>
      <c r="BY78" s="275">
        <v>0</v>
      </c>
      <c r="BZ78" s="274">
        <f t="shared" si="163"/>
        <v>0</v>
      </c>
      <c r="CA78" s="276">
        <f t="shared" si="180"/>
        <v>0</v>
      </c>
      <c r="CB78" s="275">
        <f t="shared" si="164"/>
        <v>0</v>
      </c>
      <c r="CC78" s="274">
        <f t="shared" si="165"/>
        <v>0</v>
      </c>
      <c r="CD78" s="276">
        <f t="shared" si="181"/>
        <v>0</v>
      </c>
      <c r="CE78" s="58">
        <f t="shared" si="166"/>
        <v>2.1687281818246376E-2</v>
      </c>
      <c r="CF78" s="49">
        <f t="shared" si="138"/>
        <v>7.3499999999999996E-2</v>
      </c>
      <c r="CG78" s="61">
        <f t="shared" si="182"/>
        <v>3.2340000000000001E-2</v>
      </c>
      <c r="CH78" s="49">
        <f t="shared" si="183"/>
        <v>5.7071794258543099E-3</v>
      </c>
      <c r="CI78" s="49">
        <f t="shared" si="184"/>
        <v>3.4649284400234115</v>
      </c>
      <c r="CJ78" s="49">
        <f t="shared" si="167"/>
        <v>73.205715061161698</v>
      </c>
      <c r="CN78" s="49">
        <f t="shared" si="168"/>
        <v>1.0609066666666667</v>
      </c>
      <c r="CO78" s="49">
        <f t="shared" si="169"/>
        <v>0</v>
      </c>
      <c r="CP78" s="49">
        <f t="shared" si="170"/>
        <v>0</v>
      </c>
      <c r="CQ78" s="49" t="str">
        <f t="shared" si="139"/>
        <v/>
      </c>
    </row>
    <row r="79" spans="12:95" x14ac:dyDescent="0.45">
      <c r="L79" s="49">
        <f t="shared" si="171"/>
        <v>48</v>
      </c>
      <c r="Q79" s="49">
        <v>72</v>
      </c>
      <c r="R79" s="278">
        <f t="shared" si="115"/>
        <v>9.6</v>
      </c>
      <c r="S79" s="201">
        <f t="shared" si="116"/>
        <v>42</v>
      </c>
      <c r="T79" s="206">
        <f t="shared" si="117"/>
        <v>0.22857142857142856</v>
      </c>
      <c r="U79" s="205">
        <f t="shared" si="118"/>
        <v>2</v>
      </c>
      <c r="V79" s="201">
        <f t="shared" si="119"/>
        <v>0.45955882352941174</v>
      </c>
      <c r="W79" s="201">
        <f t="shared" si="120"/>
        <v>0.54044117647058831</v>
      </c>
      <c r="X79" s="201">
        <f t="shared" si="140"/>
        <v>0</v>
      </c>
      <c r="Y79" s="205">
        <f t="shared" si="141"/>
        <v>0.49737142857142858</v>
      </c>
      <c r="Z79" s="201">
        <f t="shared" si="121"/>
        <v>0.30637254901960786</v>
      </c>
      <c r="AA79" s="201">
        <f t="shared" si="142"/>
        <v>0.65055770308123251</v>
      </c>
      <c r="AB79" s="206">
        <f t="shared" si="122"/>
        <v>0.3424610523725547</v>
      </c>
      <c r="AC79" s="205">
        <v>0</v>
      </c>
      <c r="AD79" s="201">
        <f t="shared" si="123"/>
        <v>5.8639786196058828E-3</v>
      </c>
      <c r="AE79" s="206">
        <f t="shared" si="143"/>
        <v>5.8639786196058828E-3</v>
      </c>
      <c r="AF79" s="58">
        <f t="shared" si="124"/>
        <v>0.192</v>
      </c>
      <c r="AG79" s="61">
        <f t="shared" si="125"/>
        <v>0.192</v>
      </c>
      <c r="AH79" s="58">
        <f t="shared" si="126"/>
        <v>1.5598183128151649E-2</v>
      </c>
      <c r="AI79" s="49">
        <f t="shared" si="127"/>
        <v>1.867023316457334</v>
      </c>
      <c r="AJ79" s="61">
        <f t="shared" si="144"/>
        <v>1.8826214995854857</v>
      </c>
      <c r="AK79" s="269">
        <f t="shared" si="128"/>
        <v>9.6</v>
      </c>
      <c r="AL79" s="268">
        <f t="shared" si="129"/>
        <v>5</v>
      </c>
      <c r="AM79" s="270">
        <f t="shared" si="145"/>
        <v>1.92</v>
      </c>
      <c r="AN79" s="269">
        <f t="shared" si="146"/>
        <v>2</v>
      </c>
      <c r="AO79" s="268">
        <f t="shared" si="147"/>
        <v>0.5404411764705882</v>
      </c>
      <c r="AP79" s="268">
        <f t="shared" si="148"/>
        <v>3.5526530612244898</v>
      </c>
      <c r="AQ79" s="268">
        <f t="shared" si="149"/>
        <v>2.1883753501400558</v>
      </c>
      <c r="AR79" s="268">
        <f t="shared" si="172"/>
        <v>4.6468407362945179</v>
      </c>
      <c r="AS79" s="270">
        <f t="shared" si="173"/>
        <v>2.6526919051271403</v>
      </c>
      <c r="AT79" s="269"/>
      <c r="AU79" s="268">
        <f t="shared" si="150"/>
        <v>3.6864000000000001E-2</v>
      </c>
      <c r="AV79" s="270">
        <f t="shared" si="174"/>
        <v>3.6864000000000001E-2</v>
      </c>
      <c r="AW79" s="269">
        <f t="shared" si="151"/>
        <v>0.11424000000000001</v>
      </c>
      <c r="AX79" s="268">
        <f t="shared" si="152"/>
        <v>0.96</v>
      </c>
      <c r="AY79" s="270">
        <f t="shared" si="175"/>
        <v>1.0742400000000001</v>
      </c>
      <c r="AZ79" s="263">
        <f t="shared" si="130"/>
        <v>0</v>
      </c>
      <c r="BA79" s="262">
        <f t="shared" si="131"/>
        <v>0</v>
      </c>
      <c r="BB79" s="262">
        <f t="shared" si="176"/>
        <v>0</v>
      </c>
      <c r="BC79" s="264" t="e">
        <f t="shared" si="153"/>
        <v>#DIV/0!</v>
      </c>
      <c r="BD79" s="263">
        <v>0</v>
      </c>
      <c r="BE79" s="262">
        <f t="shared" si="154"/>
        <v>0</v>
      </c>
      <c r="BF79" s="264">
        <f t="shared" si="177"/>
        <v>0</v>
      </c>
      <c r="BG79" s="263">
        <f t="shared" si="155"/>
        <v>0</v>
      </c>
      <c r="BH79" s="262">
        <f t="shared" si="156"/>
        <v>0</v>
      </c>
      <c r="BI79" s="264">
        <f t="shared" si="157"/>
        <v>0</v>
      </c>
      <c r="BK79" s="258">
        <f t="shared" si="132"/>
        <v>0</v>
      </c>
      <c r="BL79" s="257">
        <f t="shared" si="133"/>
        <v>0</v>
      </c>
      <c r="BM79" s="257">
        <f t="shared" si="134"/>
        <v>0</v>
      </c>
      <c r="BN79" s="259">
        <f t="shared" si="158"/>
        <v>0</v>
      </c>
      <c r="BO79" s="258">
        <v>0</v>
      </c>
      <c r="BP79" s="257">
        <f t="shared" si="159"/>
        <v>0</v>
      </c>
      <c r="BQ79" s="259">
        <f t="shared" si="178"/>
        <v>0</v>
      </c>
      <c r="BR79" s="258">
        <f t="shared" si="160"/>
        <v>0</v>
      </c>
      <c r="BS79" s="257">
        <f t="shared" si="161"/>
        <v>0</v>
      </c>
      <c r="BT79" s="259">
        <f t="shared" si="179"/>
        <v>0</v>
      </c>
      <c r="BU79" s="275">
        <f t="shared" si="135"/>
        <v>0</v>
      </c>
      <c r="BV79" s="274">
        <f t="shared" si="136"/>
        <v>0</v>
      </c>
      <c r="BW79" s="274">
        <f t="shared" si="137"/>
        <v>0</v>
      </c>
      <c r="BX79" s="276">
        <f t="shared" si="162"/>
        <v>0</v>
      </c>
      <c r="BY79" s="275">
        <v>0</v>
      </c>
      <c r="BZ79" s="274">
        <f t="shared" si="163"/>
        <v>0</v>
      </c>
      <c r="CA79" s="276">
        <f t="shared" si="180"/>
        <v>0</v>
      </c>
      <c r="CB79" s="275">
        <f t="shared" si="164"/>
        <v>0</v>
      </c>
      <c r="CC79" s="274">
        <f t="shared" si="165"/>
        <v>0</v>
      </c>
      <c r="CD79" s="276">
        <f t="shared" si="181"/>
        <v>0</v>
      </c>
      <c r="CE79" s="58">
        <f t="shared" si="166"/>
        <v>2.2283118754502354E-2</v>
      </c>
      <c r="CF79" s="49">
        <f t="shared" si="138"/>
        <v>7.3499999999999996E-2</v>
      </c>
      <c r="CG79" s="61">
        <f t="shared" si="182"/>
        <v>3.2340000000000001E-2</v>
      </c>
      <c r="CH79" s="49">
        <f t="shared" si="183"/>
        <v>5.8639786196058828E-3</v>
      </c>
      <c r="CI79" s="49">
        <f t="shared" si="184"/>
        <v>3.5117125969595944</v>
      </c>
      <c r="CJ79" s="49">
        <f t="shared" si="167"/>
        <v>73.216980077996013</v>
      </c>
      <c r="CN79" s="49">
        <f t="shared" si="168"/>
        <v>1.0742400000000001</v>
      </c>
      <c r="CO79" s="49">
        <f t="shared" si="169"/>
        <v>0</v>
      </c>
      <c r="CP79" s="49">
        <f t="shared" si="170"/>
        <v>0</v>
      </c>
      <c r="CQ79" s="49" t="str">
        <f t="shared" si="139"/>
        <v/>
      </c>
    </row>
    <row r="80" spans="12:95" x14ac:dyDescent="0.45">
      <c r="L80" s="49">
        <f t="shared" si="171"/>
        <v>48.666666666666664</v>
      </c>
      <c r="Q80" s="49">
        <v>73</v>
      </c>
      <c r="R80" s="278">
        <f t="shared" si="115"/>
        <v>9.7333333333333325</v>
      </c>
      <c r="S80" s="201">
        <f t="shared" si="116"/>
        <v>42</v>
      </c>
      <c r="T80" s="206">
        <f t="shared" si="117"/>
        <v>0.23174603174603173</v>
      </c>
      <c r="U80" s="205">
        <f t="shared" si="118"/>
        <v>2</v>
      </c>
      <c r="V80" s="201">
        <f t="shared" si="119"/>
        <v>0.45955882352941174</v>
      </c>
      <c r="W80" s="201">
        <f t="shared" si="120"/>
        <v>0.54044117647058831</v>
      </c>
      <c r="X80" s="201">
        <f t="shared" si="140"/>
        <v>0</v>
      </c>
      <c r="Y80" s="205">
        <f t="shared" si="141"/>
        <v>0.50427936507936511</v>
      </c>
      <c r="Z80" s="201">
        <f t="shared" si="121"/>
        <v>0.30637254901960786</v>
      </c>
      <c r="AA80" s="201">
        <f t="shared" si="142"/>
        <v>0.65746563958916904</v>
      </c>
      <c r="AB80" s="206">
        <f t="shared" si="122"/>
        <v>0.3470726381918996</v>
      </c>
      <c r="AC80" s="205">
        <v>0</v>
      </c>
      <c r="AD80" s="201">
        <f t="shared" si="123"/>
        <v>6.0229708090742623E-3</v>
      </c>
      <c r="AE80" s="206">
        <f t="shared" si="143"/>
        <v>6.0229708090742623E-3</v>
      </c>
      <c r="AF80" s="58">
        <f t="shared" si="124"/>
        <v>0.19466666666666665</v>
      </c>
      <c r="AG80" s="61">
        <f t="shared" si="125"/>
        <v>0.19466666666666665</v>
      </c>
      <c r="AH80" s="58">
        <f t="shared" si="126"/>
        <v>1.6021102352137537E-2</v>
      </c>
      <c r="AI80" s="49">
        <f t="shared" si="127"/>
        <v>1.8929541958525751</v>
      </c>
      <c r="AJ80" s="61">
        <f t="shared" si="144"/>
        <v>1.9089752982047126</v>
      </c>
      <c r="AK80" s="269">
        <f t="shared" si="128"/>
        <v>9.7333333333333325</v>
      </c>
      <c r="AL80" s="268">
        <f t="shared" si="129"/>
        <v>5</v>
      </c>
      <c r="AM80" s="270">
        <f t="shared" si="145"/>
        <v>1.9466666666666665</v>
      </c>
      <c r="AN80" s="269">
        <f t="shared" si="146"/>
        <v>2</v>
      </c>
      <c r="AO80" s="268">
        <f t="shared" si="147"/>
        <v>0.5404411764705882</v>
      </c>
      <c r="AP80" s="268">
        <f t="shared" si="148"/>
        <v>3.6019954648526076</v>
      </c>
      <c r="AQ80" s="268">
        <f t="shared" si="149"/>
        <v>2.1883753501400558</v>
      </c>
      <c r="AR80" s="268">
        <f t="shared" si="172"/>
        <v>4.6961831399226357</v>
      </c>
      <c r="AS80" s="270">
        <f t="shared" si="173"/>
        <v>2.6884130952829985</v>
      </c>
      <c r="AT80" s="269"/>
      <c r="AU80" s="268">
        <f t="shared" si="150"/>
        <v>3.7895111111111109E-2</v>
      </c>
      <c r="AV80" s="270">
        <f t="shared" si="174"/>
        <v>3.7895111111111109E-2</v>
      </c>
      <c r="AW80" s="269">
        <f t="shared" si="151"/>
        <v>0.11424000000000001</v>
      </c>
      <c r="AX80" s="268">
        <f t="shared" si="152"/>
        <v>0.97333333333333327</v>
      </c>
      <c r="AY80" s="270">
        <f t="shared" si="175"/>
        <v>1.0875733333333333</v>
      </c>
      <c r="AZ80" s="263">
        <f t="shared" si="130"/>
        <v>0</v>
      </c>
      <c r="BA80" s="262">
        <f t="shared" si="131"/>
        <v>0</v>
      </c>
      <c r="BB80" s="262">
        <f t="shared" si="176"/>
        <v>0</v>
      </c>
      <c r="BC80" s="264" t="e">
        <f t="shared" si="153"/>
        <v>#DIV/0!</v>
      </c>
      <c r="BD80" s="263">
        <v>0</v>
      </c>
      <c r="BE80" s="262">
        <f t="shared" si="154"/>
        <v>0</v>
      </c>
      <c r="BF80" s="264">
        <f t="shared" si="177"/>
        <v>0</v>
      </c>
      <c r="BG80" s="263">
        <f t="shared" si="155"/>
        <v>0</v>
      </c>
      <c r="BH80" s="262">
        <f t="shared" si="156"/>
        <v>0</v>
      </c>
      <c r="BI80" s="264">
        <f t="shared" si="157"/>
        <v>0</v>
      </c>
      <c r="BK80" s="258">
        <f t="shared" si="132"/>
        <v>0</v>
      </c>
      <c r="BL80" s="257">
        <f t="shared" si="133"/>
        <v>0</v>
      </c>
      <c r="BM80" s="257">
        <f t="shared" si="134"/>
        <v>0</v>
      </c>
      <c r="BN80" s="259">
        <f t="shared" si="158"/>
        <v>0</v>
      </c>
      <c r="BO80" s="258">
        <v>0</v>
      </c>
      <c r="BP80" s="257">
        <f t="shared" si="159"/>
        <v>0</v>
      </c>
      <c r="BQ80" s="259">
        <f t="shared" si="178"/>
        <v>0</v>
      </c>
      <c r="BR80" s="258">
        <f t="shared" si="160"/>
        <v>0</v>
      </c>
      <c r="BS80" s="257">
        <f t="shared" si="161"/>
        <v>0</v>
      </c>
      <c r="BT80" s="259">
        <f t="shared" si="179"/>
        <v>0</v>
      </c>
      <c r="BU80" s="275">
        <f t="shared" si="135"/>
        <v>0</v>
      </c>
      <c r="BV80" s="274">
        <f t="shared" si="136"/>
        <v>0</v>
      </c>
      <c r="BW80" s="274">
        <f t="shared" si="137"/>
        <v>0</v>
      </c>
      <c r="BX80" s="276">
        <f t="shared" si="162"/>
        <v>0</v>
      </c>
      <c r="BY80" s="275">
        <v>0</v>
      </c>
      <c r="BZ80" s="274">
        <f t="shared" si="163"/>
        <v>0</v>
      </c>
      <c r="CA80" s="276">
        <f t="shared" si="180"/>
        <v>0</v>
      </c>
      <c r="CB80" s="275">
        <f t="shared" si="164"/>
        <v>0</v>
      </c>
      <c r="CC80" s="274">
        <f t="shared" si="165"/>
        <v>0</v>
      </c>
      <c r="CD80" s="276">
        <f t="shared" si="181"/>
        <v>0</v>
      </c>
      <c r="CE80" s="58">
        <f t="shared" si="166"/>
        <v>2.2887289074482196E-2</v>
      </c>
      <c r="CF80" s="49">
        <f t="shared" si="138"/>
        <v>7.3499999999999996E-2</v>
      </c>
      <c r="CG80" s="61">
        <f t="shared" si="182"/>
        <v>3.2340000000000001E-2</v>
      </c>
      <c r="CH80" s="49">
        <f t="shared" si="183"/>
        <v>6.0229708090742623E-3</v>
      </c>
      <c r="CI80" s="49">
        <f t="shared" si="184"/>
        <v>3.5585273358660463</v>
      </c>
      <c r="CJ80" s="49">
        <f t="shared" si="167"/>
        <v>73.22777130735308</v>
      </c>
      <c r="CN80" s="49">
        <f t="shared" si="168"/>
        <v>1.0875733333333333</v>
      </c>
      <c r="CO80" s="49">
        <f t="shared" si="169"/>
        <v>0</v>
      </c>
      <c r="CP80" s="49">
        <f t="shared" si="170"/>
        <v>0</v>
      </c>
      <c r="CQ80" s="49" t="str">
        <f t="shared" si="139"/>
        <v/>
      </c>
    </row>
    <row r="81" spans="12:95" x14ac:dyDescent="0.45">
      <c r="L81" s="49">
        <f t="shared" si="171"/>
        <v>49.333333333333336</v>
      </c>
      <c r="Q81" s="49">
        <v>74</v>
      </c>
      <c r="R81" s="278">
        <f t="shared" si="115"/>
        <v>9.8666666666666671</v>
      </c>
      <c r="S81" s="201">
        <f t="shared" si="116"/>
        <v>42</v>
      </c>
      <c r="T81" s="206">
        <f t="shared" si="117"/>
        <v>0.23492063492063492</v>
      </c>
      <c r="U81" s="205">
        <f t="shared" si="118"/>
        <v>2</v>
      </c>
      <c r="V81" s="201">
        <f t="shared" si="119"/>
        <v>0.45955882352941174</v>
      </c>
      <c r="W81" s="201">
        <f t="shared" si="120"/>
        <v>0.54044117647058831</v>
      </c>
      <c r="X81" s="201">
        <f t="shared" si="140"/>
        <v>0</v>
      </c>
      <c r="Y81" s="205">
        <f t="shared" si="141"/>
        <v>0.51118730158730163</v>
      </c>
      <c r="Z81" s="201">
        <f t="shared" si="121"/>
        <v>0.30637254901960786</v>
      </c>
      <c r="AA81" s="201">
        <f t="shared" si="142"/>
        <v>0.66437357609710557</v>
      </c>
      <c r="AB81" s="206">
        <f t="shared" si="122"/>
        <v>0.35168610988378396</v>
      </c>
      <c r="AC81" s="205">
        <v>0</v>
      </c>
      <c r="AD81" s="201">
        <f t="shared" si="123"/>
        <v>6.1841559942594493E-3</v>
      </c>
      <c r="AE81" s="206">
        <f t="shared" si="143"/>
        <v>6.1841559942594493E-3</v>
      </c>
      <c r="AF81" s="58">
        <f t="shared" si="124"/>
        <v>0.19733333333333336</v>
      </c>
      <c r="AG81" s="61">
        <f t="shared" si="125"/>
        <v>0.19733333333333336</v>
      </c>
      <c r="AH81" s="58">
        <f t="shared" si="126"/>
        <v>1.6449854944730134E-2</v>
      </c>
      <c r="AI81" s="49">
        <f t="shared" si="127"/>
        <v>1.9188850752478155</v>
      </c>
      <c r="AJ81" s="61">
        <f t="shared" si="144"/>
        <v>1.9353349301925455</v>
      </c>
      <c r="AK81" s="269">
        <f t="shared" si="128"/>
        <v>9.8666666666666671</v>
      </c>
      <c r="AL81" s="268">
        <f t="shared" si="129"/>
        <v>5</v>
      </c>
      <c r="AM81" s="270">
        <f t="shared" si="145"/>
        <v>1.9733333333333334</v>
      </c>
      <c r="AN81" s="269">
        <f t="shared" si="146"/>
        <v>2</v>
      </c>
      <c r="AO81" s="268">
        <f t="shared" si="147"/>
        <v>0.54044117647058831</v>
      </c>
      <c r="AP81" s="268">
        <f t="shared" si="148"/>
        <v>3.6513378684807254</v>
      </c>
      <c r="AQ81" s="268">
        <f t="shared" si="149"/>
        <v>2.1883753501400562</v>
      </c>
      <c r="AR81" s="268">
        <f t="shared" si="172"/>
        <v>4.7455255435507535</v>
      </c>
      <c r="AS81" s="270">
        <f t="shared" si="173"/>
        <v>2.7241488933447333</v>
      </c>
      <c r="AT81" s="269"/>
      <c r="AU81" s="268">
        <f t="shared" si="150"/>
        <v>3.8940444444444451E-2</v>
      </c>
      <c r="AV81" s="270">
        <f t="shared" si="174"/>
        <v>3.8940444444444451E-2</v>
      </c>
      <c r="AW81" s="269">
        <f t="shared" si="151"/>
        <v>0.11424000000000001</v>
      </c>
      <c r="AX81" s="268">
        <f t="shared" si="152"/>
        <v>0.98666666666666669</v>
      </c>
      <c r="AY81" s="270">
        <f t="shared" si="175"/>
        <v>1.1009066666666667</v>
      </c>
      <c r="AZ81" s="263">
        <f t="shared" si="130"/>
        <v>0</v>
      </c>
      <c r="BA81" s="262">
        <f t="shared" si="131"/>
        <v>0</v>
      </c>
      <c r="BB81" s="262">
        <f t="shared" si="176"/>
        <v>0</v>
      </c>
      <c r="BC81" s="264" t="e">
        <f t="shared" si="153"/>
        <v>#DIV/0!</v>
      </c>
      <c r="BD81" s="263">
        <v>0</v>
      </c>
      <c r="BE81" s="262">
        <f t="shared" si="154"/>
        <v>0</v>
      </c>
      <c r="BF81" s="264">
        <f t="shared" si="177"/>
        <v>0</v>
      </c>
      <c r="BG81" s="263">
        <f t="shared" si="155"/>
        <v>0</v>
      </c>
      <c r="BH81" s="262">
        <f t="shared" si="156"/>
        <v>0</v>
      </c>
      <c r="BI81" s="264">
        <f t="shared" si="157"/>
        <v>0</v>
      </c>
      <c r="BK81" s="258">
        <f t="shared" si="132"/>
        <v>0</v>
      </c>
      <c r="BL81" s="257">
        <f t="shared" si="133"/>
        <v>0</v>
      </c>
      <c r="BM81" s="257">
        <f t="shared" si="134"/>
        <v>0</v>
      </c>
      <c r="BN81" s="259">
        <f t="shared" si="158"/>
        <v>0</v>
      </c>
      <c r="BO81" s="258">
        <v>0</v>
      </c>
      <c r="BP81" s="257">
        <f t="shared" si="159"/>
        <v>0</v>
      </c>
      <c r="BQ81" s="259">
        <f t="shared" si="178"/>
        <v>0</v>
      </c>
      <c r="BR81" s="258">
        <f t="shared" si="160"/>
        <v>0</v>
      </c>
      <c r="BS81" s="257">
        <f t="shared" si="161"/>
        <v>0</v>
      </c>
      <c r="BT81" s="259">
        <f t="shared" si="179"/>
        <v>0</v>
      </c>
      <c r="BU81" s="275">
        <f t="shared" si="135"/>
        <v>0</v>
      </c>
      <c r="BV81" s="274">
        <f t="shared" si="136"/>
        <v>0</v>
      </c>
      <c r="BW81" s="274">
        <f t="shared" si="137"/>
        <v>0</v>
      </c>
      <c r="BX81" s="276">
        <f t="shared" si="162"/>
        <v>0</v>
      </c>
      <c r="BY81" s="275">
        <v>0</v>
      </c>
      <c r="BZ81" s="274">
        <f t="shared" si="163"/>
        <v>0</v>
      </c>
      <c r="CA81" s="276">
        <f t="shared" si="180"/>
        <v>0</v>
      </c>
      <c r="CB81" s="275">
        <f t="shared" si="164"/>
        <v>0</v>
      </c>
      <c r="CC81" s="274">
        <f t="shared" si="165"/>
        <v>0</v>
      </c>
      <c r="CD81" s="276">
        <f t="shared" si="181"/>
        <v>0</v>
      </c>
      <c r="CE81" s="58">
        <f t="shared" si="166"/>
        <v>2.3499792778185907E-2</v>
      </c>
      <c r="CF81" s="49">
        <f t="shared" si="138"/>
        <v>7.3499999999999996E-2</v>
      </c>
      <c r="CG81" s="61">
        <f t="shared" si="182"/>
        <v>3.2340000000000001E-2</v>
      </c>
      <c r="CH81" s="49">
        <f t="shared" si="183"/>
        <v>6.1841559942594493E-3</v>
      </c>
      <c r="CI81" s="49">
        <f t="shared" si="184"/>
        <v>3.6053726567427686</v>
      </c>
      <c r="CJ81" s="49">
        <f t="shared" si="167"/>
        <v>73.238107682198034</v>
      </c>
      <c r="CN81" s="49">
        <f t="shared" si="168"/>
        <v>1.1009066666666667</v>
      </c>
      <c r="CO81" s="49">
        <f t="shared" si="169"/>
        <v>0</v>
      </c>
      <c r="CP81" s="49">
        <f t="shared" si="170"/>
        <v>0</v>
      </c>
      <c r="CQ81" s="49" t="str">
        <f t="shared" si="139"/>
        <v/>
      </c>
    </row>
    <row r="82" spans="12:95" x14ac:dyDescent="0.45">
      <c r="L82" s="49">
        <f t="shared" si="171"/>
        <v>50</v>
      </c>
      <c r="Q82" s="49">
        <v>75</v>
      </c>
      <c r="R82" s="278">
        <f t="shared" si="115"/>
        <v>10</v>
      </c>
      <c r="S82" s="201">
        <f t="shared" si="116"/>
        <v>42</v>
      </c>
      <c r="T82" s="206">
        <f t="shared" si="117"/>
        <v>0.23809523809523808</v>
      </c>
      <c r="U82" s="205">
        <f t="shared" si="118"/>
        <v>2</v>
      </c>
      <c r="V82" s="201">
        <f t="shared" si="119"/>
        <v>0.45955882352941174</v>
      </c>
      <c r="W82" s="201">
        <f t="shared" si="120"/>
        <v>0.54044117647058831</v>
      </c>
      <c r="X82" s="201">
        <f t="shared" si="140"/>
        <v>0</v>
      </c>
      <c r="Y82" s="205">
        <f t="shared" si="141"/>
        <v>0.51809523809523816</v>
      </c>
      <c r="Z82" s="201">
        <f t="shared" si="121"/>
        <v>0.30637254901960786</v>
      </c>
      <c r="AA82" s="201">
        <f t="shared" si="142"/>
        <v>0.6712815126050421</v>
      </c>
      <c r="AB82" s="206">
        <f t="shared" si="122"/>
        <v>0.35630139419209239</v>
      </c>
      <c r="AC82" s="205">
        <v>0</v>
      </c>
      <c r="AD82" s="201">
        <f t="shared" si="123"/>
        <v>6.3475341751614402E-3</v>
      </c>
      <c r="AE82" s="206">
        <f t="shared" si="143"/>
        <v>6.3475341751614402E-3</v>
      </c>
      <c r="AF82" s="58">
        <f t="shared" si="124"/>
        <v>0.2</v>
      </c>
      <c r="AG82" s="61">
        <f t="shared" si="125"/>
        <v>0.2</v>
      </c>
      <c r="AH82" s="58">
        <f t="shared" si="126"/>
        <v>1.6884440905929433E-2</v>
      </c>
      <c r="AI82" s="49">
        <f t="shared" si="127"/>
        <v>1.9448159546430566</v>
      </c>
      <c r="AJ82" s="61">
        <f t="shared" si="144"/>
        <v>1.961700395548986</v>
      </c>
      <c r="AK82" s="269">
        <f t="shared" si="128"/>
        <v>10</v>
      </c>
      <c r="AL82" s="268">
        <f t="shared" si="129"/>
        <v>5</v>
      </c>
      <c r="AM82" s="270">
        <f t="shared" si="145"/>
        <v>2</v>
      </c>
      <c r="AN82" s="269">
        <f t="shared" si="146"/>
        <v>2</v>
      </c>
      <c r="AO82" s="268">
        <f t="shared" si="147"/>
        <v>0.5404411764705882</v>
      </c>
      <c r="AP82" s="268">
        <f t="shared" si="148"/>
        <v>3.7006802721088441</v>
      </c>
      <c r="AQ82" s="268">
        <f t="shared" si="149"/>
        <v>2.1883753501400558</v>
      </c>
      <c r="AR82" s="268">
        <f t="shared" si="172"/>
        <v>4.7948679471788722</v>
      </c>
      <c r="AS82" s="270">
        <f t="shared" si="173"/>
        <v>2.7598987318729153</v>
      </c>
      <c r="AT82" s="269"/>
      <c r="AU82" s="268">
        <f t="shared" si="150"/>
        <v>0.04</v>
      </c>
      <c r="AV82" s="270">
        <f t="shared" si="174"/>
        <v>0.04</v>
      </c>
      <c r="AW82" s="269">
        <f t="shared" si="151"/>
        <v>0.11424000000000001</v>
      </c>
      <c r="AX82" s="268">
        <f t="shared" si="152"/>
        <v>1</v>
      </c>
      <c r="AY82" s="270">
        <f t="shared" si="175"/>
        <v>1.1142400000000001</v>
      </c>
      <c r="AZ82" s="263">
        <f t="shared" si="130"/>
        <v>0</v>
      </c>
      <c r="BA82" s="262">
        <f t="shared" si="131"/>
        <v>0</v>
      </c>
      <c r="BB82" s="262">
        <f t="shared" si="176"/>
        <v>0</v>
      </c>
      <c r="BC82" s="264" t="e">
        <f t="shared" si="153"/>
        <v>#DIV/0!</v>
      </c>
      <c r="BD82" s="263">
        <v>0</v>
      </c>
      <c r="BE82" s="262">
        <f t="shared" si="154"/>
        <v>0</v>
      </c>
      <c r="BF82" s="264">
        <f t="shared" si="177"/>
        <v>0</v>
      </c>
      <c r="BG82" s="263">
        <f t="shared" si="155"/>
        <v>0</v>
      </c>
      <c r="BH82" s="262">
        <f t="shared" si="156"/>
        <v>0</v>
      </c>
      <c r="BI82" s="264">
        <f t="shared" si="157"/>
        <v>0</v>
      </c>
      <c r="BK82" s="258">
        <f t="shared" si="132"/>
        <v>0</v>
      </c>
      <c r="BL82" s="257">
        <f t="shared" si="133"/>
        <v>0</v>
      </c>
      <c r="BM82" s="257">
        <f t="shared" si="134"/>
        <v>0</v>
      </c>
      <c r="BN82" s="259">
        <f t="shared" si="158"/>
        <v>0</v>
      </c>
      <c r="BO82" s="258">
        <v>0</v>
      </c>
      <c r="BP82" s="257">
        <f t="shared" si="159"/>
        <v>0</v>
      </c>
      <c r="BQ82" s="259">
        <f t="shared" si="178"/>
        <v>0</v>
      </c>
      <c r="BR82" s="258">
        <f t="shared" si="160"/>
        <v>0</v>
      </c>
      <c r="BS82" s="257">
        <f t="shared" si="161"/>
        <v>0</v>
      </c>
      <c r="BT82" s="259">
        <f t="shared" si="179"/>
        <v>0</v>
      </c>
      <c r="BU82" s="275">
        <f t="shared" si="135"/>
        <v>0</v>
      </c>
      <c r="BV82" s="274">
        <f t="shared" si="136"/>
        <v>0</v>
      </c>
      <c r="BW82" s="274">
        <f t="shared" si="137"/>
        <v>0</v>
      </c>
      <c r="BX82" s="276">
        <f t="shared" si="162"/>
        <v>0</v>
      </c>
      <c r="BY82" s="275">
        <v>0</v>
      </c>
      <c r="BZ82" s="274">
        <f t="shared" si="163"/>
        <v>0</v>
      </c>
      <c r="CA82" s="276">
        <f t="shared" si="180"/>
        <v>0</v>
      </c>
      <c r="CB82" s="275">
        <f t="shared" si="164"/>
        <v>0</v>
      </c>
      <c r="CC82" s="274">
        <f t="shared" si="165"/>
        <v>0</v>
      </c>
      <c r="CD82" s="276">
        <f t="shared" si="181"/>
        <v>0</v>
      </c>
      <c r="CE82" s="58">
        <f t="shared" si="166"/>
        <v>2.4120629865613471E-2</v>
      </c>
      <c r="CF82" s="49">
        <f t="shared" si="138"/>
        <v>7.3499999999999996E-2</v>
      </c>
      <c r="CG82" s="61">
        <f t="shared" si="182"/>
        <v>3.2340000000000001E-2</v>
      </c>
      <c r="CH82" s="49">
        <f t="shared" si="183"/>
        <v>6.3475341751614402E-3</v>
      </c>
      <c r="CI82" s="49">
        <f t="shared" si="184"/>
        <v>3.6522485595897614</v>
      </c>
      <c r="CJ82" s="49">
        <f t="shared" si="167"/>
        <v>73.248007142205822</v>
      </c>
      <c r="CN82" s="49">
        <f t="shared" si="168"/>
        <v>1.1142400000000001</v>
      </c>
      <c r="CO82" s="49">
        <f t="shared" si="169"/>
        <v>0</v>
      </c>
      <c r="CP82" s="49">
        <f t="shared" si="170"/>
        <v>0</v>
      </c>
      <c r="CQ82" s="49" t="str">
        <f t="shared" si="139"/>
        <v/>
      </c>
    </row>
    <row r="83" spans="12:95" x14ac:dyDescent="0.45">
      <c r="L83" s="49">
        <f t="shared" si="171"/>
        <v>50.666666666666657</v>
      </c>
      <c r="Q83" s="49">
        <v>76</v>
      </c>
      <c r="R83" s="278">
        <f t="shared" si="115"/>
        <v>10.133333333333333</v>
      </c>
      <c r="S83" s="201">
        <f t="shared" si="116"/>
        <v>42</v>
      </c>
      <c r="T83" s="206">
        <f t="shared" si="117"/>
        <v>0.24126984126984125</v>
      </c>
      <c r="U83" s="205">
        <f t="shared" si="118"/>
        <v>2</v>
      </c>
      <c r="V83" s="201">
        <f t="shared" si="119"/>
        <v>0.45955882352941174</v>
      </c>
      <c r="W83" s="201">
        <f t="shared" si="120"/>
        <v>0.54044117647058831</v>
      </c>
      <c r="X83" s="201">
        <f t="shared" si="140"/>
        <v>0</v>
      </c>
      <c r="Y83" s="205">
        <f t="shared" si="141"/>
        <v>0.52500317460317458</v>
      </c>
      <c r="Z83" s="201">
        <f t="shared" si="121"/>
        <v>0.30637254901960786</v>
      </c>
      <c r="AA83" s="201">
        <f t="shared" si="142"/>
        <v>0.67818944911297852</v>
      </c>
      <c r="AB83" s="206">
        <f t="shared" si="122"/>
        <v>0.36091842157973131</v>
      </c>
      <c r="AC83" s="205">
        <v>0</v>
      </c>
      <c r="AD83" s="201">
        <f t="shared" si="123"/>
        <v>6.5131053517802325E-3</v>
      </c>
      <c r="AE83" s="206">
        <f t="shared" si="143"/>
        <v>6.5131053517802325E-3</v>
      </c>
      <c r="AF83" s="58">
        <f t="shared" si="124"/>
        <v>0.20266666666666666</v>
      </c>
      <c r="AG83" s="61">
        <f t="shared" si="125"/>
        <v>0.20266666666666666</v>
      </c>
      <c r="AH83" s="58">
        <f t="shared" si="126"/>
        <v>1.7324860235735418E-2</v>
      </c>
      <c r="AI83" s="49">
        <f t="shared" si="127"/>
        <v>1.970746834038297</v>
      </c>
      <c r="AJ83" s="61">
        <f t="shared" si="144"/>
        <v>1.9880716942740324</v>
      </c>
      <c r="AK83" s="269">
        <f t="shared" si="128"/>
        <v>10.133333333333333</v>
      </c>
      <c r="AL83" s="268">
        <f t="shared" si="129"/>
        <v>5</v>
      </c>
      <c r="AM83" s="270">
        <f t="shared" si="145"/>
        <v>2.0266666666666664</v>
      </c>
      <c r="AN83" s="269">
        <f t="shared" si="146"/>
        <v>2</v>
      </c>
      <c r="AO83" s="268">
        <f t="shared" si="147"/>
        <v>0.5404411764705882</v>
      </c>
      <c r="AP83" s="268">
        <f t="shared" si="148"/>
        <v>3.750022675736961</v>
      </c>
      <c r="AQ83" s="268">
        <f t="shared" si="149"/>
        <v>2.1883753501400558</v>
      </c>
      <c r="AR83" s="268">
        <f t="shared" si="172"/>
        <v>4.8442103508069891</v>
      </c>
      <c r="AS83" s="270">
        <f t="shared" si="173"/>
        <v>2.7956620722355336</v>
      </c>
      <c r="AT83" s="269"/>
      <c r="AU83" s="268">
        <f t="shared" si="150"/>
        <v>4.1073777777777772E-2</v>
      </c>
      <c r="AV83" s="270">
        <f t="shared" si="174"/>
        <v>4.1073777777777772E-2</v>
      </c>
      <c r="AW83" s="269">
        <f t="shared" si="151"/>
        <v>0.11424000000000001</v>
      </c>
      <c r="AX83" s="268">
        <f t="shared" si="152"/>
        <v>1.0133333333333332</v>
      </c>
      <c r="AY83" s="270">
        <f t="shared" si="175"/>
        <v>1.1275733333333333</v>
      </c>
      <c r="AZ83" s="263">
        <f t="shared" si="130"/>
        <v>0</v>
      </c>
      <c r="BA83" s="262">
        <f t="shared" si="131"/>
        <v>0</v>
      </c>
      <c r="BB83" s="262">
        <f t="shared" si="176"/>
        <v>0</v>
      </c>
      <c r="BC83" s="264" t="e">
        <f t="shared" si="153"/>
        <v>#DIV/0!</v>
      </c>
      <c r="BD83" s="263">
        <v>0</v>
      </c>
      <c r="BE83" s="262">
        <f t="shared" si="154"/>
        <v>0</v>
      </c>
      <c r="BF83" s="264">
        <f t="shared" si="177"/>
        <v>0</v>
      </c>
      <c r="BG83" s="263">
        <f t="shared" si="155"/>
        <v>0</v>
      </c>
      <c r="BH83" s="262">
        <f t="shared" si="156"/>
        <v>0</v>
      </c>
      <c r="BI83" s="264">
        <f t="shared" si="157"/>
        <v>0</v>
      </c>
      <c r="BK83" s="258">
        <f t="shared" si="132"/>
        <v>0</v>
      </c>
      <c r="BL83" s="257">
        <f t="shared" si="133"/>
        <v>0</v>
      </c>
      <c r="BM83" s="257">
        <f t="shared" si="134"/>
        <v>0</v>
      </c>
      <c r="BN83" s="259">
        <f t="shared" si="158"/>
        <v>0</v>
      </c>
      <c r="BO83" s="258">
        <v>0</v>
      </c>
      <c r="BP83" s="257">
        <f t="shared" si="159"/>
        <v>0</v>
      </c>
      <c r="BQ83" s="259">
        <f t="shared" si="178"/>
        <v>0</v>
      </c>
      <c r="BR83" s="258">
        <f t="shared" si="160"/>
        <v>0</v>
      </c>
      <c r="BS83" s="257">
        <f t="shared" si="161"/>
        <v>0</v>
      </c>
      <c r="BT83" s="259">
        <f t="shared" si="179"/>
        <v>0</v>
      </c>
      <c r="BU83" s="275">
        <f t="shared" si="135"/>
        <v>0</v>
      </c>
      <c r="BV83" s="274">
        <f t="shared" si="136"/>
        <v>0</v>
      </c>
      <c r="BW83" s="274">
        <f t="shared" si="137"/>
        <v>0</v>
      </c>
      <c r="BX83" s="276">
        <f t="shared" si="162"/>
        <v>0</v>
      </c>
      <c r="BY83" s="275">
        <v>0</v>
      </c>
      <c r="BZ83" s="274">
        <f t="shared" si="163"/>
        <v>0</v>
      </c>
      <c r="CA83" s="276">
        <f t="shared" si="180"/>
        <v>0</v>
      </c>
      <c r="CB83" s="275">
        <f t="shared" si="164"/>
        <v>0</v>
      </c>
      <c r="CC83" s="274">
        <f t="shared" si="165"/>
        <v>0</v>
      </c>
      <c r="CD83" s="276">
        <f t="shared" si="181"/>
        <v>0</v>
      </c>
      <c r="CE83" s="58">
        <f t="shared" si="166"/>
        <v>2.4749800336764882E-2</v>
      </c>
      <c r="CF83" s="49">
        <f t="shared" si="138"/>
        <v>7.3499999999999996E-2</v>
      </c>
      <c r="CG83" s="61">
        <f t="shared" si="182"/>
        <v>3.2340000000000001E-2</v>
      </c>
      <c r="CH83" s="49">
        <f t="shared" si="183"/>
        <v>6.5131053517802325E-3</v>
      </c>
      <c r="CI83" s="49">
        <f t="shared" si="184"/>
        <v>3.6991550444070218</v>
      </c>
      <c r="CJ83" s="49">
        <f t="shared" si="167"/>
        <v>73.257486698056368</v>
      </c>
      <c r="CN83" s="49">
        <f t="shared" si="168"/>
        <v>1.1275733333333333</v>
      </c>
      <c r="CO83" s="49">
        <f t="shared" si="169"/>
        <v>0</v>
      </c>
      <c r="CP83" s="49">
        <f t="shared" si="170"/>
        <v>0</v>
      </c>
      <c r="CQ83" s="49" t="str">
        <f t="shared" si="139"/>
        <v/>
      </c>
    </row>
    <row r="84" spans="12:95" x14ac:dyDescent="0.45">
      <c r="L84" s="49">
        <f t="shared" si="171"/>
        <v>51.333333333333329</v>
      </c>
      <c r="Q84" s="49">
        <v>77</v>
      </c>
      <c r="R84" s="278">
        <f t="shared" si="115"/>
        <v>10.266666666666666</v>
      </c>
      <c r="S84" s="201">
        <f t="shared" si="116"/>
        <v>42</v>
      </c>
      <c r="T84" s="206">
        <f t="shared" si="117"/>
        <v>0.24444444444444441</v>
      </c>
      <c r="U84" s="205">
        <f t="shared" si="118"/>
        <v>2</v>
      </c>
      <c r="V84" s="201">
        <f t="shared" si="119"/>
        <v>0.45955882352941174</v>
      </c>
      <c r="W84" s="201">
        <f t="shared" si="120"/>
        <v>0.54044117647058831</v>
      </c>
      <c r="X84" s="201">
        <f t="shared" si="140"/>
        <v>0</v>
      </c>
      <c r="Y84" s="205">
        <f t="shared" si="141"/>
        <v>0.53191111111111111</v>
      </c>
      <c r="Z84" s="201">
        <f t="shared" si="121"/>
        <v>0.30637254901960786</v>
      </c>
      <c r="AA84" s="201">
        <f t="shared" si="142"/>
        <v>0.68509738562091504</v>
      </c>
      <c r="AB84" s="206">
        <f t="shared" si="122"/>
        <v>0.36553712599723259</v>
      </c>
      <c r="AC84" s="205">
        <v>0</v>
      </c>
      <c r="AD84" s="201">
        <f t="shared" si="123"/>
        <v>6.6808695241158348E-3</v>
      </c>
      <c r="AE84" s="206">
        <f t="shared" si="143"/>
        <v>6.6808695241158348E-3</v>
      </c>
      <c r="AF84" s="58">
        <f t="shared" si="124"/>
        <v>0.20533333333333331</v>
      </c>
      <c r="AG84" s="61">
        <f t="shared" si="125"/>
        <v>0.20533333333333331</v>
      </c>
      <c r="AH84" s="58">
        <f t="shared" si="126"/>
        <v>1.7771112934148122E-2</v>
      </c>
      <c r="AI84" s="49">
        <f t="shared" si="127"/>
        <v>1.9966777134335378</v>
      </c>
      <c r="AJ84" s="61">
        <f t="shared" si="144"/>
        <v>2.0144488263676861</v>
      </c>
      <c r="AK84" s="269">
        <f t="shared" si="128"/>
        <v>10.266666666666666</v>
      </c>
      <c r="AL84" s="268">
        <f t="shared" si="129"/>
        <v>5</v>
      </c>
      <c r="AM84" s="270">
        <f t="shared" si="145"/>
        <v>2.0533333333333332</v>
      </c>
      <c r="AN84" s="269">
        <f t="shared" si="146"/>
        <v>2</v>
      </c>
      <c r="AO84" s="268">
        <f t="shared" si="147"/>
        <v>0.54044117647058831</v>
      </c>
      <c r="AP84" s="268">
        <f t="shared" si="148"/>
        <v>3.7993650793650788</v>
      </c>
      <c r="AQ84" s="268">
        <f t="shared" si="149"/>
        <v>2.1883753501400562</v>
      </c>
      <c r="AR84" s="268">
        <f t="shared" si="172"/>
        <v>4.893552754435107</v>
      </c>
      <c r="AS84" s="270">
        <f t="shared" si="173"/>
        <v>2.8314384028156079</v>
      </c>
      <c r="AT84" s="269"/>
      <c r="AU84" s="268">
        <f t="shared" si="150"/>
        <v>4.2161777777777777E-2</v>
      </c>
      <c r="AV84" s="270">
        <f t="shared" si="174"/>
        <v>4.2161777777777777E-2</v>
      </c>
      <c r="AW84" s="269">
        <f t="shared" si="151"/>
        <v>0.11424000000000001</v>
      </c>
      <c r="AX84" s="268">
        <f t="shared" si="152"/>
        <v>1.0266666666666666</v>
      </c>
      <c r="AY84" s="270">
        <f t="shared" si="175"/>
        <v>1.1409066666666665</v>
      </c>
      <c r="AZ84" s="263">
        <f t="shared" si="130"/>
        <v>0</v>
      </c>
      <c r="BA84" s="262">
        <f t="shared" si="131"/>
        <v>0</v>
      </c>
      <c r="BB84" s="262">
        <f t="shared" si="176"/>
        <v>0</v>
      </c>
      <c r="BC84" s="264" t="e">
        <f t="shared" si="153"/>
        <v>#DIV/0!</v>
      </c>
      <c r="BD84" s="263">
        <v>0</v>
      </c>
      <c r="BE84" s="262">
        <f t="shared" si="154"/>
        <v>0</v>
      </c>
      <c r="BF84" s="264">
        <f t="shared" si="177"/>
        <v>0</v>
      </c>
      <c r="BG84" s="263">
        <f t="shared" si="155"/>
        <v>0</v>
      </c>
      <c r="BH84" s="262">
        <f t="shared" si="156"/>
        <v>0</v>
      </c>
      <c r="BI84" s="264">
        <f t="shared" si="157"/>
        <v>0</v>
      </c>
      <c r="BK84" s="258">
        <f t="shared" si="132"/>
        <v>0</v>
      </c>
      <c r="BL84" s="257">
        <f t="shared" si="133"/>
        <v>0</v>
      </c>
      <c r="BM84" s="257">
        <f t="shared" si="134"/>
        <v>0</v>
      </c>
      <c r="BN84" s="259">
        <f t="shared" si="158"/>
        <v>0</v>
      </c>
      <c r="BO84" s="258">
        <v>0</v>
      </c>
      <c r="BP84" s="257">
        <f t="shared" si="159"/>
        <v>0</v>
      </c>
      <c r="BQ84" s="259">
        <f t="shared" si="178"/>
        <v>0</v>
      </c>
      <c r="BR84" s="258">
        <f t="shared" si="160"/>
        <v>0</v>
      </c>
      <c r="BS84" s="257">
        <f t="shared" si="161"/>
        <v>0</v>
      </c>
      <c r="BT84" s="259">
        <f t="shared" si="179"/>
        <v>0</v>
      </c>
      <c r="BU84" s="275">
        <f t="shared" si="135"/>
        <v>0</v>
      </c>
      <c r="BV84" s="274">
        <f t="shared" si="136"/>
        <v>0</v>
      </c>
      <c r="BW84" s="274">
        <f t="shared" si="137"/>
        <v>0</v>
      </c>
      <c r="BX84" s="276">
        <f t="shared" si="162"/>
        <v>0</v>
      </c>
      <c r="BY84" s="275">
        <v>0</v>
      </c>
      <c r="BZ84" s="274">
        <f t="shared" si="163"/>
        <v>0</v>
      </c>
      <c r="CA84" s="276">
        <f t="shared" si="180"/>
        <v>0</v>
      </c>
      <c r="CB84" s="275">
        <f t="shared" si="164"/>
        <v>0</v>
      </c>
      <c r="CC84" s="274">
        <f t="shared" si="165"/>
        <v>0</v>
      </c>
      <c r="CD84" s="276">
        <f t="shared" si="181"/>
        <v>0</v>
      </c>
      <c r="CE84" s="58">
        <f t="shared" si="166"/>
        <v>2.5387304191640172E-2</v>
      </c>
      <c r="CF84" s="49">
        <f t="shared" si="138"/>
        <v>7.3499999999999996E-2</v>
      </c>
      <c r="CG84" s="61">
        <f t="shared" si="182"/>
        <v>3.2340000000000001E-2</v>
      </c>
      <c r="CH84" s="49">
        <f t="shared" si="183"/>
        <v>6.6808695241158348E-3</v>
      </c>
      <c r="CI84" s="49">
        <f t="shared" si="184"/>
        <v>3.7460921111945527</v>
      </c>
      <c r="CJ84" s="49">
        <f t="shared" si="167"/>
        <v>73.266562490799387</v>
      </c>
      <c r="CN84" s="49">
        <f t="shared" si="168"/>
        <v>1.1409066666666665</v>
      </c>
      <c r="CO84" s="49">
        <f t="shared" si="169"/>
        <v>0</v>
      </c>
      <c r="CP84" s="49">
        <f t="shared" si="170"/>
        <v>0</v>
      </c>
      <c r="CQ84" s="49" t="str">
        <f t="shared" si="139"/>
        <v/>
      </c>
    </row>
    <row r="85" spans="12:95" x14ac:dyDescent="0.45">
      <c r="L85" s="49">
        <f t="shared" si="171"/>
        <v>52</v>
      </c>
      <c r="Q85" s="49">
        <v>78</v>
      </c>
      <c r="R85" s="278">
        <f t="shared" si="115"/>
        <v>10.4</v>
      </c>
      <c r="S85" s="201">
        <f t="shared" si="116"/>
        <v>42</v>
      </c>
      <c r="T85" s="206">
        <f t="shared" si="117"/>
        <v>0.24761904761904763</v>
      </c>
      <c r="U85" s="205">
        <f t="shared" si="118"/>
        <v>2</v>
      </c>
      <c r="V85" s="201">
        <f t="shared" si="119"/>
        <v>0.45955882352941174</v>
      </c>
      <c r="W85" s="201">
        <f t="shared" si="120"/>
        <v>0.54044117647058831</v>
      </c>
      <c r="X85" s="201">
        <f t="shared" si="140"/>
        <v>0</v>
      </c>
      <c r="Y85" s="205">
        <f t="shared" si="141"/>
        <v>0.53881904761904764</v>
      </c>
      <c r="Z85" s="201">
        <f t="shared" si="121"/>
        <v>0.30637254901960786</v>
      </c>
      <c r="AA85" s="201">
        <f t="shared" si="142"/>
        <v>0.69200532212885157</v>
      </c>
      <c r="AB85" s="206">
        <f t="shared" si="122"/>
        <v>0.37015744466829892</v>
      </c>
      <c r="AC85" s="205">
        <v>0</v>
      </c>
      <c r="AD85" s="201">
        <f t="shared" si="123"/>
        <v>6.8508266921682385E-3</v>
      </c>
      <c r="AE85" s="206">
        <f t="shared" si="143"/>
        <v>6.8508266921682385E-3</v>
      </c>
      <c r="AF85" s="58">
        <f t="shared" si="124"/>
        <v>0.20800000000000002</v>
      </c>
      <c r="AG85" s="61">
        <f t="shared" si="125"/>
        <v>0.20800000000000002</v>
      </c>
      <c r="AH85" s="58">
        <f t="shared" si="126"/>
        <v>1.8223199001167513E-2</v>
      </c>
      <c r="AI85" s="49">
        <f t="shared" si="127"/>
        <v>2.0226085928287785</v>
      </c>
      <c r="AJ85" s="61">
        <f t="shared" si="144"/>
        <v>2.0408317918299459</v>
      </c>
      <c r="AK85" s="269">
        <f t="shared" si="128"/>
        <v>10.4</v>
      </c>
      <c r="AL85" s="268">
        <f t="shared" si="129"/>
        <v>5</v>
      </c>
      <c r="AM85" s="270">
        <f t="shared" si="145"/>
        <v>2.08</v>
      </c>
      <c r="AN85" s="269">
        <f t="shared" si="146"/>
        <v>2</v>
      </c>
      <c r="AO85" s="268">
        <f t="shared" si="147"/>
        <v>0.54044117647058831</v>
      </c>
      <c r="AP85" s="268">
        <f t="shared" si="148"/>
        <v>3.8487074829931971</v>
      </c>
      <c r="AQ85" s="268">
        <f t="shared" si="149"/>
        <v>2.1883753501400562</v>
      </c>
      <c r="AR85" s="268">
        <f t="shared" si="172"/>
        <v>4.9428951580632248</v>
      </c>
      <c r="AS85" s="270">
        <f t="shared" si="173"/>
        <v>2.86722723735003</v>
      </c>
      <c r="AT85" s="269"/>
      <c r="AU85" s="268">
        <f t="shared" si="150"/>
        <v>4.3264000000000004E-2</v>
      </c>
      <c r="AV85" s="270">
        <f t="shared" si="174"/>
        <v>4.3264000000000004E-2</v>
      </c>
      <c r="AW85" s="269">
        <f t="shared" si="151"/>
        <v>0.11424000000000001</v>
      </c>
      <c r="AX85" s="268">
        <f t="shared" si="152"/>
        <v>1.04</v>
      </c>
      <c r="AY85" s="270">
        <f t="shared" si="175"/>
        <v>1.1542400000000002</v>
      </c>
      <c r="AZ85" s="263">
        <f t="shared" si="130"/>
        <v>0</v>
      </c>
      <c r="BA85" s="262">
        <f t="shared" si="131"/>
        <v>0</v>
      </c>
      <c r="BB85" s="262">
        <f t="shared" si="176"/>
        <v>0</v>
      </c>
      <c r="BC85" s="264" t="e">
        <f t="shared" si="153"/>
        <v>#DIV/0!</v>
      </c>
      <c r="BD85" s="263">
        <v>0</v>
      </c>
      <c r="BE85" s="262">
        <f t="shared" si="154"/>
        <v>0</v>
      </c>
      <c r="BF85" s="264">
        <f t="shared" si="177"/>
        <v>0</v>
      </c>
      <c r="BG85" s="263">
        <f t="shared" si="155"/>
        <v>0</v>
      </c>
      <c r="BH85" s="262">
        <f t="shared" si="156"/>
        <v>0</v>
      </c>
      <c r="BI85" s="264">
        <f t="shared" si="157"/>
        <v>0</v>
      </c>
      <c r="BK85" s="258">
        <f t="shared" si="132"/>
        <v>0</v>
      </c>
      <c r="BL85" s="257">
        <f t="shared" si="133"/>
        <v>0</v>
      </c>
      <c r="BM85" s="257">
        <f t="shared" si="134"/>
        <v>0</v>
      </c>
      <c r="BN85" s="259">
        <f t="shared" si="158"/>
        <v>0</v>
      </c>
      <c r="BO85" s="258">
        <v>0</v>
      </c>
      <c r="BP85" s="257">
        <f t="shared" si="159"/>
        <v>0</v>
      </c>
      <c r="BQ85" s="259">
        <f t="shared" si="178"/>
        <v>0</v>
      </c>
      <c r="BR85" s="258">
        <f t="shared" si="160"/>
        <v>0</v>
      </c>
      <c r="BS85" s="257">
        <f t="shared" si="161"/>
        <v>0</v>
      </c>
      <c r="BT85" s="259">
        <f t="shared" si="179"/>
        <v>0</v>
      </c>
      <c r="BU85" s="275">
        <f t="shared" si="135"/>
        <v>0</v>
      </c>
      <c r="BV85" s="274">
        <f t="shared" si="136"/>
        <v>0</v>
      </c>
      <c r="BW85" s="274">
        <f t="shared" si="137"/>
        <v>0</v>
      </c>
      <c r="BX85" s="276">
        <f t="shared" si="162"/>
        <v>0</v>
      </c>
      <c r="BY85" s="275">
        <v>0</v>
      </c>
      <c r="BZ85" s="274">
        <f t="shared" si="163"/>
        <v>0</v>
      </c>
      <c r="CA85" s="276">
        <f t="shared" si="180"/>
        <v>0</v>
      </c>
      <c r="CB85" s="275">
        <f t="shared" si="164"/>
        <v>0</v>
      </c>
      <c r="CC85" s="274">
        <f t="shared" si="165"/>
        <v>0</v>
      </c>
      <c r="CD85" s="276">
        <f t="shared" si="181"/>
        <v>0</v>
      </c>
      <c r="CE85" s="58">
        <f t="shared" si="166"/>
        <v>2.6033141430239305E-2</v>
      </c>
      <c r="CF85" s="49">
        <f t="shared" si="138"/>
        <v>7.3499999999999996E-2</v>
      </c>
      <c r="CG85" s="61">
        <f t="shared" si="182"/>
        <v>3.2340000000000001E-2</v>
      </c>
      <c r="CH85" s="49">
        <f t="shared" si="183"/>
        <v>6.8508266921682385E-3</v>
      </c>
      <c r="CI85" s="49">
        <f t="shared" si="184"/>
        <v>3.7930597599523539</v>
      </c>
      <c r="CJ85" s="49">
        <f t="shared" si="167"/>
        <v>73.275249846724464</v>
      </c>
      <c r="CN85" s="49">
        <f t="shared" si="168"/>
        <v>1.1542400000000002</v>
      </c>
      <c r="CO85" s="49">
        <f t="shared" si="169"/>
        <v>0</v>
      </c>
      <c r="CP85" s="49">
        <f t="shared" si="170"/>
        <v>0</v>
      </c>
      <c r="CQ85" s="49" t="str">
        <f t="shared" si="139"/>
        <v/>
      </c>
    </row>
    <row r="86" spans="12:95" x14ac:dyDescent="0.45">
      <c r="L86" s="49">
        <f t="shared" si="171"/>
        <v>52.666666666666664</v>
      </c>
      <c r="Q86" s="49">
        <v>79</v>
      </c>
      <c r="R86" s="278">
        <f t="shared" si="115"/>
        <v>10.533333333333333</v>
      </c>
      <c r="S86" s="201">
        <f t="shared" si="116"/>
        <v>42</v>
      </c>
      <c r="T86" s="206">
        <f t="shared" si="117"/>
        <v>0.25079365079365079</v>
      </c>
      <c r="U86" s="205">
        <f t="shared" si="118"/>
        <v>2</v>
      </c>
      <c r="V86" s="201">
        <f t="shared" si="119"/>
        <v>0.45955882352941174</v>
      </c>
      <c r="W86" s="201">
        <f t="shared" si="120"/>
        <v>0.54044117647058831</v>
      </c>
      <c r="X86" s="201">
        <f t="shared" si="140"/>
        <v>0</v>
      </c>
      <c r="Y86" s="205">
        <f t="shared" si="141"/>
        <v>0.54572698412698417</v>
      </c>
      <c r="Z86" s="201">
        <f t="shared" si="121"/>
        <v>0.30637254901960786</v>
      </c>
      <c r="AA86" s="201">
        <f t="shared" si="142"/>
        <v>0.6989132586367881</v>
      </c>
      <c r="AB86" s="206">
        <f t="shared" si="122"/>
        <v>0.37477931789087437</v>
      </c>
      <c r="AC86" s="205">
        <v>0</v>
      </c>
      <c r="AD86" s="201">
        <f t="shared" si="123"/>
        <v>7.0229768559374531E-3</v>
      </c>
      <c r="AE86" s="206">
        <f t="shared" si="143"/>
        <v>7.0229768559374531E-3</v>
      </c>
      <c r="AF86" s="58">
        <f t="shared" si="124"/>
        <v>0.21066666666666667</v>
      </c>
      <c r="AG86" s="61">
        <f t="shared" si="125"/>
        <v>0.21066666666666667</v>
      </c>
      <c r="AH86" s="58">
        <f t="shared" si="126"/>
        <v>1.8681118436793626E-2</v>
      </c>
      <c r="AI86" s="49">
        <f t="shared" si="127"/>
        <v>2.0485394722240193</v>
      </c>
      <c r="AJ86" s="61">
        <f t="shared" si="144"/>
        <v>2.067220590660813</v>
      </c>
      <c r="AK86" s="269">
        <f t="shared" si="128"/>
        <v>10.533333333333333</v>
      </c>
      <c r="AL86" s="268">
        <f t="shared" si="129"/>
        <v>5</v>
      </c>
      <c r="AM86" s="270">
        <f t="shared" si="145"/>
        <v>2.1066666666666665</v>
      </c>
      <c r="AN86" s="269">
        <f t="shared" si="146"/>
        <v>2</v>
      </c>
      <c r="AO86" s="268">
        <f t="shared" si="147"/>
        <v>0.5404411764705882</v>
      </c>
      <c r="AP86" s="268">
        <f t="shared" si="148"/>
        <v>3.8980498866213149</v>
      </c>
      <c r="AQ86" s="268">
        <f t="shared" si="149"/>
        <v>2.1883753501400558</v>
      </c>
      <c r="AR86" s="268">
        <f t="shared" si="172"/>
        <v>4.9922375616913426</v>
      </c>
      <c r="AS86" s="270">
        <f t="shared" si="173"/>
        <v>2.9030281133886633</v>
      </c>
      <c r="AT86" s="269"/>
      <c r="AU86" s="268">
        <f t="shared" si="150"/>
        <v>4.4380444444444438E-2</v>
      </c>
      <c r="AV86" s="270">
        <f t="shared" si="174"/>
        <v>4.4380444444444438E-2</v>
      </c>
      <c r="AW86" s="269">
        <f t="shared" si="151"/>
        <v>0.11424000000000001</v>
      </c>
      <c r="AX86" s="268">
        <f t="shared" si="152"/>
        <v>1.0533333333333332</v>
      </c>
      <c r="AY86" s="270">
        <f t="shared" si="175"/>
        <v>1.1675733333333334</v>
      </c>
      <c r="AZ86" s="263">
        <f t="shared" si="130"/>
        <v>0</v>
      </c>
      <c r="BA86" s="262">
        <f t="shared" si="131"/>
        <v>0</v>
      </c>
      <c r="BB86" s="262">
        <f t="shared" si="176"/>
        <v>0</v>
      </c>
      <c r="BC86" s="264" t="e">
        <f t="shared" si="153"/>
        <v>#DIV/0!</v>
      </c>
      <c r="BD86" s="263">
        <v>0</v>
      </c>
      <c r="BE86" s="262">
        <f t="shared" si="154"/>
        <v>0</v>
      </c>
      <c r="BF86" s="264">
        <f t="shared" si="177"/>
        <v>0</v>
      </c>
      <c r="BG86" s="263">
        <f t="shared" si="155"/>
        <v>0</v>
      </c>
      <c r="BH86" s="262">
        <f t="shared" si="156"/>
        <v>0</v>
      </c>
      <c r="BI86" s="264">
        <f t="shared" si="157"/>
        <v>0</v>
      </c>
      <c r="BK86" s="258">
        <f t="shared" si="132"/>
        <v>0</v>
      </c>
      <c r="BL86" s="257">
        <f t="shared" si="133"/>
        <v>0</v>
      </c>
      <c r="BM86" s="257">
        <f t="shared" si="134"/>
        <v>0</v>
      </c>
      <c r="BN86" s="259">
        <f t="shared" si="158"/>
        <v>0</v>
      </c>
      <c r="BO86" s="258">
        <v>0</v>
      </c>
      <c r="BP86" s="257">
        <f t="shared" si="159"/>
        <v>0</v>
      </c>
      <c r="BQ86" s="259">
        <f t="shared" si="178"/>
        <v>0</v>
      </c>
      <c r="BR86" s="258">
        <f t="shared" si="160"/>
        <v>0</v>
      </c>
      <c r="BS86" s="257">
        <f t="shared" si="161"/>
        <v>0</v>
      </c>
      <c r="BT86" s="259">
        <f t="shared" si="179"/>
        <v>0</v>
      </c>
      <c r="BU86" s="275">
        <f t="shared" si="135"/>
        <v>0</v>
      </c>
      <c r="BV86" s="274">
        <f t="shared" si="136"/>
        <v>0</v>
      </c>
      <c r="BW86" s="274">
        <f t="shared" si="137"/>
        <v>0</v>
      </c>
      <c r="BX86" s="276">
        <f t="shared" si="162"/>
        <v>0</v>
      </c>
      <c r="BY86" s="275">
        <v>0</v>
      </c>
      <c r="BZ86" s="274">
        <f t="shared" si="163"/>
        <v>0</v>
      </c>
      <c r="CA86" s="276">
        <f t="shared" si="180"/>
        <v>0</v>
      </c>
      <c r="CB86" s="275">
        <f t="shared" si="164"/>
        <v>0</v>
      </c>
      <c r="CC86" s="274">
        <f t="shared" si="165"/>
        <v>0</v>
      </c>
      <c r="CD86" s="276">
        <f t="shared" si="181"/>
        <v>0</v>
      </c>
      <c r="CE86" s="58">
        <f t="shared" si="166"/>
        <v>2.668731205256232E-2</v>
      </c>
      <c r="CF86" s="49">
        <f t="shared" si="138"/>
        <v>7.3499999999999996E-2</v>
      </c>
      <c r="CG86" s="61">
        <f t="shared" si="182"/>
        <v>3.2340000000000001E-2</v>
      </c>
      <c r="CH86" s="49">
        <f t="shared" si="183"/>
        <v>7.0229768559374531E-3</v>
      </c>
      <c r="CI86" s="49">
        <f t="shared" si="184"/>
        <v>3.8400579906804237</v>
      </c>
      <c r="CJ86" s="49">
        <f t="shared" si="167"/>
        <v>73.283563328128395</v>
      </c>
      <c r="CN86" s="49">
        <f t="shared" si="168"/>
        <v>1.1675733333333334</v>
      </c>
      <c r="CO86" s="49">
        <f t="shared" si="169"/>
        <v>0</v>
      </c>
      <c r="CP86" s="49">
        <f t="shared" si="170"/>
        <v>0</v>
      </c>
      <c r="CQ86" s="49" t="str">
        <f t="shared" si="139"/>
        <v/>
      </c>
    </row>
    <row r="87" spans="12:95" x14ac:dyDescent="0.45">
      <c r="L87" s="49">
        <f t="shared" si="171"/>
        <v>53.333333333333336</v>
      </c>
      <c r="Q87" s="49">
        <v>80</v>
      </c>
      <c r="R87" s="278">
        <f t="shared" si="115"/>
        <v>10.666666666666666</v>
      </c>
      <c r="S87" s="201">
        <f t="shared" si="116"/>
        <v>42</v>
      </c>
      <c r="T87" s="206">
        <f t="shared" si="117"/>
        <v>0.25396825396825395</v>
      </c>
      <c r="U87" s="205">
        <f t="shared" si="118"/>
        <v>2</v>
      </c>
      <c r="V87" s="201">
        <f t="shared" si="119"/>
        <v>0.45955882352941174</v>
      </c>
      <c r="W87" s="201">
        <f t="shared" si="120"/>
        <v>0.54044117647058831</v>
      </c>
      <c r="X87" s="201">
        <f t="shared" si="140"/>
        <v>0</v>
      </c>
      <c r="Y87" s="205">
        <f t="shared" si="141"/>
        <v>0.55263492063492059</v>
      </c>
      <c r="Z87" s="201">
        <f t="shared" si="121"/>
        <v>0.30637254901960786</v>
      </c>
      <c r="AA87" s="201">
        <f t="shared" si="142"/>
        <v>0.70582119514472452</v>
      </c>
      <c r="AB87" s="206">
        <f t="shared" si="122"/>
        <v>0.37940268885245043</v>
      </c>
      <c r="AC87" s="205">
        <v>0</v>
      </c>
      <c r="AD87" s="201">
        <f t="shared" si="123"/>
        <v>7.1973200154234656E-3</v>
      </c>
      <c r="AE87" s="206">
        <f t="shared" si="143"/>
        <v>7.1973200154234656E-3</v>
      </c>
      <c r="AF87" s="58">
        <f t="shared" si="124"/>
        <v>0.21333333333333332</v>
      </c>
      <c r="AG87" s="61">
        <f t="shared" si="125"/>
        <v>0.21333333333333332</v>
      </c>
      <c r="AH87" s="58">
        <f t="shared" si="126"/>
        <v>1.9144871241026418E-2</v>
      </c>
      <c r="AI87" s="49">
        <f t="shared" si="127"/>
        <v>2.0744703516192597</v>
      </c>
      <c r="AJ87" s="61">
        <f t="shared" si="144"/>
        <v>2.093615222860286</v>
      </c>
      <c r="AK87" s="269">
        <f t="shared" si="128"/>
        <v>10.666666666666666</v>
      </c>
      <c r="AL87" s="268">
        <f t="shared" si="129"/>
        <v>5</v>
      </c>
      <c r="AM87" s="270">
        <f t="shared" si="145"/>
        <v>2.1333333333333333</v>
      </c>
      <c r="AN87" s="269">
        <f t="shared" si="146"/>
        <v>2</v>
      </c>
      <c r="AO87" s="268">
        <f t="shared" si="147"/>
        <v>0.54044117647058831</v>
      </c>
      <c r="AP87" s="268">
        <f t="shared" si="148"/>
        <v>3.9473922902494323</v>
      </c>
      <c r="AQ87" s="268">
        <f t="shared" si="149"/>
        <v>2.1883753501400562</v>
      </c>
      <c r="AR87" s="268">
        <f t="shared" si="172"/>
        <v>5.0415799653194604</v>
      </c>
      <c r="AS87" s="270">
        <f t="shared" si="173"/>
        <v>2.9388405908637099</v>
      </c>
      <c r="AT87" s="269"/>
      <c r="AU87" s="268">
        <f t="shared" si="150"/>
        <v>4.5511111111111113E-2</v>
      </c>
      <c r="AV87" s="270">
        <f t="shared" si="174"/>
        <v>4.5511111111111113E-2</v>
      </c>
      <c r="AW87" s="269">
        <f t="shared" si="151"/>
        <v>0.11424000000000001</v>
      </c>
      <c r="AX87" s="268">
        <f t="shared" si="152"/>
        <v>1.0666666666666667</v>
      </c>
      <c r="AY87" s="270">
        <f t="shared" si="175"/>
        <v>1.1809066666666665</v>
      </c>
      <c r="AZ87" s="263">
        <f t="shared" si="130"/>
        <v>0</v>
      </c>
      <c r="BA87" s="262">
        <f t="shared" si="131"/>
        <v>0</v>
      </c>
      <c r="BB87" s="262">
        <f t="shared" si="176"/>
        <v>0</v>
      </c>
      <c r="BC87" s="264" t="e">
        <f t="shared" si="153"/>
        <v>#DIV/0!</v>
      </c>
      <c r="BD87" s="263">
        <v>0</v>
      </c>
      <c r="BE87" s="262">
        <f t="shared" si="154"/>
        <v>0</v>
      </c>
      <c r="BF87" s="264">
        <f t="shared" si="177"/>
        <v>0</v>
      </c>
      <c r="BG87" s="263">
        <f t="shared" si="155"/>
        <v>0</v>
      </c>
      <c r="BH87" s="262">
        <f t="shared" si="156"/>
        <v>0</v>
      </c>
      <c r="BI87" s="264">
        <f t="shared" si="157"/>
        <v>0</v>
      </c>
      <c r="BK87" s="258">
        <f t="shared" si="132"/>
        <v>0</v>
      </c>
      <c r="BL87" s="257">
        <f t="shared" si="133"/>
        <v>0</v>
      </c>
      <c r="BM87" s="257">
        <f t="shared" si="134"/>
        <v>0</v>
      </c>
      <c r="BN87" s="259">
        <f t="shared" si="158"/>
        <v>0</v>
      </c>
      <c r="BO87" s="258">
        <v>0</v>
      </c>
      <c r="BP87" s="257">
        <f t="shared" si="159"/>
        <v>0</v>
      </c>
      <c r="BQ87" s="259">
        <f t="shared" si="178"/>
        <v>0</v>
      </c>
      <c r="BR87" s="258">
        <f t="shared" si="160"/>
        <v>0</v>
      </c>
      <c r="BS87" s="257">
        <f t="shared" si="161"/>
        <v>0</v>
      </c>
      <c r="BT87" s="259">
        <f t="shared" si="179"/>
        <v>0</v>
      </c>
      <c r="BU87" s="275">
        <f t="shared" si="135"/>
        <v>0</v>
      </c>
      <c r="BV87" s="274">
        <f t="shared" si="136"/>
        <v>0</v>
      </c>
      <c r="BW87" s="274">
        <f t="shared" si="137"/>
        <v>0</v>
      </c>
      <c r="BX87" s="276">
        <f t="shared" si="162"/>
        <v>0</v>
      </c>
      <c r="BY87" s="275">
        <v>0</v>
      </c>
      <c r="BZ87" s="274">
        <f t="shared" si="163"/>
        <v>0</v>
      </c>
      <c r="CA87" s="276">
        <f t="shared" si="180"/>
        <v>0</v>
      </c>
      <c r="CB87" s="275">
        <f t="shared" si="164"/>
        <v>0</v>
      </c>
      <c r="CC87" s="274">
        <f t="shared" si="165"/>
        <v>0</v>
      </c>
      <c r="CD87" s="276">
        <f t="shared" si="181"/>
        <v>0</v>
      </c>
      <c r="CE87" s="58">
        <f t="shared" si="166"/>
        <v>2.7349816058609169E-2</v>
      </c>
      <c r="CF87" s="49">
        <f t="shared" si="138"/>
        <v>7.3499999999999996E-2</v>
      </c>
      <c r="CG87" s="61">
        <f t="shared" si="182"/>
        <v>3.2340000000000001E-2</v>
      </c>
      <c r="CH87" s="49">
        <f t="shared" si="183"/>
        <v>7.1973200154234656E-3</v>
      </c>
      <c r="CI87" s="49">
        <f t="shared" si="184"/>
        <v>3.8870868033787631</v>
      </c>
      <c r="CJ87" s="49">
        <f t="shared" si="167"/>
        <v>73.291516780333168</v>
      </c>
      <c r="CN87" s="49">
        <f t="shared" si="168"/>
        <v>1.1809066666666665</v>
      </c>
      <c r="CO87" s="49">
        <f t="shared" si="169"/>
        <v>0</v>
      </c>
      <c r="CP87" s="49">
        <f t="shared" si="170"/>
        <v>0</v>
      </c>
      <c r="CQ87" s="49" t="str">
        <f t="shared" si="139"/>
        <v/>
      </c>
    </row>
    <row r="88" spans="12:95" x14ac:dyDescent="0.45">
      <c r="L88" s="49">
        <f t="shared" si="171"/>
        <v>54</v>
      </c>
      <c r="Q88" s="49">
        <v>81</v>
      </c>
      <c r="R88" s="278">
        <f t="shared" si="115"/>
        <v>10.8</v>
      </c>
      <c r="S88" s="201">
        <f t="shared" si="116"/>
        <v>42</v>
      </c>
      <c r="T88" s="206">
        <f t="shared" si="117"/>
        <v>0.25714285714285717</v>
      </c>
      <c r="U88" s="205">
        <f t="shared" si="118"/>
        <v>2</v>
      </c>
      <c r="V88" s="201">
        <f t="shared" si="119"/>
        <v>0.45955882352941174</v>
      </c>
      <c r="W88" s="201">
        <f t="shared" si="120"/>
        <v>0.54044117647058831</v>
      </c>
      <c r="X88" s="201">
        <f t="shared" si="140"/>
        <v>0</v>
      </c>
      <c r="Y88" s="205">
        <f t="shared" si="141"/>
        <v>0.55954285714285723</v>
      </c>
      <c r="Z88" s="201">
        <f t="shared" si="121"/>
        <v>0.30637254901960786</v>
      </c>
      <c r="AA88" s="201">
        <f t="shared" si="142"/>
        <v>0.71272913165266116</v>
      </c>
      <c r="AB88" s="206">
        <f t="shared" si="122"/>
        <v>0.38402750345844483</v>
      </c>
      <c r="AC88" s="205">
        <v>0</v>
      </c>
      <c r="AD88" s="201">
        <f t="shared" si="123"/>
        <v>7.3738561706262933E-3</v>
      </c>
      <c r="AE88" s="206">
        <f t="shared" si="143"/>
        <v>7.3738561706262933E-3</v>
      </c>
      <c r="AF88" s="58">
        <f t="shared" si="124"/>
        <v>0.21600000000000003</v>
      </c>
      <c r="AG88" s="61">
        <f t="shared" si="125"/>
        <v>0.21600000000000003</v>
      </c>
      <c r="AH88" s="58">
        <f t="shared" si="126"/>
        <v>1.961445741386594E-2</v>
      </c>
      <c r="AI88" s="49">
        <f t="shared" si="127"/>
        <v>2.100401231014501</v>
      </c>
      <c r="AJ88" s="61">
        <f t="shared" si="144"/>
        <v>2.1200156884283672</v>
      </c>
      <c r="AK88" s="269">
        <f t="shared" si="128"/>
        <v>10.8</v>
      </c>
      <c r="AL88" s="268">
        <f t="shared" si="129"/>
        <v>5</v>
      </c>
      <c r="AM88" s="270">
        <f t="shared" si="145"/>
        <v>2.16</v>
      </c>
      <c r="AN88" s="269">
        <f t="shared" si="146"/>
        <v>2</v>
      </c>
      <c r="AO88" s="268">
        <f t="shared" si="147"/>
        <v>0.5404411764705882</v>
      </c>
      <c r="AP88" s="268">
        <f t="shared" si="148"/>
        <v>3.9967346938775514</v>
      </c>
      <c r="AQ88" s="268">
        <f t="shared" si="149"/>
        <v>2.1883753501400558</v>
      </c>
      <c r="AR88" s="268">
        <f t="shared" si="172"/>
        <v>5.0909223689475791</v>
      </c>
      <c r="AS88" s="270">
        <f t="shared" si="173"/>
        <v>2.9746642507603354</v>
      </c>
      <c r="AT88" s="269"/>
      <c r="AU88" s="268">
        <f t="shared" si="150"/>
        <v>4.6656000000000003E-2</v>
      </c>
      <c r="AV88" s="270">
        <f t="shared" si="174"/>
        <v>4.6656000000000003E-2</v>
      </c>
      <c r="AW88" s="269">
        <f t="shared" si="151"/>
        <v>0.11424000000000001</v>
      </c>
      <c r="AX88" s="268">
        <f t="shared" si="152"/>
        <v>1.08</v>
      </c>
      <c r="AY88" s="270">
        <f t="shared" si="175"/>
        <v>1.1942400000000002</v>
      </c>
      <c r="AZ88" s="263">
        <f t="shared" si="130"/>
        <v>0</v>
      </c>
      <c r="BA88" s="262">
        <f t="shared" si="131"/>
        <v>0</v>
      </c>
      <c r="BB88" s="262">
        <f t="shared" si="176"/>
        <v>0</v>
      </c>
      <c r="BC88" s="264" t="e">
        <f t="shared" si="153"/>
        <v>#DIV/0!</v>
      </c>
      <c r="BD88" s="263">
        <v>0</v>
      </c>
      <c r="BE88" s="262">
        <f t="shared" si="154"/>
        <v>0</v>
      </c>
      <c r="BF88" s="264">
        <f t="shared" si="177"/>
        <v>0</v>
      </c>
      <c r="BG88" s="263">
        <f t="shared" si="155"/>
        <v>0</v>
      </c>
      <c r="BH88" s="262">
        <f t="shared" si="156"/>
        <v>0</v>
      </c>
      <c r="BI88" s="264">
        <f t="shared" si="157"/>
        <v>0</v>
      </c>
      <c r="BK88" s="258">
        <f t="shared" si="132"/>
        <v>0</v>
      </c>
      <c r="BL88" s="257">
        <f t="shared" si="133"/>
        <v>0</v>
      </c>
      <c r="BM88" s="257">
        <f t="shared" si="134"/>
        <v>0</v>
      </c>
      <c r="BN88" s="259">
        <f t="shared" si="158"/>
        <v>0</v>
      </c>
      <c r="BO88" s="258">
        <v>0</v>
      </c>
      <c r="BP88" s="257">
        <f t="shared" si="159"/>
        <v>0</v>
      </c>
      <c r="BQ88" s="259">
        <f t="shared" si="178"/>
        <v>0</v>
      </c>
      <c r="BR88" s="258">
        <f t="shared" si="160"/>
        <v>0</v>
      </c>
      <c r="BS88" s="257">
        <f t="shared" si="161"/>
        <v>0</v>
      </c>
      <c r="BT88" s="259">
        <f t="shared" si="179"/>
        <v>0</v>
      </c>
      <c r="BU88" s="275">
        <f t="shared" si="135"/>
        <v>0</v>
      </c>
      <c r="BV88" s="274">
        <f t="shared" si="136"/>
        <v>0</v>
      </c>
      <c r="BW88" s="274">
        <f t="shared" si="137"/>
        <v>0</v>
      </c>
      <c r="BX88" s="276">
        <f t="shared" si="162"/>
        <v>0</v>
      </c>
      <c r="BY88" s="275">
        <v>0</v>
      </c>
      <c r="BZ88" s="274">
        <f t="shared" si="163"/>
        <v>0</v>
      </c>
      <c r="CA88" s="276">
        <f t="shared" si="180"/>
        <v>0</v>
      </c>
      <c r="CB88" s="275">
        <f t="shared" si="164"/>
        <v>0</v>
      </c>
      <c r="CC88" s="274">
        <f t="shared" si="165"/>
        <v>0</v>
      </c>
      <c r="CD88" s="276">
        <f t="shared" si="181"/>
        <v>0</v>
      </c>
      <c r="CE88" s="58">
        <f t="shared" si="166"/>
        <v>2.8020653448379913E-2</v>
      </c>
      <c r="CF88" s="49">
        <f t="shared" si="138"/>
        <v>7.3499999999999996E-2</v>
      </c>
      <c r="CG88" s="61">
        <f t="shared" si="182"/>
        <v>3.2340000000000001E-2</v>
      </c>
      <c r="CH88" s="49">
        <f t="shared" si="183"/>
        <v>7.3738561706262933E-3</v>
      </c>
      <c r="CI88" s="49">
        <f t="shared" si="184"/>
        <v>3.9341461980473742</v>
      </c>
      <c r="CJ88" s="49">
        <f t="shared" si="167"/>
        <v>73.299123375274078</v>
      </c>
      <c r="CN88" s="49">
        <f t="shared" si="168"/>
        <v>1.1942400000000002</v>
      </c>
      <c r="CO88" s="49">
        <f t="shared" si="169"/>
        <v>0</v>
      </c>
      <c r="CP88" s="49">
        <f t="shared" si="170"/>
        <v>0</v>
      </c>
      <c r="CQ88" s="49" t="str">
        <f t="shared" si="139"/>
        <v/>
      </c>
    </row>
    <row r="89" spans="12:95" x14ac:dyDescent="0.45">
      <c r="L89" s="49">
        <f t="shared" si="171"/>
        <v>54.666666666666664</v>
      </c>
      <c r="Q89" s="49">
        <v>82</v>
      </c>
      <c r="R89" s="278">
        <f t="shared" si="115"/>
        <v>10.933333333333334</v>
      </c>
      <c r="S89" s="201">
        <f t="shared" si="116"/>
        <v>42</v>
      </c>
      <c r="T89" s="206">
        <f t="shared" si="117"/>
        <v>0.26031746031746034</v>
      </c>
      <c r="U89" s="205">
        <f t="shared" si="118"/>
        <v>2</v>
      </c>
      <c r="V89" s="201">
        <f t="shared" si="119"/>
        <v>0.45955882352941174</v>
      </c>
      <c r="W89" s="201">
        <f t="shared" si="120"/>
        <v>0.54044117647058831</v>
      </c>
      <c r="X89" s="201">
        <f t="shared" si="140"/>
        <v>0</v>
      </c>
      <c r="Y89" s="205">
        <f t="shared" si="141"/>
        <v>0.56645079365079365</v>
      </c>
      <c r="Z89" s="201">
        <f t="shared" si="121"/>
        <v>0.30637254901960786</v>
      </c>
      <c r="AA89" s="201">
        <f t="shared" si="142"/>
        <v>0.71963706816059758</v>
      </c>
      <c r="AB89" s="206">
        <f t="shared" si="122"/>
        <v>0.38865371017258837</v>
      </c>
      <c r="AC89" s="205">
        <v>0</v>
      </c>
      <c r="AD89" s="201">
        <f t="shared" si="123"/>
        <v>7.5525853215459172E-3</v>
      </c>
      <c r="AE89" s="206">
        <f t="shared" si="143"/>
        <v>7.5525853215459172E-3</v>
      </c>
      <c r="AF89" s="58">
        <f t="shared" si="124"/>
        <v>0.21866666666666668</v>
      </c>
      <c r="AG89" s="61">
        <f t="shared" si="125"/>
        <v>0.21866666666666668</v>
      </c>
      <c r="AH89" s="58">
        <f t="shared" si="126"/>
        <v>2.0089876955312141E-2</v>
      </c>
      <c r="AI89" s="49">
        <f t="shared" si="127"/>
        <v>2.1263321104097415</v>
      </c>
      <c r="AJ89" s="61">
        <f t="shared" si="144"/>
        <v>2.1464219873650534</v>
      </c>
      <c r="AK89" s="269">
        <f t="shared" si="128"/>
        <v>10.933333333333334</v>
      </c>
      <c r="AL89" s="268">
        <f t="shared" si="129"/>
        <v>5</v>
      </c>
      <c r="AM89" s="270">
        <f t="shared" si="145"/>
        <v>2.1866666666666665</v>
      </c>
      <c r="AN89" s="269">
        <f t="shared" si="146"/>
        <v>2</v>
      </c>
      <c r="AO89" s="268">
        <f t="shared" si="147"/>
        <v>0.5404411764705882</v>
      </c>
      <c r="AP89" s="268">
        <f t="shared" si="148"/>
        <v>4.0460770975056688</v>
      </c>
      <c r="AQ89" s="268">
        <f t="shared" si="149"/>
        <v>2.1883753501400558</v>
      </c>
      <c r="AR89" s="268">
        <f t="shared" si="172"/>
        <v>5.1402647725756969</v>
      </c>
      <c r="AS89" s="270">
        <f t="shared" si="173"/>
        <v>3.0104986938803182</v>
      </c>
      <c r="AT89" s="269"/>
      <c r="AU89" s="268">
        <f t="shared" si="150"/>
        <v>4.7815111111111107E-2</v>
      </c>
      <c r="AV89" s="270">
        <f t="shared" si="174"/>
        <v>4.7815111111111107E-2</v>
      </c>
      <c r="AW89" s="269">
        <f t="shared" si="151"/>
        <v>0.11424000000000001</v>
      </c>
      <c r="AX89" s="268">
        <f t="shared" si="152"/>
        <v>1.0933333333333333</v>
      </c>
      <c r="AY89" s="270">
        <f t="shared" si="175"/>
        <v>1.2075733333333334</v>
      </c>
      <c r="AZ89" s="263">
        <f t="shared" si="130"/>
        <v>0</v>
      </c>
      <c r="BA89" s="262">
        <f t="shared" si="131"/>
        <v>0</v>
      </c>
      <c r="BB89" s="262">
        <f t="shared" si="176"/>
        <v>0</v>
      </c>
      <c r="BC89" s="264" t="e">
        <f t="shared" si="153"/>
        <v>#DIV/0!</v>
      </c>
      <c r="BD89" s="263">
        <v>0</v>
      </c>
      <c r="BE89" s="262">
        <f t="shared" si="154"/>
        <v>0</v>
      </c>
      <c r="BF89" s="264">
        <f t="shared" si="177"/>
        <v>0</v>
      </c>
      <c r="BG89" s="263">
        <f t="shared" si="155"/>
        <v>0</v>
      </c>
      <c r="BH89" s="262">
        <f t="shared" si="156"/>
        <v>0</v>
      </c>
      <c r="BI89" s="264">
        <f t="shared" si="157"/>
        <v>0</v>
      </c>
      <c r="BK89" s="258">
        <f t="shared" si="132"/>
        <v>0</v>
      </c>
      <c r="BL89" s="257">
        <f t="shared" si="133"/>
        <v>0</v>
      </c>
      <c r="BM89" s="257">
        <f t="shared" si="134"/>
        <v>0</v>
      </c>
      <c r="BN89" s="259">
        <f t="shared" si="158"/>
        <v>0</v>
      </c>
      <c r="BO89" s="258">
        <v>0</v>
      </c>
      <c r="BP89" s="257">
        <f t="shared" si="159"/>
        <v>0</v>
      </c>
      <c r="BQ89" s="259">
        <f t="shared" si="178"/>
        <v>0</v>
      </c>
      <c r="BR89" s="258">
        <f t="shared" si="160"/>
        <v>0</v>
      </c>
      <c r="BS89" s="257">
        <f t="shared" si="161"/>
        <v>0</v>
      </c>
      <c r="BT89" s="259">
        <f t="shared" si="179"/>
        <v>0</v>
      </c>
      <c r="BU89" s="275">
        <f t="shared" si="135"/>
        <v>0</v>
      </c>
      <c r="BV89" s="274">
        <f t="shared" si="136"/>
        <v>0</v>
      </c>
      <c r="BW89" s="274">
        <f t="shared" si="137"/>
        <v>0</v>
      </c>
      <c r="BX89" s="276">
        <f t="shared" si="162"/>
        <v>0</v>
      </c>
      <c r="BY89" s="275">
        <v>0</v>
      </c>
      <c r="BZ89" s="274">
        <f t="shared" si="163"/>
        <v>0</v>
      </c>
      <c r="CA89" s="276">
        <f t="shared" si="180"/>
        <v>0</v>
      </c>
      <c r="CB89" s="275">
        <f t="shared" si="164"/>
        <v>0</v>
      </c>
      <c r="CC89" s="274">
        <f t="shared" si="165"/>
        <v>0</v>
      </c>
      <c r="CD89" s="276">
        <f t="shared" si="181"/>
        <v>0</v>
      </c>
      <c r="CE89" s="58">
        <f t="shared" si="166"/>
        <v>2.8699824221874483E-2</v>
      </c>
      <c r="CF89" s="49">
        <f t="shared" si="138"/>
        <v>7.3499999999999996E-2</v>
      </c>
      <c r="CG89" s="61">
        <f t="shared" si="182"/>
        <v>3.2340000000000001E-2</v>
      </c>
      <c r="CH89" s="49">
        <f t="shared" si="183"/>
        <v>7.5525853215459172E-3</v>
      </c>
      <c r="CI89" s="49">
        <f t="shared" si="184"/>
        <v>3.9812361746862517</v>
      </c>
      <c r="CJ89" s="49">
        <f t="shared" si="167"/>
        <v>73.306395651946005</v>
      </c>
      <c r="CN89" s="49">
        <f t="shared" si="168"/>
        <v>1.2075733333333334</v>
      </c>
      <c r="CO89" s="49">
        <f t="shared" si="169"/>
        <v>0</v>
      </c>
      <c r="CP89" s="49">
        <f t="shared" si="170"/>
        <v>0</v>
      </c>
      <c r="CQ89" s="49" t="str">
        <f t="shared" si="139"/>
        <v/>
      </c>
    </row>
    <row r="90" spans="12:95" x14ac:dyDescent="0.45">
      <c r="L90" s="49">
        <f t="shared" si="171"/>
        <v>55.333333333333336</v>
      </c>
      <c r="Q90" s="49">
        <v>83</v>
      </c>
      <c r="R90" s="278">
        <f t="shared" si="115"/>
        <v>11.066666666666666</v>
      </c>
      <c r="S90" s="201">
        <f t="shared" si="116"/>
        <v>42</v>
      </c>
      <c r="T90" s="206">
        <f t="shared" si="117"/>
        <v>0.2634920634920635</v>
      </c>
      <c r="U90" s="205">
        <f t="shared" si="118"/>
        <v>2</v>
      </c>
      <c r="V90" s="201">
        <f t="shared" si="119"/>
        <v>0.45955882352941174</v>
      </c>
      <c r="W90" s="201">
        <f t="shared" si="120"/>
        <v>0.54044117647058831</v>
      </c>
      <c r="X90" s="201">
        <f t="shared" si="140"/>
        <v>0</v>
      </c>
      <c r="Y90" s="205">
        <f t="shared" si="141"/>
        <v>0.57335873015873018</v>
      </c>
      <c r="Z90" s="201">
        <f t="shared" si="121"/>
        <v>0.30637254901960786</v>
      </c>
      <c r="AA90" s="201">
        <f t="shared" si="142"/>
        <v>0.72654500466853411</v>
      </c>
      <c r="AB90" s="206">
        <f t="shared" si="122"/>
        <v>0.39328125986836315</v>
      </c>
      <c r="AC90" s="205">
        <v>0</v>
      </c>
      <c r="AD90" s="201">
        <f t="shared" si="123"/>
        <v>7.7335074681823494E-3</v>
      </c>
      <c r="AE90" s="206">
        <f t="shared" si="143"/>
        <v>7.7335074681823494E-3</v>
      </c>
      <c r="AF90" s="58">
        <f t="shared" si="124"/>
        <v>0.22133333333333333</v>
      </c>
      <c r="AG90" s="61">
        <f t="shared" si="125"/>
        <v>0.22133333333333333</v>
      </c>
      <c r="AH90" s="58">
        <f t="shared" si="126"/>
        <v>2.0571129865365051E-2</v>
      </c>
      <c r="AI90" s="49">
        <f t="shared" si="127"/>
        <v>2.1522629898049823</v>
      </c>
      <c r="AJ90" s="61">
        <f t="shared" si="144"/>
        <v>2.1728341196703473</v>
      </c>
      <c r="AK90" s="269">
        <f t="shared" si="128"/>
        <v>11.066666666666666</v>
      </c>
      <c r="AL90" s="268">
        <f t="shared" si="129"/>
        <v>5</v>
      </c>
      <c r="AM90" s="270">
        <f t="shared" si="145"/>
        <v>2.2133333333333334</v>
      </c>
      <c r="AN90" s="269">
        <f t="shared" si="146"/>
        <v>2</v>
      </c>
      <c r="AO90" s="268">
        <f t="shared" si="147"/>
        <v>0.54044117647058831</v>
      </c>
      <c r="AP90" s="268">
        <f t="shared" si="148"/>
        <v>4.0954195011337866</v>
      </c>
      <c r="AQ90" s="268">
        <f t="shared" si="149"/>
        <v>2.1883753501400562</v>
      </c>
      <c r="AR90" s="268">
        <f t="shared" si="172"/>
        <v>5.1896071762038147</v>
      </c>
      <c r="AS90" s="270">
        <f t="shared" si="173"/>
        <v>3.0463435396912835</v>
      </c>
      <c r="AT90" s="269"/>
      <c r="AU90" s="268">
        <f t="shared" si="150"/>
        <v>4.8988444444444446E-2</v>
      </c>
      <c r="AV90" s="270">
        <f t="shared" si="174"/>
        <v>4.8988444444444446E-2</v>
      </c>
      <c r="AW90" s="269">
        <f t="shared" si="151"/>
        <v>0.11424000000000001</v>
      </c>
      <c r="AX90" s="268">
        <f t="shared" si="152"/>
        <v>1.1066666666666667</v>
      </c>
      <c r="AY90" s="270">
        <f t="shared" si="175"/>
        <v>1.2209066666666666</v>
      </c>
      <c r="AZ90" s="263">
        <f t="shared" si="130"/>
        <v>0</v>
      </c>
      <c r="BA90" s="262">
        <f t="shared" si="131"/>
        <v>0</v>
      </c>
      <c r="BB90" s="262">
        <f t="shared" si="176"/>
        <v>0</v>
      </c>
      <c r="BC90" s="264" t="e">
        <f t="shared" si="153"/>
        <v>#DIV/0!</v>
      </c>
      <c r="BD90" s="263">
        <v>0</v>
      </c>
      <c r="BE90" s="262">
        <f t="shared" si="154"/>
        <v>0</v>
      </c>
      <c r="BF90" s="264">
        <f t="shared" si="177"/>
        <v>0</v>
      </c>
      <c r="BG90" s="263">
        <f t="shared" si="155"/>
        <v>0</v>
      </c>
      <c r="BH90" s="262">
        <f t="shared" si="156"/>
        <v>0</v>
      </c>
      <c r="BI90" s="264">
        <f t="shared" si="157"/>
        <v>0</v>
      </c>
      <c r="BK90" s="258">
        <f t="shared" si="132"/>
        <v>0</v>
      </c>
      <c r="BL90" s="257">
        <f t="shared" si="133"/>
        <v>0</v>
      </c>
      <c r="BM90" s="257">
        <f t="shared" si="134"/>
        <v>0</v>
      </c>
      <c r="BN90" s="259">
        <f t="shared" si="158"/>
        <v>0</v>
      </c>
      <c r="BO90" s="258">
        <v>0</v>
      </c>
      <c r="BP90" s="257">
        <f t="shared" si="159"/>
        <v>0</v>
      </c>
      <c r="BQ90" s="259">
        <f t="shared" si="178"/>
        <v>0</v>
      </c>
      <c r="BR90" s="258">
        <f t="shared" si="160"/>
        <v>0</v>
      </c>
      <c r="BS90" s="257">
        <f t="shared" si="161"/>
        <v>0</v>
      </c>
      <c r="BT90" s="259">
        <f t="shared" si="179"/>
        <v>0</v>
      </c>
      <c r="BU90" s="275">
        <f t="shared" si="135"/>
        <v>0</v>
      </c>
      <c r="BV90" s="274">
        <f t="shared" si="136"/>
        <v>0</v>
      </c>
      <c r="BW90" s="274">
        <f t="shared" si="137"/>
        <v>0</v>
      </c>
      <c r="BX90" s="276">
        <f t="shared" si="162"/>
        <v>0</v>
      </c>
      <c r="BY90" s="275">
        <v>0</v>
      </c>
      <c r="BZ90" s="274">
        <f t="shared" si="163"/>
        <v>0</v>
      </c>
      <c r="CA90" s="276">
        <f t="shared" si="180"/>
        <v>0</v>
      </c>
      <c r="CB90" s="275">
        <f t="shared" si="164"/>
        <v>0</v>
      </c>
      <c r="CC90" s="274">
        <f t="shared" si="165"/>
        <v>0</v>
      </c>
      <c r="CD90" s="276">
        <f t="shared" si="181"/>
        <v>0</v>
      </c>
      <c r="CE90" s="58">
        <f t="shared" si="166"/>
        <v>2.9387328379092928E-2</v>
      </c>
      <c r="CF90" s="49">
        <f t="shared" si="138"/>
        <v>7.3499999999999996E-2</v>
      </c>
      <c r="CG90" s="61">
        <f t="shared" si="182"/>
        <v>3.2340000000000001E-2</v>
      </c>
      <c r="CH90" s="49">
        <f t="shared" si="183"/>
        <v>7.7335074681823494E-3</v>
      </c>
      <c r="CI90" s="49">
        <f t="shared" si="184"/>
        <v>4.0283567332954</v>
      </c>
      <c r="CJ90" s="49">
        <f t="shared" si="167"/>
        <v>73.313345553968972</v>
      </c>
      <c r="CN90" s="49">
        <f t="shared" si="168"/>
        <v>1.2209066666666666</v>
      </c>
      <c r="CO90" s="49">
        <f t="shared" si="169"/>
        <v>0</v>
      </c>
      <c r="CP90" s="49">
        <f t="shared" si="170"/>
        <v>0</v>
      </c>
      <c r="CQ90" s="49" t="str">
        <f t="shared" si="139"/>
        <v/>
      </c>
    </row>
    <row r="91" spans="12:95" x14ac:dyDescent="0.45">
      <c r="L91" s="49">
        <f t="shared" si="171"/>
        <v>55.999999999999993</v>
      </c>
      <c r="Q91" s="49">
        <v>84</v>
      </c>
      <c r="R91" s="278">
        <f t="shared" si="115"/>
        <v>11.2</v>
      </c>
      <c r="S91" s="201">
        <f t="shared" si="116"/>
        <v>42</v>
      </c>
      <c r="T91" s="206">
        <f t="shared" si="117"/>
        <v>0.26666666666666666</v>
      </c>
      <c r="U91" s="205">
        <f t="shared" si="118"/>
        <v>2</v>
      </c>
      <c r="V91" s="201">
        <f t="shared" si="119"/>
        <v>0.45955882352941174</v>
      </c>
      <c r="W91" s="201">
        <f t="shared" si="120"/>
        <v>0.54044117647058831</v>
      </c>
      <c r="X91" s="201">
        <f t="shared" si="140"/>
        <v>0</v>
      </c>
      <c r="Y91" s="205">
        <f t="shared" si="141"/>
        <v>0.5802666666666666</v>
      </c>
      <c r="Z91" s="201">
        <f t="shared" si="121"/>
        <v>0.30637254901960786</v>
      </c>
      <c r="AA91" s="201">
        <f t="shared" si="142"/>
        <v>0.73345294117647053</v>
      </c>
      <c r="AB91" s="206">
        <f t="shared" si="122"/>
        <v>0.39791010569060908</v>
      </c>
      <c r="AC91" s="205">
        <v>0</v>
      </c>
      <c r="AD91" s="201">
        <f t="shared" si="123"/>
        <v>7.9166226105355838E-3</v>
      </c>
      <c r="AE91" s="206">
        <f t="shared" si="143"/>
        <v>7.9166226105355838E-3</v>
      </c>
      <c r="AF91" s="58">
        <f t="shared" si="124"/>
        <v>0.22399999999999998</v>
      </c>
      <c r="AG91" s="61">
        <f t="shared" si="125"/>
        <v>0.22399999999999998</v>
      </c>
      <c r="AH91" s="58">
        <f t="shared" si="126"/>
        <v>2.1058216144024654E-2</v>
      </c>
      <c r="AI91" s="49">
        <f t="shared" si="127"/>
        <v>2.1781938692002227</v>
      </c>
      <c r="AJ91" s="61">
        <f t="shared" si="144"/>
        <v>2.1992520853442472</v>
      </c>
      <c r="AK91" s="269">
        <f t="shared" si="128"/>
        <v>11.2</v>
      </c>
      <c r="AL91" s="268">
        <f t="shared" si="129"/>
        <v>5</v>
      </c>
      <c r="AM91" s="270">
        <f t="shared" si="145"/>
        <v>2.2399999999999998</v>
      </c>
      <c r="AN91" s="269">
        <f t="shared" si="146"/>
        <v>2</v>
      </c>
      <c r="AO91" s="268">
        <f t="shared" si="147"/>
        <v>0.54044117647058831</v>
      </c>
      <c r="AP91" s="268">
        <f t="shared" si="148"/>
        <v>4.1447619047619035</v>
      </c>
      <c r="AQ91" s="268">
        <f t="shared" si="149"/>
        <v>2.1883753501400562</v>
      </c>
      <c r="AR91" s="268">
        <f t="shared" si="172"/>
        <v>5.2389495798319317</v>
      </c>
      <c r="AS91" s="270">
        <f t="shared" si="173"/>
        <v>3.0821984252547239</v>
      </c>
      <c r="AT91" s="269"/>
      <c r="AU91" s="268">
        <f t="shared" si="150"/>
        <v>5.0175999999999991E-2</v>
      </c>
      <c r="AV91" s="270">
        <f t="shared" si="174"/>
        <v>5.0175999999999991E-2</v>
      </c>
      <c r="AW91" s="269">
        <f t="shared" si="151"/>
        <v>0.11424000000000001</v>
      </c>
      <c r="AX91" s="268">
        <f t="shared" si="152"/>
        <v>1.1199999999999999</v>
      </c>
      <c r="AY91" s="270">
        <f t="shared" si="175"/>
        <v>1.2342399999999998</v>
      </c>
      <c r="AZ91" s="263">
        <f t="shared" si="130"/>
        <v>0</v>
      </c>
      <c r="BA91" s="262">
        <f t="shared" si="131"/>
        <v>0</v>
      </c>
      <c r="BB91" s="262">
        <f t="shared" si="176"/>
        <v>0</v>
      </c>
      <c r="BC91" s="264" t="e">
        <f t="shared" si="153"/>
        <v>#DIV/0!</v>
      </c>
      <c r="BD91" s="263">
        <v>0</v>
      </c>
      <c r="BE91" s="262">
        <f t="shared" si="154"/>
        <v>0</v>
      </c>
      <c r="BF91" s="264">
        <f t="shared" si="177"/>
        <v>0</v>
      </c>
      <c r="BG91" s="263">
        <f t="shared" si="155"/>
        <v>0</v>
      </c>
      <c r="BH91" s="262">
        <f t="shared" si="156"/>
        <v>0</v>
      </c>
      <c r="BI91" s="264">
        <f t="shared" si="157"/>
        <v>0</v>
      </c>
      <c r="BK91" s="258">
        <f t="shared" si="132"/>
        <v>0</v>
      </c>
      <c r="BL91" s="257">
        <f t="shared" si="133"/>
        <v>0</v>
      </c>
      <c r="BM91" s="257">
        <f t="shared" si="134"/>
        <v>0</v>
      </c>
      <c r="BN91" s="259">
        <f t="shared" si="158"/>
        <v>0</v>
      </c>
      <c r="BO91" s="258">
        <v>0</v>
      </c>
      <c r="BP91" s="257">
        <f t="shared" si="159"/>
        <v>0</v>
      </c>
      <c r="BQ91" s="259">
        <f t="shared" si="178"/>
        <v>0</v>
      </c>
      <c r="BR91" s="258">
        <f t="shared" si="160"/>
        <v>0</v>
      </c>
      <c r="BS91" s="257">
        <f t="shared" si="161"/>
        <v>0</v>
      </c>
      <c r="BT91" s="259">
        <f t="shared" si="179"/>
        <v>0</v>
      </c>
      <c r="BU91" s="275">
        <f t="shared" si="135"/>
        <v>0</v>
      </c>
      <c r="BV91" s="274">
        <f t="shared" si="136"/>
        <v>0</v>
      </c>
      <c r="BW91" s="274">
        <f t="shared" si="137"/>
        <v>0</v>
      </c>
      <c r="BX91" s="276">
        <f t="shared" si="162"/>
        <v>0</v>
      </c>
      <c r="BY91" s="275">
        <v>0</v>
      </c>
      <c r="BZ91" s="274">
        <f t="shared" si="163"/>
        <v>0</v>
      </c>
      <c r="CA91" s="276">
        <f t="shared" si="180"/>
        <v>0</v>
      </c>
      <c r="CB91" s="275">
        <f t="shared" si="164"/>
        <v>0</v>
      </c>
      <c r="CC91" s="274">
        <f t="shared" si="165"/>
        <v>0</v>
      </c>
      <c r="CD91" s="276">
        <f t="shared" si="181"/>
        <v>0</v>
      </c>
      <c r="CE91" s="58">
        <f t="shared" si="166"/>
        <v>3.008316592003522E-2</v>
      </c>
      <c r="CF91" s="49">
        <f t="shared" si="138"/>
        <v>7.3499999999999996E-2</v>
      </c>
      <c r="CG91" s="61">
        <f t="shared" si="182"/>
        <v>3.2340000000000001E-2</v>
      </c>
      <c r="CH91" s="49">
        <f t="shared" si="183"/>
        <v>7.9166226105355838E-3</v>
      </c>
      <c r="CI91" s="49">
        <f t="shared" si="184"/>
        <v>4.0755078738748178</v>
      </c>
      <c r="CJ91" s="49">
        <f t="shared" si="167"/>
        <v>73.319984464509886</v>
      </c>
      <c r="CN91" s="49">
        <f t="shared" si="168"/>
        <v>1.2342399999999998</v>
      </c>
      <c r="CO91" s="49">
        <f t="shared" si="169"/>
        <v>0</v>
      </c>
      <c r="CP91" s="49">
        <f t="shared" si="170"/>
        <v>0</v>
      </c>
      <c r="CQ91" s="49" t="str">
        <f t="shared" si="139"/>
        <v/>
      </c>
    </row>
    <row r="92" spans="12:95" x14ac:dyDescent="0.45">
      <c r="L92" s="49">
        <f t="shared" si="171"/>
        <v>56.666666666666664</v>
      </c>
      <c r="Q92" s="49">
        <v>85</v>
      </c>
      <c r="R92" s="278">
        <f t="shared" si="115"/>
        <v>11.333333333333334</v>
      </c>
      <c r="S92" s="201">
        <f t="shared" si="116"/>
        <v>42</v>
      </c>
      <c r="T92" s="206">
        <f t="shared" si="117"/>
        <v>0.26984126984126988</v>
      </c>
      <c r="U92" s="205">
        <f t="shared" si="118"/>
        <v>2</v>
      </c>
      <c r="V92" s="201">
        <f t="shared" si="119"/>
        <v>0.45955882352941174</v>
      </c>
      <c r="W92" s="201">
        <f t="shared" si="120"/>
        <v>0.54044117647058831</v>
      </c>
      <c r="X92" s="201">
        <f t="shared" si="140"/>
        <v>0</v>
      </c>
      <c r="Y92" s="205">
        <f t="shared" si="141"/>
        <v>0.58717460317460324</v>
      </c>
      <c r="Z92" s="201">
        <f t="shared" si="121"/>
        <v>0.30637254901960786</v>
      </c>
      <c r="AA92" s="201">
        <f t="shared" si="142"/>
        <v>0.74036087768440717</v>
      </c>
      <c r="AB92" s="206">
        <f t="shared" si="122"/>
        <v>0.402540202926506</v>
      </c>
      <c r="AC92" s="205">
        <v>0</v>
      </c>
      <c r="AD92" s="201">
        <f t="shared" si="123"/>
        <v>8.1019307486056326E-3</v>
      </c>
      <c r="AE92" s="206">
        <f t="shared" si="143"/>
        <v>8.1019307486056326E-3</v>
      </c>
      <c r="AF92" s="58">
        <f t="shared" si="124"/>
        <v>0.22666666666666668</v>
      </c>
      <c r="AG92" s="61">
        <f t="shared" si="125"/>
        <v>0.22666666666666668</v>
      </c>
      <c r="AH92" s="58">
        <f t="shared" si="126"/>
        <v>2.1551135791290983E-2</v>
      </c>
      <c r="AI92" s="49">
        <f t="shared" si="127"/>
        <v>2.204124748595464</v>
      </c>
      <c r="AJ92" s="61">
        <f t="shared" si="144"/>
        <v>2.2256758843867552</v>
      </c>
      <c r="AK92" s="269">
        <f t="shared" si="128"/>
        <v>11.333333333333334</v>
      </c>
      <c r="AL92" s="268">
        <f t="shared" si="129"/>
        <v>5</v>
      </c>
      <c r="AM92" s="270">
        <f t="shared" si="145"/>
        <v>2.2666666666666666</v>
      </c>
      <c r="AN92" s="269">
        <f t="shared" si="146"/>
        <v>2</v>
      </c>
      <c r="AO92" s="268">
        <f t="shared" si="147"/>
        <v>0.54044117647058831</v>
      </c>
      <c r="AP92" s="268">
        <f t="shared" si="148"/>
        <v>4.1941043083900222</v>
      </c>
      <c r="AQ92" s="268">
        <f t="shared" si="149"/>
        <v>2.1883753501400562</v>
      </c>
      <c r="AR92" s="268">
        <f t="shared" si="172"/>
        <v>5.2882919834600504</v>
      </c>
      <c r="AS92" s="270">
        <f t="shared" si="173"/>
        <v>3.1180630042266233</v>
      </c>
      <c r="AT92" s="269"/>
      <c r="AU92" s="268">
        <f t="shared" si="150"/>
        <v>5.1377777777777772E-2</v>
      </c>
      <c r="AV92" s="270">
        <f t="shared" si="174"/>
        <v>5.1377777777777772E-2</v>
      </c>
      <c r="AW92" s="269">
        <f t="shared" si="151"/>
        <v>0.11424000000000001</v>
      </c>
      <c r="AX92" s="268">
        <f t="shared" si="152"/>
        <v>1.1333333333333333</v>
      </c>
      <c r="AY92" s="270">
        <f t="shared" si="175"/>
        <v>1.2475733333333334</v>
      </c>
      <c r="AZ92" s="263">
        <f t="shared" si="130"/>
        <v>0</v>
      </c>
      <c r="BA92" s="262">
        <f t="shared" si="131"/>
        <v>0</v>
      </c>
      <c r="BB92" s="262">
        <f t="shared" si="176"/>
        <v>0</v>
      </c>
      <c r="BC92" s="264" t="e">
        <f t="shared" si="153"/>
        <v>#DIV/0!</v>
      </c>
      <c r="BD92" s="263">
        <v>0</v>
      </c>
      <c r="BE92" s="262">
        <f t="shared" si="154"/>
        <v>0</v>
      </c>
      <c r="BF92" s="264">
        <f t="shared" si="177"/>
        <v>0</v>
      </c>
      <c r="BG92" s="263">
        <f t="shared" si="155"/>
        <v>0</v>
      </c>
      <c r="BH92" s="262">
        <f t="shared" si="156"/>
        <v>0</v>
      </c>
      <c r="BI92" s="264">
        <f t="shared" si="157"/>
        <v>0</v>
      </c>
      <c r="BK92" s="258">
        <f t="shared" si="132"/>
        <v>0</v>
      </c>
      <c r="BL92" s="257">
        <f t="shared" si="133"/>
        <v>0</v>
      </c>
      <c r="BM92" s="257">
        <f t="shared" si="134"/>
        <v>0</v>
      </c>
      <c r="BN92" s="259">
        <f t="shared" si="158"/>
        <v>0</v>
      </c>
      <c r="BO92" s="258">
        <v>0</v>
      </c>
      <c r="BP92" s="257">
        <f t="shared" si="159"/>
        <v>0</v>
      </c>
      <c r="BQ92" s="259">
        <f t="shared" si="178"/>
        <v>0</v>
      </c>
      <c r="BR92" s="258">
        <f t="shared" si="160"/>
        <v>0</v>
      </c>
      <c r="BS92" s="257">
        <f t="shared" si="161"/>
        <v>0</v>
      </c>
      <c r="BT92" s="259">
        <f t="shared" si="179"/>
        <v>0</v>
      </c>
      <c r="BU92" s="275">
        <f t="shared" si="135"/>
        <v>0</v>
      </c>
      <c r="BV92" s="274">
        <f t="shared" si="136"/>
        <v>0</v>
      </c>
      <c r="BW92" s="274">
        <f t="shared" si="137"/>
        <v>0</v>
      </c>
      <c r="BX92" s="276">
        <f t="shared" si="162"/>
        <v>0</v>
      </c>
      <c r="BY92" s="275">
        <v>0</v>
      </c>
      <c r="BZ92" s="274">
        <f t="shared" si="163"/>
        <v>0</v>
      </c>
      <c r="CA92" s="276">
        <f t="shared" si="180"/>
        <v>0</v>
      </c>
      <c r="CB92" s="275">
        <f t="shared" si="164"/>
        <v>0</v>
      </c>
      <c r="CC92" s="274">
        <f t="shared" si="165"/>
        <v>0</v>
      </c>
      <c r="CD92" s="276">
        <f t="shared" si="181"/>
        <v>0</v>
      </c>
      <c r="CE92" s="58">
        <f t="shared" si="166"/>
        <v>3.0787336844701401E-2</v>
      </c>
      <c r="CF92" s="49">
        <f t="shared" si="138"/>
        <v>7.3499999999999996E-2</v>
      </c>
      <c r="CG92" s="61">
        <f t="shared" si="182"/>
        <v>3.2340000000000001E-2</v>
      </c>
      <c r="CH92" s="49">
        <f t="shared" si="183"/>
        <v>8.1019307486056326E-3</v>
      </c>
      <c r="CI92" s="49">
        <f t="shared" si="184"/>
        <v>4.1226895964245065</v>
      </c>
      <c r="CJ92" s="49">
        <f t="shared" si="167"/>
        <v>73.326323238774478</v>
      </c>
      <c r="CN92" s="49">
        <f t="shared" si="168"/>
        <v>1.2475733333333334</v>
      </c>
      <c r="CO92" s="49">
        <f t="shared" si="169"/>
        <v>0</v>
      </c>
      <c r="CP92" s="49">
        <f t="shared" si="170"/>
        <v>0</v>
      </c>
      <c r="CQ92" s="49" t="str">
        <f t="shared" si="139"/>
        <v/>
      </c>
    </row>
    <row r="93" spans="12:95" x14ac:dyDescent="0.45">
      <c r="L93" s="49">
        <f t="shared" si="171"/>
        <v>57.333333333333336</v>
      </c>
      <c r="Q93" s="49">
        <v>86</v>
      </c>
      <c r="R93" s="278">
        <f t="shared" si="115"/>
        <v>11.466666666666667</v>
      </c>
      <c r="S93" s="201">
        <f t="shared" si="116"/>
        <v>42</v>
      </c>
      <c r="T93" s="206">
        <f t="shared" si="117"/>
        <v>0.27301587301587305</v>
      </c>
      <c r="U93" s="205">
        <f t="shared" si="118"/>
        <v>2</v>
      </c>
      <c r="V93" s="201">
        <f t="shared" si="119"/>
        <v>0.45955882352941174</v>
      </c>
      <c r="W93" s="201">
        <f t="shared" si="120"/>
        <v>0.54044117647058831</v>
      </c>
      <c r="X93" s="201">
        <f t="shared" si="140"/>
        <v>0</v>
      </c>
      <c r="Y93" s="205">
        <f t="shared" si="141"/>
        <v>0.59408253968253966</v>
      </c>
      <c r="Z93" s="201">
        <f t="shared" si="121"/>
        <v>0.30637254901960786</v>
      </c>
      <c r="AA93" s="201">
        <f t="shared" si="142"/>
        <v>0.74726881419234359</v>
      </c>
      <c r="AB93" s="206">
        <f t="shared" si="122"/>
        <v>0.40717150888519882</v>
      </c>
      <c r="AC93" s="205">
        <v>0</v>
      </c>
      <c r="AD93" s="201">
        <f t="shared" si="123"/>
        <v>8.2894318823924767E-3</v>
      </c>
      <c r="AE93" s="206">
        <f t="shared" si="143"/>
        <v>8.2894318823924767E-3</v>
      </c>
      <c r="AF93" s="58">
        <f t="shared" si="124"/>
        <v>0.22933333333333333</v>
      </c>
      <c r="AG93" s="61">
        <f t="shared" si="125"/>
        <v>0.22933333333333333</v>
      </c>
      <c r="AH93" s="58">
        <f t="shared" si="126"/>
        <v>2.2049888807163989E-2</v>
      </c>
      <c r="AI93" s="49">
        <f t="shared" si="127"/>
        <v>2.2300556279907044</v>
      </c>
      <c r="AJ93" s="61">
        <f t="shared" si="144"/>
        <v>2.2521055167978683</v>
      </c>
      <c r="AK93" s="269">
        <f t="shared" si="128"/>
        <v>11.466666666666667</v>
      </c>
      <c r="AL93" s="268">
        <f t="shared" si="129"/>
        <v>5</v>
      </c>
      <c r="AM93" s="270">
        <f t="shared" si="145"/>
        <v>2.2933333333333334</v>
      </c>
      <c r="AN93" s="269">
        <f t="shared" si="146"/>
        <v>2</v>
      </c>
      <c r="AO93" s="268">
        <f t="shared" si="147"/>
        <v>0.54044117647058831</v>
      </c>
      <c r="AP93" s="268">
        <f t="shared" si="148"/>
        <v>4.2434467120181401</v>
      </c>
      <c r="AQ93" s="268">
        <f t="shared" si="149"/>
        <v>2.1883753501400562</v>
      </c>
      <c r="AR93" s="268">
        <f t="shared" si="172"/>
        <v>5.3376343870881682</v>
      </c>
      <c r="AS93" s="270">
        <f t="shared" si="173"/>
        <v>3.1539369459250404</v>
      </c>
      <c r="AT93" s="269"/>
      <c r="AU93" s="268">
        <f t="shared" si="150"/>
        <v>5.2593777777777781E-2</v>
      </c>
      <c r="AV93" s="270">
        <f t="shared" si="174"/>
        <v>5.2593777777777781E-2</v>
      </c>
      <c r="AW93" s="269">
        <f t="shared" si="151"/>
        <v>0.11424000000000001</v>
      </c>
      <c r="AX93" s="268">
        <f t="shared" si="152"/>
        <v>1.1466666666666667</v>
      </c>
      <c r="AY93" s="270">
        <f t="shared" si="175"/>
        <v>1.2609066666666666</v>
      </c>
      <c r="AZ93" s="263">
        <f t="shared" si="130"/>
        <v>0</v>
      </c>
      <c r="BA93" s="262">
        <f t="shared" si="131"/>
        <v>0</v>
      </c>
      <c r="BB93" s="262">
        <f t="shared" si="176"/>
        <v>0</v>
      </c>
      <c r="BC93" s="264" t="e">
        <f t="shared" si="153"/>
        <v>#DIV/0!</v>
      </c>
      <c r="BD93" s="263">
        <v>0</v>
      </c>
      <c r="BE93" s="262">
        <f t="shared" si="154"/>
        <v>0</v>
      </c>
      <c r="BF93" s="264">
        <f t="shared" si="177"/>
        <v>0</v>
      </c>
      <c r="BG93" s="263">
        <f t="shared" si="155"/>
        <v>0</v>
      </c>
      <c r="BH93" s="262">
        <f t="shared" si="156"/>
        <v>0</v>
      </c>
      <c r="BI93" s="264">
        <f t="shared" si="157"/>
        <v>0</v>
      </c>
      <c r="BK93" s="258">
        <f t="shared" si="132"/>
        <v>0</v>
      </c>
      <c r="BL93" s="257">
        <f t="shared" si="133"/>
        <v>0</v>
      </c>
      <c r="BM93" s="257">
        <f t="shared" si="134"/>
        <v>0</v>
      </c>
      <c r="BN93" s="259">
        <f t="shared" si="158"/>
        <v>0</v>
      </c>
      <c r="BO93" s="258">
        <v>0</v>
      </c>
      <c r="BP93" s="257">
        <f t="shared" si="159"/>
        <v>0</v>
      </c>
      <c r="BQ93" s="259">
        <f t="shared" si="178"/>
        <v>0</v>
      </c>
      <c r="BR93" s="258">
        <f t="shared" si="160"/>
        <v>0</v>
      </c>
      <c r="BS93" s="257">
        <f t="shared" si="161"/>
        <v>0</v>
      </c>
      <c r="BT93" s="259">
        <f t="shared" si="179"/>
        <v>0</v>
      </c>
      <c r="BU93" s="275">
        <f t="shared" si="135"/>
        <v>0</v>
      </c>
      <c r="BV93" s="274">
        <f t="shared" si="136"/>
        <v>0</v>
      </c>
      <c r="BW93" s="274">
        <f t="shared" si="137"/>
        <v>0</v>
      </c>
      <c r="BX93" s="276">
        <f t="shared" si="162"/>
        <v>0</v>
      </c>
      <c r="BY93" s="275">
        <v>0</v>
      </c>
      <c r="BZ93" s="274">
        <f t="shared" si="163"/>
        <v>0</v>
      </c>
      <c r="CA93" s="276">
        <f t="shared" si="180"/>
        <v>0</v>
      </c>
      <c r="CB93" s="275">
        <f t="shared" si="164"/>
        <v>0</v>
      </c>
      <c r="CC93" s="274">
        <f t="shared" si="165"/>
        <v>0</v>
      </c>
      <c r="CD93" s="276">
        <f t="shared" si="181"/>
        <v>0</v>
      </c>
      <c r="CE93" s="58">
        <f t="shared" si="166"/>
        <v>3.1499841153091415E-2</v>
      </c>
      <c r="CF93" s="49">
        <f t="shared" si="138"/>
        <v>7.3499999999999996E-2</v>
      </c>
      <c r="CG93" s="61">
        <f t="shared" si="182"/>
        <v>3.2340000000000001E-2</v>
      </c>
      <c r="CH93" s="49">
        <f t="shared" si="183"/>
        <v>8.2894318823924767E-3</v>
      </c>
      <c r="CI93" s="49">
        <f t="shared" si="184"/>
        <v>4.1699019009444633</v>
      </c>
      <c r="CJ93" s="49">
        <f t="shared" si="167"/>
        <v>73.332372234264966</v>
      </c>
      <c r="CN93" s="49">
        <f t="shared" si="168"/>
        <v>1.2609066666666666</v>
      </c>
      <c r="CO93" s="49">
        <f t="shared" si="169"/>
        <v>0</v>
      </c>
      <c r="CP93" s="49">
        <f t="shared" si="170"/>
        <v>0</v>
      </c>
      <c r="CQ93" s="49" t="str">
        <f t="shared" si="139"/>
        <v/>
      </c>
    </row>
    <row r="94" spans="12:95" x14ac:dyDescent="0.45">
      <c r="L94" s="49">
        <f t="shared" si="171"/>
        <v>57.999999999999993</v>
      </c>
      <c r="Q94" s="49">
        <v>87</v>
      </c>
      <c r="R94" s="278">
        <f t="shared" si="115"/>
        <v>11.6</v>
      </c>
      <c r="S94" s="201">
        <f t="shared" si="116"/>
        <v>42</v>
      </c>
      <c r="T94" s="206">
        <f t="shared" si="117"/>
        <v>0.27619047619047621</v>
      </c>
      <c r="U94" s="205">
        <f t="shared" si="118"/>
        <v>2</v>
      </c>
      <c r="V94" s="201">
        <f t="shared" si="119"/>
        <v>0.45955882352941174</v>
      </c>
      <c r="W94" s="201">
        <f t="shared" si="120"/>
        <v>0.54044117647058831</v>
      </c>
      <c r="X94" s="201">
        <f t="shared" si="140"/>
        <v>0</v>
      </c>
      <c r="Y94" s="205">
        <f t="shared" si="141"/>
        <v>0.60099047619047619</v>
      </c>
      <c r="Z94" s="201">
        <f t="shared" si="121"/>
        <v>0.30637254901960786</v>
      </c>
      <c r="AA94" s="201">
        <f t="shared" si="142"/>
        <v>0.75417675070028012</v>
      </c>
      <c r="AB94" s="206">
        <f t="shared" si="122"/>
        <v>0.41180398278540559</v>
      </c>
      <c r="AC94" s="205">
        <v>0</v>
      </c>
      <c r="AD94" s="201">
        <f t="shared" si="123"/>
        <v>8.4791260118961317E-3</v>
      </c>
      <c r="AE94" s="206">
        <f t="shared" si="143"/>
        <v>8.4791260118961317E-3</v>
      </c>
      <c r="AF94" s="58">
        <f t="shared" si="124"/>
        <v>0.23199999999999998</v>
      </c>
      <c r="AG94" s="61">
        <f t="shared" si="125"/>
        <v>0.23199999999999998</v>
      </c>
      <c r="AH94" s="58">
        <f t="shared" si="126"/>
        <v>2.2554475191643709E-2</v>
      </c>
      <c r="AI94" s="49">
        <f t="shared" si="127"/>
        <v>2.2559865073859453</v>
      </c>
      <c r="AJ94" s="61">
        <f t="shared" si="144"/>
        <v>2.2785409825775891</v>
      </c>
      <c r="AK94" s="269">
        <f t="shared" si="128"/>
        <v>11.6</v>
      </c>
      <c r="AL94" s="268">
        <f t="shared" si="129"/>
        <v>5</v>
      </c>
      <c r="AM94" s="270">
        <f t="shared" si="145"/>
        <v>2.3199999999999998</v>
      </c>
      <c r="AN94" s="269">
        <f t="shared" si="146"/>
        <v>2</v>
      </c>
      <c r="AO94" s="268">
        <f t="shared" si="147"/>
        <v>0.54044117647058831</v>
      </c>
      <c r="AP94" s="268">
        <f t="shared" si="148"/>
        <v>4.2927891156462579</v>
      </c>
      <c r="AQ94" s="268">
        <f t="shared" si="149"/>
        <v>2.1883753501400562</v>
      </c>
      <c r="AR94" s="268">
        <f t="shared" si="172"/>
        <v>5.386976790716286</v>
      </c>
      <c r="AS94" s="270">
        <f t="shared" si="173"/>
        <v>3.1898199344595235</v>
      </c>
      <c r="AT94" s="269"/>
      <c r="AU94" s="268">
        <f t="shared" si="150"/>
        <v>5.3823999999999997E-2</v>
      </c>
      <c r="AV94" s="270">
        <f t="shared" si="174"/>
        <v>5.3823999999999997E-2</v>
      </c>
      <c r="AW94" s="269">
        <f t="shared" si="151"/>
        <v>0.11424000000000001</v>
      </c>
      <c r="AX94" s="268">
        <f t="shared" si="152"/>
        <v>1.1599999999999999</v>
      </c>
      <c r="AY94" s="270">
        <f t="shared" si="175"/>
        <v>1.2742399999999998</v>
      </c>
      <c r="AZ94" s="263">
        <f t="shared" si="130"/>
        <v>0</v>
      </c>
      <c r="BA94" s="262">
        <f t="shared" si="131"/>
        <v>0</v>
      </c>
      <c r="BB94" s="262">
        <f t="shared" si="176"/>
        <v>0</v>
      </c>
      <c r="BC94" s="264" t="e">
        <f t="shared" si="153"/>
        <v>#DIV/0!</v>
      </c>
      <c r="BD94" s="263">
        <v>0</v>
      </c>
      <c r="BE94" s="262">
        <f t="shared" si="154"/>
        <v>0</v>
      </c>
      <c r="BF94" s="264">
        <f t="shared" si="177"/>
        <v>0</v>
      </c>
      <c r="BG94" s="263">
        <f t="shared" si="155"/>
        <v>0</v>
      </c>
      <c r="BH94" s="262">
        <f t="shared" si="156"/>
        <v>0</v>
      </c>
      <c r="BI94" s="264">
        <f t="shared" si="157"/>
        <v>0</v>
      </c>
      <c r="BK94" s="258">
        <f t="shared" si="132"/>
        <v>0</v>
      </c>
      <c r="BL94" s="257">
        <f t="shared" si="133"/>
        <v>0</v>
      </c>
      <c r="BM94" s="257">
        <f t="shared" si="134"/>
        <v>0</v>
      </c>
      <c r="BN94" s="259">
        <f t="shared" si="158"/>
        <v>0</v>
      </c>
      <c r="BO94" s="258">
        <v>0</v>
      </c>
      <c r="BP94" s="257">
        <f t="shared" si="159"/>
        <v>0</v>
      </c>
      <c r="BQ94" s="259">
        <f t="shared" si="178"/>
        <v>0</v>
      </c>
      <c r="BR94" s="258">
        <f t="shared" si="160"/>
        <v>0</v>
      </c>
      <c r="BS94" s="257">
        <f t="shared" si="161"/>
        <v>0</v>
      </c>
      <c r="BT94" s="259">
        <f t="shared" si="179"/>
        <v>0</v>
      </c>
      <c r="BU94" s="275">
        <f t="shared" si="135"/>
        <v>0</v>
      </c>
      <c r="BV94" s="274">
        <f t="shared" si="136"/>
        <v>0</v>
      </c>
      <c r="BW94" s="274">
        <f t="shared" si="137"/>
        <v>0</v>
      </c>
      <c r="BX94" s="276">
        <f t="shared" si="162"/>
        <v>0</v>
      </c>
      <c r="BY94" s="275">
        <v>0</v>
      </c>
      <c r="BZ94" s="274">
        <f t="shared" si="163"/>
        <v>0</v>
      </c>
      <c r="CA94" s="276">
        <f t="shared" si="180"/>
        <v>0</v>
      </c>
      <c r="CB94" s="275">
        <f t="shared" si="164"/>
        <v>0</v>
      </c>
      <c r="CC94" s="274">
        <f t="shared" si="165"/>
        <v>0</v>
      </c>
      <c r="CD94" s="276">
        <f t="shared" si="181"/>
        <v>0</v>
      </c>
      <c r="CE94" s="58">
        <f t="shared" si="166"/>
        <v>3.2220678845205297E-2</v>
      </c>
      <c r="CF94" s="49">
        <f t="shared" si="138"/>
        <v>7.3499999999999996E-2</v>
      </c>
      <c r="CG94" s="61">
        <f t="shared" si="182"/>
        <v>3.2340000000000001E-2</v>
      </c>
      <c r="CH94" s="49">
        <f t="shared" si="183"/>
        <v>8.4791260118961317E-3</v>
      </c>
      <c r="CI94" s="49">
        <f t="shared" si="184"/>
        <v>4.2171447874346901</v>
      </c>
      <c r="CJ94" s="49">
        <f t="shared" si="167"/>
        <v>73.33814133898025</v>
      </c>
      <c r="CN94" s="49">
        <f t="shared" si="168"/>
        <v>1.2742399999999998</v>
      </c>
      <c r="CO94" s="49">
        <f t="shared" si="169"/>
        <v>0</v>
      </c>
      <c r="CP94" s="49">
        <f t="shared" si="170"/>
        <v>0</v>
      </c>
      <c r="CQ94" s="49" t="str">
        <f t="shared" si="139"/>
        <v/>
      </c>
    </row>
    <row r="95" spans="12:95" x14ac:dyDescent="0.45">
      <c r="L95" s="49">
        <f t="shared" si="171"/>
        <v>58.666666666666664</v>
      </c>
      <c r="Q95" s="49">
        <v>88</v>
      </c>
      <c r="R95" s="278">
        <f t="shared" si="115"/>
        <v>11.733333333333333</v>
      </c>
      <c r="S95" s="201">
        <f t="shared" si="116"/>
        <v>42</v>
      </c>
      <c r="T95" s="206">
        <f t="shared" si="117"/>
        <v>0.27936507936507937</v>
      </c>
      <c r="U95" s="205">
        <f t="shared" si="118"/>
        <v>2</v>
      </c>
      <c r="V95" s="201">
        <f t="shared" si="119"/>
        <v>0.45955882352941174</v>
      </c>
      <c r="W95" s="201">
        <f t="shared" si="120"/>
        <v>0.54044117647058831</v>
      </c>
      <c r="X95" s="201">
        <f t="shared" si="140"/>
        <v>0</v>
      </c>
      <c r="Y95" s="205">
        <f t="shared" si="141"/>
        <v>0.60789841269841272</v>
      </c>
      <c r="Z95" s="201">
        <f t="shared" si="121"/>
        <v>0.30637254901960786</v>
      </c>
      <c r="AA95" s="201">
        <f t="shared" si="142"/>
        <v>0.76108468720821665</v>
      </c>
      <c r="AB95" s="206">
        <f t="shared" si="122"/>
        <v>0.41643758565039701</v>
      </c>
      <c r="AC95" s="205">
        <v>0</v>
      </c>
      <c r="AD95" s="201">
        <f t="shared" si="123"/>
        <v>8.6710131371165872E-3</v>
      </c>
      <c r="AE95" s="206">
        <f t="shared" si="143"/>
        <v>8.6710131371165872E-3</v>
      </c>
      <c r="AF95" s="58">
        <f t="shared" si="124"/>
        <v>0.23466666666666666</v>
      </c>
      <c r="AG95" s="61">
        <f t="shared" si="125"/>
        <v>0.23466666666666666</v>
      </c>
      <c r="AH95" s="58">
        <f t="shared" si="126"/>
        <v>2.3064894944730123E-2</v>
      </c>
      <c r="AI95" s="49">
        <f t="shared" si="127"/>
        <v>2.2819173867811862</v>
      </c>
      <c r="AJ95" s="61">
        <f t="shared" si="144"/>
        <v>2.3049822817259162</v>
      </c>
      <c r="AK95" s="269">
        <f t="shared" si="128"/>
        <v>11.733333333333333</v>
      </c>
      <c r="AL95" s="268">
        <f t="shared" si="129"/>
        <v>5</v>
      </c>
      <c r="AM95" s="270">
        <f t="shared" si="145"/>
        <v>2.3466666666666667</v>
      </c>
      <c r="AN95" s="269">
        <f t="shared" si="146"/>
        <v>2</v>
      </c>
      <c r="AO95" s="268">
        <f t="shared" si="147"/>
        <v>0.5404411764705882</v>
      </c>
      <c r="AP95" s="268">
        <f t="shared" si="148"/>
        <v>4.3421315192743766</v>
      </c>
      <c r="AQ95" s="268">
        <f t="shared" si="149"/>
        <v>2.1883753501400558</v>
      </c>
      <c r="AR95" s="268">
        <f t="shared" si="172"/>
        <v>5.4363191943444047</v>
      </c>
      <c r="AS95" s="270">
        <f t="shared" si="173"/>
        <v>3.2257116679176252</v>
      </c>
      <c r="AT95" s="269"/>
      <c r="AU95" s="268">
        <f t="shared" si="150"/>
        <v>5.5068444444444448E-2</v>
      </c>
      <c r="AV95" s="270">
        <f t="shared" si="174"/>
        <v>5.5068444444444448E-2</v>
      </c>
      <c r="AW95" s="269">
        <f t="shared" si="151"/>
        <v>0.11424000000000001</v>
      </c>
      <c r="AX95" s="268">
        <f t="shared" si="152"/>
        <v>1.1733333333333333</v>
      </c>
      <c r="AY95" s="270">
        <f t="shared" si="175"/>
        <v>1.2875733333333335</v>
      </c>
      <c r="AZ95" s="263">
        <f t="shared" si="130"/>
        <v>0</v>
      </c>
      <c r="BA95" s="262">
        <f t="shared" si="131"/>
        <v>0</v>
      </c>
      <c r="BB95" s="262">
        <f t="shared" si="176"/>
        <v>0</v>
      </c>
      <c r="BC95" s="264" t="e">
        <f t="shared" si="153"/>
        <v>#DIV/0!</v>
      </c>
      <c r="BD95" s="263">
        <v>0</v>
      </c>
      <c r="BE95" s="262">
        <f t="shared" si="154"/>
        <v>0</v>
      </c>
      <c r="BF95" s="264">
        <f t="shared" si="177"/>
        <v>0</v>
      </c>
      <c r="BG95" s="263">
        <f t="shared" si="155"/>
        <v>0</v>
      </c>
      <c r="BH95" s="262">
        <f t="shared" si="156"/>
        <v>0</v>
      </c>
      <c r="BI95" s="264">
        <f t="shared" si="157"/>
        <v>0</v>
      </c>
      <c r="BK95" s="258">
        <f t="shared" si="132"/>
        <v>0</v>
      </c>
      <c r="BL95" s="257">
        <f t="shared" si="133"/>
        <v>0</v>
      </c>
      <c r="BM95" s="257">
        <f t="shared" si="134"/>
        <v>0</v>
      </c>
      <c r="BN95" s="259">
        <f t="shared" si="158"/>
        <v>0</v>
      </c>
      <c r="BO95" s="258">
        <v>0</v>
      </c>
      <c r="BP95" s="257">
        <f t="shared" si="159"/>
        <v>0</v>
      </c>
      <c r="BQ95" s="259">
        <f t="shared" si="178"/>
        <v>0</v>
      </c>
      <c r="BR95" s="258">
        <f t="shared" si="160"/>
        <v>0</v>
      </c>
      <c r="BS95" s="257">
        <f t="shared" si="161"/>
        <v>0</v>
      </c>
      <c r="BT95" s="259">
        <f t="shared" si="179"/>
        <v>0</v>
      </c>
      <c r="BU95" s="275">
        <f t="shared" si="135"/>
        <v>0</v>
      </c>
      <c r="BV95" s="274">
        <f t="shared" si="136"/>
        <v>0</v>
      </c>
      <c r="BW95" s="274">
        <f t="shared" si="137"/>
        <v>0</v>
      </c>
      <c r="BX95" s="276">
        <f t="shared" si="162"/>
        <v>0</v>
      </c>
      <c r="BY95" s="275">
        <v>0</v>
      </c>
      <c r="BZ95" s="274">
        <f t="shared" si="163"/>
        <v>0</v>
      </c>
      <c r="CA95" s="276">
        <f t="shared" si="180"/>
        <v>0</v>
      </c>
      <c r="CB95" s="275">
        <f t="shared" si="164"/>
        <v>0</v>
      </c>
      <c r="CC95" s="274">
        <f t="shared" si="165"/>
        <v>0</v>
      </c>
      <c r="CD95" s="276">
        <f t="shared" si="181"/>
        <v>0</v>
      </c>
      <c r="CE95" s="58">
        <f t="shared" si="166"/>
        <v>3.294984992104303E-2</v>
      </c>
      <c r="CF95" s="49">
        <f t="shared" si="138"/>
        <v>7.3499999999999996E-2</v>
      </c>
      <c r="CG95" s="61">
        <f t="shared" si="182"/>
        <v>3.2340000000000001E-2</v>
      </c>
      <c r="CH95" s="49">
        <f t="shared" si="183"/>
        <v>8.6710131371165872E-3</v>
      </c>
      <c r="CI95" s="49">
        <f t="shared" si="184"/>
        <v>4.2644182558951869</v>
      </c>
      <c r="CJ95" s="49">
        <f t="shared" si="167"/>
        <v>73.343639997720231</v>
      </c>
      <c r="CN95" s="49">
        <f t="shared" si="168"/>
        <v>1.2875733333333335</v>
      </c>
      <c r="CO95" s="49">
        <f t="shared" si="169"/>
        <v>0</v>
      </c>
      <c r="CP95" s="49">
        <f t="shared" si="170"/>
        <v>0</v>
      </c>
      <c r="CQ95" s="49" t="str">
        <f t="shared" si="139"/>
        <v/>
      </c>
    </row>
    <row r="96" spans="12:95" x14ac:dyDescent="0.45">
      <c r="L96" s="49">
        <f t="shared" si="171"/>
        <v>59.333333333333336</v>
      </c>
      <c r="Q96" s="49">
        <v>89</v>
      </c>
      <c r="R96" s="278">
        <f t="shared" si="115"/>
        <v>11.866666666666667</v>
      </c>
      <c r="S96" s="201">
        <f t="shared" si="116"/>
        <v>42</v>
      </c>
      <c r="T96" s="206">
        <f t="shared" si="117"/>
        <v>0.28253968253968254</v>
      </c>
      <c r="U96" s="205">
        <f t="shared" si="118"/>
        <v>2</v>
      </c>
      <c r="V96" s="201">
        <f t="shared" si="119"/>
        <v>0.45955882352941174</v>
      </c>
      <c r="W96" s="201">
        <f t="shared" si="120"/>
        <v>0.54044117647058831</v>
      </c>
      <c r="X96" s="201">
        <f t="shared" si="140"/>
        <v>0</v>
      </c>
      <c r="Y96" s="205">
        <f t="shared" si="141"/>
        <v>0.61480634920634925</v>
      </c>
      <c r="Z96" s="201">
        <f t="shared" si="121"/>
        <v>0.30637254901960786</v>
      </c>
      <c r="AA96" s="201">
        <f t="shared" si="142"/>
        <v>0.76799262371615318</v>
      </c>
      <c r="AB96" s="206">
        <f t="shared" si="122"/>
        <v>0.42107228020979615</v>
      </c>
      <c r="AC96" s="205">
        <v>0</v>
      </c>
      <c r="AD96" s="201">
        <f t="shared" si="123"/>
        <v>8.8650932580538536E-3</v>
      </c>
      <c r="AE96" s="206">
        <f t="shared" si="143"/>
        <v>8.8650932580538536E-3</v>
      </c>
      <c r="AF96" s="58">
        <f t="shared" si="124"/>
        <v>0.23733333333333334</v>
      </c>
      <c r="AG96" s="61">
        <f t="shared" si="125"/>
        <v>0.23733333333333334</v>
      </c>
      <c r="AH96" s="58">
        <f t="shared" si="126"/>
        <v>2.3581148066423252E-2</v>
      </c>
      <c r="AI96" s="49">
        <f t="shared" si="127"/>
        <v>2.307848266176427</v>
      </c>
      <c r="AJ96" s="61">
        <f t="shared" si="144"/>
        <v>2.3314294142428502</v>
      </c>
      <c r="AK96" s="269">
        <f t="shared" si="128"/>
        <v>11.866666666666667</v>
      </c>
      <c r="AL96" s="268">
        <f t="shared" si="129"/>
        <v>5</v>
      </c>
      <c r="AM96" s="270">
        <f t="shared" si="145"/>
        <v>2.3733333333333335</v>
      </c>
      <c r="AN96" s="269">
        <f t="shared" si="146"/>
        <v>2</v>
      </c>
      <c r="AO96" s="268">
        <f t="shared" si="147"/>
        <v>0.54044117647058831</v>
      </c>
      <c r="AP96" s="268">
        <f t="shared" si="148"/>
        <v>4.3914739229024944</v>
      </c>
      <c r="AQ96" s="268">
        <f t="shared" si="149"/>
        <v>2.1883753501400562</v>
      </c>
      <c r="AR96" s="268">
        <f t="shared" si="172"/>
        <v>5.4856615979725225</v>
      </c>
      <c r="AS96" s="270">
        <f t="shared" si="173"/>
        <v>3.2616118576042465</v>
      </c>
      <c r="AT96" s="269"/>
      <c r="AU96" s="268">
        <f t="shared" si="150"/>
        <v>5.6327111111111119E-2</v>
      </c>
      <c r="AV96" s="270">
        <f t="shared" si="174"/>
        <v>5.6327111111111119E-2</v>
      </c>
      <c r="AW96" s="269">
        <f t="shared" si="151"/>
        <v>0.11424000000000001</v>
      </c>
      <c r="AX96" s="268">
        <f t="shared" si="152"/>
        <v>1.1866666666666668</v>
      </c>
      <c r="AY96" s="270">
        <f t="shared" si="175"/>
        <v>1.3009066666666667</v>
      </c>
      <c r="AZ96" s="263">
        <f t="shared" si="130"/>
        <v>0</v>
      </c>
      <c r="BA96" s="262">
        <f t="shared" si="131"/>
        <v>0</v>
      </c>
      <c r="BB96" s="262">
        <f t="shared" si="176"/>
        <v>0</v>
      </c>
      <c r="BC96" s="264" t="e">
        <f t="shared" si="153"/>
        <v>#DIV/0!</v>
      </c>
      <c r="BD96" s="263">
        <v>0</v>
      </c>
      <c r="BE96" s="262">
        <f t="shared" si="154"/>
        <v>0</v>
      </c>
      <c r="BF96" s="264">
        <f t="shared" si="177"/>
        <v>0</v>
      </c>
      <c r="BG96" s="263">
        <f t="shared" si="155"/>
        <v>0</v>
      </c>
      <c r="BH96" s="262">
        <f t="shared" si="156"/>
        <v>0</v>
      </c>
      <c r="BI96" s="264">
        <f t="shared" si="157"/>
        <v>0</v>
      </c>
      <c r="BK96" s="258">
        <f t="shared" si="132"/>
        <v>0</v>
      </c>
      <c r="BL96" s="257">
        <f t="shared" si="133"/>
        <v>0</v>
      </c>
      <c r="BM96" s="257">
        <f t="shared" si="134"/>
        <v>0</v>
      </c>
      <c r="BN96" s="259">
        <f t="shared" si="158"/>
        <v>0</v>
      </c>
      <c r="BO96" s="258">
        <v>0</v>
      </c>
      <c r="BP96" s="257">
        <f t="shared" si="159"/>
        <v>0</v>
      </c>
      <c r="BQ96" s="259">
        <f t="shared" si="178"/>
        <v>0</v>
      </c>
      <c r="BR96" s="258">
        <f t="shared" si="160"/>
        <v>0</v>
      </c>
      <c r="BS96" s="257">
        <f t="shared" si="161"/>
        <v>0</v>
      </c>
      <c r="BT96" s="259">
        <f t="shared" si="179"/>
        <v>0</v>
      </c>
      <c r="BU96" s="275">
        <f t="shared" si="135"/>
        <v>0</v>
      </c>
      <c r="BV96" s="274">
        <f t="shared" si="136"/>
        <v>0</v>
      </c>
      <c r="BW96" s="274">
        <f t="shared" si="137"/>
        <v>0</v>
      </c>
      <c r="BX96" s="276">
        <f t="shared" si="162"/>
        <v>0</v>
      </c>
      <c r="BY96" s="275">
        <v>0</v>
      </c>
      <c r="BZ96" s="274">
        <f t="shared" si="163"/>
        <v>0</v>
      </c>
      <c r="CA96" s="276">
        <f t="shared" si="180"/>
        <v>0</v>
      </c>
      <c r="CB96" s="275">
        <f t="shared" si="164"/>
        <v>0</v>
      </c>
      <c r="CC96" s="274">
        <f t="shared" si="165"/>
        <v>0</v>
      </c>
      <c r="CD96" s="276">
        <f t="shared" si="181"/>
        <v>0</v>
      </c>
      <c r="CE96" s="58">
        <f t="shared" si="166"/>
        <v>3.3687354380604641E-2</v>
      </c>
      <c r="CF96" s="49">
        <f t="shared" si="138"/>
        <v>7.3499999999999996E-2</v>
      </c>
      <c r="CG96" s="61">
        <f t="shared" si="182"/>
        <v>3.2340000000000001E-2</v>
      </c>
      <c r="CH96" s="49">
        <f t="shared" si="183"/>
        <v>8.8650932580538536E-3</v>
      </c>
      <c r="CI96" s="49">
        <f t="shared" si="184"/>
        <v>4.3117223063259527</v>
      </c>
      <c r="CJ96" s="49">
        <f t="shared" si="167"/>
        <v>73.348877236641272</v>
      </c>
      <c r="CN96" s="49">
        <f t="shared" si="168"/>
        <v>1.3009066666666667</v>
      </c>
      <c r="CO96" s="49">
        <f t="shared" si="169"/>
        <v>0</v>
      </c>
      <c r="CP96" s="49">
        <f t="shared" si="170"/>
        <v>0</v>
      </c>
      <c r="CQ96" s="49" t="str">
        <f t="shared" si="139"/>
        <v/>
      </c>
    </row>
    <row r="97" spans="12:95" x14ac:dyDescent="0.45">
      <c r="L97" s="49">
        <f t="shared" si="171"/>
        <v>60</v>
      </c>
      <c r="Q97" s="49">
        <v>90</v>
      </c>
      <c r="R97" s="278">
        <f t="shared" si="115"/>
        <v>12</v>
      </c>
      <c r="S97" s="201">
        <f t="shared" si="116"/>
        <v>42</v>
      </c>
      <c r="T97" s="206">
        <f t="shared" si="117"/>
        <v>0.2857142857142857</v>
      </c>
      <c r="U97" s="205">
        <f t="shared" si="118"/>
        <v>2</v>
      </c>
      <c r="V97" s="201">
        <f t="shared" si="119"/>
        <v>0.45955882352941174</v>
      </c>
      <c r="W97" s="201">
        <f t="shared" si="120"/>
        <v>0.54044117647058831</v>
      </c>
      <c r="X97" s="201">
        <f t="shared" si="140"/>
        <v>0</v>
      </c>
      <c r="Y97" s="205">
        <f t="shared" si="141"/>
        <v>0.62171428571428577</v>
      </c>
      <c r="Z97" s="201">
        <f t="shared" si="121"/>
        <v>0.30637254901960786</v>
      </c>
      <c r="AA97" s="201">
        <f t="shared" si="142"/>
        <v>0.77490056022408971</v>
      </c>
      <c r="AB97" s="206">
        <f t="shared" si="122"/>
        <v>0.42570803080768688</v>
      </c>
      <c r="AC97" s="205">
        <v>0</v>
      </c>
      <c r="AD97" s="201">
        <f t="shared" si="123"/>
        <v>9.0613663747079239E-3</v>
      </c>
      <c r="AE97" s="206">
        <f t="shared" si="143"/>
        <v>9.0613663747079239E-3</v>
      </c>
      <c r="AF97" s="58">
        <f t="shared" si="124"/>
        <v>0.24</v>
      </c>
      <c r="AG97" s="61">
        <f t="shared" si="125"/>
        <v>0.24</v>
      </c>
      <c r="AH97" s="58">
        <f t="shared" si="126"/>
        <v>2.4103234556723079E-2</v>
      </c>
      <c r="AI97" s="49">
        <f t="shared" si="127"/>
        <v>2.3337791455716674</v>
      </c>
      <c r="AJ97" s="61">
        <f t="shared" si="144"/>
        <v>2.3578823801283906</v>
      </c>
      <c r="AK97" s="269">
        <f t="shared" si="128"/>
        <v>12</v>
      </c>
      <c r="AL97" s="268">
        <f t="shared" si="129"/>
        <v>5</v>
      </c>
      <c r="AM97" s="270">
        <f t="shared" si="145"/>
        <v>2.4</v>
      </c>
      <c r="AN97" s="269">
        <f t="shared" si="146"/>
        <v>2</v>
      </c>
      <c r="AO97" s="268">
        <f t="shared" si="147"/>
        <v>0.5404411764705882</v>
      </c>
      <c r="AP97" s="268">
        <f t="shared" si="148"/>
        <v>4.4408163265306122</v>
      </c>
      <c r="AQ97" s="268">
        <f t="shared" si="149"/>
        <v>2.1883753501400558</v>
      </c>
      <c r="AR97" s="268">
        <f t="shared" si="172"/>
        <v>5.5350040016006403</v>
      </c>
      <c r="AS97" s="270">
        <f t="shared" si="173"/>
        <v>3.2975202273298505</v>
      </c>
      <c r="AT97" s="269"/>
      <c r="AU97" s="268">
        <f t="shared" si="150"/>
        <v>5.7599999999999998E-2</v>
      </c>
      <c r="AV97" s="270">
        <f t="shared" si="174"/>
        <v>5.7599999999999998E-2</v>
      </c>
      <c r="AW97" s="269">
        <f t="shared" si="151"/>
        <v>0.11424000000000001</v>
      </c>
      <c r="AX97" s="268">
        <f t="shared" si="152"/>
        <v>1.2</v>
      </c>
      <c r="AY97" s="270">
        <f t="shared" si="175"/>
        <v>1.3142399999999999</v>
      </c>
      <c r="AZ97" s="263">
        <f t="shared" si="130"/>
        <v>0</v>
      </c>
      <c r="BA97" s="262">
        <f t="shared" si="131"/>
        <v>0</v>
      </c>
      <c r="BB97" s="262">
        <f t="shared" si="176"/>
        <v>0</v>
      </c>
      <c r="BC97" s="264" t="e">
        <f t="shared" si="153"/>
        <v>#DIV/0!</v>
      </c>
      <c r="BD97" s="263">
        <v>0</v>
      </c>
      <c r="BE97" s="262">
        <f t="shared" si="154"/>
        <v>0</v>
      </c>
      <c r="BF97" s="264">
        <f t="shared" si="177"/>
        <v>0</v>
      </c>
      <c r="BG97" s="263">
        <f t="shared" si="155"/>
        <v>0</v>
      </c>
      <c r="BH97" s="262">
        <f t="shared" si="156"/>
        <v>0</v>
      </c>
      <c r="BI97" s="264">
        <f t="shared" si="157"/>
        <v>0</v>
      </c>
      <c r="BK97" s="258">
        <f t="shared" si="132"/>
        <v>0</v>
      </c>
      <c r="BL97" s="257">
        <f t="shared" si="133"/>
        <v>0</v>
      </c>
      <c r="BM97" s="257">
        <f t="shared" si="134"/>
        <v>0</v>
      </c>
      <c r="BN97" s="259">
        <f t="shared" si="158"/>
        <v>0</v>
      </c>
      <c r="BO97" s="258">
        <v>0</v>
      </c>
      <c r="BP97" s="257">
        <f t="shared" si="159"/>
        <v>0</v>
      </c>
      <c r="BQ97" s="259">
        <f t="shared" si="178"/>
        <v>0</v>
      </c>
      <c r="BR97" s="258">
        <f t="shared" si="160"/>
        <v>0</v>
      </c>
      <c r="BS97" s="257">
        <f t="shared" si="161"/>
        <v>0</v>
      </c>
      <c r="BT97" s="259">
        <f t="shared" si="179"/>
        <v>0</v>
      </c>
      <c r="BU97" s="275">
        <f t="shared" si="135"/>
        <v>0</v>
      </c>
      <c r="BV97" s="274">
        <f t="shared" si="136"/>
        <v>0</v>
      </c>
      <c r="BW97" s="274">
        <f t="shared" si="137"/>
        <v>0</v>
      </c>
      <c r="BX97" s="276">
        <f t="shared" si="162"/>
        <v>0</v>
      </c>
      <c r="BY97" s="275">
        <v>0</v>
      </c>
      <c r="BZ97" s="274">
        <f t="shared" si="163"/>
        <v>0</v>
      </c>
      <c r="CA97" s="276">
        <f t="shared" si="180"/>
        <v>0</v>
      </c>
      <c r="CB97" s="275">
        <f t="shared" si="164"/>
        <v>0</v>
      </c>
      <c r="CC97" s="274">
        <f t="shared" si="165"/>
        <v>0</v>
      </c>
      <c r="CD97" s="276">
        <f t="shared" si="181"/>
        <v>0</v>
      </c>
      <c r="CE97" s="58">
        <f t="shared" si="166"/>
        <v>3.4433192223890109E-2</v>
      </c>
      <c r="CF97" s="49">
        <f t="shared" si="138"/>
        <v>7.3499999999999996E-2</v>
      </c>
      <c r="CG97" s="61">
        <f t="shared" si="182"/>
        <v>3.2340000000000001E-2</v>
      </c>
      <c r="CH97" s="49">
        <f t="shared" si="183"/>
        <v>9.0613663747079239E-3</v>
      </c>
      <c r="CI97" s="49">
        <f t="shared" si="184"/>
        <v>4.3590569387269893</v>
      </c>
      <c r="CJ97" s="49">
        <f t="shared" si="167"/>
        <v>73.353861686196936</v>
      </c>
      <c r="CN97" s="49">
        <f t="shared" si="168"/>
        <v>1.3142399999999999</v>
      </c>
      <c r="CO97" s="49">
        <f t="shared" si="169"/>
        <v>0</v>
      </c>
      <c r="CP97" s="49">
        <f t="shared" si="170"/>
        <v>0</v>
      </c>
      <c r="CQ97" s="49" t="str">
        <f t="shared" si="139"/>
        <v/>
      </c>
    </row>
    <row r="98" spans="12:95" x14ac:dyDescent="0.45">
      <c r="L98" s="49">
        <f t="shared" si="171"/>
        <v>60.666666666666671</v>
      </c>
      <c r="Q98" s="49">
        <v>91</v>
      </c>
      <c r="R98" s="278">
        <f t="shared" si="115"/>
        <v>12.133333333333333</v>
      </c>
      <c r="S98" s="201">
        <f t="shared" si="116"/>
        <v>42</v>
      </c>
      <c r="T98" s="206">
        <f t="shared" si="117"/>
        <v>0.28888888888888886</v>
      </c>
      <c r="U98" s="205">
        <f t="shared" si="118"/>
        <v>2</v>
      </c>
      <c r="V98" s="201">
        <f t="shared" si="119"/>
        <v>0.45955882352941174</v>
      </c>
      <c r="W98" s="201">
        <f t="shared" si="120"/>
        <v>0.54044117647058831</v>
      </c>
      <c r="X98" s="201">
        <f t="shared" si="140"/>
        <v>0</v>
      </c>
      <c r="Y98" s="205">
        <f t="shared" si="141"/>
        <v>0.62862222222222219</v>
      </c>
      <c r="Z98" s="201">
        <f t="shared" si="121"/>
        <v>0.30637254901960786</v>
      </c>
      <c r="AA98" s="201">
        <f t="shared" si="142"/>
        <v>0.78180849673202613</v>
      </c>
      <c r="AB98" s="206">
        <f t="shared" si="122"/>
        <v>0.43034480331656838</v>
      </c>
      <c r="AC98" s="205">
        <v>0</v>
      </c>
      <c r="AD98" s="201">
        <f t="shared" si="123"/>
        <v>9.2598324870787965E-3</v>
      </c>
      <c r="AE98" s="206">
        <f t="shared" si="143"/>
        <v>9.2598324870787965E-3</v>
      </c>
      <c r="AF98" s="58">
        <f t="shared" si="124"/>
        <v>0.24266666666666667</v>
      </c>
      <c r="AG98" s="61">
        <f t="shared" si="125"/>
        <v>0.24266666666666667</v>
      </c>
      <c r="AH98" s="58">
        <f t="shared" si="126"/>
        <v>2.4631154415629599E-2</v>
      </c>
      <c r="AI98" s="49">
        <f t="shared" si="127"/>
        <v>2.3597100249669083</v>
      </c>
      <c r="AJ98" s="61">
        <f t="shared" si="144"/>
        <v>2.3843411793825378</v>
      </c>
      <c r="AK98" s="269">
        <f t="shared" si="128"/>
        <v>12.133333333333333</v>
      </c>
      <c r="AL98" s="268">
        <f t="shared" si="129"/>
        <v>5</v>
      </c>
      <c r="AM98" s="270">
        <f t="shared" si="145"/>
        <v>2.4266666666666667</v>
      </c>
      <c r="AN98" s="269">
        <f t="shared" si="146"/>
        <v>2</v>
      </c>
      <c r="AO98" s="268">
        <f t="shared" si="147"/>
        <v>0.54044117647058842</v>
      </c>
      <c r="AP98" s="268">
        <f t="shared" si="148"/>
        <v>4.4901587301587291</v>
      </c>
      <c r="AQ98" s="268">
        <f t="shared" si="149"/>
        <v>2.1883753501400567</v>
      </c>
      <c r="AR98" s="268">
        <f t="shared" si="172"/>
        <v>5.5843464052287572</v>
      </c>
      <c r="AS98" s="270">
        <f t="shared" si="173"/>
        <v>3.3334365127439516</v>
      </c>
      <c r="AT98" s="269"/>
      <c r="AU98" s="268">
        <f t="shared" si="150"/>
        <v>5.8887111111111112E-2</v>
      </c>
      <c r="AV98" s="270">
        <f t="shared" si="174"/>
        <v>5.8887111111111112E-2</v>
      </c>
      <c r="AW98" s="269">
        <f t="shared" si="151"/>
        <v>0.11424000000000001</v>
      </c>
      <c r="AX98" s="268">
        <f t="shared" si="152"/>
        <v>1.2133333333333334</v>
      </c>
      <c r="AY98" s="270">
        <f t="shared" si="175"/>
        <v>1.3275733333333335</v>
      </c>
      <c r="AZ98" s="263">
        <f t="shared" si="130"/>
        <v>0</v>
      </c>
      <c r="BA98" s="262">
        <f t="shared" si="131"/>
        <v>0</v>
      </c>
      <c r="BB98" s="262">
        <f>IF(EN_OUT_2=1,AZ98/BA98,0)</f>
        <v>0</v>
      </c>
      <c r="BC98" s="264" t="e">
        <f t="shared" si="153"/>
        <v>#DIV/0!</v>
      </c>
      <c r="BD98" s="263">
        <v>0</v>
      </c>
      <c r="BE98" s="262">
        <f t="shared" si="154"/>
        <v>0</v>
      </c>
      <c r="BF98" s="264">
        <f t="shared" si="177"/>
        <v>0</v>
      </c>
      <c r="BG98" s="263">
        <f t="shared" si="155"/>
        <v>0</v>
      </c>
      <c r="BH98" s="262">
        <f t="shared" si="156"/>
        <v>0</v>
      </c>
      <c r="BI98" s="264">
        <f t="shared" si="157"/>
        <v>0</v>
      </c>
      <c r="BK98" s="258">
        <f t="shared" si="132"/>
        <v>0</v>
      </c>
      <c r="BL98" s="257">
        <f t="shared" si="133"/>
        <v>0</v>
      </c>
      <c r="BM98" s="257">
        <f t="shared" si="134"/>
        <v>0</v>
      </c>
      <c r="BN98" s="259">
        <f t="shared" si="158"/>
        <v>0</v>
      </c>
      <c r="BO98" s="258">
        <v>0</v>
      </c>
      <c r="BP98" s="257">
        <f t="shared" si="159"/>
        <v>0</v>
      </c>
      <c r="BQ98" s="259">
        <f t="shared" si="178"/>
        <v>0</v>
      </c>
      <c r="BR98" s="258">
        <f t="shared" si="160"/>
        <v>0</v>
      </c>
      <c r="BS98" s="257">
        <f t="shared" si="161"/>
        <v>0</v>
      </c>
      <c r="BT98" s="259">
        <f t="shared" si="179"/>
        <v>0</v>
      </c>
      <c r="BU98" s="275">
        <f t="shared" si="135"/>
        <v>0</v>
      </c>
      <c r="BV98" s="274">
        <f t="shared" si="136"/>
        <v>0</v>
      </c>
      <c r="BW98" s="274">
        <f t="shared" si="137"/>
        <v>0</v>
      </c>
      <c r="BX98" s="276">
        <f t="shared" si="162"/>
        <v>0</v>
      </c>
      <c r="BY98" s="275">
        <v>0</v>
      </c>
      <c r="BZ98" s="274">
        <f t="shared" si="163"/>
        <v>0</v>
      </c>
      <c r="CA98" s="276">
        <f t="shared" si="180"/>
        <v>0</v>
      </c>
      <c r="CB98" s="275">
        <f t="shared" si="164"/>
        <v>0</v>
      </c>
      <c r="CC98" s="274">
        <f t="shared" si="165"/>
        <v>0</v>
      </c>
      <c r="CD98" s="276">
        <f t="shared" si="181"/>
        <v>0</v>
      </c>
      <c r="CE98" s="58">
        <f t="shared" si="166"/>
        <v>3.5187363450899428E-2</v>
      </c>
      <c r="CF98" s="49">
        <f t="shared" si="138"/>
        <v>7.3499999999999996E-2</v>
      </c>
      <c r="CG98" s="61">
        <f t="shared" si="182"/>
        <v>3.2340000000000001E-2</v>
      </c>
      <c r="CH98" s="49">
        <f t="shared" si="183"/>
        <v>9.2598324870787965E-3</v>
      </c>
      <c r="CI98" s="49">
        <f t="shared" si="184"/>
        <v>4.4064221530982932</v>
      </c>
      <c r="CJ98" s="49">
        <f t="shared" si="167"/>
        <v>73.358601602586589</v>
      </c>
      <c r="CN98" s="49">
        <f t="shared" si="168"/>
        <v>1.3275733333333335</v>
      </c>
      <c r="CO98" s="49">
        <f t="shared" si="169"/>
        <v>0</v>
      </c>
      <c r="CP98" s="49">
        <f t="shared" si="170"/>
        <v>0</v>
      </c>
      <c r="CQ98" s="49" t="str">
        <f t="shared" si="139"/>
        <v/>
      </c>
    </row>
    <row r="99" spans="12:95" x14ac:dyDescent="0.45">
      <c r="L99" s="49">
        <f t="shared" si="171"/>
        <v>61.333333333333329</v>
      </c>
      <c r="Q99" s="49">
        <v>92</v>
      </c>
      <c r="R99" s="278">
        <f t="shared" si="115"/>
        <v>12.266666666666666</v>
      </c>
      <c r="S99" s="201">
        <f t="shared" si="116"/>
        <v>42</v>
      </c>
      <c r="T99" s="206">
        <f t="shared" si="117"/>
        <v>0.29206349206349203</v>
      </c>
      <c r="U99" s="205">
        <f t="shared" si="118"/>
        <v>2</v>
      </c>
      <c r="V99" s="201">
        <f t="shared" si="119"/>
        <v>0.45955882352941174</v>
      </c>
      <c r="W99" s="201">
        <f t="shared" si="120"/>
        <v>0.54044117647058831</v>
      </c>
      <c r="X99" s="201">
        <f t="shared" si="140"/>
        <v>0</v>
      </c>
      <c r="Y99" s="205">
        <f t="shared" si="141"/>
        <v>0.63553015873015872</v>
      </c>
      <c r="Z99" s="201">
        <f t="shared" si="121"/>
        <v>0.30637254901960786</v>
      </c>
      <c r="AA99" s="201">
        <f t="shared" si="142"/>
        <v>0.78871643323996266</v>
      </c>
      <c r="AB99" s="206">
        <f t="shared" si="122"/>
        <v>0.43498256505672672</v>
      </c>
      <c r="AC99" s="205">
        <v>0</v>
      </c>
      <c r="AD99" s="201">
        <f t="shared" si="123"/>
        <v>9.4604915951664748E-3</v>
      </c>
      <c r="AE99" s="206">
        <f t="shared" si="143"/>
        <v>9.4604915951664748E-3</v>
      </c>
      <c r="AF99" s="58">
        <f t="shared" si="124"/>
        <v>0.24533333333333332</v>
      </c>
      <c r="AG99" s="61">
        <f t="shared" si="125"/>
        <v>0.24533333333333332</v>
      </c>
      <c r="AH99" s="58">
        <f t="shared" si="126"/>
        <v>2.5164907643142824E-2</v>
      </c>
      <c r="AI99" s="49">
        <f t="shared" si="127"/>
        <v>2.3856409043621492</v>
      </c>
      <c r="AJ99" s="61">
        <f t="shared" si="144"/>
        <v>2.4108058120052918</v>
      </c>
      <c r="AK99" s="269">
        <f t="shared" si="128"/>
        <v>12.266666666666666</v>
      </c>
      <c r="AL99" s="268">
        <f t="shared" si="129"/>
        <v>5</v>
      </c>
      <c r="AM99" s="270">
        <f t="shared" si="145"/>
        <v>2.4533333333333331</v>
      </c>
      <c r="AN99" s="269">
        <f t="shared" si="146"/>
        <v>2</v>
      </c>
      <c r="AO99" s="268">
        <f t="shared" si="147"/>
        <v>0.5404411764705882</v>
      </c>
      <c r="AP99" s="268">
        <f t="shared" si="148"/>
        <v>4.5395011337868478</v>
      </c>
      <c r="AQ99" s="268">
        <f t="shared" si="149"/>
        <v>2.1883753501400558</v>
      </c>
      <c r="AR99" s="268">
        <f t="shared" si="172"/>
        <v>5.633688808856876</v>
      </c>
      <c r="AS99" s="270">
        <f t="shared" si="173"/>
        <v>3.369360460710574</v>
      </c>
      <c r="AT99" s="269"/>
      <c r="AU99" s="268">
        <f t="shared" si="150"/>
        <v>6.018844444444444E-2</v>
      </c>
      <c r="AV99" s="270">
        <f t="shared" si="174"/>
        <v>6.018844444444444E-2</v>
      </c>
      <c r="AW99" s="269">
        <f t="shared" si="151"/>
        <v>0.11424000000000001</v>
      </c>
      <c r="AX99" s="268">
        <f t="shared" si="152"/>
        <v>1.2266666666666666</v>
      </c>
      <c r="AY99" s="270">
        <f t="shared" si="175"/>
        <v>1.3409066666666667</v>
      </c>
      <c r="AZ99" s="263">
        <f t="shared" si="130"/>
        <v>0</v>
      </c>
      <c r="BA99" s="262">
        <f t="shared" si="131"/>
        <v>0</v>
      </c>
      <c r="BB99" s="262">
        <f t="shared" si="176"/>
        <v>0</v>
      </c>
      <c r="BC99" s="264" t="e">
        <f t="shared" si="153"/>
        <v>#DIV/0!</v>
      </c>
      <c r="BD99" s="263">
        <v>0</v>
      </c>
      <c r="BE99" s="262">
        <f t="shared" si="154"/>
        <v>0</v>
      </c>
      <c r="BF99" s="264">
        <f t="shared" si="177"/>
        <v>0</v>
      </c>
      <c r="BG99" s="263">
        <f t="shared" si="155"/>
        <v>0</v>
      </c>
      <c r="BH99" s="262">
        <f t="shared" si="156"/>
        <v>0</v>
      </c>
      <c r="BI99" s="264">
        <f t="shared" si="157"/>
        <v>0</v>
      </c>
      <c r="BK99" s="258">
        <f t="shared" si="132"/>
        <v>0</v>
      </c>
      <c r="BL99" s="257">
        <f t="shared" si="133"/>
        <v>0</v>
      </c>
      <c r="BM99" s="257">
        <f t="shared" si="134"/>
        <v>0</v>
      </c>
      <c r="BN99" s="259">
        <f t="shared" si="158"/>
        <v>0</v>
      </c>
      <c r="BO99" s="258">
        <v>0</v>
      </c>
      <c r="BP99" s="257">
        <f t="shared" si="159"/>
        <v>0</v>
      </c>
      <c r="BQ99" s="259">
        <f t="shared" si="178"/>
        <v>0</v>
      </c>
      <c r="BR99" s="258">
        <f t="shared" si="160"/>
        <v>0</v>
      </c>
      <c r="BS99" s="257">
        <f t="shared" si="161"/>
        <v>0</v>
      </c>
      <c r="BT99" s="259">
        <f t="shared" si="179"/>
        <v>0</v>
      </c>
      <c r="BU99" s="275">
        <f t="shared" si="135"/>
        <v>0</v>
      </c>
      <c r="BV99" s="274">
        <f t="shared" si="136"/>
        <v>0</v>
      </c>
      <c r="BW99" s="274">
        <f t="shared" si="137"/>
        <v>0</v>
      </c>
      <c r="BX99" s="276">
        <f t="shared" si="162"/>
        <v>0</v>
      </c>
      <c r="BY99" s="275">
        <v>0</v>
      </c>
      <c r="BZ99" s="274">
        <f t="shared" si="163"/>
        <v>0</v>
      </c>
      <c r="CA99" s="276">
        <f t="shared" si="180"/>
        <v>0</v>
      </c>
      <c r="CB99" s="275">
        <f t="shared" si="164"/>
        <v>0</v>
      </c>
      <c r="CC99" s="274">
        <f t="shared" si="165"/>
        <v>0</v>
      </c>
      <c r="CD99" s="276">
        <f t="shared" si="181"/>
        <v>0</v>
      </c>
      <c r="CE99" s="58">
        <f t="shared" si="166"/>
        <v>3.5949868061632605E-2</v>
      </c>
      <c r="CF99" s="49">
        <f t="shared" si="138"/>
        <v>7.3499999999999996E-2</v>
      </c>
      <c r="CG99" s="61">
        <f t="shared" si="182"/>
        <v>3.2340000000000001E-2</v>
      </c>
      <c r="CH99" s="49">
        <f t="shared" si="183"/>
        <v>9.4604915951664748E-3</v>
      </c>
      <c r="CI99" s="49">
        <f t="shared" si="184"/>
        <v>4.453817949439868</v>
      </c>
      <c r="CJ99" s="49">
        <f t="shared" si="167"/>
        <v>73.363104887823724</v>
      </c>
      <c r="CN99" s="49">
        <f t="shared" si="168"/>
        <v>1.3409066666666667</v>
      </c>
      <c r="CO99" s="49">
        <f t="shared" si="169"/>
        <v>0</v>
      </c>
      <c r="CP99" s="49">
        <f t="shared" si="170"/>
        <v>0</v>
      </c>
      <c r="CQ99" s="49" t="str">
        <f t="shared" si="139"/>
        <v/>
      </c>
    </row>
    <row r="100" spans="12:95" x14ac:dyDescent="0.45">
      <c r="L100" s="49">
        <f t="shared" si="171"/>
        <v>62</v>
      </c>
      <c r="Q100" s="49">
        <v>93</v>
      </c>
      <c r="R100" s="278">
        <f t="shared" si="115"/>
        <v>12.4</v>
      </c>
      <c r="S100" s="201">
        <f t="shared" si="116"/>
        <v>42</v>
      </c>
      <c r="T100" s="206">
        <f t="shared" si="117"/>
        <v>0.29523809523809524</v>
      </c>
      <c r="U100" s="205">
        <f t="shared" si="118"/>
        <v>2</v>
      </c>
      <c r="V100" s="201">
        <f t="shared" si="119"/>
        <v>0.45955882352941174</v>
      </c>
      <c r="W100" s="201">
        <f t="shared" si="120"/>
        <v>0.54044117647058831</v>
      </c>
      <c r="X100" s="201">
        <f t="shared" si="140"/>
        <v>0</v>
      </c>
      <c r="Y100" s="205">
        <f t="shared" si="141"/>
        <v>0.64243809523809525</v>
      </c>
      <c r="Z100" s="201">
        <f t="shared" si="121"/>
        <v>0.30637254901960786</v>
      </c>
      <c r="AA100" s="201">
        <f t="shared" si="142"/>
        <v>0.79562436974789918</v>
      </c>
      <c r="AB100" s="206">
        <f t="shared" si="122"/>
        <v>0.43962128472063222</v>
      </c>
      <c r="AC100" s="205">
        <v>0</v>
      </c>
      <c r="AD100" s="201">
        <f t="shared" si="123"/>
        <v>9.6633436989709606E-3</v>
      </c>
      <c r="AE100" s="206">
        <f t="shared" si="143"/>
        <v>9.6633436989709606E-3</v>
      </c>
      <c r="AF100" s="58">
        <f t="shared" si="124"/>
        <v>0.24800000000000003</v>
      </c>
      <c r="AG100" s="61">
        <f t="shared" si="125"/>
        <v>0.24800000000000003</v>
      </c>
      <c r="AH100" s="58">
        <f t="shared" si="126"/>
        <v>2.5704494239262753E-2</v>
      </c>
      <c r="AI100" s="49">
        <f t="shared" si="127"/>
        <v>2.4115717837573896</v>
      </c>
      <c r="AJ100" s="61">
        <f t="shared" si="144"/>
        <v>2.4372762779966521</v>
      </c>
      <c r="AK100" s="269">
        <f t="shared" si="128"/>
        <v>12.4</v>
      </c>
      <c r="AL100" s="268">
        <f t="shared" si="129"/>
        <v>5</v>
      </c>
      <c r="AM100" s="270">
        <f t="shared" si="145"/>
        <v>2.48</v>
      </c>
      <c r="AN100" s="269">
        <f t="shared" si="146"/>
        <v>2</v>
      </c>
      <c r="AO100" s="268">
        <f t="shared" si="147"/>
        <v>0.54044117647058831</v>
      </c>
      <c r="AP100" s="268">
        <f t="shared" si="148"/>
        <v>4.5888435374149656</v>
      </c>
      <c r="AQ100" s="268">
        <f t="shared" si="149"/>
        <v>2.1883753501400562</v>
      </c>
      <c r="AR100" s="268">
        <f t="shared" si="172"/>
        <v>5.6830312124849938</v>
      </c>
      <c r="AS100" s="270">
        <f t="shared" si="173"/>
        <v>3.4052918287226359</v>
      </c>
      <c r="AT100" s="269"/>
      <c r="AU100" s="268">
        <f t="shared" si="150"/>
        <v>6.1504000000000003E-2</v>
      </c>
      <c r="AV100" s="270">
        <f t="shared" si="174"/>
        <v>6.1504000000000003E-2</v>
      </c>
      <c r="AW100" s="269">
        <f t="shared" si="151"/>
        <v>0.11424000000000001</v>
      </c>
      <c r="AX100" s="268">
        <f t="shared" si="152"/>
        <v>1.24</v>
      </c>
      <c r="AY100" s="270">
        <f t="shared" si="175"/>
        <v>1.3542399999999999</v>
      </c>
      <c r="AZ100" s="263">
        <f t="shared" si="130"/>
        <v>0</v>
      </c>
      <c r="BA100" s="262">
        <f t="shared" si="131"/>
        <v>0</v>
      </c>
      <c r="BB100" s="262">
        <f t="shared" si="176"/>
        <v>0</v>
      </c>
      <c r="BC100" s="264" t="e">
        <f t="shared" si="153"/>
        <v>#DIV/0!</v>
      </c>
      <c r="BD100" s="263">
        <v>0</v>
      </c>
      <c r="BE100" s="262">
        <f t="shared" si="154"/>
        <v>0</v>
      </c>
      <c r="BF100" s="264">
        <f t="shared" si="177"/>
        <v>0</v>
      </c>
      <c r="BG100" s="263">
        <f t="shared" si="155"/>
        <v>0</v>
      </c>
      <c r="BH100" s="262">
        <f t="shared" si="156"/>
        <v>0</v>
      </c>
      <c r="BI100" s="264">
        <f t="shared" si="157"/>
        <v>0</v>
      </c>
      <c r="BK100" s="258">
        <f t="shared" si="132"/>
        <v>0</v>
      </c>
      <c r="BL100" s="257">
        <f t="shared" si="133"/>
        <v>0</v>
      </c>
      <c r="BM100" s="257">
        <f t="shared" si="134"/>
        <v>0</v>
      </c>
      <c r="BN100" s="259">
        <f t="shared" si="158"/>
        <v>0</v>
      </c>
      <c r="BO100" s="258">
        <v>0</v>
      </c>
      <c r="BP100" s="257">
        <f t="shared" si="159"/>
        <v>0</v>
      </c>
      <c r="BQ100" s="259">
        <f t="shared" si="178"/>
        <v>0</v>
      </c>
      <c r="BR100" s="258">
        <f t="shared" si="160"/>
        <v>0</v>
      </c>
      <c r="BS100" s="257">
        <f t="shared" si="161"/>
        <v>0</v>
      </c>
      <c r="BT100" s="259">
        <f t="shared" si="179"/>
        <v>0</v>
      </c>
      <c r="BU100" s="275">
        <f t="shared" si="135"/>
        <v>0</v>
      </c>
      <c r="BV100" s="274">
        <f t="shared" si="136"/>
        <v>0</v>
      </c>
      <c r="BW100" s="274">
        <f t="shared" si="137"/>
        <v>0</v>
      </c>
      <c r="BX100" s="276">
        <f t="shared" si="162"/>
        <v>0</v>
      </c>
      <c r="BY100" s="275">
        <v>0</v>
      </c>
      <c r="BZ100" s="274">
        <f t="shared" si="163"/>
        <v>0</v>
      </c>
      <c r="CA100" s="276">
        <f t="shared" si="180"/>
        <v>0</v>
      </c>
      <c r="CB100" s="275">
        <f t="shared" si="164"/>
        <v>0</v>
      </c>
      <c r="CC100" s="274">
        <f t="shared" si="165"/>
        <v>0</v>
      </c>
      <c r="CD100" s="276">
        <f t="shared" si="181"/>
        <v>0</v>
      </c>
      <c r="CE100" s="58">
        <f t="shared" si="166"/>
        <v>3.6720706056089646E-2</v>
      </c>
      <c r="CF100" s="49">
        <f t="shared" si="138"/>
        <v>7.3499999999999996E-2</v>
      </c>
      <c r="CG100" s="61">
        <f t="shared" si="182"/>
        <v>3.2340000000000001E-2</v>
      </c>
      <c r="CH100" s="49">
        <f t="shared" si="183"/>
        <v>9.6633436989709606E-3</v>
      </c>
      <c r="CI100" s="49">
        <f t="shared" si="184"/>
        <v>4.5012443277517136</v>
      </c>
      <c r="CJ100" s="49">
        <f t="shared" si="167"/>
        <v>73.367379108526919</v>
      </c>
      <c r="CN100" s="49">
        <f t="shared" si="168"/>
        <v>1.3542399999999999</v>
      </c>
      <c r="CO100" s="49">
        <f t="shared" si="169"/>
        <v>0</v>
      </c>
      <c r="CP100" s="49">
        <f t="shared" si="170"/>
        <v>0</v>
      </c>
      <c r="CQ100" s="49" t="str">
        <f t="shared" si="139"/>
        <v/>
      </c>
    </row>
    <row r="101" spans="12:95" x14ac:dyDescent="0.45">
      <c r="L101" s="49">
        <f t="shared" si="171"/>
        <v>62.666666666666671</v>
      </c>
      <c r="Q101" s="49">
        <v>94</v>
      </c>
      <c r="R101" s="278">
        <f t="shared" si="115"/>
        <v>12.533333333333333</v>
      </c>
      <c r="S101" s="201">
        <f t="shared" si="116"/>
        <v>42</v>
      </c>
      <c r="T101" s="206">
        <f t="shared" si="117"/>
        <v>0.29841269841269841</v>
      </c>
      <c r="U101" s="205">
        <f t="shared" si="118"/>
        <v>2</v>
      </c>
      <c r="V101" s="201">
        <f t="shared" si="119"/>
        <v>0.45955882352941174</v>
      </c>
      <c r="W101" s="201">
        <f t="shared" si="120"/>
        <v>0.54044117647058831</v>
      </c>
      <c r="X101" s="201">
        <f t="shared" si="140"/>
        <v>0</v>
      </c>
      <c r="Y101" s="205">
        <f t="shared" si="141"/>
        <v>0.64934603174603178</v>
      </c>
      <c r="Z101" s="201">
        <f t="shared" si="121"/>
        <v>0.30637254901960786</v>
      </c>
      <c r="AA101" s="201">
        <f t="shared" si="142"/>
        <v>0.80253230625583571</v>
      </c>
      <c r="AB101" s="206">
        <f t="shared" si="122"/>
        <v>0.44426093230200314</v>
      </c>
      <c r="AC101" s="205">
        <v>0</v>
      </c>
      <c r="AD101" s="201">
        <f t="shared" si="123"/>
        <v>9.8683887984922503E-3</v>
      </c>
      <c r="AE101" s="206">
        <f t="shared" si="143"/>
        <v>9.8683887984922503E-3</v>
      </c>
      <c r="AF101" s="58">
        <f t="shared" si="124"/>
        <v>0.25066666666666665</v>
      </c>
      <c r="AG101" s="61">
        <f t="shared" si="125"/>
        <v>0.25066666666666665</v>
      </c>
      <c r="AH101" s="58">
        <f t="shared" si="126"/>
        <v>2.6249914203989387E-2</v>
      </c>
      <c r="AI101" s="49">
        <f t="shared" si="127"/>
        <v>2.4375026631526304</v>
      </c>
      <c r="AJ101" s="61">
        <f t="shared" si="144"/>
        <v>2.4637525773566198</v>
      </c>
      <c r="AK101" s="269">
        <f t="shared" si="128"/>
        <v>12.533333333333333</v>
      </c>
      <c r="AL101" s="268">
        <f t="shared" si="129"/>
        <v>5</v>
      </c>
      <c r="AM101" s="270">
        <f t="shared" si="145"/>
        <v>2.5066666666666668</v>
      </c>
      <c r="AN101" s="269">
        <f t="shared" si="146"/>
        <v>2</v>
      </c>
      <c r="AO101" s="268">
        <f t="shared" si="147"/>
        <v>0.54044117647058831</v>
      </c>
      <c r="AP101" s="268">
        <f t="shared" si="148"/>
        <v>4.6381859410430835</v>
      </c>
      <c r="AQ101" s="268">
        <f t="shared" si="149"/>
        <v>2.1883753501400562</v>
      </c>
      <c r="AR101" s="268">
        <f t="shared" si="172"/>
        <v>5.7323736161131116</v>
      </c>
      <c r="AS101" s="270">
        <f t="shared" si="173"/>
        <v>3.4412303843524779</v>
      </c>
      <c r="AT101" s="269"/>
      <c r="AU101" s="268">
        <f t="shared" si="150"/>
        <v>6.2833777777777794E-2</v>
      </c>
      <c r="AV101" s="270">
        <f t="shared" si="174"/>
        <v>6.2833777777777794E-2</v>
      </c>
      <c r="AW101" s="269">
        <f t="shared" si="151"/>
        <v>0.11424000000000001</v>
      </c>
      <c r="AX101" s="268">
        <f t="shared" si="152"/>
        <v>1.2533333333333334</v>
      </c>
      <c r="AY101" s="270">
        <f t="shared" si="175"/>
        <v>1.3675733333333335</v>
      </c>
      <c r="AZ101" s="263">
        <f t="shared" si="130"/>
        <v>0</v>
      </c>
      <c r="BA101" s="262">
        <f t="shared" si="131"/>
        <v>0</v>
      </c>
      <c r="BB101" s="262">
        <f t="shared" si="176"/>
        <v>0</v>
      </c>
      <c r="BC101" s="264" t="e">
        <f t="shared" si="153"/>
        <v>#DIV/0!</v>
      </c>
      <c r="BD101" s="263">
        <v>0</v>
      </c>
      <c r="BE101" s="262">
        <f t="shared" si="154"/>
        <v>0</v>
      </c>
      <c r="BF101" s="264">
        <f t="shared" si="177"/>
        <v>0</v>
      </c>
      <c r="BG101" s="263">
        <f t="shared" si="155"/>
        <v>0</v>
      </c>
      <c r="BH101" s="262">
        <f t="shared" si="156"/>
        <v>0</v>
      </c>
      <c r="BI101" s="264">
        <f t="shared" si="157"/>
        <v>0</v>
      </c>
      <c r="BK101" s="258">
        <f t="shared" si="132"/>
        <v>0</v>
      </c>
      <c r="BL101" s="257">
        <f t="shared" si="133"/>
        <v>0</v>
      </c>
      <c r="BM101" s="257">
        <f t="shared" si="134"/>
        <v>0</v>
      </c>
      <c r="BN101" s="259">
        <f t="shared" si="158"/>
        <v>0</v>
      </c>
      <c r="BO101" s="258">
        <v>0</v>
      </c>
      <c r="BP101" s="257">
        <f t="shared" si="159"/>
        <v>0</v>
      </c>
      <c r="BQ101" s="259">
        <f t="shared" si="178"/>
        <v>0</v>
      </c>
      <c r="BR101" s="258">
        <f t="shared" si="160"/>
        <v>0</v>
      </c>
      <c r="BS101" s="257">
        <f t="shared" si="161"/>
        <v>0</v>
      </c>
      <c r="BT101" s="259">
        <f t="shared" si="179"/>
        <v>0</v>
      </c>
      <c r="BU101" s="275">
        <f t="shared" si="135"/>
        <v>0</v>
      </c>
      <c r="BV101" s="274">
        <f t="shared" si="136"/>
        <v>0</v>
      </c>
      <c r="BW101" s="274">
        <f t="shared" si="137"/>
        <v>0</v>
      </c>
      <c r="BX101" s="276">
        <f t="shared" si="162"/>
        <v>0</v>
      </c>
      <c r="BY101" s="275">
        <v>0</v>
      </c>
      <c r="BZ101" s="274">
        <f t="shared" si="163"/>
        <v>0</v>
      </c>
      <c r="CA101" s="276">
        <f t="shared" si="180"/>
        <v>0</v>
      </c>
      <c r="CB101" s="275">
        <f t="shared" si="164"/>
        <v>0</v>
      </c>
      <c r="CC101" s="274">
        <f t="shared" si="165"/>
        <v>0</v>
      </c>
      <c r="CD101" s="276">
        <f t="shared" si="181"/>
        <v>0</v>
      </c>
      <c r="CE101" s="58">
        <f t="shared" si="166"/>
        <v>3.7499877434270551E-2</v>
      </c>
      <c r="CF101" s="49">
        <f t="shared" si="138"/>
        <v>7.3499999999999996E-2</v>
      </c>
      <c r="CG101" s="61">
        <f t="shared" si="182"/>
        <v>3.2340000000000001E-2</v>
      </c>
      <c r="CH101" s="49">
        <f t="shared" si="183"/>
        <v>9.8683887984922503E-3</v>
      </c>
      <c r="CI101" s="49">
        <f t="shared" si="184"/>
        <v>4.5487012880338265</v>
      </c>
      <c r="CJ101" s="49">
        <f t="shared" si="167"/>
        <v>73.371431513526744</v>
      </c>
      <c r="CN101" s="49">
        <f t="shared" si="168"/>
        <v>1.3675733333333335</v>
      </c>
      <c r="CO101" s="49">
        <f t="shared" si="169"/>
        <v>0</v>
      </c>
      <c r="CP101" s="49">
        <f t="shared" si="170"/>
        <v>0</v>
      </c>
      <c r="CQ101" s="49" t="str">
        <f t="shared" si="139"/>
        <v/>
      </c>
    </row>
    <row r="102" spans="12:95" x14ac:dyDescent="0.45">
      <c r="L102" s="49">
        <f t="shared" si="171"/>
        <v>63.333333333333329</v>
      </c>
      <c r="Q102" s="49">
        <v>95</v>
      </c>
      <c r="R102" s="278">
        <f t="shared" si="115"/>
        <v>12.666666666666666</v>
      </c>
      <c r="S102" s="201">
        <f t="shared" si="116"/>
        <v>42</v>
      </c>
      <c r="T102" s="206">
        <f t="shared" si="117"/>
        <v>0.30158730158730157</v>
      </c>
      <c r="U102" s="205">
        <f t="shared" si="118"/>
        <v>2</v>
      </c>
      <c r="V102" s="201">
        <f t="shared" si="119"/>
        <v>0.45955882352941174</v>
      </c>
      <c r="W102" s="201">
        <f t="shared" si="120"/>
        <v>0.54044117647058831</v>
      </c>
      <c r="X102" s="201">
        <f t="shared" si="140"/>
        <v>0</v>
      </c>
      <c r="Y102" s="205">
        <f t="shared" si="141"/>
        <v>0.6562539682539682</v>
      </c>
      <c r="Z102" s="201">
        <f t="shared" si="121"/>
        <v>0.30637254901960786</v>
      </c>
      <c r="AA102" s="201">
        <f t="shared" si="142"/>
        <v>0.80944024276377213</v>
      </c>
      <c r="AB102" s="206">
        <f t="shared" si="122"/>
        <v>0.44890147902920402</v>
      </c>
      <c r="AC102" s="205">
        <v>0</v>
      </c>
      <c r="AD102" s="201">
        <f t="shared" si="123"/>
        <v>1.0075626893730346E-2</v>
      </c>
      <c r="AE102" s="206">
        <f t="shared" si="143"/>
        <v>1.0075626893730346E-2</v>
      </c>
      <c r="AF102" s="58">
        <f t="shared" si="124"/>
        <v>0.2533333333333333</v>
      </c>
      <c r="AG102" s="61">
        <f t="shared" si="125"/>
        <v>0.2533333333333333</v>
      </c>
      <c r="AH102" s="58">
        <f t="shared" si="126"/>
        <v>2.6801167537322718E-2</v>
      </c>
      <c r="AI102" s="49">
        <f t="shared" si="127"/>
        <v>2.4634335425478708</v>
      </c>
      <c r="AJ102" s="61">
        <f t="shared" si="144"/>
        <v>2.4902347100851934</v>
      </c>
      <c r="AK102" s="269">
        <f t="shared" si="128"/>
        <v>12.666666666666666</v>
      </c>
      <c r="AL102" s="268">
        <f t="shared" si="129"/>
        <v>5</v>
      </c>
      <c r="AM102" s="270">
        <f t="shared" si="145"/>
        <v>2.5333333333333332</v>
      </c>
      <c r="AN102" s="269">
        <f t="shared" si="146"/>
        <v>2</v>
      </c>
      <c r="AO102" s="268">
        <f t="shared" si="147"/>
        <v>0.54044117647058831</v>
      </c>
      <c r="AP102" s="268">
        <f t="shared" si="148"/>
        <v>4.6875283446712013</v>
      </c>
      <c r="AQ102" s="268">
        <f t="shared" si="149"/>
        <v>2.1883753501400562</v>
      </c>
      <c r="AR102" s="268">
        <f t="shared" si="172"/>
        <v>5.7817160197412294</v>
      </c>
      <c r="AS102" s="270">
        <f t="shared" si="173"/>
        <v>3.4771759047359705</v>
      </c>
      <c r="AT102" s="269"/>
      <c r="AU102" s="268">
        <f t="shared" si="150"/>
        <v>6.4177777777777778E-2</v>
      </c>
      <c r="AV102" s="270">
        <f t="shared" si="174"/>
        <v>6.4177777777777778E-2</v>
      </c>
      <c r="AW102" s="269">
        <f t="shared" si="151"/>
        <v>0.11424000000000001</v>
      </c>
      <c r="AX102" s="268">
        <f t="shared" si="152"/>
        <v>1.2666666666666666</v>
      </c>
      <c r="AY102" s="270">
        <f t="shared" si="175"/>
        <v>1.3809066666666667</v>
      </c>
      <c r="AZ102" s="263">
        <f t="shared" si="130"/>
        <v>0</v>
      </c>
      <c r="BA102" s="262">
        <f t="shared" si="131"/>
        <v>0</v>
      </c>
      <c r="BB102" s="262">
        <f t="shared" si="176"/>
        <v>0</v>
      </c>
      <c r="BC102" s="264" t="e">
        <f t="shared" si="153"/>
        <v>#DIV/0!</v>
      </c>
      <c r="BD102" s="263">
        <v>0</v>
      </c>
      <c r="BE102" s="262">
        <f t="shared" si="154"/>
        <v>0</v>
      </c>
      <c r="BF102" s="264">
        <f t="shared" si="177"/>
        <v>0</v>
      </c>
      <c r="BG102" s="263">
        <f t="shared" si="155"/>
        <v>0</v>
      </c>
      <c r="BH102" s="262">
        <f t="shared" si="156"/>
        <v>0</v>
      </c>
      <c r="BI102" s="264">
        <f t="shared" si="157"/>
        <v>0</v>
      </c>
      <c r="BK102" s="258">
        <f t="shared" si="132"/>
        <v>0</v>
      </c>
      <c r="BL102" s="257">
        <f t="shared" si="133"/>
        <v>0</v>
      </c>
      <c r="BM102" s="257">
        <f t="shared" si="134"/>
        <v>0</v>
      </c>
      <c r="BN102" s="259">
        <f t="shared" si="158"/>
        <v>0</v>
      </c>
      <c r="BO102" s="258">
        <v>0</v>
      </c>
      <c r="BP102" s="257">
        <f t="shared" si="159"/>
        <v>0</v>
      </c>
      <c r="BQ102" s="259">
        <f t="shared" si="178"/>
        <v>0</v>
      </c>
      <c r="BR102" s="258">
        <f t="shared" si="160"/>
        <v>0</v>
      </c>
      <c r="BS102" s="257">
        <f t="shared" si="161"/>
        <v>0</v>
      </c>
      <c r="BT102" s="259">
        <f t="shared" si="179"/>
        <v>0</v>
      </c>
      <c r="BU102" s="275">
        <f t="shared" si="135"/>
        <v>0</v>
      </c>
      <c r="BV102" s="274">
        <f t="shared" si="136"/>
        <v>0</v>
      </c>
      <c r="BW102" s="274">
        <f t="shared" si="137"/>
        <v>0</v>
      </c>
      <c r="BX102" s="276">
        <f t="shared" si="162"/>
        <v>0</v>
      </c>
      <c r="BY102" s="275">
        <v>0</v>
      </c>
      <c r="BZ102" s="274">
        <f t="shared" si="163"/>
        <v>0</v>
      </c>
      <c r="CA102" s="276">
        <f t="shared" si="180"/>
        <v>0</v>
      </c>
      <c r="CB102" s="275">
        <f t="shared" si="164"/>
        <v>0</v>
      </c>
      <c r="CC102" s="274">
        <f t="shared" si="165"/>
        <v>0</v>
      </c>
      <c r="CD102" s="276">
        <f t="shared" si="181"/>
        <v>0</v>
      </c>
      <c r="CE102" s="58">
        <f t="shared" si="166"/>
        <v>3.8287382196175314E-2</v>
      </c>
      <c r="CF102" s="49">
        <f t="shared" si="138"/>
        <v>7.3499999999999996E-2</v>
      </c>
      <c r="CG102" s="61">
        <f t="shared" si="182"/>
        <v>3.2340000000000001E-2</v>
      </c>
      <c r="CH102" s="49">
        <f t="shared" si="183"/>
        <v>1.0075626893730346E-2</v>
      </c>
      <c r="CI102" s="49">
        <f t="shared" si="184"/>
        <v>4.5961888302862093</v>
      </c>
      <c r="CJ102" s="49">
        <f t="shared" si="167"/>
        <v>73.375269050375252</v>
      </c>
      <c r="CN102" s="49">
        <f t="shared" si="168"/>
        <v>1.3809066666666667</v>
      </c>
      <c r="CO102" s="49">
        <f t="shared" si="169"/>
        <v>0</v>
      </c>
      <c r="CP102" s="49">
        <f t="shared" si="170"/>
        <v>0</v>
      </c>
      <c r="CQ102" s="49" t="str">
        <f t="shared" si="139"/>
        <v/>
      </c>
    </row>
    <row r="103" spans="12:95" x14ac:dyDescent="0.45">
      <c r="L103" s="49">
        <f t="shared" si="171"/>
        <v>64</v>
      </c>
      <c r="Q103" s="49">
        <v>96</v>
      </c>
      <c r="R103" s="278">
        <f t="shared" si="115"/>
        <v>12.8</v>
      </c>
      <c r="S103" s="201">
        <f t="shared" si="116"/>
        <v>42</v>
      </c>
      <c r="T103" s="206">
        <f t="shared" ref="T103:T134" si="185">(R103)/(S103*EFF_est)</f>
        <v>0.30476190476190479</v>
      </c>
      <c r="U103" s="205">
        <f t="shared" ref="U103:U134" si="186">IF(R103&lt;((((Np/NS1_)*(AL103)/((S103+((Np/NS1_)*(AL103)))))^2)*(S103^2))/(2*Lm*Fsw),1,2)</f>
        <v>2</v>
      </c>
      <c r="V103" s="201">
        <f t="shared" ref="V103:V134" si="187">CHOOSE(U103,SQRT((2*Lm*R103*Fsw)/((S103^2)*EFF_est)),(((Np/NS1_)*(AL103))/(S103+((Np/NS1_)*(AL103)))))</f>
        <v>0.45955882352941174</v>
      </c>
      <c r="W103" s="201">
        <f t="shared" ref="W103:W134" si="188">CHOOSE(U103,(NS1_*S103*V103)/(Np*AL103),1-V103)</f>
        <v>0.54044117647058831</v>
      </c>
      <c r="X103" s="201">
        <f t="shared" si="140"/>
        <v>0</v>
      </c>
      <c r="Y103" s="205">
        <f t="shared" si="141"/>
        <v>0.66316190476190484</v>
      </c>
      <c r="Z103" s="201">
        <f t="shared" ref="Z103:Z134" si="189">(S103*V103)/(Lm*Fsw)</f>
        <v>0.30637254901960786</v>
      </c>
      <c r="AA103" s="201">
        <f t="shared" si="142"/>
        <v>0.81634817927170877</v>
      </c>
      <c r="AB103" s="206">
        <f t="shared" ref="AB103:AB134" si="190">CHOOSE(U103,AA103*SQRT(V103/3),SQRT(V103*((AA103^2)+((Z103^2)/(3))-(AA103*Z103))))</f>
        <v>0.45354289730267522</v>
      </c>
      <c r="AC103" s="205">
        <v>0</v>
      </c>
      <c r="AD103" s="201">
        <f t="shared" ref="AD103:AD134" si="191">(AB103^2)*Rdcr</f>
        <v>1.028505798468525E-2</v>
      </c>
      <c r="AE103" s="206">
        <f t="shared" si="143"/>
        <v>1.028505798468525E-2</v>
      </c>
      <c r="AF103" s="58">
        <f t="shared" ref="AF103:AF134" si="192">R103*0.02</f>
        <v>0.25600000000000001</v>
      </c>
      <c r="AG103" s="61">
        <f t="shared" ref="AG103:AG134" si="193">R103*0.02</f>
        <v>0.25600000000000001</v>
      </c>
      <c r="AH103" s="58">
        <f t="shared" ref="AH103:AH134" si="194">(AB103^2)*RDS_on</f>
        <v>2.7358254239262768E-2</v>
      </c>
      <c r="AI103" s="49">
        <f t="shared" ref="AI103:AI134" si="195">((Y103*(S103+((Np/NS1_)*VOUT1)))/2)*Fsw*(tr_sw+tf_sw)</f>
        <v>2.4893644219431126</v>
      </c>
      <c r="AJ103" s="61">
        <f t="shared" si="144"/>
        <v>2.5167226761823756</v>
      </c>
      <c r="AK103" s="269">
        <f t="shared" ref="AK103:AK134" si="196">Q103*$B$11</f>
        <v>12.8</v>
      </c>
      <c r="AL103" s="268">
        <f t="shared" si="129"/>
        <v>5</v>
      </c>
      <c r="AM103" s="270">
        <f t="shared" si="145"/>
        <v>2.56</v>
      </c>
      <c r="AN103" s="269">
        <f t="shared" si="146"/>
        <v>2</v>
      </c>
      <c r="AO103" s="268">
        <f t="shared" si="147"/>
        <v>0.5404411764705882</v>
      </c>
      <c r="AP103" s="268">
        <f t="shared" si="148"/>
        <v>4.73687074829932</v>
      </c>
      <c r="AQ103" s="268">
        <f t="shared" si="149"/>
        <v>2.1883753501400558</v>
      </c>
      <c r="AR103" s="268">
        <f t="shared" si="172"/>
        <v>5.8310584233693481</v>
      </c>
      <c r="AS103" s="270">
        <f t="shared" si="173"/>
        <v>3.5131281760878439</v>
      </c>
      <c r="AT103" s="269"/>
      <c r="AU103" s="268">
        <f t="shared" si="150"/>
        <v>6.5536000000000011E-2</v>
      </c>
      <c r="AV103" s="270">
        <f t="shared" si="174"/>
        <v>6.5536000000000011E-2</v>
      </c>
      <c r="AW103" s="269">
        <f t="shared" si="151"/>
        <v>0.11424000000000001</v>
      </c>
      <c r="AX103" s="268">
        <f t="shared" si="152"/>
        <v>1.28</v>
      </c>
      <c r="AY103" s="270">
        <f t="shared" si="175"/>
        <v>1.3942399999999999</v>
      </c>
      <c r="AZ103" s="263">
        <f t="shared" ref="AZ103:AZ134" si="197">IF(EN_OUT_2=1,Q103*$B$15,0)</f>
        <v>0</v>
      </c>
      <c r="BA103" s="262">
        <f t="shared" ref="BA103:BA134" si="198">IF(EN_OUT_2=1,VOUT2,0)</f>
        <v>0</v>
      </c>
      <c r="BB103" s="262">
        <f t="shared" si="176"/>
        <v>0</v>
      </c>
      <c r="BC103" s="264" t="e">
        <f t="shared" si="153"/>
        <v>#DIV/0!</v>
      </c>
      <c r="BD103" s="263">
        <v>0</v>
      </c>
      <c r="BE103" s="262">
        <f t="shared" si="154"/>
        <v>0</v>
      </c>
      <c r="BF103" s="264">
        <f t="shared" si="177"/>
        <v>0</v>
      </c>
      <c r="BG103" s="263">
        <f t="shared" si="155"/>
        <v>0</v>
      </c>
      <c r="BH103" s="262">
        <f t="shared" si="156"/>
        <v>0</v>
      </c>
      <c r="BI103" s="264">
        <f t="shared" si="157"/>
        <v>0</v>
      </c>
      <c r="BK103" s="258">
        <f t="shared" ref="BK103:BK134" si="199">IF(EN_OUT_3=1,Q103*$B$19,0)</f>
        <v>0</v>
      </c>
      <c r="BL103" s="257">
        <f t="shared" si="133"/>
        <v>0</v>
      </c>
      <c r="BM103" s="257">
        <f t="shared" ref="BM103:BM134" si="200">IF(EN_OUT_3=1,BK103/BL103,0)</f>
        <v>0</v>
      </c>
      <c r="BN103" s="259">
        <f t="shared" si="158"/>
        <v>0</v>
      </c>
      <c r="BO103" s="258">
        <v>0</v>
      </c>
      <c r="BP103" s="257">
        <f t="shared" si="159"/>
        <v>0</v>
      </c>
      <c r="BQ103" s="259">
        <f t="shared" si="178"/>
        <v>0</v>
      </c>
      <c r="BR103" s="258">
        <f t="shared" si="160"/>
        <v>0</v>
      </c>
      <c r="BS103" s="257">
        <f t="shared" si="161"/>
        <v>0</v>
      </c>
      <c r="BT103" s="259">
        <f t="shared" si="179"/>
        <v>0</v>
      </c>
      <c r="BU103" s="275">
        <f t="shared" ref="BU103:BU134" si="201">IF(EN_OUT_4=1,Q103*$B$22,0)</f>
        <v>0</v>
      </c>
      <c r="BV103" s="274">
        <f t="shared" ref="BV103:BV134" si="202">IF(EN_OUT_4=1,VOUT4,0)</f>
        <v>0</v>
      </c>
      <c r="BW103" s="274">
        <f t="shared" ref="BW103:BW134" si="203">IF(EN_OUT_4=1,BU103/BV103,0)</f>
        <v>0</v>
      </c>
      <c r="BX103" s="276">
        <f t="shared" si="162"/>
        <v>0</v>
      </c>
      <c r="BY103" s="275">
        <v>0</v>
      </c>
      <c r="BZ103" s="274">
        <f t="shared" si="163"/>
        <v>0</v>
      </c>
      <c r="CA103" s="276">
        <f t="shared" si="180"/>
        <v>0</v>
      </c>
      <c r="CB103" s="275">
        <f t="shared" si="164"/>
        <v>0</v>
      </c>
      <c r="CC103" s="274">
        <f t="shared" si="165"/>
        <v>0</v>
      </c>
      <c r="CD103" s="276">
        <f t="shared" si="181"/>
        <v>0</v>
      </c>
      <c r="CE103" s="58">
        <f t="shared" si="166"/>
        <v>3.9083220341803948E-2</v>
      </c>
      <c r="CF103" s="49">
        <f t="shared" si="138"/>
        <v>7.3499999999999996E-2</v>
      </c>
      <c r="CG103" s="61">
        <f t="shared" si="182"/>
        <v>3.2340000000000001E-2</v>
      </c>
      <c r="CH103" s="49">
        <f t="shared" si="183"/>
        <v>1.028505798468525E-2</v>
      </c>
      <c r="CI103" s="49">
        <f t="shared" si="184"/>
        <v>4.6437069545088647</v>
      </c>
      <c r="CJ103" s="49">
        <f t="shared" si="167"/>
        <v>73.378898380836674</v>
      </c>
      <c r="CN103" s="49">
        <f t="shared" si="168"/>
        <v>1.3942399999999999</v>
      </c>
      <c r="CO103" s="49">
        <f t="shared" si="169"/>
        <v>0</v>
      </c>
      <c r="CP103" s="49">
        <f t="shared" si="170"/>
        <v>0</v>
      </c>
      <c r="CQ103" s="49" t="str">
        <f t="shared" ref="CQ103:CQ134" si="204">IF(num_VOUT=4,CD103,"")</f>
        <v/>
      </c>
    </row>
    <row r="104" spans="12:95" x14ac:dyDescent="0.45">
      <c r="L104" s="49">
        <f t="shared" si="171"/>
        <v>64.666666666666671</v>
      </c>
      <c r="Q104" s="49">
        <v>97</v>
      </c>
      <c r="R104" s="278">
        <f t="shared" si="115"/>
        <v>12.933333333333334</v>
      </c>
      <c r="S104" s="201">
        <f t="shared" si="116"/>
        <v>42</v>
      </c>
      <c r="T104" s="206">
        <f t="shared" si="185"/>
        <v>0.30793650793650795</v>
      </c>
      <c r="U104" s="205">
        <f t="shared" si="186"/>
        <v>2</v>
      </c>
      <c r="V104" s="201">
        <f t="shared" si="187"/>
        <v>0.45955882352941174</v>
      </c>
      <c r="W104" s="201">
        <f t="shared" si="188"/>
        <v>0.54044117647058831</v>
      </c>
      <c r="X104" s="201">
        <f t="shared" si="140"/>
        <v>0</v>
      </c>
      <c r="Y104" s="205">
        <f t="shared" ref="Y104:Y135" si="205">R104/(S104*EFF_est*V104)</f>
        <v>0.67006984126984126</v>
      </c>
      <c r="Z104" s="201">
        <f t="shared" si="189"/>
        <v>0.30637254901960786</v>
      </c>
      <c r="AA104" s="201">
        <f t="shared" si="142"/>
        <v>0.82325611577964519</v>
      </c>
      <c r="AB104" s="206">
        <f t="shared" si="190"/>
        <v>0.4581851606361112</v>
      </c>
      <c r="AC104" s="205">
        <v>0</v>
      </c>
      <c r="AD104" s="201">
        <f t="shared" si="191"/>
        <v>1.0496682071356952E-2</v>
      </c>
      <c r="AE104" s="206">
        <f t="shared" si="143"/>
        <v>1.0496682071356952E-2</v>
      </c>
      <c r="AF104" s="58">
        <f t="shared" si="192"/>
        <v>0.25866666666666666</v>
      </c>
      <c r="AG104" s="61">
        <f t="shared" si="193"/>
        <v>0.25866666666666666</v>
      </c>
      <c r="AH104" s="58">
        <f t="shared" si="194"/>
        <v>2.7921174309809491E-2</v>
      </c>
      <c r="AI104" s="49">
        <f t="shared" si="195"/>
        <v>2.515295301338353</v>
      </c>
      <c r="AJ104" s="61">
        <f t="shared" si="144"/>
        <v>2.5432164756481623</v>
      </c>
      <c r="AK104" s="269">
        <f t="shared" si="196"/>
        <v>12.933333333333334</v>
      </c>
      <c r="AL104" s="268">
        <f t="shared" si="129"/>
        <v>5</v>
      </c>
      <c r="AM104" s="270">
        <f t="shared" ref="AM104:AM135" si="206">AK104/AL104</f>
        <v>2.5866666666666669</v>
      </c>
      <c r="AN104" s="269">
        <f t="shared" ref="AN104:AN135" si="207">IF(((AL104*AO104)/(Fsw*$AO$2))/2&gt;AP104,1,2)</f>
        <v>2</v>
      </c>
      <c r="AO104" s="268">
        <f t="shared" ref="AO104:AO135" si="208">AM104/AP104</f>
        <v>0.54044117647058831</v>
      </c>
      <c r="AP104" s="268">
        <f t="shared" ref="AP104:AP135" si="209">Np*$Y104*AK104/(R104*NS1_)</f>
        <v>4.7862131519274369</v>
      </c>
      <c r="AQ104" s="268">
        <f t="shared" ref="AQ104:AQ135" si="210">(AL104*AO104)/(Fsw*$AO$2)</f>
        <v>2.1883753501400562</v>
      </c>
      <c r="AR104" s="268">
        <f t="shared" si="172"/>
        <v>5.880400826997465</v>
      </c>
      <c r="AS104" s="270">
        <f t="shared" si="173"/>
        <v>3.5490869932460574</v>
      </c>
      <c r="AT104" s="269"/>
      <c r="AU104" s="268">
        <f t="shared" ref="AU104:AU135" si="211">(AM104^2)*Rdcr1</f>
        <v>6.6908444444444465E-2</v>
      </c>
      <c r="AV104" s="270">
        <f t="shared" si="174"/>
        <v>6.6908444444444465E-2</v>
      </c>
      <c r="AW104" s="269">
        <f t="shared" ref="AW104:AW135" si="212">(VOUT1+((NS1_/Np)*S104))*QRR1_*Fsw</f>
        <v>0.11424000000000001</v>
      </c>
      <c r="AX104" s="268">
        <f t="shared" ref="AX104:AX135" si="213">AM104*VD1_</f>
        <v>1.2933333333333334</v>
      </c>
      <c r="AY104" s="270">
        <f t="shared" si="175"/>
        <v>1.4075733333333336</v>
      </c>
      <c r="AZ104" s="263">
        <f t="shared" si="197"/>
        <v>0</v>
      </c>
      <c r="BA104" s="262">
        <f t="shared" si="198"/>
        <v>0</v>
      </c>
      <c r="BB104" s="262">
        <f t="shared" si="176"/>
        <v>0</v>
      </c>
      <c r="BC104" s="264" t="e">
        <f t="shared" ref="BC104:BC135" si="214">Y104*(Np/NS2_)*(AZ104/R104)</f>
        <v>#DIV/0!</v>
      </c>
      <c r="BD104" s="263">
        <v>0</v>
      </c>
      <c r="BE104" s="262">
        <f t="shared" ref="BE104:BE135" si="215">(BB104^2)*Rdcr2</f>
        <v>0</v>
      </c>
      <c r="BF104" s="264">
        <f t="shared" si="177"/>
        <v>0</v>
      </c>
      <c r="BG104" s="263">
        <f t="shared" ref="BG104:BG135" si="216">(VOUT2+((NS2_/Np)*S104))*QRR2_*Fsw</f>
        <v>0</v>
      </c>
      <c r="BH104" s="262">
        <f t="shared" ref="BH104:BH135" si="217">BB104*VD2_</f>
        <v>0</v>
      </c>
      <c r="BI104" s="264">
        <f t="shared" ref="BI104:BI135" si="218">BH104+BG104</f>
        <v>0</v>
      </c>
      <c r="BK104" s="258">
        <f t="shared" si="199"/>
        <v>0</v>
      </c>
      <c r="BL104" s="257">
        <f t="shared" si="133"/>
        <v>0</v>
      </c>
      <c r="BM104" s="257">
        <f t="shared" si="200"/>
        <v>0</v>
      </c>
      <c r="BN104" s="259">
        <f t="shared" si="158"/>
        <v>0</v>
      </c>
      <c r="BO104" s="258">
        <v>0</v>
      </c>
      <c r="BP104" s="257">
        <f t="shared" ref="BP104:BP135" si="219">(BM104^2)*Rdcr3</f>
        <v>0</v>
      </c>
      <c r="BQ104" s="259">
        <f t="shared" si="178"/>
        <v>0</v>
      </c>
      <c r="BR104" s="258">
        <f t="shared" ref="BR104:BR135" si="220">(VOUT3+((NS3_/Np)*S104))*QRR3_*Fsw</f>
        <v>0</v>
      </c>
      <c r="BS104" s="257">
        <f t="shared" ref="BS104:BS135" si="221">BM104*VD3_</f>
        <v>0</v>
      </c>
      <c r="BT104" s="259">
        <f t="shared" si="179"/>
        <v>0</v>
      </c>
      <c r="BU104" s="275">
        <f t="shared" si="201"/>
        <v>0</v>
      </c>
      <c r="BV104" s="274">
        <f t="shared" si="202"/>
        <v>0</v>
      </c>
      <c r="BW104" s="274">
        <f t="shared" si="203"/>
        <v>0</v>
      </c>
      <c r="BX104" s="276">
        <f t="shared" ref="BX104:BX135" si="222">Y104*(Np/NS4_)*(BU104/R104)</f>
        <v>0</v>
      </c>
      <c r="BY104" s="275">
        <v>0</v>
      </c>
      <c r="BZ104" s="274">
        <f t="shared" ref="BZ104:BZ135" si="223">(BW104^2)*Rdcr4</f>
        <v>0</v>
      </c>
      <c r="CA104" s="276">
        <f t="shared" si="180"/>
        <v>0</v>
      </c>
      <c r="CB104" s="275">
        <f t="shared" ref="CB104:CB135" si="224">(VOUT4+((NS4_/Np)*S104))*QRR4_*Fsw</f>
        <v>0</v>
      </c>
      <c r="CC104" s="274">
        <f t="shared" ref="CC104:CC135" si="225">BW104*VD4_</f>
        <v>0</v>
      </c>
      <c r="CD104" s="276">
        <f t="shared" si="181"/>
        <v>0</v>
      </c>
      <c r="CE104" s="58">
        <f t="shared" ref="CE104:CE135" si="226">(AB104^2)*R_cs</f>
        <v>3.9887391871156412E-2</v>
      </c>
      <c r="CF104" s="49">
        <f t="shared" si="138"/>
        <v>7.3499999999999996E-2</v>
      </c>
      <c r="CG104" s="61">
        <f t="shared" si="182"/>
        <v>3.2340000000000001E-2</v>
      </c>
      <c r="CH104" s="49">
        <f t="shared" si="183"/>
        <v>1.0496682071356952E-2</v>
      </c>
      <c r="CI104" s="49">
        <f t="shared" si="184"/>
        <v>4.6912556607017866</v>
      </c>
      <c r="CJ104" s="49">
        <f t="shared" ref="CJ104:CJ135" si="227">(R104/(R104+CI104))*100</f>
        <v>73.382325895432231</v>
      </c>
      <c r="CN104" s="49">
        <f t="shared" si="168"/>
        <v>1.4075733333333336</v>
      </c>
      <c r="CO104" s="49">
        <f t="shared" si="169"/>
        <v>0</v>
      </c>
      <c r="CP104" s="49">
        <f t="shared" si="170"/>
        <v>0</v>
      </c>
      <c r="CQ104" s="49" t="str">
        <f t="shared" si="204"/>
        <v/>
      </c>
    </row>
    <row r="105" spans="12:95" x14ac:dyDescent="0.45">
      <c r="L105" s="49">
        <f t="shared" si="171"/>
        <v>65.333333333333329</v>
      </c>
      <c r="Q105" s="49">
        <v>98</v>
      </c>
      <c r="R105" s="278">
        <f t="shared" si="115"/>
        <v>13.066666666666666</v>
      </c>
      <c r="S105" s="201">
        <f t="shared" si="116"/>
        <v>42</v>
      </c>
      <c r="T105" s="206">
        <f t="shared" si="185"/>
        <v>0.31111111111111112</v>
      </c>
      <c r="U105" s="205">
        <f t="shared" si="186"/>
        <v>2</v>
      </c>
      <c r="V105" s="201">
        <f t="shared" si="187"/>
        <v>0.45955882352941174</v>
      </c>
      <c r="W105" s="201">
        <f t="shared" si="188"/>
        <v>0.54044117647058831</v>
      </c>
      <c r="X105" s="201">
        <f t="shared" si="140"/>
        <v>0</v>
      </c>
      <c r="Y105" s="205">
        <f t="shared" si="205"/>
        <v>0.67697777777777779</v>
      </c>
      <c r="Z105" s="201">
        <f t="shared" si="189"/>
        <v>0.30637254901960786</v>
      </c>
      <c r="AA105" s="201">
        <f t="shared" si="142"/>
        <v>0.83016405228758172</v>
      </c>
      <c r="AB105" s="206">
        <f t="shared" si="190"/>
        <v>0.46282824360113256</v>
      </c>
      <c r="AC105" s="205">
        <v>0</v>
      </c>
      <c r="AD105" s="201">
        <f t="shared" si="191"/>
        <v>1.0710499153745466E-2</v>
      </c>
      <c r="AE105" s="206">
        <f t="shared" si="143"/>
        <v>1.0710499153745466E-2</v>
      </c>
      <c r="AF105" s="58">
        <f t="shared" si="192"/>
        <v>0.26133333333333331</v>
      </c>
      <c r="AG105" s="61">
        <f t="shared" si="193"/>
        <v>0.26133333333333331</v>
      </c>
      <c r="AH105" s="58">
        <f t="shared" si="194"/>
        <v>2.8489927748962939E-2</v>
      </c>
      <c r="AI105" s="49">
        <f t="shared" si="195"/>
        <v>2.5412261807335934</v>
      </c>
      <c r="AJ105" s="61">
        <f t="shared" si="144"/>
        <v>2.5697161084825564</v>
      </c>
      <c r="AK105" s="269">
        <f t="shared" si="196"/>
        <v>13.066666666666666</v>
      </c>
      <c r="AL105" s="268">
        <f t="shared" si="129"/>
        <v>5</v>
      </c>
      <c r="AM105" s="270">
        <f t="shared" si="206"/>
        <v>2.6133333333333333</v>
      </c>
      <c r="AN105" s="269">
        <f t="shared" si="207"/>
        <v>2</v>
      </c>
      <c r="AO105" s="268">
        <f t="shared" si="208"/>
        <v>0.5404411764705882</v>
      </c>
      <c r="AP105" s="268">
        <f t="shared" si="209"/>
        <v>4.8355555555555556</v>
      </c>
      <c r="AQ105" s="268">
        <f t="shared" si="210"/>
        <v>2.1883753501400558</v>
      </c>
      <c r="AR105" s="268">
        <f t="shared" si="172"/>
        <v>5.9297432306255837</v>
      </c>
      <c r="AS105" s="270">
        <f t="shared" si="173"/>
        <v>3.5850521592432316</v>
      </c>
      <c r="AT105" s="269"/>
      <c r="AU105" s="268">
        <f t="shared" si="211"/>
        <v>6.8295111111111112E-2</v>
      </c>
      <c r="AV105" s="270">
        <f t="shared" si="174"/>
        <v>6.8295111111111112E-2</v>
      </c>
      <c r="AW105" s="269">
        <f t="shared" si="212"/>
        <v>0.11424000000000001</v>
      </c>
      <c r="AX105" s="268">
        <f t="shared" si="213"/>
        <v>1.3066666666666666</v>
      </c>
      <c r="AY105" s="270">
        <f t="shared" si="175"/>
        <v>1.4209066666666668</v>
      </c>
      <c r="AZ105" s="263">
        <f t="shared" si="197"/>
        <v>0</v>
      </c>
      <c r="BA105" s="262">
        <f t="shared" si="198"/>
        <v>0</v>
      </c>
      <c r="BB105" s="262">
        <f t="shared" si="176"/>
        <v>0</v>
      </c>
      <c r="BC105" s="264" t="e">
        <f t="shared" si="214"/>
        <v>#DIV/0!</v>
      </c>
      <c r="BD105" s="263">
        <v>0</v>
      </c>
      <c r="BE105" s="262">
        <f t="shared" si="215"/>
        <v>0</v>
      </c>
      <c r="BF105" s="264">
        <f t="shared" si="177"/>
        <v>0</v>
      </c>
      <c r="BG105" s="263">
        <f t="shared" si="216"/>
        <v>0</v>
      </c>
      <c r="BH105" s="262">
        <f t="shared" si="217"/>
        <v>0</v>
      </c>
      <c r="BI105" s="264">
        <f t="shared" si="218"/>
        <v>0</v>
      </c>
      <c r="BK105" s="258">
        <f t="shared" si="199"/>
        <v>0</v>
      </c>
      <c r="BL105" s="257">
        <f t="shared" si="133"/>
        <v>0</v>
      </c>
      <c r="BM105" s="257">
        <f t="shared" si="200"/>
        <v>0</v>
      </c>
      <c r="BN105" s="259">
        <f t="shared" si="158"/>
        <v>0</v>
      </c>
      <c r="BO105" s="258">
        <v>0</v>
      </c>
      <c r="BP105" s="257">
        <f t="shared" si="219"/>
        <v>0</v>
      </c>
      <c r="BQ105" s="259">
        <f t="shared" si="178"/>
        <v>0</v>
      </c>
      <c r="BR105" s="258">
        <f t="shared" si="220"/>
        <v>0</v>
      </c>
      <c r="BS105" s="257">
        <f t="shared" si="221"/>
        <v>0</v>
      </c>
      <c r="BT105" s="259">
        <f t="shared" si="179"/>
        <v>0</v>
      </c>
      <c r="BU105" s="275">
        <f t="shared" si="201"/>
        <v>0</v>
      </c>
      <c r="BV105" s="274">
        <f t="shared" si="202"/>
        <v>0</v>
      </c>
      <c r="BW105" s="274">
        <f t="shared" si="203"/>
        <v>0</v>
      </c>
      <c r="BX105" s="276">
        <f t="shared" si="222"/>
        <v>0</v>
      </c>
      <c r="BY105" s="275">
        <v>0</v>
      </c>
      <c r="BZ105" s="274">
        <f t="shared" si="223"/>
        <v>0</v>
      </c>
      <c r="CA105" s="276">
        <f t="shared" si="180"/>
        <v>0</v>
      </c>
      <c r="CB105" s="275">
        <f t="shared" si="224"/>
        <v>0</v>
      </c>
      <c r="CC105" s="274">
        <f t="shared" si="225"/>
        <v>0</v>
      </c>
      <c r="CD105" s="276">
        <f t="shared" si="181"/>
        <v>0</v>
      </c>
      <c r="CE105" s="58">
        <f t="shared" si="226"/>
        <v>4.0699896784232768E-2</v>
      </c>
      <c r="CF105" s="49">
        <f t="shared" si="138"/>
        <v>7.3499999999999996E-2</v>
      </c>
      <c r="CG105" s="61">
        <f t="shared" si="182"/>
        <v>3.2340000000000001E-2</v>
      </c>
      <c r="CH105" s="49">
        <f t="shared" si="183"/>
        <v>1.0710499153745466E-2</v>
      </c>
      <c r="CI105" s="49">
        <f t="shared" si="184"/>
        <v>4.7388349488649784</v>
      </c>
      <c r="CJ105" s="49">
        <f t="shared" si="227"/>
        <v>73.385557727105436</v>
      </c>
      <c r="CN105" s="49">
        <f t="shared" si="168"/>
        <v>1.4209066666666668</v>
      </c>
      <c r="CO105" s="49">
        <f t="shared" si="169"/>
        <v>0</v>
      </c>
      <c r="CP105" s="49">
        <f t="shared" si="170"/>
        <v>0</v>
      </c>
      <c r="CQ105" s="49" t="str">
        <f t="shared" si="204"/>
        <v/>
      </c>
    </row>
    <row r="106" spans="12:95" x14ac:dyDescent="0.45">
      <c r="L106" s="49">
        <f t="shared" si="171"/>
        <v>65.999999999999986</v>
      </c>
      <c r="Q106" s="49">
        <v>99</v>
      </c>
      <c r="R106" s="278">
        <f t="shared" si="115"/>
        <v>13.2</v>
      </c>
      <c r="S106" s="201">
        <f t="shared" si="116"/>
        <v>42</v>
      </c>
      <c r="T106" s="206">
        <f t="shared" si="185"/>
        <v>0.31428571428571428</v>
      </c>
      <c r="U106" s="205">
        <f t="shared" si="186"/>
        <v>2</v>
      </c>
      <c r="V106" s="201">
        <f t="shared" si="187"/>
        <v>0.45955882352941174</v>
      </c>
      <c r="W106" s="201">
        <f t="shared" si="188"/>
        <v>0.54044117647058831</v>
      </c>
      <c r="X106" s="201">
        <f t="shared" si="140"/>
        <v>0</v>
      </c>
      <c r="Y106" s="205">
        <f t="shared" si="205"/>
        <v>0.68388571428571432</v>
      </c>
      <c r="Z106" s="201">
        <f t="shared" si="189"/>
        <v>0.30637254901960786</v>
      </c>
      <c r="AA106" s="201">
        <f t="shared" si="142"/>
        <v>0.83707198879551825</v>
      </c>
      <c r="AB106" s="206">
        <f t="shared" si="190"/>
        <v>0.46747212177520869</v>
      </c>
      <c r="AC106" s="205">
        <v>0</v>
      </c>
      <c r="AD106" s="201">
        <f t="shared" si="191"/>
        <v>1.0926509231850777E-2</v>
      </c>
      <c r="AE106" s="206">
        <f t="shared" si="143"/>
        <v>1.0926509231850777E-2</v>
      </c>
      <c r="AF106" s="58">
        <f t="shared" si="192"/>
        <v>0.26400000000000001</v>
      </c>
      <c r="AG106" s="61">
        <f t="shared" si="193"/>
        <v>0.26400000000000001</v>
      </c>
      <c r="AH106" s="58">
        <f t="shared" si="194"/>
        <v>2.906451455672307E-2</v>
      </c>
      <c r="AI106" s="49">
        <f t="shared" si="195"/>
        <v>2.5671570601288343</v>
      </c>
      <c r="AJ106" s="61">
        <f t="shared" si="144"/>
        <v>2.5962215746855573</v>
      </c>
      <c r="AK106" s="269">
        <f t="shared" si="196"/>
        <v>13.2</v>
      </c>
      <c r="AL106" s="268">
        <f t="shared" si="129"/>
        <v>5</v>
      </c>
      <c r="AM106" s="270">
        <f t="shared" si="206"/>
        <v>2.6399999999999997</v>
      </c>
      <c r="AN106" s="269">
        <f t="shared" si="207"/>
        <v>2</v>
      </c>
      <c r="AO106" s="268">
        <f t="shared" si="208"/>
        <v>0.5404411764705882</v>
      </c>
      <c r="AP106" s="268">
        <f t="shared" si="209"/>
        <v>4.8848979591836734</v>
      </c>
      <c r="AQ106" s="268">
        <f t="shared" si="210"/>
        <v>2.1883753501400558</v>
      </c>
      <c r="AR106" s="268">
        <f t="shared" si="172"/>
        <v>5.9790856342537015</v>
      </c>
      <c r="AS106" s="270">
        <f t="shared" si="173"/>
        <v>3.6210234849032585</v>
      </c>
      <c r="AT106" s="269"/>
      <c r="AU106" s="268">
        <f t="shared" si="211"/>
        <v>6.969599999999998E-2</v>
      </c>
      <c r="AV106" s="270">
        <f t="shared" si="174"/>
        <v>6.969599999999998E-2</v>
      </c>
      <c r="AW106" s="269">
        <f t="shared" si="212"/>
        <v>0.11424000000000001</v>
      </c>
      <c r="AX106" s="268">
        <f t="shared" si="213"/>
        <v>1.3199999999999998</v>
      </c>
      <c r="AY106" s="270">
        <f t="shared" si="175"/>
        <v>1.43424</v>
      </c>
      <c r="AZ106" s="263">
        <f t="shared" si="197"/>
        <v>0</v>
      </c>
      <c r="BA106" s="262">
        <f t="shared" si="198"/>
        <v>0</v>
      </c>
      <c r="BB106" s="262">
        <f t="shared" si="176"/>
        <v>0</v>
      </c>
      <c r="BC106" s="264" t="e">
        <f t="shared" si="214"/>
        <v>#DIV/0!</v>
      </c>
      <c r="BD106" s="263">
        <v>0</v>
      </c>
      <c r="BE106" s="262">
        <f t="shared" si="215"/>
        <v>0</v>
      </c>
      <c r="BF106" s="264">
        <f t="shared" si="177"/>
        <v>0</v>
      </c>
      <c r="BG106" s="263">
        <f t="shared" si="216"/>
        <v>0</v>
      </c>
      <c r="BH106" s="262">
        <f t="shared" si="217"/>
        <v>0</v>
      </c>
      <c r="BI106" s="264">
        <f t="shared" si="218"/>
        <v>0</v>
      </c>
      <c r="BK106" s="258">
        <f t="shared" si="199"/>
        <v>0</v>
      </c>
      <c r="BL106" s="257">
        <f t="shared" si="133"/>
        <v>0</v>
      </c>
      <c r="BM106" s="257">
        <f t="shared" si="200"/>
        <v>0</v>
      </c>
      <c r="BN106" s="259">
        <f t="shared" si="158"/>
        <v>0</v>
      </c>
      <c r="BO106" s="258">
        <v>0</v>
      </c>
      <c r="BP106" s="257">
        <f t="shared" si="219"/>
        <v>0</v>
      </c>
      <c r="BQ106" s="259">
        <f t="shared" si="178"/>
        <v>0</v>
      </c>
      <c r="BR106" s="258">
        <f t="shared" si="220"/>
        <v>0</v>
      </c>
      <c r="BS106" s="257">
        <f t="shared" si="221"/>
        <v>0</v>
      </c>
      <c r="BT106" s="259">
        <f t="shared" si="179"/>
        <v>0</v>
      </c>
      <c r="BU106" s="275">
        <f t="shared" si="201"/>
        <v>0</v>
      </c>
      <c r="BV106" s="274">
        <f t="shared" si="202"/>
        <v>0</v>
      </c>
      <c r="BW106" s="274">
        <f t="shared" si="203"/>
        <v>0</v>
      </c>
      <c r="BX106" s="276">
        <f t="shared" si="222"/>
        <v>0</v>
      </c>
      <c r="BY106" s="275">
        <v>0</v>
      </c>
      <c r="BZ106" s="274">
        <f t="shared" si="223"/>
        <v>0</v>
      </c>
      <c r="CA106" s="276">
        <f t="shared" si="180"/>
        <v>0</v>
      </c>
      <c r="CB106" s="275">
        <f t="shared" si="224"/>
        <v>0</v>
      </c>
      <c r="CC106" s="274">
        <f t="shared" si="225"/>
        <v>0</v>
      </c>
      <c r="CD106" s="276">
        <f t="shared" si="181"/>
        <v>0</v>
      </c>
      <c r="CE106" s="58">
        <f t="shared" si="226"/>
        <v>4.1520735081032954E-2</v>
      </c>
      <c r="CF106" s="49">
        <f t="shared" si="138"/>
        <v>7.3499999999999996E-2</v>
      </c>
      <c r="CG106" s="61">
        <f t="shared" si="182"/>
        <v>3.2340000000000001E-2</v>
      </c>
      <c r="CH106" s="49">
        <f t="shared" si="183"/>
        <v>1.0926509231850777E-2</v>
      </c>
      <c r="CI106" s="49">
        <f t="shared" si="184"/>
        <v>4.7864448189984419</v>
      </c>
      <c r="CJ106" s="49">
        <f t="shared" si="227"/>
        <v>73.388599764069596</v>
      </c>
      <c r="CN106" s="49">
        <f t="shared" si="168"/>
        <v>1.43424</v>
      </c>
      <c r="CO106" s="49">
        <f t="shared" si="169"/>
        <v>0</v>
      </c>
      <c r="CP106" s="49">
        <f t="shared" si="170"/>
        <v>0</v>
      </c>
      <c r="CQ106" s="49" t="str">
        <f t="shared" si="204"/>
        <v/>
      </c>
    </row>
    <row r="107" spans="12:95" x14ac:dyDescent="0.45">
      <c r="L107" s="49">
        <f t="shared" si="171"/>
        <v>66.666666666666671</v>
      </c>
      <c r="Q107" s="49">
        <v>100</v>
      </c>
      <c r="R107" s="278">
        <f t="shared" si="115"/>
        <v>13.333333333333334</v>
      </c>
      <c r="S107" s="201">
        <f t="shared" si="116"/>
        <v>42</v>
      </c>
      <c r="T107" s="206">
        <f t="shared" si="185"/>
        <v>0.3174603174603175</v>
      </c>
      <c r="U107" s="205">
        <f t="shared" si="186"/>
        <v>2</v>
      </c>
      <c r="V107" s="201">
        <f t="shared" si="187"/>
        <v>0.45955882352941174</v>
      </c>
      <c r="W107" s="201">
        <f t="shared" si="188"/>
        <v>0.54044117647058831</v>
      </c>
      <c r="X107" s="201">
        <f t="shared" si="140"/>
        <v>0</v>
      </c>
      <c r="Y107" s="205">
        <f t="shared" si="205"/>
        <v>0.69079365079365085</v>
      </c>
      <c r="Z107" s="201">
        <f t="shared" si="189"/>
        <v>0.30637254901960786</v>
      </c>
      <c r="AA107" s="201">
        <f t="shared" si="142"/>
        <v>0.84397992530345478</v>
      </c>
      <c r="AB107" s="206">
        <f t="shared" si="190"/>
        <v>0.4721167716926164</v>
      </c>
      <c r="AC107" s="205">
        <v>0</v>
      </c>
      <c r="AD107" s="201">
        <f t="shared" si="191"/>
        <v>1.1144712305672905E-2</v>
      </c>
      <c r="AE107" s="206">
        <f t="shared" si="143"/>
        <v>1.1144712305672905E-2</v>
      </c>
      <c r="AF107" s="58">
        <f t="shared" si="192"/>
        <v>0.26666666666666666</v>
      </c>
      <c r="AG107" s="61">
        <f t="shared" si="193"/>
        <v>0.26666666666666666</v>
      </c>
      <c r="AH107" s="58">
        <f t="shared" si="194"/>
        <v>2.9644934733089923E-2</v>
      </c>
      <c r="AI107" s="49">
        <f t="shared" si="195"/>
        <v>2.5930879395240751</v>
      </c>
      <c r="AJ107" s="61">
        <f t="shared" si="144"/>
        <v>2.6227328742571649</v>
      </c>
      <c r="AK107" s="269">
        <f t="shared" si="196"/>
        <v>13.333333333333334</v>
      </c>
      <c r="AL107" s="268">
        <f t="shared" si="129"/>
        <v>5</v>
      </c>
      <c r="AM107" s="270">
        <f t="shared" si="206"/>
        <v>2.666666666666667</v>
      </c>
      <c r="AN107" s="269">
        <f t="shared" si="207"/>
        <v>2</v>
      </c>
      <c r="AO107" s="268">
        <f t="shared" si="208"/>
        <v>0.54044117647058831</v>
      </c>
      <c r="AP107" s="268">
        <f t="shared" si="209"/>
        <v>4.9342403628117912</v>
      </c>
      <c r="AQ107" s="268">
        <f t="shared" si="210"/>
        <v>2.1883753501400562</v>
      </c>
      <c r="AR107" s="268">
        <f t="shared" si="172"/>
        <v>6.0284280378818194</v>
      </c>
      <c r="AS107" s="270">
        <f t="shared" si="173"/>
        <v>3.6570007884614251</v>
      </c>
      <c r="AT107" s="269"/>
      <c r="AU107" s="268">
        <f t="shared" si="211"/>
        <v>7.1111111111111125E-2</v>
      </c>
      <c r="AV107" s="270">
        <f t="shared" si="174"/>
        <v>7.1111111111111125E-2</v>
      </c>
      <c r="AW107" s="269">
        <f t="shared" si="212"/>
        <v>0.11424000000000001</v>
      </c>
      <c r="AX107" s="268">
        <f t="shared" si="213"/>
        <v>1.3333333333333335</v>
      </c>
      <c r="AY107" s="270">
        <f t="shared" si="175"/>
        <v>1.4475733333333336</v>
      </c>
      <c r="AZ107" s="263">
        <f t="shared" si="197"/>
        <v>0</v>
      </c>
      <c r="BA107" s="262">
        <f t="shared" si="198"/>
        <v>0</v>
      </c>
      <c r="BB107" s="262">
        <f t="shared" si="176"/>
        <v>0</v>
      </c>
      <c r="BC107" s="264" t="e">
        <f t="shared" si="214"/>
        <v>#DIV/0!</v>
      </c>
      <c r="BD107" s="263">
        <v>0</v>
      </c>
      <c r="BE107" s="262">
        <f t="shared" si="215"/>
        <v>0</v>
      </c>
      <c r="BF107" s="264">
        <f t="shared" si="177"/>
        <v>0</v>
      </c>
      <c r="BG107" s="263">
        <f t="shared" si="216"/>
        <v>0</v>
      </c>
      <c r="BH107" s="262">
        <f t="shared" si="217"/>
        <v>0</v>
      </c>
      <c r="BI107" s="264">
        <f t="shared" si="218"/>
        <v>0</v>
      </c>
      <c r="BK107" s="258">
        <f t="shared" si="199"/>
        <v>0</v>
      </c>
      <c r="BL107" s="257">
        <f t="shared" si="133"/>
        <v>0</v>
      </c>
      <c r="BM107" s="257">
        <f t="shared" si="200"/>
        <v>0</v>
      </c>
      <c r="BN107" s="259">
        <f t="shared" si="158"/>
        <v>0</v>
      </c>
      <c r="BO107" s="258">
        <v>0</v>
      </c>
      <c r="BP107" s="257">
        <f t="shared" si="219"/>
        <v>0</v>
      </c>
      <c r="BQ107" s="259">
        <f t="shared" si="178"/>
        <v>0</v>
      </c>
      <c r="BR107" s="258">
        <f t="shared" si="220"/>
        <v>0</v>
      </c>
      <c r="BS107" s="257">
        <f t="shared" si="221"/>
        <v>0</v>
      </c>
      <c r="BT107" s="259">
        <f t="shared" si="179"/>
        <v>0</v>
      </c>
      <c r="BU107" s="275">
        <f t="shared" si="201"/>
        <v>0</v>
      </c>
      <c r="BV107" s="274">
        <f t="shared" si="202"/>
        <v>0</v>
      </c>
      <c r="BW107" s="274">
        <f t="shared" si="203"/>
        <v>0</v>
      </c>
      <c r="BX107" s="276">
        <f t="shared" si="222"/>
        <v>0</v>
      </c>
      <c r="BY107" s="275">
        <v>0</v>
      </c>
      <c r="BZ107" s="274">
        <f t="shared" si="223"/>
        <v>0</v>
      </c>
      <c r="CA107" s="276">
        <f t="shared" si="180"/>
        <v>0</v>
      </c>
      <c r="CB107" s="275">
        <f t="shared" si="224"/>
        <v>0</v>
      </c>
      <c r="CC107" s="274">
        <f t="shared" si="225"/>
        <v>0</v>
      </c>
      <c r="CD107" s="276">
        <f t="shared" si="181"/>
        <v>0</v>
      </c>
      <c r="CE107" s="58">
        <f t="shared" si="226"/>
        <v>4.2349906761557032E-2</v>
      </c>
      <c r="CF107" s="49">
        <f t="shared" si="138"/>
        <v>7.3499999999999996E-2</v>
      </c>
      <c r="CG107" s="61">
        <f t="shared" si="182"/>
        <v>3.2340000000000001E-2</v>
      </c>
      <c r="CH107" s="49">
        <f t="shared" si="183"/>
        <v>1.1144712305672905E-2</v>
      </c>
      <c r="CI107" s="49">
        <f t="shared" si="184"/>
        <v>4.8340852711021727</v>
      </c>
      <c r="CJ107" s="49">
        <f t="shared" si="227"/>
        <v>73.391457661893966</v>
      </c>
      <c r="CN107" s="49">
        <f t="shared" si="168"/>
        <v>1.4475733333333336</v>
      </c>
      <c r="CO107" s="49">
        <f t="shared" si="169"/>
        <v>0</v>
      </c>
      <c r="CP107" s="49">
        <f t="shared" si="170"/>
        <v>0</v>
      </c>
      <c r="CQ107" s="49" t="str">
        <f t="shared" si="204"/>
        <v/>
      </c>
    </row>
    <row r="108" spans="12:95" x14ac:dyDescent="0.45">
      <c r="L108" s="49">
        <f t="shared" si="171"/>
        <v>67.333333333333329</v>
      </c>
      <c r="Q108" s="49">
        <v>101</v>
      </c>
      <c r="R108" s="278">
        <f t="shared" si="115"/>
        <v>13.466666666666667</v>
      </c>
      <c r="S108" s="201">
        <f t="shared" si="116"/>
        <v>42</v>
      </c>
      <c r="T108" s="206">
        <f t="shared" si="185"/>
        <v>0.32063492063492066</v>
      </c>
      <c r="U108" s="205">
        <f t="shared" si="186"/>
        <v>2</v>
      </c>
      <c r="V108" s="201">
        <f t="shared" si="187"/>
        <v>0.45955882352941174</v>
      </c>
      <c r="W108" s="201">
        <f t="shared" si="188"/>
        <v>0.54044117647058831</v>
      </c>
      <c r="X108" s="201">
        <f t="shared" si="140"/>
        <v>0</v>
      </c>
      <c r="Y108" s="205">
        <f t="shared" si="205"/>
        <v>0.69770158730158738</v>
      </c>
      <c r="Z108" s="201">
        <f t="shared" si="189"/>
        <v>0.30637254901960786</v>
      </c>
      <c r="AA108" s="201">
        <f t="shared" si="142"/>
        <v>0.85088786181139131</v>
      </c>
      <c r="AB108" s="206">
        <f t="shared" si="190"/>
        <v>0.47676217079822575</v>
      </c>
      <c r="AC108" s="205">
        <v>0</v>
      </c>
      <c r="AD108" s="201">
        <f t="shared" si="191"/>
        <v>1.1365108375211829E-2</v>
      </c>
      <c r="AE108" s="206">
        <f t="shared" si="143"/>
        <v>1.1365108375211829E-2</v>
      </c>
      <c r="AF108" s="58">
        <f t="shared" si="192"/>
        <v>0.26933333333333337</v>
      </c>
      <c r="AG108" s="61">
        <f t="shared" si="193"/>
        <v>0.26933333333333337</v>
      </c>
      <c r="AH108" s="58">
        <f t="shared" si="194"/>
        <v>3.0231188278063464E-2</v>
      </c>
      <c r="AI108" s="49">
        <f t="shared" si="195"/>
        <v>2.6190188189193164</v>
      </c>
      <c r="AJ108" s="61">
        <f t="shared" si="144"/>
        <v>2.6492500071973799</v>
      </c>
      <c r="AK108" s="269">
        <f t="shared" si="196"/>
        <v>13.466666666666667</v>
      </c>
      <c r="AL108" s="268">
        <f t="shared" si="129"/>
        <v>5</v>
      </c>
      <c r="AM108" s="270">
        <f t="shared" si="206"/>
        <v>2.6933333333333334</v>
      </c>
      <c r="AN108" s="269">
        <f t="shared" si="207"/>
        <v>2</v>
      </c>
      <c r="AO108" s="268">
        <f t="shared" si="208"/>
        <v>0.54044117647058831</v>
      </c>
      <c r="AP108" s="268">
        <f t="shared" si="209"/>
        <v>4.9835827664399091</v>
      </c>
      <c r="AQ108" s="268">
        <f t="shared" si="210"/>
        <v>2.1883753501400562</v>
      </c>
      <c r="AR108" s="268">
        <f t="shared" si="172"/>
        <v>6.0777704415099372</v>
      </c>
      <c r="AS108" s="270">
        <f t="shared" si="173"/>
        <v>3.6929838952064484</v>
      </c>
      <c r="AT108" s="269"/>
      <c r="AU108" s="268">
        <f t="shared" si="211"/>
        <v>7.2540444444444449E-2</v>
      </c>
      <c r="AV108" s="270">
        <f t="shared" si="174"/>
        <v>7.2540444444444449E-2</v>
      </c>
      <c r="AW108" s="269">
        <f t="shared" si="212"/>
        <v>0.11424000000000001</v>
      </c>
      <c r="AX108" s="268">
        <f t="shared" si="213"/>
        <v>1.3466666666666667</v>
      </c>
      <c r="AY108" s="270">
        <f t="shared" si="175"/>
        <v>1.4609066666666668</v>
      </c>
      <c r="AZ108" s="263">
        <f t="shared" si="197"/>
        <v>0</v>
      </c>
      <c r="BA108" s="262">
        <f t="shared" si="198"/>
        <v>0</v>
      </c>
      <c r="BB108" s="262">
        <f t="shared" si="176"/>
        <v>0</v>
      </c>
      <c r="BC108" s="264" t="e">
        <f t="shared" si="214"/>
        <v>#DIV/0!</v>
      </c>
      <c r="BD108" s="263">
        <v>0</v>
      </c>
      <c r="BE108" s="262">
        <f t="shared" si="215"/>
        <v>0</v>
      </c>
      <c r="BF108" s="264">
        <f t="shared" si="177"/>
        <v>0</v>
      </c>
      <c r="BG108" s="263">
        <f t="shared" si="216"/>
        <v>0</v>
      </c>
      <c r="BH108" s="262">
        <f t="shared" si="217"/>
        <v>0</v>
      </c>
      <c r="BI108" s="264">
        <f t="shared" si="218"/>
        <v>0</v>
      </c>
      <c r="BK108" s="258">
        <f t="shared" si="199"/>
        <v>0</v>
      </c>
      <c r="BL108" s="257">
        <f t="shared" si="133"/>
        <v>0</v>
      </c>
      <c r="BM108" s="257">
        <f t="shared" si="200"/>
        <v>0</v>
      </c>
      <c r="BN108" s="259">
        <f t="shared" si="158"/>
        <v>0</v>
      </c>
      <c r="BO108" s="258">
        <v>0</v>
      </c>
      <c r="BP108" s="257">
        <f t="shared" si="219"/>
        <v>0</v>
      </c>
      <c r="BQ108" s="259">
        <f t="shared" si="178"/>
        <v>0</v>
      </c>
      <c r="BR108" s="258">
        <f t="shared" si="220"/>
        <v>0</v>
      </c>
      <c r="BS108" s="257">
        <f t="shared" si="221"/>
        <v>0</v>
      </c>
      <c r="BT108" s="259">
        <f t="shared" si="179"/>
        <v>0</v>
      </c>
      <c r="BU108" s="275">
        <f t="shared" si="201"/>
        <v>0</v>
      </c>
      <c r="BV108" s="274">
        <f t="shared" si="202"/>
        <v>0</v>
      </c>
      <c r="BW108" s="274">
        <f t="shared" si="203"/>
        <v>0</v>
      </c>
      <c r="BX108" s="276">
        <f t="shared" si="222"/>
        <v>0</v>
      </c>
      <c r="BY108" s="275">
        <v>0</v>
      </c>
      <c r="BZ108" s="274">
        <f t="shared" si="223"/>
        <v>0</v>
      </c>
      <c r="CA108" s="276">
        <f t="shared" si="180"/>
        <v>0</v>
      </c>
      <c r="CB108" s="275">
        <f t="shared" si="224"/>
        <v>0</v>
      </c>
      <c r="CC108" s="274">
        <f t="shared" si="225"/>
        <v>0</v>
      </c>
      <c r="CD108" s="276">
        <f t="shared" si="181"/>
        <v>0</v>
      </c>
      <c r="CE108" s="58">
        <f t="shared" si="226"/>
        <v>4.3187411825804947E-2</v>
      </c>
      <c r="CF108" s="49">
        <f t="shared" si="138"/>
        <v>7.3499999999999996E-2</v>
      </c>
      <c r="CG108" s="61">
        <f t="shared" si="182"/>
        <v>3.2340000000000001E-2</v>
      </c>
      <c r="CH108" s="49">
        <f t="shared" si="183"/>
        <v>1.1365108375211829E-2</v>
      </c>
      <c r="CI108" s="49">
        <f t="shared" si="184"/>
        <v>4.8817563051761734</v>
      </c>
      <c r="CJ108" s="49">
        <f t="shared" si="227"/>
        <v>73.394136854880514</v>
      </c>
      <c r="CN108" s="49">
        <f t="shared" si="168"/>
        <v>1.4609066666666668</v>
      </c>
      <c r="CO108" s="49">
        <f t="shared" si="169"/>
        <v>0</v>
      </c>
      <c r="CP108" s="49">
        <f t="shared" si="170"/>
        <v>0</v>
      </c>
      <c r="CQ108" s="49" t="str">
        <f t="shared" si="204"/>
        <v/>
      </c>
    </row>
    <row r="109" spans="12:95" x14ac:dyDescent="0.45">
      <c r="L109" s="49">
        <f t="shared" si="171"/>
        <v>68</v>
      </c>
      <c r="Q109" s="49">
        <v>102</v>
      </c>
      <c r="R109" s="278">
        <f t="shared" si="115"/>
        <v>13.6</v>
      </c>
      <c r="S109" s="201">
        <f t="shared" si="116"/>
        <v>42</v>
      </c>
      <c r="T109" s="206">
        <f t="shared" si="185"/>
        <v>0.32380952380952382</v>
      </c>
      <c r="U109" s="205">
        <f t="shared" si="186"/>
        <v>2</v>
      </c>
      <c r="V109" s="201">
        <f t="shared" si="187"/>
        <v>0.45955882352941174</v>
      </c>
      <c r="W109" s="201">
        <f t="shared" si="188"/>
        <v>0.54044117647058831</v>
      </c>
      <c r="X109" s="201">
        <f t="shared" si="140"/>
        <v>0</v>
      </c>
      <c r="Y109" s="205">
        <f t="shared" si="205"/>
        <v>0.7046095238095238</v>
      </c>
      <c r="Z109" s="201">
        <f t="shared" si="189"/>
        <v>0.30637254901960786</v>
      </c>
      <c r="AA109" s="201">
        <f t="shared" si="142"/>
        <v>0.85779579831932773</v>
      </c>
      <c r="AB109" s="206">
        <f t="shared" si="190"/>
        <v>0.48140829740393054</v>
      </c>
      <c r="AC109" s="205">
        <v>0</v>
      </c>
      <c r="AD109" s="201">
        <f t="shared" si="191"/>
        <v>1.1587697440467563E-2</v>
      </c>
      <c r="AE109" s="206">
        <f t="shared" si="143"/>
        <v>1.1587697440467563E-2</v>
      </c>
      <c r="AF109" s="58">
        <f t="shared" si="192"/>
        <v>0.27200000000000002</v>
      </c>
      <c r="AG109" s="61">
        <f t="shared" si="193"/>
        <v>0.27200000000000002</v>
      </c>
      <c r="AH109" s="58">
        <f t="shared" si="194"/>
        <v>3.0823275191643715E-2</v>
      </c>
      <c r="AI109" s="49">
        <f t="shared" si="195"/>
        <v>2.6449496983145568</v>
      </c>
      <c r="AJ109" s="61">
        <f t="shared" si="144"/>
        <v>2.6757729735062004</v>
      </c>
      <c r="AK109" s="269">
        <f t="shared" si="196"/>
        <v>13.6</v>
      </c>
      <c r="AL109" s="268">
        <f t="shared" si="129"/>
        <v>5</v>
      </c>
      <c r="AM109" s="270">
        <f t="shared" si="206"/>
        <v>2.7199999999999998</v>
      </c>
      <c r="AN109" s="269">
        <f t="shared" si="207"/>
        <v>2</v>
      </c>
      <c r="AO109" s="268">
        <f t="shared" si="208"/>
        <v>0.5404411764705882</v>
      </c>
      <c r="AP109" s="268">
        <f t="shared" si="209"/>
        <v>5.0329251700680269</v>
      </c>
      <c r="AQ109" s="268">
        <f t="shared" si="210"/>
        <v>2.1883753501400558</v>
      </c>
      <c r="AR109" s="268">
        <f t="shared" si="172"/>
        <v>6.127112845138055</v>
      </c>
      <c r="AS109" s="270">
        <f t="shared" si="173"/>
        <v>3.7289726371429799</v>
      </c>
      <c r="AT109" s="269"/>
      <c r="AU109" s="268">
        <f t="shared" si="211"/>
        <v>7.3983999999999994E-2</v>
      </c>
      <c r="AV109" s="270">
        <f t="shared" si="174"/>
        <v>7.3983999999999994E-2</v>
      </c>
      <c r="AW109" s="269">
        <f t="shared" si="212"/>
        <v>0.11424000000000001</v>
      </c>
      <c r="AX109" s="268">
        <f t="shared" si="213"/>
        <v>1.3599999999999999</v>
      </c>
      <c r="AY109" s="270">
        <f t="shared" si="175"/>
        <v>1.47424</v>
      </c>
      <c r="AZ109" s="263">
        <f t="shared" si="197"/>
        <v>0</v>
      </c>
      <c r="BA109" s="262">
        <f t="shared" si="198"/>
        <v>0</v>
      </c>
      <c r="BB109" s="262">
        <f t="shared" si="176"/>
        <v>0</v>
      </c>
      <c r="BC109" s="264" t="e">
        <f t="shared" si="214"/>
        <v>#DIV/0!</v>
      </c>
      <c r="BD109" s="263">
        <v>0</v>
      </c>
      <c r="BE109" s="262">
        <f t="shared" si="215"/>
        <v>0</v>
      </c>
      <c r="BF109" s="264">
        <f t="shared" si="177"/>
        <v>0</v>
      </c>
      <c r="BG109" s="263">
        <f t="shared" si="216"/>
        <v>0</v>
      </c>
      <c r="BH109" s="262">
        <f t="shared" si="217"/>
        <v>0</v>
      </c>
      <c r="BI109" s="264">
        <f t="shared" si="218"/>
        <v>0</v>
      </c>
      <c r="BK109" s="258">
        <f t="shared" si="199"/>
        <v>0</v>
      </c>
      <c r="BL109" s="257">
        <f t="shared" si="133"/>
        <v>0</v>
      </c>
      <c r="BM109" s="257">
        <f t="shared" si="200"/>
        <v>0</v>
      </c>
      <c r="BN109" s="259">
        <f t="shared" si="158"/>
        <v>0</v>
      </c>
      <c r="BO109" s="258">
        <v>0</v>
      </c>
      <c r="BP109" s="257">
        <f t="shared" si="219"/>
        <v>0</v>
      </c>
      <c r="BQ109" s="259">
        <f t="shared" si="178"/>
        <v>0</v>
      </c>
      <c r="BR109" s="258">
        <f t="shared" si="220"/>
        <v>0</v>
      </c>
      <c r="BS109" s="257">
        <f t="shared" si="221"/>
        <v>0</v>
      </c>
      <c r="BT109" s="259">
        <f t="shared" si="179"/>
        <v>0</v>
      </c>
      <c r="BU109" s="275">
        <f t="shared" si="201"/>
        <v>0</v>
      </c>
      <c r="BV109" s="274">
        <f t="shared" si="202"/>
        <v>0</v>
      </c>
      <c r="BW109" s="274">
        <f t="shared" si="203"/>
        <v>0</v>
      </c>
      <c r="BX109" s="276">
        <f t="shared" si="222"/>
        <v>0</v>
      </c>
      <c r="BY109" s="275">
        <v>0</v>
      </c>
      <c r="BZ109" s="274">
        <f t="shared" si="223"/>
        <v>0</v>
      </c>
      <c r="CA109" s="276">
        <f t="shared" si="180"/>
        <v>0</v>
      </c>
      <c r="CB109" s="275">
        <f t="shared" si="224"/>
        <v>0</v>
      </c>
      <c r="CC109" s="274">
        <f t="shared" si="225"/>
        <v>0</v>
      </c>
      <c r="CD109" s="276">
        <f t="shared" si="181"/>
        <v>0</v>
      </c>
      <c r="CE109" s="58">
        <f t="shared" si="226"/>
        <v>4.4033250273776733E-2</v>
      </c>
      <c r="CF109" s="49">
        <f t="shared" si="138"/>
        <v>7.3499999999999996E-2</v>
      </c>
      <c r="CG109" s="61">
        <f t="shared" si="182"/>
        <v>3.2340000000000001E-2</v>
      </c>
      <c r="CH109" s="49">
        <f t="shared" si="183"/>
        <v>1.1587697440467563E-2</v>
      </c>
      <c r="CI109" s="49">
        <f t="shared" si="184"/>
        <v>4.929457921220445</v>
      </c>
      <c r="CJ109" s="49">
        <f t="shared" si="227"/>
        <v>73.396642566779605</v>
      </c>
      <c r="CN109" s="49">
        <f t="shared" si="168"/>
        <v>1.47424</v>
      </c>
      <c r="CO109" s="49">
        <f t="shared" si="169"/>
        <v>0</v>
      </c>
      <c r="CP109" s="49">
        <f t="shared" si="170"/>
        <v>0</v>
      </c>
      <c r="CQ109" s="49" t="str">
        <f t="shared" si="204"/>
        <v/>
      </c>
    </row>
    <row r="110" spans="12:95" x14ac:dyDescent="0.45">
      <c r="L110" s="49">
        <f t="shared" si="171"/>
        <v>68.666666666666671</v>
      </c>
      <c r="Q110" s="49">
        <v>103</v>
      </c>
      <c r="R110" s="278">
        <f t="shared" si="115"/>
        <v>13.733333333333333</v>
      </c>
      <c r="S110" s="201">
        <f t="shared" si="116"/>
        <v>42</v>
      </c>
      <c r="T110" s="206">
        <f t="shared" si="185"/>
        <v>0.32698412698412699</v>
      </c>
      <c r="U110" s="205">
        <f t="shared" si="186"/>
        <v>2</v>
      </c>
      <c r="V110" s="201">
        <f t="shared" si="187"/>
        <v>0.45955882352941174</v>
      </c>
      <c r="W110" s="201">
        <f t="shared" si="188"/>
        <v>0.54044117647058831</v>
      </c>
      <c r="X110" s="201">
        <f t="shared" si="140"/>
        <v>0</v>
      </c>
      <c r="Y110" s="205">
        <f t="shared" si="205"/>
        <v>0.71151746031746033</v>
      </c>
      <c r="Z110" s="201">
        <f t="shared" si="189"/>
        <v>0.30637254901960786</v>
      </c>
      <c r="AA110" s="201">
        <f t="shared" si="142"/>
        <v>0.86470373482726426</v>
      </c>
      <c r="AB110" s="206">
        <f t="shared" si="190"/>
        <v>0.48605513064754491</v>
      </c>
      <c r="AC110" s="205">
        <v>0</v>
      </c>
      <c r="AD110" s="201">
        <f t="shared" si="191"/>
        <v>1.1812479501440099E-2</v>
      </c>
      <c r="AE110" s="206">
        <f t="shared" si="143"/>
        <v>1.1812479501440099E-2</v>
      </c>
      <c r="AF110" s="58">
        <f t="shared" si="192"/>
        <v>0.27466666666666667</v>
      </c>
      <c r="AG110" s="61">
        <f t="shared" si="193"/>
        <v>0.27466666666666667</v>
      </c>
      <c r="AH110" s="58">
        <f t="shared" si="194"/>
        <v>3.1421195473830661E-2</v>
      </c>
      <c r="AI110" s="49">
        <f t="shared" si="195"/>
        <v>2.6708805777097973</v>
      </c>
      <c r="AJ110" s="61">
        <f t="shared" si="144"/>
        <v>2.7023017731836281</v>
      </c>
      <c r="AK110" s="269">
        <f t="shared" si="196"/>
        <v>13.733333333333333</v>
      </c>
      <c r="AL110" s="268">
        <f t="shared" si="129"/>
        <v>5</v>
      </c>
      <c r="AM110" s="270">
        <f t="shared" si="206"/>
        <v>2.7466666666666666</v>
      </c>
      <c r="AN110" s="269">
        <f t="shared" si="207"/>
        <v>2</v>
      </c>
      <c r="AO110" s="268">
        <f t="shared" si="208"/>
        <v>0.54044117647058831</v>
      </c>
      <c r="AP110" s="268">
        <f t="shared" si="209"/>
        <v>5.0822675736961447</v>
      </c>
      <c r="AQ110" s="268">
        <f t="shared" si="210"/>
        <v>2.1883753501400562</v>
      </c>
      <c r="AR110" s="268">
        <f t="shared" si="172"/>
        <v>6.1764552487661728</v>
      </c>
      <c r="AS110" s="270">
        <f t="shared" si="173"/>
        <v>3.764966852673223</v>
      </c>
      <c r="AT110" s="269"/>
      <c r="AU110" s="268">
        <f t="shared" si="211"/>
        <v>7.5441777777777774E-2</v>
      </c>
      <c r="AV110" s="270">
        <f t="shared" si="174"/>
        <v>7.5441777777777774E-2</v>
      </c>
      <c r="AW110" s="269">
        <f t="shared" si="212"/>
        <v>0.11424000000000001</v>
      </c>
      <c r="AX110" s="268">
        <f t="shared" si="213"/>
        <v>1.3733333333333333</v>
      </c>
      <c r="AY110" s="270">
        <f t="shared" si="175"/>
        <v>1.4875733333333332</v>
      </c>
      <c r="AZ110" s="263">
        <f t="shared" si="197"/>
        <v>0</v>
      </c>
      <c r="BA110" s="262">
        <f t="shared" si="198"/>
        <v>0</v>
      </c>
      <c r="BB110" s="262">
        <f t="shared" si="176"/>
        <v>0</v>
      </c>
      <c r="BC110" s="264" t="e">
        <f t="shared" si="214"/>
        <v>#DIV/0!</v>
      </c>
      <c r="BD110" s="263">
        <v>0</v>
      </c>
      <c r="BE110" s="262">
        <f t="shared" si="215"/>
        <v>0</v>
      </c>
      <c r="BF110" s="264">
        <f t="shared" si="177"/>
        <v>0</v>
      </c>
      <c r="BG110" s="263">
        <f t="shared" si="216"/>
        <v>0</v>
      </c>
      <c r="BH110" s="262">
        <f t="shared" si="217"/>
        <v>0</v>
      </c>
      <c r="BI110" s="264">
        <f t="shared" si="218"/>
        <v>0</v>
      </c>
      <c r="BK110" s="258">
        <f t="shared" si="199"/>
        <v>0</v>
      </c>
      <c r="BL110" s="257">
        <f t="shared" si="133"/>
        <v>0</v>
      </c>
      <c r="BM110" s="257">
        <f t="shared" si="200"/>
        <v>0</v>
      </c>
      <c r="BN110" s="259">
        <f t="shared" si="158"/>
        <v>0</v>
      </c>
      <c r="BO110" s="258">
        <v>0</v>
      </c>
      <c r="BP110" s="257">
        <f t="shared" si="219"/>
        <v>0</v>
      </c>
      <c r="BQ110" s="259">
        <f t="shared" si="178"/>
        <v>0</v>
      </c>
      <c r="BR110" s="258">
        <f t="shared" si="220"/>
        <v>0</v>
      </c>
      <c r="BS110" s="257">
        <f t="shared" si="221"/>
        <v>0</v>
      </c>
      <c r="BT110" s="259">
        <f t="shared" si="179"/>
        <v>0</v>
      </c>
      <c r="BU110" s="275">
        <f t="shared" si="201"/>
        <v>0</v>
      </c>
      <c r="BV110" s="274">
        <f t="shared" si="202"/>
        <v>0</v>
      </c>
      <c r="BW110" s="274">
        <f t="shared" si="203"/>
        <v>0</v>
      </c>
      <c r="BX110" s="276">
        <f t="shared" si="222"/>
        <v>0</v>
      </c>
      <c r="BY110" s="275">
        <v>0</v>
      </c>
      <c r="BZ110" s="274">
        <f t="shared" si="223"/>
        <v>0</v>
      </c>
      <c r="CA110" s="276">
        <f t="shared" si="180"/>
        <v>0</v>
      </c>
      <c r="CB110" s="275">
        <f t="shared" si="224"/>
        <v>0</v>
      </c>
      <c r="CC110" s="274">
        <f t="shared" si="225"/>
        <v>0</v>
      </c>
      <c r="CD110" s="276">
        <f t="shared" si="181"/>
        <v>0</v>
      </c>
      <c r="CE110" s="58">
        <f t="shared" si="226"/>
        <v>4.488742210547237E-2</v>
      </c>
      <c r="CF110" s="49">
        <f t="shared" si="138"/>
        <v>7.3499999999999996E-2</v>
      </c>
      <c r="CG110" s="61">
        <f t="shared" si="182"/>
        <v>3.2340000000000001E-2</v>
      </c>
      <c r="CH110" s="49">
        <f t="shared" si="183"/>
        <v>1.1812479501440099E-2</v>
      </c>
      <c r="CI110" s="49">
        <f t="shared" si="184"/>
        <v>4.9771901192349848</v>
      </c>
      <c r="CJ110" s="49">
        <f t="shared" si="227"/>
        <v>73.398979820889053</v>
      </c>
      <c r="CN110" s="49">
        <f t="shared" si="168"/>
        <v>1.4875733333333332</v>
      </c>
      <c r="CO110" s="49">
        <f t="shared" si="169"/>
        <v>0</v>
      </c>
      <c r="CP110" s="49">
        <f t="shared" si="170"/>
        <v>0</v>
      </c>
      <c r="CQ110" s="49" t="str">
        <f t="shared" si="204"/>
        <v/>
      </c>
    </row>
    <row r="111" spans="12:95" x14ac:dyDescent="0.45">
      <c r="L111" s="49">
        <f t="shared" si="171"/>
        <v>69.333333333333343</v>
      </c>
      <c r="Q111" s="49">
        <v>104</v>
      </c>
      <c r="R111" s="278">
        <f t="shared" si="115"/>
        <v>13.866666666666667</v>
      </c>
      <c r="S111" s="201">
        <f t="shared" si="116"/>
        <v>42</v>
      </c>
      <c r="T111" s="206">
        <f t="shared" si="185"/>
        <v>0.33015873015873015</v>
      </c>
      <c r="U111" s="205">
        <f t="shared" si="186"/>
        <v>2</v>
      </c>
      <c r="V111" s="201">
        <f t="shared" si="187"/>
        <v>0.45955882352941174</v>
      </c>
      <c r="W111" s="201">
        <f t="shared" si="188"/>
        <v>0.54044117647058831</v>
      </c>
      <c r="X111" s="201">
        <f t="shared" si="140"/>
        <v>0</v>
      </c>
      <c r="Y111" s="205">
        <f t="shared" si="205"/>
        <v>0.71842539682539686</v>
      </c>
      <c r="Z111" s="201">
        <f t="shared" si="189"/>
        <v>0.30637254901960786</v>
      </c>
      <c r="AA111" s="201">
        <f t="shared" si="142"/>
        <v>0.87161167133520079</v>
      </c>
      <c r="AB111" s="206">
        <f t="shared" si="190"/>
        <v>0.49070265045400852</v>
      </c>
      <c r="AC111" s="205">
        <v>0</v>
      </c>
      <c r="AD111" s="201">
        <f t="shared" si="191"/>
        <v>1.2039454558129443E-2</v>
      </c>
      <c r="AE111" s="206">
        <f t="shared" si="143"/>
        <v>1.2039454558129443E-2</v>
      </c>
      <c r="AF111" s="58">
        <f t="shared" si="192"/>
        <v>0.27733333333333338</v>
      </c>
      <c r="AG111" s="61">
        <f t="shared" si="193"/>
        <v>0.27733333333333338</v>
      </c>
      <c r="AH111" s="58">
        <f t="shared" si="194"/>
        <v>3.2024949124624322E-2</v>
      </c>
      <c r="AI111" s="49">
        <f t="shared" si="195"/>
        <v>2.6968114571050381</v>
      </c>
      <c r="AJ111" s="61">
        <f t="shared" si="144"/>
        <v>2.7288364062296626</v>
      </c>
      <c r="AK111" s="269">
        <f t="shared" si="196"/>
        <v>13.866666666666667</v>
      </c>
      <c r="AL111" s="268">
        <f t="shared" si="129"/>
        <v>5</v>
      </c>
      <c r="AM111" s="270">
        <f t="shared" si="206"/>
        <v>2.7733333333333334</v>
      </c>
      <c r="AN111" s="269">
        <f t="shared" si="207"/>
        <v>2</v>
      </c>
      <c r="AO111" s="268">
        <f t="shared" si="208"/>
        <v>0.54044117647058831</v>
      </c>
      <c r="AP111" s="268">
        <f t="shared" si="209"/>
        <v>5.1316099773242625</v>
      </c>
      <c r="AQ111" s="268">
        <f t="shared" si="210"/>
        <v>2.1883753501400562</v>
      </c>
      <c r="AR111" s="268">
        <f t="shared" si="172"/>
        <v>6.2257976523942906</v>
      </c>
      <c r="AS111" s="270">
        <f t="shared" si="173"/>
        <v>3.8009663862964276</v>
      </c>
      <c r="AT111" s="269"/>
      <c r="AU111" s="268">
        <f t="shared" si="211"/>
        <v>7.6913777777777789E-2</v>
      </c>
      <c r="AV111" s="270">
        <f t="shared" si="174"/>
        <v>7.6913777777777789E-2</v>
      </c>
      <c r="AW111" s="269">
        <f t="shared" si="212"/>
        <v>0.11424000000000001</v>
      </c>
      <c r="AX111" s="268">
        <f t="shared" si="213"/>
        <v>1.3866666666666667</v>
      </c>
      <c r="AY111" s="270">
        <f t="shared" si="175"/>
        <v>1.5009066666666668</v>
      </c>
      <c r="AZ111" s="263">
        <f t="shared" si="197"/>
        <v>0</v>
      </c>
      <c r="BA111" s="262">
        <f t="shared" si="198"/>
        <v>0</v>
      </c>
      <c r="BB111" s="262">
        <f t="shared" si="176"/>
        <v>0</v>
      </c>
      <c r="BC111" s="264" t="e">
        <f t="shared" si="214"/>
        <v>#DIV/0!</v>
      </c>
      <c r="BD111" s="263">
        <v>0</v>
      </c>
      <c r="BE111" s="262">
        <f t="shared" si="215"/>
        <v>0</v>
      </c>
      <c r="BF111" s="264">
        <f t="shared" si="177"/>
        <v>0</v>
      </c>
      <c r="BG111" s="263">
        <f t="shared" si="216"/>
        <v>0</v>
      </c>
      <c r="BH111" s="262">
        <f t="shared" si="217"/>
        <v>0</v>
      </c>
      <c r="BI111" s="264">
        <f t="shared" si="218"/>
        <v>0</v>
      </c>
      <c r="BK111" s="258">
        <f t="shared" si="199"/>
        <v>0</v>
      </c>
      <c r="BL111" s="257">
        <f t="shared" si="133"/>
        <v>0</v>
      </c>
      <c r="BM111" s="257">
        <f t="shared" si="200"/>
        <v>0</v>
      </c>
      <c r="BN111" s="259">
        <f t="shared" si="158"/>
        <v>0</v>
      </c>
      <c r="BO111" s="258">
        <v>0</v>
      </c>
      <c r="BP111" s="257">
        <f t="shared" si="219"/>
        <v>0</v>
      </c>
      <c r="BQ111" s="259">
        <f t="shared" si="178"/>
        <v>0</v>
      </c>
      <c r="BR111" s="258">
        <f t="shared" si="220"/>
        <v>0</v>
      </c>
      <c r="BS111" s="257">
        <f t="shared" si="221"/>
        <v>0</v>
      </c>
      <c r="BT111" s="259">
        <f t="shared" si="179"/>
        <v>0</v>
      </c>
      <c r="BU111" s="275">
        <f t="shared" si="201"/>
        <v>0</v>
      </c>
      <c r="BV111" s="274">
        <f t="shared" si="202"/>
        <v>0</v>
      </c>
      <c r="BW111" s="274">
        <f t="shared" si="203"/>
        <v>0</v>
      </c>
      <c r="BX111" s="276">
        <f t="shared" si="222"/>
        <v>0</v>
      </c>
      <c r="BY111" s="275">
        <v>0</v>
      </c>
      <c r="BZ111" s="274">
        <f t="shared" si="223"/>
        <v>0</v>
      </c>
      <c r="CA111" s="276">
        <f t="shared" si="180"/>
        <v>0</v>
      </c>
      <c r="CB111" s="275">
        <f t="shared" si="224"/>
        <v>0</v>
      </c>
      <c r="CC111" s="274">
        <f t="shared" si="225"/>
        <v>0</v>
      </c>
      <c r="CD111" s="276">
        <f t="shared" si="181"/>
        <v>0</v>
      </c>
      <c r="CE111" s="58">
        <f t="shared" si="226"/>
        <v>4.5749927320891885E-2</v>
      </c>
      <c r="CF111" s="49">
        <f t="shared" si="138"/>
        <v>7.3499999999999996E-2</v>
      </c>
      <c r="CG111" s="61">
        <f t="shared" si="182"/>
        <v>3.2340000000000001E-2</v>
      </c>
      <c r="CH111" s="49">
        <f t="shared" si="183"/>
        <v>1.2039454558129443E-2</v>
      </c>
      <c r="CI111" s="49">
        <f t="shared" si="184"/>
        <v>5.0249528992197945</v>
      </c>
      <c r="CJ111" s="49">
        <f t="shared" si="227"/>
        <v>73.401153449577166</v>
      </c>
      <c r="CN111" s="49">
        <f t="shared" si="168"/>
        <v>1.5009066666666668</v>
      </c>
      <c r="CO111" s="49">
        <f t="shared" si="169"/>
        <v>0</v>
      </c>
      <c r="CP111" s="49">
        <f t="shared" si="170"/>
        <v>0</v>
      </c>
      <c r="CQ111" s="49" t="str">
        <f t="shared" si="204"/>
        <v/>
      </c>
    </row>
    <row r="112" spans="12:95" x14ac:dyDescent="0.45">
      <c r="L112" s="49">
        <f t="shared" si="171"/>
        <v>70</v>
      </c>
      <c r="Q112" s="49">
        <v>105</v>
      </c>
      <c r="R112" s="278">
        <f t="shared" si="115"/>
        <v>14</v>
      </c>
      <c r="S112" s="201">
        <f t="shared" si="116"/>
        <v>42</v>
      </c>
      <c r="T112" s="206">
        <f t="shared" si="185"/>
        <v>0.33333333333333331</v>
      </c>
      <c r="U112" s="205">
        <f t="shared" si="186"/>
        <v>2</v>
      </c>
      <c r="V112" s="201">
        <f t="shared" si="187"/>
        <v>0.45955882352941174</v>
      </c>
      <c r="W112" s="201">
        <f t="shared" si="188"/>
        <v>0.54044117647058831</v>
      </c>
      <c r="X112" s="201">
        <f t="shared" si="140"/>
        <v>0</v>
      </c>
      <c r="Y112" s="205">
        <f t="shared" si="205"/>
        <v>0.72533333333333339</v>
      </c>
      <c r="Z112" s="201">
        <f t="shared" si="189"/>
        <v>0.30637254901960786</v>
      </c>
      <c r="AA112" s="201">
        <f t="shared" si="142"/>
        <v>0.87851960784313732</v>
      </c>
      <c r="AB112" s="206">
        <f t="shared" si="190"/>
        <v>0.49535083749874875</v>
      </c>
      <c r="AC112" s="205">
        <v>0</v>
      </c>
      <c r="AD112" s="201">
        <f t="shared" si="191"/>
        <v>1.2268622610535591E-2</v>
      </c>
      <c r="AE112" s="206">
        <f t="shared" si="143"/>
        <v>1.2268622610535591E-2</v>
      </c>
      <c r="AF112" s="58">
        <f t="shared" si="192"/>
        <v>0.28000000000000003</v>
      </c>
      <c r="AG112" s="61">
        <f t="shared" si="193"/>
        <v>0.28000000000000003</v>
      </c>
      <c r="AH112" s="58">
        <f t="shared" si="194"/>
        <v>3.2634536144024673E-2</v>
      </c>
      <c r="AI112" s="49">
        <f t="shared" si="195"/>
        <v>2.722742336500279</v>
      </c>
      <c r="AJ112" s="61">
        <f t="shared" si="144"/>
        <v>2.7553768726443035</v>
      </c>
      <c r="AK112" s="269">
        <f t="shared" si="196"/>
        <v>14</v>
      </c>
      <c r="AL112" s="268">
        <f t="shared" si="129"/>
        <v>5</v>
      </c>
      <c r="AM112" s="270">
        <f t="shared" si="206"/>
        <v>2.8</v>
      </c>
      <c r="AN112" s="269">
        <f t="shared" si="207"/>
        <v>2</v>
      </c>
      <c r="AO112" s="268">
        <f t="shared" si="208"/>
        <v>0.5404411764705882</v>
      </c>
      <c r="AP112" s="268">
        <f t="shared" si="209"/>
        <v>5.1809523809523812</v>
      </c>
      <c r="AQ112" s="268">
        <f t="shared" si="210"/>
        <v>2.1883753501400558</v>
      </c>
      <c r="AR112" s="268">
        <f t="shared" si="172"/>
        <v>6.2751400560224093</v>
      </c>
      <c r="AS112" s="270">
        <f t="shared" si="173"/>
        <v>3.8369710883251007</v>
      </c>
      <c r="AT112" s="269"/>
      <c r="AU112" s="268">
        <f t="shared" si="211"/>
        <v>7.8399999999999997E-2</v>
      </c>
      <c r="AV112" s="270">
        <f t="shared" si="174"/>
        <v>7.8399999999999997E-2</v>
      </c>
      <c r="AW112" s="269">
        <f t="shared" si="212"/>
        <v>0.11424000000000001</v>
      </c>
      <c r="AX112" s="268">
        <f t="shared" si="213"/>
        <v>1.4</v>
      </c>
      <c r="AY112" s="270">
        <f t="shared" si="175"/>
        <v>1.51424</v>
      </c>
      <c r="AZ112" s="263">
        <f t="shared" si="197"/>
        <v>0</v>
      </c>
      <c r="BA112" s="262">
        <f t="shared" si="198"/>
        <v>0</v>
      </c>
      <c r="BB112" s="262">
        <f t="shared" si="176"/>
        <v>0</v>
      </c>
      <c r="BC112" s="264" t="e">
        <f t="shared" si="214"/>
        <v>#DIV/0!</v>
      </c>
      <c r="BD112" s="263">
        <v>0</v>
      </c>
      <c r="BE112" s="262">
        <f t="shared" si="215"/>
        <v>0</v>
      </c>
      <c r="BF112" s="264">
        <f t="shared" si="177"/>
        <v>0</v>
      </c>
      <c r="BG112" s="263">
        <f t="shared" si="216"/>
        <v>0</v>
      </c>
      <c r="BH112" s="262">
        <f t="shared" si="217"/>
        <v>0</v>
      </c>
      <c r="BI112" s="264">
        <f t="shared" si="218"/>
        <v>0</v>
      </c>
      <c r="BK112" s="258">
        <f t="shared" si="199"/>
        <v>0</v>
      </c>
      <c r="BL112" s="257">
        <f t="shared" si="133"/>
        <v>0</v>
      </c>
      <c r="BM112" s="257">
        <f t="shared" si="200"/>
        <v>0</v>
      </c>
      <c r="BN112" s="259">
        <f t="shared" si="158"/>
        <v>0</v>
      </c>
      <c r="BO112" s="258">
        <v>0</v>
      </c>
      <c r="BP112" s="257">
        <f t="shared" si="219"/>
        <v>0</v>
      </c>
      <c r="BQ112" s="259">
        <f t="shared" si="178"/>
        <v>0</v>
      </c>
      <c r="BR112" s="258">
        <f t="shared" si="220"/>
        <v>0</v>
      </c>
      <c r="BS112" s="257">
        <f t="shared" si="221"/>
        <v>0</v>
      </c>
      <c r="BT112" s="259">
        <f t="shared" si="179"/>
        <v>0</v>
      </c>
      <c r="BU112" s="275">
        <f t="shared" si="201"/>
        <v>0</v>
      </c>
      <c r="BV112" s="274">
        <f t="shared" si="202"/>
        <v>0</v>
      </c>
      <c r="BW112" s="274">
        <f t="shared" si="203"/>
        <v>0</v>
      </c>
      <c r="BX112" s="276">
        <f t="shared" si="222"/>
        <v>0</v>
      </c>
      <c r="BY112" s="275">
        <v>0</v>
      </c>
      <c r="BZ112" s="274">
        <f t="shared" si="223"/>
        <v>0</v>
      </c>
      <c r="CA112" s="276">
        <f t="shared" si="180"/>
        <v>0</v>
      </c>
      <c r="CB112" s="275">
        <f t="shared" si="224"/>
        <v>0</v>
      </c>
      <c r="CC112" s="274">
        <f t="shared" si="225"/>
        <v>0</v>
      </c>
      <c r="CD112" s="276">
        <f t="shared" si="181"/>
        <v>0</v>
      </c>
      <c r="CE112" s="58">
        <f t="shared" si="226"/>
        <v>4.6620765920035244E-2</v>
      </c>
      <c r="CF112" s="49">
        <f t="shared" si="138"/>
        <v>7.3499999999999996E-2</v>
      </c>
      <c r="CG112" s="61">
        <f t="shared" si="182"/>
        <v>3.2340000000000001E-2</v>
      </c>
      <c r="CH112" s="49">
        <f t="shared" si="183"/>
        <v>1.2268622610535591E-2</v>
      </c>
      <c r="CI112" s="49">
        <f t="shared" si="184"/>
        <v>5.072746261174875</v>
      </c>
      <c r="CJ112" s="49">
        <f t="shared" si="227"/>
        <v>73.403168103268229</v>
      </c>
      <c r="CN112" s="49">
        <f t="shared" si="168"/>
        <v>1.51424</v>
      </c>
      <c r="CO112" s="49">
        <f t="shared" si="169"/>
        <v>0</v>
      </c>
      <c r="CP112" s="49">
        <f t="shared" si="170"/>
        <v>0</v>
      </c>
      <c r="CQ112" s="49" t="str">
        <f t="shared" si="204"/>
        <v/>
      </c>
    </row>
    <row r="113" spans="12:95" x14ac:dyDescent="0.45">
      <c r="L113" s="49">
        <f t="shared" si="171"/>
        <v>70.666666666666671</v>
      </c>
      <c r="Q113" s="49">
        <v>106</v>
      </c>
      <c r="R113" s="278">
        <f t="shared" si="115"/>
        <v>14.133333333333333</v>
      </c>
      <c r="S113" s="201">
        <f t="shared" si="116"/>
        <v>42</v>
      </c>
      <c r="T113" s="206">
        <f t="shared" si="185"/>
        <v>0.33650793650793648</v>
      </c>
      <c r="U113" s="205">
        <f t="shared" si="186"/>
        <v>2</v>
      </c>
      <c r="V113" s="201">
        <f t="shared" si="187"/>
        <v>0.45955882352941174</v>
      </c>
      <c r="W113" s="201">
        <f t="shared" si="188"/>
        <v>0.54044117647058831</v>
      </c>
      <c r="X113" s="201">
        <f t="shared" si="140"/>
        <v>0</v>
      </c>
      <c r="Y113" s="205">
        <f t="shared" si="205"/>
        <v>0.7322412698412698</v>
      </c>
      <c r="Z113" s="201">
        <f t="shared" si="189"/>
        <v>0.30637254901960786</v>
      </c>
      <c r="AA113" s="201">
        <f t="shared" si="142"/>
        <v>0.88542754435107374</v>
      </c>
      <c r="AB113" s="206">
        <f t="shared" si="190"/>
        <v>0.49999967317306393</v>
      </c>
      <c r="AC113" s="205">
        <v>0</v>
      </c>
      <c r="AD113" s="201">
        <f t="shared" si="191"/>
        <v>1.2499983658658537E-2</v>
      </c>
      <c r="AE113" s="206">
        <f t="shared" si="143"/>
        <v>1.2499983658658537E-2</v>
      </c>
      <c r="AF113" s="58">
        <f t="shared" si="192"/>
        <v>0.28266666666666668</v>
      </c>
      <c r="AG113" s="61">
        <f t="shared" si="193"/>
        <v>0.28266666666666668</v>
      </c>
      <c r="AH113" s="58">
        <f t="shared" si="194"/>
        <v>3.3249956532031708E-2</v>
      </c>
      <c r="AI113" s="49">
        <f t="shared" si="195"/>
        <v>2.7486732158955194</v>
      </c>
      <c r="AJ113" s="61">
        <f t="shared" si="144"/>
        <v>2.7819231724275513</v>
      </c>
      <c r="AK113" s="269">
        <f t="shared" si="196"/>
        <v>14.133333333333333</v>
      </c>
      <c r="AL113" s="268">
        <f t="shared" si="129"/>
        <v>5</v>
      </c>
      <c r="AM113" s="270">
        <f t="shared" si="206"/>
        <v>2.8266666666666667</v>
      </c>
      <c r="AN113" s="269">
        <f t="shared" si="207"/>
        <v>2</v>
      </c>
      <c r="AO113" s="268">
        <f t="shared" si="208"/>
        <v>0.54044117647058831</v>
      </c>
      <c r="AP113" s="268">
        <f t="shared" si="209"/>
        <v>5.2302947845804981</v>
      </c>
      <c r="AQ113" s="268">
        <f t="shared" si="210"/>
        <v>2.1883753501400562</v>
      </c>
      <c r="AR113" s="268">
        <f t="shared" si="172"/>
        <v>6.3244824596505262</v>
      </c>
      <c r="AS113" s="270">
        <f t="shared" si="173"/>
        <v>3.8729808146168563</v>
      </c>
      <c r="AT113" s="269"/>
      <c r="AU113" s="268">
        <f t="shared" si="211"/>
        <v>7.9900444444444441E-2</v>
      </c>
      <c r="AV113" s="270">
        <f t="shared" si="174"/>
        <v>7.9900444444444441E-2</v>
      </c>
      <c r="AW113" s="269">
        <f t="shared" si="212"/>
        <v>0.11424000000000001</v>
      </c>
      <c r="AX113" s="268">
        <f t="shared" si="213"/>
        <v>1.4133333333333333</v>
      </c>
      <c r="AY113" s="270">
        <f t="shared" si="175"/>
        <v>1.5275733333333332</v>
      </c>
      <c r="AZ113" s="263">
        <f t="shared" si="197"/>
        <v>0</v>
      </c>
      <c r="BA113" s="262">
        <f t="shared" si="198"/>
        <v>0</v>
      </c>
      <c r="BB113" s="262">
        <f t="shared" si="176"/>
        <v>0</v>
      </c>
      <c r="BC113" s="264" t="e">
        <f t="shared" si="214"/>
        <v>#DIV/0!</v>
      </c>
      <c r="BD113" s="263">
        <v>0</v>
      </c>
      <c r="BE113" s="262">
        <f t="shared" si="215"/>
        <v>0</v>
      </c>
      <c r="BF113" s="264">
        <f t="shared" si="177"/>
        <v>0</v>
      </c>
      <c r="BG113" s="263">
        <f t="shared" si="216"/>
        <v>0</v>
      </c>
      <c r="BH113" s="262">
        <f t="shared" si="217"/>
        <v>0</v>
      </c>
      <c r="BI113" s="264">
        <f t="shared" si="218"/>
        <v>0</v>
      </c>
      <c r="BK113" s="258">
        <f t="shared" si="199"/>
        <v>0</v>
      </c>
      <c r="BL113" s="257">
        <f t="shared" si="133"/>
        <v>0</v>
      </c>
      <c r="BM113" s="257">
        <f t="shared" si="200"/>
        <v>0</v>
      </c>
      <c r="BN113" s="259">
        <f t="shared" si="158"/>
        <v>0</v>
      </c>
      <c r="BO113" s="258">
        <v>0</v>
      </c>
      <c r="BP113" s="257">
        <f t="shared" si="219"/>
        <v>0</v>
      </c>
      <c r="BQ113" s="259">
        <f t="shared" si="178"/>
        <v>0</v>
      </c>
      <c r="BR113" s="258">
        <f t="shared" si="220"/>
        <v>0</v>
      </c>
      <c r="BS113" s="257">
        <f t="shared" si="221"/>
        <v>0</v>
      </c>
      <c r="BT113" s="259">
        <f t="shared" si="179"/>
        <v>0</v>
      </c>
      <c r="BU113" s="275">
        <f t="shared" si="201"/>
        <v>0</v>
      </c>
      <c r="BV113" s="274">
        <f t="shared" si="202"/>
        <v>0</v>
      </c>
      <c r="BW113" s="274">
        <f t="shared" si="203"/>
        <v>0</v>
      </c>
      <c r="BX113" s="276">
        <f t="shared" si="222"/>
        <v>0</v>
      </c>
      <c r="BY113" s="275">
        <v>0</v>
      </c>
      <c r="BZ113" s="274">
        <f t="shared" si="223"/>
        <v>0</v>
      </c>
      <c r="CA113" s="276">
        <f t="shared" si="180"/>
        <v>0</v>
      </c>
      <c r="CB113" s="275">
        <f t="shared" si="224"/>
        <v>0</v>
      </c>
      <c r="CC113" s="274">
        <f t="shared" si="225"/>
        <v>0</v>
      </c>
      <c r="CD113" s="276">
        <f t="shared" si="181"/>
        <v>0</v>
      </c>
      <c r="CE113" s="58">
        <f t="shared" si="226"/>
        <v>4.7499937902902439E-2</v>
      </c>
      <c r="CF113" s="49">
        <f t="shared" si="138"/>
        <v>7.3499999999999996E-2</v>
      </c>
      <c r="CG113" s="61">
        <f t="shared" si="182"/>
        <v>3.2340000000000001E-2</v>
      </c>
      <c r="CH113" s="49">
        <f t="shared" si="183"/>
        <v>1.2499983658658537E-2</v>
      </c>
      <c r="CI113" s="49">
        <f t="shared" si="184"/>
        <v>5.1205702051002229</v>
      </c>
      <c r="CJ113" s="49">
        <f t="shared" si="227"/>
        <v>73.405028258925114</v>
      </c>
      <c r="CN113" s="49">
        <f t="shared" si="168"/>
        <v>1.5275733333333332</v>
      </c>
      <c r="CO113" s="49">
        <f t="shared" si="169"/>
        <v>0</v>
      </c>
      <c r="CP113" s="49">
        <f t="shared" si="170"/>
        <v>0</v>
      </c>
      <c r="CQ113" s="49" t="str">
        <f t="shared" si="204"/>
        <v/>
      </c>
    </row>
    <row r="114" spans="12:95" x14ac:dyDescent="0.45">
      <c r="L114" s="49">
        <f t="shared" si="171"/>
        <v>71.333333333333329</v>
      </c>
      <c r="Q114" s="49">
        <v>107</v>
      </c>
      <c r="R114" s="278">
        <f t="shared" si="115"/>
        <v>14.266666666666666</v>
      </c>
      <c r="S114" s="201">
        <f t="shared" si="116"/>
        <v>42</v>
      </c>
      <c r="T114" s="206">
        <f t="shared" si="185"/>
        <v>0.33968253968253964</v>
      </c>
      <c r="U114" s="205">
        <f t="shared" si="186"/>
        <v>2</v>
      </c>
      <c r="V114" s="201">
        <f t="shared" si="187"/>
        <v>0.45955882352941174</v>
      </c>
      <c r="W114" s="201">
        <f t="shared" si="188"/>
        <v>0.54044117647058831</v>
      </c>
      <c r="X114" s="201">
        <f t="shared" si="140"/>
        <v>0</v>
      </c>
      <c r="Y114" s="205">
        <f t="shared" si="205"/>
        <v>0.73914920634920633</v>
      </c>
      <c r="Z114" s="201">
        <f t="shared" si="189"/>
        <v>0.30637254901960786</v>
      </c>
      <c r="AA114" s="201">
        <f t="shared" si="142"/>
        <v>0.89233548085901027</v>
      </c>
      <c r="AB114" s="206">
        <f t="shared" si="190"/>
        <v>0.50464913955139756</v>
      </c>
      <c r="AC114" s="205">
        <v>0</v>
      </c>
      <c r="AD114" s="201">
        <f t="shared" si="191"/>
        <v>1.2733537702498297E-2</v>
      </c>
      <c r="AE114" s="206">
        <f t="shared" si="143"/>
        <v>1.2733537702498297E-2</v>
      </c>
      <c r="AF114" s="58">
        <f t="shared" si="192"/>
        <v>0.28533333333333333</v>
      </c>
      <c r="AG114" s="61">
        <f t="shared" si="193"/>
        <v>0.28533333333333333</v>
      </c>
      <c r="AH114" s="58">
        <f t="shared" si="194"/>
        <v>3.3871210288645467E-2</v>
      </c>
      <c r="AI114" s="49">
        <f t="shared" si="195"/>
        <v>2.7746040952907602</v>
      </c>
      <c r="AJ114" s="61">
        <f t="shared" si="144"/>
        <v>2.8084753055794058</v>
      </c>
      <c r="AK114" s="269">
        <f t="shared" si="196"/>
        <v>14.266666666666666</v>
      </c>
      <c r="AL114" s="268">
        <f t="shared" si="129"/>
        <v>5</v>
      </c>
      <c r="AM114" s="270">
        <f t="shared" si="206"/>
        <v>2.8533333333333331</v>
      </c>
      <c r="AN114" s="269">
        <f t="shared" si="207"/>
        <v>2</v>
      </c>
      <c r="AO114" s="268">
        <f t="shared" si="208"/>
        <v>0.5404411764705882</v>
      </c>
      <c r="AP114" s="268">
        <f t="shared" si="209"/>
        <v>5.2796371882086168</v>
      </c>
      <c r="AQ114" s="268">
        <f t="shared" si="210"/>
        <v>2.1883753501400558</v>
      </c>
      <c r="AR114" s="268">
        <f t="shared" si="172"/>
        <v>6.3738248632786449</v>
      </c>
      <c r="AS114" s="270">
        <f t="shared" si="173"/>
        <v>3.908995426320931</v>
      </c>
      <c r="AT114" s="269"/>
      <c r="AU114" s="268">
        <f t="shared" si="211"/>
        <v>8.1415111111111091E-2</v>
      </c>
      <c r="AV114" s="270">
        <f t="shared" si="174"/>
        <v>8.1415111111111091E-2</v>
      </c>
      <c r="AW114" s="269">
        <f t="shared" si="212"/>
        <v>0.11424000000000001</v>
      </c>
      <c r="AX114" s="268">
        <f t="shared" si="213"/>
        <v>1.4266666666666665</v>
      </c>
      <c r="AY114" s="270">
        <f t="shared" si="175"/>
        <v>1.5409066666666664</v>
      </c>
      <c r="AZ114" s="263">
        <f t="shared" si="197"/>
        <v>0</v>
      </c>
      <c r="BA114" s="262">
        <f t="shared" si="198"/>
        <v>0</v>
      </c>
      <c r="BB114" s="262">
        <f t="shared" si="176"/>
        <v>0</v>
      </c>
      <c r="BC114" s="264" t="e">
        <f t="shared" si="214"/>
        <v>#DIV/0!</v>
      </c>
      <c r="BD114" s="263">
        <v>0</v>
      </c>
      <c r="BE114" s="262">
        <f t="shared" si="215"/>
        <v>0</v>
      </c>
      <c r="BF114" s="264">
        <f t="shared" si="177"/>
        <v>0</v>
      </c>
      <c r="BG114" s="263">
        <f t="shared" si="216"/>
        <v>0</v>
      </c>
      <c r="BH114" s="262">
        <f t="shared" si="217"/>
        <v>0</v>
      </c>
      <c r="BI114" s="264">
        <f t="shared" si="218"/>
        <v>0</v>
      </c>
      <c r="BK114" s="258">
        <f t="shared" si="199"/>
        <v>0</v>
      </c>
      <c r="BL114" s="257">
        <f t="shared" si="133"/>
        <v>0</v>
      </c>
      <c r="BM114" s="257">
        <f t="shared" si="200"/>
        <v>0</v>
      </c>
      <c r="BN114" s="259">
        <f t="shared" si="158"/>
        <v>0</v>
      </c>
      <c r="BO114" s="258">
        <v>0</v>
      </c>
      <c r="BP114" s="257">
        <f t="shared" si="219"/>
        <v>0</v>
      </c>
      <c r="BQ114" s="259">
        <f t="shared" si="178"/>
        <v>0</v>
      </c>
      <c r="BR114" s="258">
        <f t="shared" si="220"/>
        <v>0</v>
      </c>
      <c r="BS114" s="257">
        <f t="shared" si="221"/>
        <v>0</v>
      </c>
      <c r="BT114" s="259">
        <f t="shared" si="179"/>
        <v>0</v>
      </c>
      <c r="BU114" s="275">
        <f t="shared" si="201"/>
        <v>0</v>
      </c>
      <c r="BV114" s="274">
        <f t="shared" si="202"/>
        <v>0</v>
      </c>
      <c r="BW114" s="274">
        <f t="shared" si="203"/>
        <v>0</v>
      </c>
      <c r="BX114" s="276">
        <f t="shared" si="222"/>
        <v>0</v>
      </c>
      <c r="BY114" s="275">
        <v>0</v>
      </c>
      <c r="BZ114" s="274">
        <f t="shared" si="223"/>
        <v>0</v>
      </c>
      <c r="CA114" s="276">
        <f t="shared" si="180"/>
        <v>0</v>
      </c>
      <c r="CB114" s="275">
        <f t="shared" si="224"/>
        <v>0</v>
      </c>
      <c r="CC114" s="274">
        <f t="shared" si="225"/>
        <v>0</v>
      </c>
      <c r="CD114" s="276">
        <f t="shared" si="181"/>
        <v>0</v>
      </c>
      <c r="CE114" s="58">
        <f t="shared" si="226"/>
        <v>4.8387443269493527E-2</v>
      </c>
      <c r="CF114" s="49">
        <f t="shared" si="138"/>
        <v>7.3499999999999996E-2</v>
      </c>
      <c r="CG114" s="61">
        <f t="shared" si="182"/>
        <v>3.2340000000000001E-2</v>
      </c>
      <c r="CH114" s="49">
        <f t="shared" si="183"/>
        <v>1.2733537702498297E-2</v>
      </c>
      <c r="CI114" s="49">
        <f t="shared" si="184"/>
        <v>5.1684247309958415</v>
      </c>
      <c r="CJ114" s="49">
        <f t="shared" si="227"/>
        <v>73.406738228061755</v>
      </c>
      <c r="CN114" s="49">
        <f t="shared" si="168"/>
        <v>1.5409066666666664</v>
      </c>
      <c r="CO114" s="49">
        <f t="shared" si="169"/>
        <v>0</v>
      </c>
      <c r="CP114" s="49">
        <f t="shared" si="170"/>
        <v>0</v>
      </c>
      <c r="CQ114" s="49" t="str">
        <f t="shared" si="204"/>
        <v/>
      </c>
    </row>
    <row r="115" spans="12:95" x14ac:dyDescent="0.45">
      <c r="L115" s="49">
        <f t="shared" si="171"/>
        <v>72</v>
      </c>
      <c r="Q115" s="49">
        <v>108</v>
      </c>
      <c r="R115" s="278">
        <f t="shared" si="115"/>
        <v>14.4</v>
      </c>
      <c r="S115" s="201">
        <f t="shared" si="116"/>
        <v>42</v>
      </c>
      <c r="T115" s="206">
        <f t="shared" si="185"/>
        <v>0.34285714285714286</v>
      </c>
      <c r="U115" s="205">
        <f t="shared" si="186"/>
        <v>2</v>
      </c>
      <c r="V115" s="201">
        <f t="shared" si="187"/>
        <v>0.45955882352941174</v>
      </c>
      <c r="W115" s="201">
        <f t="shared" si="188"/>
        <v>0.54044117647058831</v>
      </c>
      <c r="X115" s="201">
        <f t="shared" si="140"/>
        <v>0</v>
      </c>
      <c r="Y115" s="205">
        <f t="shared" si="205"/>
        <v>0.74605714285714286</v>
      </c>
      <c r="Z115" s="201">
        <f t="shared" si="189"/>
        <v>0.30637254901960786</v>
      </c>
      <c r="AA115" s="201">
        <f t="shared" si="142"/>
        <v>0.8992434173669468</v>
      </c>
      <c r="AB115" s="206">
        <f t="shared" si="190"/>
        <v>0.50929921936038469</v>
      </c>
      <c r="AC115" s="205">
        <v>0</v>
      </c>
      <c r="AD115" s="201">
        <f t="shared" si="191"/>
        <v>1.2969284742054863E-2</v>
      </c>
      <c r="AE115" s="206">
        <f t="shared" si="143"/>
        <v>1.2969284742054863E-2</v>
      </c>
      <c r="AF115" s="58">
        <f t="shared" si="192"/>
        <v>0.28800000000000003</v>
      </c>
      <c r="AG115" s="61">
        <f t="shared" si="193"/>
        <v>0.28800000000000003</v>
      </c>
      <c r="AH115" s="58">
        <f t="shared" si="194"/>
        <v>3.4498297413865939E-2</v>
      </c>
      <c r="AI115" s="49">
        <f t="shared" si="195"/>
        <v>2.8005349746860011</v>
      </c>
      <c r="AJ115" s="61">
        <f t="shared" si="144"/>
        <v>2.8350332720998672</v>
      </c>
      <c r="AK115" s="269">
        <f t="shared" si="196"/>
        <v>14.4</v>
      </c>
      <c r="AL115" s="268">
        <f t="shared" si="129"/>
        <v>5</v>
      </c>
      <c r="AM115" s="270">
        <f t="shared" si="206"/>
        <v>2.88</v>
      </c>
      <c r="AN115" s="269">
        <f t="shared" si="207"/>
        <v>2</v>
      </c>
      <c r="AO115" s="268">
        <f t="shared" si="208"/>
        <v>0.54044117647058831</v>
      </c>
      <c r="AP115" s="268">
        <f t="shared" si="209"/>
        <v>5.3289795918367338</v>
      </c>
      <c r="AQ115" s="268">
        <f t="shared" si="210"/>
        <v>2.1883753501400562</v>
      </c>
      <c r="AR115" s="268">
        <f t="shared" si="172"/>
        <v>6.4231672669067619</v>
      </c>
      <c r="AS115" s="270">
        <f t="shared" si="173"/>
        <v>3.9450147896384151</v>
      </c>
      <c r="AT115" s="269"/>
      <c r="AU115" s="268">
        <f t="shared" si="211"/>
        <v>8.2944000000000004E-2</v>
      </c>
      <c r="AV115" s="270">
        <f t="shared" si="174"/>
        <v>8.2944000000000004E-2</v>
      </c>
      <c r="AW115" s="269">
        <f t="shared" si="212"/>
        <v>0.11424000000000001</v>
      </c>
      <c r="AX115" s="268">
        <f t="shared" si="213"/>
        <v>1.44</v>
      </c>
      <c r="AY115" s="270">
        <f t="shared" si="175"/>
        <v>1.5542400000000001</v>
      </c>
      <c r="AZ115" s="263">
        <f t="shared" si="197"/>
        <v>0</v>
      </c>
      <c r="BA115" s="262">
        <f t="shared" si="198"/>
        <v>0</v>
      </c>
      <c r="BB115" s="262">
        <f t="shared" si="176"/>
        <v>0</v>
      </c>
      <c r="BC115" s="264" t="e">
        <f t="shared" si="214"/>
        <v>#DIV/0!</v>
      </c>
      <c r="BD115" s="263">
        <v>0</v>
      </c>
      <c r="BE115" s="262">
        <f t="shared" si="215"/>
        <v>0</v>
      </c>
      <c r="BF115" s="264">
        <f t="shared" si="177"/>
        <v>0</v>
      </c>
      <c r="BG115" s="263">
        <f t="shared" si="216"/>
        <v>0</v>
      </c>
      <c r="BH115" s="262">
        <f t="shared" si="217"/>
        <v>0</v>
      </c>
      <c r="BI115" s="264">
        <f t="shared" si="218"/>
        <v>0</v>
      </c>
      <c r="BK115" s="258">
        <f t="shared" si="199"/>
        <v>0</v>
      </c>
      <c r="BL115" s="257">
        <f t="shared" si="133"/>
        <v>0</v>
      </c>
      <c r="BM115" s="257">
        <f t="shared" si="200"/>
        <v>0</v>
      </c>
      <c r="BN115" s="259">
        <f t="shared" si="158"/>
        <v>0</v>
      </c>
      <c r="BO115" s="258">
        <v>0</v>
      </c>
      <c r="BP115" s="257">
        <f t="shared" si="219"/>
        <v>0</v>
      </c>
      <c r="BQ115" s="259">
        <f t="shared" si="178"/>
        <v>0</v>
      </c>
      <c r="BR115" s="258">
        <f t="shared" si="220"/>
        <v>0</v>
      </c>
      <c r="BS115" s="257">
        <f t="shared" si="221"/>
        <v>0</v>
      </c>
      <c r="BT115" s="259">
        <f t="shared" si="179"/>
        <v>0</v>
      </c>
      <c r="BU115" s="275">
        <f t="shared" si="201"/>
        <v>0</v>
      </c>
      <c r="BV115" s="274">
        <f t="shared" si="202"/>
        <v>0</v>
      </c>
      <c r="BW115" s="274">
        <f t="shared" si="203"/>
        <v>0</v>
      </c>
      <c r="BX115" s="276">
        <f t="shared" si="222"/>
        <v>0</v>
      </c>
      <c r="BY115" s="275">
        <v>0</v>
      </c>
      <c r="BZ115" s="274">
        <f t="shared" si="223"/>
        <v>0</v>
      </c>
      <c r="CA115" s="276">
        <f t="shared" si="180"/>
        <v>0</v>
      </c>
      <c r="CB115" s="275">
        <f t="shared" si="224"/>
        <v>0</v>
      </c>
      <c r="CC115" s="274">
        <f t="shared" si="225"/>
        <v>0</v>
      </c>
      <c r="CD115" s="276">
        <f t="shared" si="181"/>
        <v>0</v>
      </c>
      <c r="CE115" s="58">
        <f t="shared" si="226"/>
        <v>4.9283282019808479E-2</v>
      </c>
      <c r="CF115" s="49">
        <f t="shared" si="138"/>
        <v>7.3499999999999996E-2</v>
      </c>
      <c r="CG115" s="61">
        <f t="shared" si="182"/>
        <v>3.2340000000000001E-2</v>
      </c>
      <c r="CH115" s="49">
        <f t="shared" si="183"/>
        <v>1.2969284742054863E-2</v>
      </c>
      <c r="CI115" s="49">
        <f t="shared" si="184"/>
        <v>5.2163098388617311</v>
      </c>
      <c r="CJ115" s="49">
        <f t="shared" si="227"/>
        <v>73.408302164315657</v>
      </c>
      <c r="CN115" s="49">
        <f t="shared" si="168"/>
        <v>1.5542400000000001</v>
      </c>
      <c r="CO115" s="49">
        <f t="shared" si="169"/>
        <v>0</v>
      </c>
      <c r="CP115" s="49">
        <f t="shared" si="170"/>
        <v>0</v>
      </c>
      <c r="CQ115" s="49" t="str">
        <f t="shared" si="204"/>
        <v/>
      </c>
    </row>
    <row r="116" spans="12:95" x14ac:dyDescent="0.45">
      <c r="L116" s="49">
        <f t="shared" si="171"/>
        <v>72.666666666666671</v>
      </c>
      <c r="Q116" s="49">
        <v>109</v>
      </c>
      <c r="R116" s="278">
        <f t="shared" si="115"/>
        <v>14.533333333333333</v>
      </c>
      <c r="S116" s="201">
        <f t="shared" si="116"/>
        <v>42</v>
      </c>
      <c r="T116" s="206">
        <f t="shared" si="185"/>
        <v>0.34603174603174602</v>
      </c>
      <c r="U116" s="205">
        <f t="shared" si="186"/>
        <v>2</v>
      </c>
      <c r="V116" s="201">
        <f t="shared" si="187"/>
        <v>0.45955882352941174</v>
      </c>
      <c r="W116" s="201">
        <f t="shared" si="188"/>
        <v>0.54044117647058831</v>
      </c>
      <c r="X116" s="201">
        <f t="shared" si="140"/>
        <v>0</v>
      </c>
      <c r="Y116" s="205">
        <f t="shared" si="205"/>
        <v>0.75296507936507939</v>
      </c>
      <c r="Z116" s="201">
        <f t="shared" si="189"/>
        <v>0.30637254901960786</v>
      </c>
      <c r="AA116" s="201">
        <f t="shared" si="142"/>
        <v>0.90615135387488333</v>
      </c>
      <c r="AB116" s="206">
        <f t="shared" si="190"/>
        <v>0.51394989594956098</v>
      </c>
      <c r="AC116" s="205">
        <v>0</v>
      </c>
      <c r="AD116" s="201">
        <f t="shared" si="191"/>
        <v>1.3207224777328228E-2</v>
      </c>
      <c r="AE116" s="206">
        <f t="shared" si="143"/>
        <v>1.3207224777328228E-2</v>
      </c>
      <c r="AF116" s="58">
        <f t="shared" si="192"/>
        <v>0.29066666666666668</v>
      </c>
      <c r="AG116" s="61">
        <f t="shared" si="193"/>
        <v>0.29066666666666668</v>
      </c>
      <c r="AH116" s="58">
        <f t="shared" si="194"/>
        <v>3.5131217907693087E-2</v>
      </c>
      <c r="AI116" s="49">
        <f t="shared" si="195"/>
        <v>2.826465854081242</v>
      </c>
      <c r="AJ116" s="61">
        <f t="shared" si="144"/>
        <v>2.861597071988935</v>
      </c>
      <c r="AK116" s="269">
        <f t="shared" si="196"/>
        <v>14.533333333333333</v>
      </c>
      <c r="AL116" s="268">
        <f t="shared" si="129"/>
        <v>5</v>
      </c>
      <c r="AM116" s="270">
        <f t="shared" si="206"/>
        <v>2.9066666666666667</v>
      </c>
      <c r="AN116" s="269">
        <f t="shared" si="207"/>
        <v>2</v>
      </c>
      <c r="AO116" s="268">
        <f t="shared" si="208"/>
        <v>0.54044117647058831</v>
      </c>
      <c r="AP116" s="268">
        <f t="shared" si="209"/>
        <v>5.3783219954648525</v>
      </c>
      <c r="AQ116" s="268">
        <f t="shared" si="210"/>
        <v>2.1883753501400562</v>
      </c>
      <c r="AR116" s="268">
        <f t="shared" si="172"/>
        <v>6.4725096705348806</v>
      </c>
      <c r="AS116" s="270">
        <f t="shared" si="173"/>
        <v>3.9810387755953696</v>
      </c>
      <c r="AT116" s="269"/>
      <c r="AU116" s="268">
        <f t="shared" si="211"/>
        <v>8.448711111111111E-2</v>
      </c>
      <c r="AV116" s="270">
        <f t="shared" si="174"/>
        <v>8.448711111111111E-2</v>
      </c>
      <c r="AW116" s="269">
        <f t="shared" si="212"/>
        <v>0.11424000000000001</v>
      </c>
      <c r="AX116" s="268">
        <f t="shared" si="213"/>
        <v>1.4533333333333334</v>
      </c>
      <c r="AY116" s="270">
        <f t="shared" si="175"/>
        <v>1.5675733333333333</v>
      </c>
      <c r="AZ116" s="263">
        <f t="shared" si="197"/>
        <v>0</v>
      </c>
      <c r="BA116" s="262">
        <f t="shared" si="198"/>
        <v>0</v>
      </c>
      <c r="BB116" s="262">
        <f t="shared" si="176"/>
        <v>0</v>
      </c>
      <c r="BC116" s="264" t="e">
        <f t="shared" si="214"/>
        <v>#DIV/0!</v>
      </c>
      <c r="BD116" s="263">
        <v>0</v>
      </c>
      <c r="BE116" s="262">
        <f t="shared" si="215"/>
        <v>0</v>
      </c>
      <c r="BF116" s="264">
        <f t="shared" si="177"/>
        <v>0</v>
      </c>
      <c r="BG116" s="263">
        <f t="shared" si="216"/>
        <v>0</v>
      </c>
      <c r="BH116" s="262">
        <f t="shared" si="217"/>
        <v>0</v>
      </c>
      <c r="BI116" s="264">
        <f t="shared" si="218"/>
        <v>0</v>
      </c>
      <c r="BK116" s="258">
        <f t="shared" si="199"/>
        <v>0</v>
      </c>
      <c r="BL116" s="257">
        <f t="shared" si="133"/>
        <v>0</v>
      </c>
      <c r="BM116" s="257">
        <f t="shared" si="200"/>
        <v>0</v>
      </c>
      <c r="BN116" s="259">
        <f t="shared" si="158"/>
        <v>0</v>
      </c>
      <c r="BO116" s="258">
        <v>0</v>
      </c>
      <c r="BP116" s="257">
        <f t="shared" si="219"/>
        <v>0</v>
      </c>
      <c r="BQ116" s="259">
        <f t="shared" si="178"/>
        <v>0</v>
      </c>
      <c r="BR116" s="258">
        <f t="shared" si="220"/>
        <v>0</v>
      </c>
      <c r="BS116" s="257">
        <f t="shared" si="221"/>
        <v>0</v>
      </c>
      <c r="BT116" s="259">
        <f t="shared" si="179"/>
        <v>0</v>
      </c>
      <c r="BU116" s="275">
        <f t="shared" si="201"/>
        <v>0</v>
      </c>
      <c r="BV116" s="274">
        <f t="shared" si="202"/>
        <v>0</v>
      </c>
      <c r="BW116" s="274">
        <f t="shared" si="203"/>
        <v>0</v>
      </c>
      <c r="BX116" s="276">
        <f t="shared" si="222"/>
        <v>0</v>
      </c>
      <c r="BY116" s="275">
        <v>0</v>
      </c>
      <c r="BZ116" s="274">
        <f t="shared" si="223"/>
        <v>0</v>
      </c>
      <c r="CA116" s="276">
        <f t="shared" si="180"/>
        <v>0</v>
      </c>
      <c r="CB116" s="275">
        <f t="shared" si="224"/>
        <v>0</v>
      </c>
      <c r="CC116" s="274">
        <f t="shared" si="225"/>
        <v>0</v>
      </c>
      <c r="CD116" s="276">
        <f t="shared" si="181"/>
        <v>0</v>
      </c>
      <c r="CE116" s="58">
        <f t="shared" si="226"/>
        <v>5.0187454153847268E-2</v>
      </c>
      <c r="CF116" s="49">
        <f t="shared" si="138"/>
        <v>7.3499999999999996E-2</v>
      </c>
      <c r="CG116" s="61">
        <f t="shared" si="182"/>
        <v>3.2340000000000001E-2</v>
      </c>
      <c r="CH116" s="49">
        <f t="shared" si="183"/>
        <v>1.3207224777328228E-2</v>
      </c>
      <c r="CI116" s="49">
        <f t="shared" si="184"/>
        <v>5.2642255286978878</v>
      </c>
      <c r="CJ116" s="49">
        <f t="shared" si="227"/>
        <v>73.409724070608064</v>
      </c>
      <c r="CN116" s="49">
        <f t="shared" si="168"/>
        <v>1.5675733333333333</v>
      </c>
      <c r="CO116" s="49">
        <f t="shared" si="169"/>
        <v>0</v>
      </c>
      <c r="CP116" s="49">
        <f t="shared" si="170"/>
        <v>0</v>
      </c>
      <c r="CQ116" s="49" t="str">
        <f t="shared" si="204"/>
        <v/>
      </c>
    </row>
    <row r="117" spans="12:95" x14ac:dyDescent="0.45">
      <c r="L117" s="49">
        <f t="shared" si="171"/>
        <v>73.333333333333329</v>
      </c>
      <c r="Q117" s="49">
        <v>110</v>
      </c>
      <c r="R117" s="278">
        <f t="shared" si="115"/>
        <v>14.666666666666666</v>
      </c>
      <c r="S117" s="201">
        <f t="shared" si="116"/>
        <v>42</v>
      </c>
      <c r="T117" s="206">
        <f t="shared" si="185"/>
        <v>0.34920634920634919</v>
      </c>
      <c r="U117" s="205">
        <f t="shared" si="186"/>
        <v>2</v>
      </c>
      <c r="V117" s="201">
        <f t="shared" si="187"/>
        <v>0.45955882352941174</v>
      </c>
      <c r="W117" s="201">
        <f t="shared" si="188"/>
        <v>0.54044117647058831</v>
      </c>
      <c r="X117" s="201">
        <f t="shared" si="140"/>
        <v>0</v>
      </c>
      <c r="Y117" s="205">
        <f t="shared" si="205"/>
        <v>0.75987301587301592</v>
      </c>
      <c r="Z117" s="201">
        <f t="shared" si="189"/>
        <v>0.30637254901960786</v>
      </c>
      <c r="AA117" s="201">
        <f t="shared" si="142"/>
        <v>0.91305929038281985</v>
      </c>
      <c r="AB117" s="206">
        <f t="shared" si="190"/>
        <v>0.51860115326363099</v>
      </c>
      <c r="AC117" s="205">
        <v>0</v>
      </c>
      <c r="AD117" s="201">
        <f t="shared" si="191"/>
        <v>1.3447357808318404E-2</v>
      </c>
      <c r="AE117" s="206">
        <f t="shared" si="143"/>
        <v>1.3447357808318404E-2</v>
      </c>
      <c r="AF117" s="58">
        <f t="shared" si="192"/>
        <v>0.29333333333333333</v>
      </c>
      <c r="AG117" s="61">
        <f t="shared" si="193"/>
        <v>0.29333333333333333</v>
      </c>
      <c r="AH117" s="58">
        <f t="shared" si="194"/>
        <v>3.5769971770126953E-2</v>
      </c>
      <c r="AI117" s="49">
        <f t="shared" si="195"/>
        <v>2.8523967334764828</v>
      </c>
      <c r="AJ117" s="61">
        <f t="shared" si="144"/>
        <v>2.8881667052466096</v>
      </c>
      <c r="AK117" s="269">
        <f t="shared" si="196"/>
        <v>14.666666666666666</v>
      </c>
      <c r="AL117" s="268">
        <f t="shared" si="129"/>
        <v>5</v>
      </c>
      <c r="AM117" s="270">
        <f t="shared" si="206"/>
        <v>2.9333333333333331</v>
      </c>
      <c r="AN117" s="269">
        <f t="shared" si="207"/>
        <v>2</v>
      </c>
      <c r="AO117" s="268">
        <f t="shared" si="208"/>
        <v>0.54044117647058809</v>
      </c>
      <c r="AP117" s="268">
        <f t="shared" si="209"/>
        <v>5.4276643990929712</v>
      </c>
      <c r="AQ117" s="268">
        <f t="shared" si="210"/>
        <v>2.1883753501400549</v>
      </c>
      <c r="AR117" s="268">
        <f t="shared" si="172"/>
        <v>6.5218520741629984</v>
      </c>
      <c r="AS117" s="270">
        <f t="shared" si="173"/>
        <v>4.0170672598280062</v>
      </c>
      <c r="AT117" s="269"/>
      <c r="AU117" s="268">
        <f t="shared" si="211"/>
        <v>8.6044444444444437E-2</v>
      </c>
      <c r="AV117" s="270">
        <f t="shared" si="174"/>
        <v>8.6044444444444437E-2</v>
      </c>
      <c r="AW117" s="269">
        <f t="shared" si="212"/>
        <v>0.11424000000000001</v>
      </c>
      <c r="AX117" s="268">
        <f t="shared" si="213"/>
        <v>1.4666666666666666</v>
      </c>
      <c r="AY117" s="270">
        <f t="shared" si="175"/>
        <v>1.5809066666666665</v>
      </c>
      <c r="AZ117" s="263">
        <f t="shared" si="197"/>
        <v>0</v>
      </c>
      <c r="BA117" s="262">
        <f t="shared" si="198"/>
        <v>0</v>
      </c>
      <c r="BB117" s="262">
        <f t="shared" si="176"/>
        <v>0</v>
      </c>
      <c r="BC117" s="264" t="e">
        <f t="shared" si="214"/>
        <v>#DIV/0!</v>
      </c>
      <c r="BD117" s="263">
        <v>0</v>
      </c>
      <c r="BE117" s="262">
        <f t="shared" si="215"/>
        <v>0</v>
      </c>
      <c r="BF117" s="264">
        <f t="shared" si="177"/>
        <v>0</v>
      </c>
      <c r="BG117" s="263">
        <f t="shared" si="216"/>
        <v>0</v>
      </c>
      <c r="BH117" s="262">
        <f t="shared" si="217"/>
        <v>0</v>
      </c>
      <c r="BI117" s="264">
        <f t="shared" si="218"/>
        <v>0</v>
      </c>
      <c r="BK117" s="258">
        <f t="shared" si="199"/>
        <v>0</v>
      </c>
      <c r="BL117" s="257">
        <f t="shared" si="133"/>
        <v>0</v>
      </c>
      <c r="BM117" s="257">
        <f t="shared" si="200"/>
        <v>0</v>
      </c>
      <c r="BN117" s="259">
        <f t="shared" si="158"/>
        <v>0</v>
      </c>
      <c r="BO117" s="258">
        <v>0</v>
      </c>
      <c r="BP117" s="257">
        <f t="shared" si="219"/>
        <v>0</v>
      </c>
      <c r="BQ117" s="259">
        <f t="shared" si="178"/>
        <v>0</v>
      </c>
      <c r="BR117" s="258">
        <f t="shared" si="220"/>
        <v>0</v>
      </c>
      <c r="BS117" s="257">
        <f t="shared" si="221"/>
        <v>0</v>
      </c>
      <c r="BT117" s="259">
        <f t="shared" si="179"/>
        <v>0</v>
      </c>
      <c r="BU117" s="275">
        <f t="shared" si="201"/>
        <v>0</v>
      </c>
      <c r="BV117" s="274">
        <f t="shared" si="202"/>
        <v>0</v>
      </c>
      <c r="BW117" s="274">
        <f t="shared" si="203"/>
        <v>0</v>
      </c>
      <c r="BX117" s="276">
        <f t="shared" si="222"/>
        <v>0</v>
      </c>
      <c r="BY117" s="275">
        <v>0</v>
      </c>
      <c r="BZ117" s="274">
        <f t="shared" si="223"/>
        <v>0</v>
      </c>
      <c r="CA117" s="276">
        <f t="shared" si="180"/>
        <v>0</v>
      </c>
      <c r="CB117" s="275">
        <f t="shared" si="224"/>
        <v>0</v>
      </c>
      <c r="CC117" s="274">
        <f t="shared" si="225"/>
        <v>0</v>
      </c>
      <c r="CD117" s="276">
        <f t="shared" si="181"/>
        <v>0</v>
      </c>
      <c r="CE117" s="58">
        <f t="shared" si="226"/>
        <v>5.1099959671609928E-2</v>
      </c>
      <c r="CF117" s="49">
        <f t="shared" si="138"/>
        <v>7.3499999999999996E-2</v>
      </c>
      <c r="CG117" s="61">
        <f t="shared" si="182"/>
        <v>3.2340000000000001E-2</v>
      </c>
      <c r="CH117" s="49">
        <f t="shared" si="183"/>
        <v>1.3447357808318404E-2</v>
      </c>
      <c r="CI117" s="49">
        <f t="shared" si="184"/>
        <v>5.3121718005043146</v>
      </c>
      <c r="CJ117" s="49">
        <f t="shared" si="227"/>
        <v>73.411007805918146</v>
      </c>
      <c r="CN117" s="49">
        <f t="shared" si="168"/>
        <v>1.5809066666666665</v>
      </c>
      <c r="CO117" s="49">
        <f t="shared" si="169"/>
        <v>0</v>
      </c>
      <c r="CP117" s="49">
        <f t="shared" si="170"/>
        <v>0</v>
      </c>
      <c r="CQ117" s="49" t="str">
        <f t="shared" si="204"/>
        <v/>
      </c>
    </row>
    <row r="118" spans="12:95" x14ac:dyDescent="0.45">
      <c r="L118" s="49">
        <f t="shared" si="171"/>
        <v>74</v>
      </c>
      <c r="Q118" s="49">
        <v>111</v>
      </c>
      <c r="R118" s="278">
        <f t="shared" si="115"/>
        <v>14.799999999999999</v>
      </c>
      <c r="S118" s="201">
        <f t="shared" si="116"/>
        <v>42</v>
      </c>
      <c r="T118" s="206">
        <f t="shared" si="185"/>
        <v>0.35238095238095235</v>
      </c>
      <c r="U118" s="205">
        <f t="shared" si="186"/>
        <v>2</v>
      </c>
      <c r="V118" s="201">
        <f t="shared" si="187"/>
        <v>0.45955882352941174</v>
      </c>
      <c r="W118" s="201">
        <f t="shared" si="188"/>
        <v>0.54044117647058831</v>
      </c>
      <c r="X118" s="201">
        <f t="shared" si="140"/>
        <v>0</v>
      </c>
      <c r="Y118" s="205">
        <f t="shared" si="205"/>
        <v>0.76678095238095234</v>
      </c>
      <c r="Z118" s="201">
        <f t="shared" si="189"/>
        <v>0.30637254901960786</v>
      </c>
      <c r="AA118" s="201">
        <f t="shared" si="142"/>
        <v>0.91996722689075627</v>
      </c>
      <c r="AB118" s="206">
        <f t="shared" si="190"/>
        <v>0.5232529758161989</v>
      </c>
      <c r="AC118" s="205">
        <v>0</v>
      </c>
      <c r="AD118" s="201">
        <f t="shared" si="191"/>
        <v>1.3689683835025383E-2</v>
      </c>
      <c r="AE118" s="206">
        <f t="shared" si="143"/>
        <v>1.3689683835025383E-2</v>
      </c>
      <c r="AF118" s="58">
        <f t="shared" si="192"/>
        <v>0.29599999999999999</v>
      </c>
      <c r="AG118" s="61">
        <f t="shared" si="193"/>
        <v>0.29599999999999999</v>
      </c>
      <c r="AH118" s="58">
        <f t="shared" si="194"/>
        <v>3.6414559001167517E-2</v>
      </c>
      <c r="AI118" s="49">
        <f t="shared" si="195"/>
        <v>2.8783276128717228</v>
      </c>
      <c r="AJ118" s="61">
        <f t="shared" si="144"/>
        <v>2.9147421718728901</v>
      </c>
      <c r="AK118" s="269">
        <f t="shared" si="196"/>
        <v>14.799999999999999</v>
      </c>
      <c r="AL118" s="268">
        <f t="shared" si="129"/>
        <v>5</v>
      </c>
      <c r="AM118" s="270">
        <f t="shared" si="206"/>
        <v>2.96</v>
      </c>
      <c r="AN118" s="269">
        <f t="shared" si="207"/>
        <v>2</v>
      </c>
      <c r="AO118" s="268">
        <f t="shared" si="208"/>
        <v>0.54044117647058831</v>
      </c>
      <c r="AP118" s="268">
        <f t="shared" si="209"/>
        <v>5.4770068027210881</v>
      </c>
      <c r="AQ118" s="268">
        <f t="shared" si="210"/>
        <v>2.1883753501400562</v>
      </c>
      <c r="AR118" s="268">
        <f t="shared" si="172"/>
        <v>6.5711944777911162</v>
      </c>
      <c r="AS118" s="270">
        <f t="shared" si="173"/>
        <v>4.053100122379222</v>
      </c>
      <c r="AT118" s="269"/>
      <c r="AU118" s="268">
        <f t="shared" si="211"/>
        <v>8.7615999999999999E-2</v>
      </c>
      <c r="AV118" s="270">
        <f t="shared" si="174"/>
        <v>8.7615999999999999E-2</v>
      </c>
      <c r="AW118" s="269">
        <f t="shared" si="212"/>
        <v>0.11424000000000001</v>
      </c>
      <c r="AX118" s="268">
        <f t="shared" si="213"/>
        <v>1.48</v>
      </c>
      <c r="AY118" s="270">
        <f t="shared" si="175"/>
        <v>1.5942400000000001</v>
      </c>
      <c r="AZ118" s="263">
        <f t="shared" si="197"/>
        <v>0</v>
      </c>
      <c r="BA118" s="262">
        <f t="shared" si="198"/>
        <v>0</v>
      </c>
      <c r="BB118" s="262">
        <f t="shared" si="176"/>
        <v>0</v>
      </c>
      <c r="BC118" s="264" t="e">
        <f t="shared" si="214"/>
        <v>#DIV/0!</v>
      </c>
      <c r="BD118" s="263">
        <v>0</v>
      </c>
      <c r="BE118" s="262">
        <f t="shared" si="215"/>
        <v>0</v>
      </c>
      <c r="BF118" s="264">
        <f t="shared" si="177"/>
        <v>0</v>
      </c>
      <c r="BG118" s="263">
        <f t="shared" si="216"/>
        <v>0</v>
      </c>
      <c r="BH118" s="262">
        <f t="shared" si="217"/>
        <v>0</v>
      </c>
      <c r="BI118" s="264">
        <f t="shared" si="218"/>
        <v>0</v>
      </c>
      <c r="BK118" s="258">
        <f t="shared" si="199"/>
        <v>0</v>
      </c>
      <c r="BL118" s="257">
        <f t="shared" si="133"/>
        <v>0</v>
      </c>
      <c r="BM118" s="257">
        <f t="shared" si="200"/>
        <v>0</v>
      </c>
      <c r="BN118" s="259">
        <f t="shared" si="158"/>
        <v>0</v>
      </c>
      <c r="BO118" s="258">
        <v>0</v>
      </c>
      <c r="BP118" s="257">
        <f t="shared" si="219"/>
        <v>0</v>
      </c>
      <c r="BQ118" s="259">
        <f t="shared" si="178"/>
        <v>0</v>
      </c>
      <c r="BR118" s="258">
        <f t="shared" si="220"/>
        <v>0</v>
      </c>
      <c r="BS118" s="257">
        <f t="shared" si="221"/>
        <v>0</v>
      </c>
      <c r="BT118" s="259">
        <f t="shared" si="179"/>
        <v>0</v>
      </c>
      <c r="BU118" s="275">
        <f t="shared" si="201"/>
        <v>0</v>
      </c>
      <c r="BV118" s="274">
        <f t="shared" si="202"/>
        <v>0</v>
      </c>
      <c r="BW118" s="274">
        <f t="shared" si="203"/>
        <v>0</v>
      </c>
      <c r="BX118" s="276">
        <f t="shared" si="222"/>
        <v>0</v>
      </c>
      <c r="BY118" s="275">
        <v>0</v>
      </c>
      <c r="BZ118" s="274">
        <f t="shared" si="223"/>
        <v>0</v>
      </c>
      <c r="CA118" s="276">
        <f t="shared" si="180"/>
        <v>0</v>
      </c>
      <c r="CB118" s="275">
        <f t="shared" si="224"/>
        <v>0</v>
      </c>
      <c r="CC118" s="274">
        <f t="shared" si="225"/>
        <v>0</v>
      </c>
      <c r="CD118" s="276">
        <f t="shared" si="181"/>
        <v>0</v>
      </c>
      <c r="CE118" s="58">
        <f t="shared" si="226"/>
        <v>5.2020798573096452E-2</v>
      </c>
      <c r="CF118" s="49">
        <f t="shared" si="138"/>
        <v>7.3499999999999996E-2</v>
      </c>
      <c r="CG118" s="61">
        <f t="shared" si="182"/>
        <v>3.2340000000000001E-2</v>
      </c>
      <c r="CH118" s="49">
        <f t="shared" si="183"/>
        <v>1.3689683835025383E-2</v>
      </c>
      <c r="CI118" s="49">
        <f t="shared" si="184"/>
        <v>5.3601486542810122</v>
      </c>
      <c r="CJ118" s="49">
        <f t="shared" si="227"/>
        <v>73.412157091694937</v>
      </c>
      <c r="CN118" s="49">
        <f t="shared" si="168"/>
        <v>1.5942400000000001</v>
      </c>
      <c r="CO118" s="49">
        <f t="shared" si="169"/>
        <v>0</v>
      </c>
      <c r="CP118" s="49">
        <f t="shared" si="170"/>
        <v>0</v>
      </c>
      <c r="CQ118" s="49" t="str">
        <f t="shared" si="204"/>
        <v/>
      </c>
    </row>
    <row r="119" spans="12:95" x14ac:dyDescent="0.45">
      <c r="L119" s="49">
        <f t="shared" si="171"/>
        <v>74.666666666666671</v>
      </c>
      <c r="Q119" s="49">
        <v>112</v>
      </c>
      <c r="R119" s="278">
        <f t="shared" si="115"/>
        <v>14.933333333333334</v>
      </c>
      <c r="S119" s="201">
        <f t="shared" si="116"/>
        <v>42</v>
      </c>
      <c r="T119" s="206">
        <f t="shared" si="185"/>
        <v>0.35555555555555557</v>
      </c>
      <c r="U119" s="205">
        <f t="shared" si="186"/>
        <v>2</v>
      </c>
      <c r="V119" s="201">
        <f t="shared" si="187"/>
        <v>0.45955882352941174</v>
      </c>
      <c r="W119" s="201">
        <f t="shared" si="188"/>
        <v>0.54044117647058831</v>
      </c>
      <c r="X119" s="201">
        <f t="shared" si="140"/>
        <v>0</v>
      </c>
      <c r="Y119" s="205">
        <f t="shared" si="205"/>
        <v>0.77368888888888898</v>
      </c>
      <c r="Z119" s="201">
        <f t="shared" si="189"/>
        <v>0.30637254901960786</v>
      </c>
      <c r="AA119" s="201">
        <f t="shared" si="142"/>
        <v>0.92687516339869291</v>
      </c>
      <c r="AB119" s="206">
        <f t="shared" si="190"/>
        <v>0.52790534866487515</v>
      </c>
      <c r="AC119" s="205">
        <v>0</v>
      </c>
      <c r="AD119" s="201">
        <f t="shared" si="191"/>
        <v>1.3934202857449172E-2</v>
      </c>
      <c r="AE119" s="206">
        <f t="shared" si="143"/>
        <v>1.3934202857449172E-2</v>
      </c>
      <c r="AF119" s="58">
        <f t="shared" si="192"/>
        <v>0.29866666666666669</v>
      </c>
      <c r="AG119" s="61">
        <f t="shared" si="193"/>
        <v>0.29866666666666669</v>
      </c>
      <c r="AH119" s="58">
        <f t="shared" si="194"/>
        <v>3.7064979600814799E-2</v>
      </c>
      <c r="AI119" s="49">
        <f t="shared" si="195"/>
        <v>2.9042584922669645</v>
      </c>
      <c r="AJ119" s="61">
        <f t="shared" si="144"/>
        <v>2.9413234718677792</v>
      </c>
      <c r="AK119" s="269">
        <f t="shared" si="196"/>
        <v>14.933333333333334</v>
      </c>
      <c r="AL119" s="268">
        <f t="shared" si="129"/>
        <v>5</v>
      </c>
      <c r="AM119" s="270">
        <f t="shared" si="206"/>
        <v>2.9866666666666668</v>
      </c>
      <c r="AN119" s="269">
        <f t="shared" si="207"/>
        <v>2</v>
      </c>
      <c r="AO119" s="268">
        <f t="shared" si="208"/>
        <v>0.5404411764705882</v>
      </c>
      <c r="AP119" s="268">
        <f t="shared" si="209"/>
        <v>5.5263492063492068</v>
      </c>
      <c r="AQ119" s="268">
        <f t="shared" si="210"/>
        <v>2.1883753501400558</v>
      </c>
      <c r="AR119" s="268">
        <f t="shared" si="172"/>
        <v>6.6205368814192349</v>
      </c>
      <c r="AS119" s="270">
        <f t="shared" si="173"/>
        <v>4.0891372475057626</v>
      </c>
      <c r="AT119" s="269"/>
      <c r="AU119" s="268">
        <f t="shared" si="211"/>
        <v>8.9201777777777796E-2</v>
      </c>
      <c r="AV119" s="270">
        <f t="shared" si="174"/>
        <v>8.9201777777777796E-2</v>
      </c>
      <c r="AW119" s="269">
        <f t="shared" si="212"/>
        <v>0.11424000000000001</v>
      </c>
      <c r="AX119" s="268">
        <f t="shared" si="213"/>
        <v>1.4933333333333334</v>
      </c>
      <c r="AY119" s="270">
        <f t="shared" si="175"/>
        <v>1.6075733333333333</v>
      </c>
      <c r="AZ119" s="263">
        <f t="shared" si="197"/>
        <v>0</v>
      </c>
      <c r="BA119" s="262">
        <f t="shared" si="198"/>
        <v>0</v>
      </c>
      <c r="BB119" s="262">
        <f t="shared" si="176"/>
        <v>0</v>
      </c>
      <c r="BC119" s="264" t="e">
        <f t="shared" si="214"/>
        <v>#DIV/0!</v>
      </c>
      <c r="BD119" s="263">
        <v>0</v>
      </c>
      <c r="BE119" s="262">
        <f t="shared" si="215"/>
        <v>0</v>
      </c>
      <c r="BF119" s="264">
        <f t="shared" si="177"/>
        <v>0</v>
      </c>
      <c r="BG119" s="263">
        <f t="shared" si="216"/>
        <v>0</v>
      </c>
      <c r="BH119" s="262">
        <f t="shared" si="217"/>
        <v>0</v>
      </c>
      <c r="BI119" s="264">
        <f t="shared" si="218"/>
        <v>0</v>
      </c>
      <c r="BK119" s="258">
        <f t="shared" si="199"/>
        <v>0</v>
      </c>
      <c r="BL119" s="257">
        <f t="shared" si="133"/>
        <v>0</v>
      </c>
      <c r="BM119" s="257">
        <f t="shared" si="200"/>
        <v>0</v>
      </c>
      <c r="BN119" s="259">
        <f t="shared" si="158"/>
        <v>0</v>
      </c>
      <c r="BO119" s="258">
        <v>0</v>
      </c>
      <c r="BP119" s="257">
        <f t="shared" si="219"/>
        <v>0</v>
      </c>
      <c r="BQ119" s="259">
        <f t="shared" si="178"/>
        <v>0</v>
      </c>
      <c r="BR119" s="258">
        <f t="shared" si="220"/>
        <v>0</v>
      </c>
      <c r="BS119" s="257">
        <f t="shared" si="221"/>
        <v>0</v>
      </c>
      <c r="BT119" s="259">
        <f t="shared" si="179"/>
        <v>0</v>
      </c>
      <c r="BU119" s="275">
        <f t="shared" si="201"/>
        <v>0</v>
      </c>
      <c r="BV119" s="274">
        <f t="shared" si="202"/>
        <v>0</v>
      </c>
      <c r="BW119" s="274">
        <f t="shared" si="203"/>
        <v>0</v>
      </c>
      <c r="BX119" s="276">
        <f t="shared" si="222"/>
        <v>0</v>
      </c>
      <c r="BY119" s="275">
        <v>0</v>
      </c>
      <c r="BZ119" s="274">
        <f t="shared" si="223"/>
        <v>0</v>
      </c>
      <c r="CA119" s="276">
        <f t="shared" si="180"/>
        <v>0</v>
      </c>
      <c r="CB119" s="275">
        <f t="shared" si="224"/>
        <v>0</v>
      </c>
      <c r="CC119" s="274">
        <f t="shared" si="225"/>
        <v>0</v>
      </c>
      <c r="CD119" s="276">
        <f t="shared" si="181"/>
        <v>0</v>
      </c>
      <c r="CE119" s="58">
        <f t="shared" si="226"/>
        <v>5.2949970858306848E-2</v>
      </c>
      <c r="CF119" s="49">
        <f t="shared" si="138"/>
        <v>7.3499999999999996E-2</v>
      </c>
      <c r="CG119" s="61">
        <f t="shared" si="182"/>
        <v>3.2340000000000001E-2</v>
      </c>
      <c r="CH119" s="49">
        <f t="shared" si="183"/>
        <v>1.3934202857449172E-2</v>
      </c>
      <c r="CI119" s="49">
        <f t="shared" si="184"/>
        <v>5.4081560900279797</v>
      </c>
      <c r="CJ119" s="49">
        <f t="shared" si="227"/>
        <v>73.413175517929631</v>
      </c>
      <c r="CN119" s="49">
        <f t="shared" si="168"/>
        <v>1.6075733333333333</v>
      </c>
      <c r="CO119" s="49">
        <f t="shared" si="169"/>
        <v>0</v>
      </c>
      <c r="CP119" s="49">
        <f t="shared" si="170"/>
        <v>0</v>
      </c>
      <c r="CQ119" s="49" t="str">
        <f t="shared" si="204"/>
        <v/>
      </c>
    </row>
    <row r="120" spans="12:95" x14ac:dyDescent="0.45">
      <c r="L120" s="49">
        <f t="shared" si="171"/>
        <v>75.333333333333329</v>
      </c>
      <c r="Q120" s="49">
        <v>113</v>
      </c>
      <c r="R120" s="278">
        <f t="shared" si="115"/>
        <v>15.066666666666666</v>
      </c>
      <c r="S120" s="201">
        <f t="shared" si="116"/>
        <v>42</v>
      </c>
      <c r="T120" s="206">
        <f t="shared" si="185"/>
        <v>0.35873015873015873</v>
      </c>
      <c r="U120" s="205">
        <f t="shared" si="186"/>
        <v>2</v>
      </c>
      <c r="V120" s="201">
        <f t="shared" si="187"/>
        <v>0.45955882352941174</v>
      </c>
      <c r="W120" s="201">
        <f t="shared" si="188"/>
        <v>0.54044117647058831</v>
      </c>
      <c r="X120" s="201">
        <f t="shared" si="140"/>
        <v>0</v>
      </c>
      <c r="Y120" s="205">
        <f t="shared" si="205"/>
        <v>0.7805968253968254</v>
      </c>
      <c r="Z120" s="201">
        <f t="shared" si="189"/>
        <v>0.30637254901960786</v>
      </c>
      <c r="AA120" s="201">
        <f t="shared" si="142"/>
        <v>0.93378309990662933</v>
      </c>
      <c r="AB120" s="206">
        <f t="shared" si="190"/>
        <v>0.53255825738767315</v>
      </c>
      <c r="AC120" s="205">
        <v>0</v>
      </c>
      <c r="AD120" s="201">
        <f t="shared" si="191"/>
        <v>1.4180914875589756E-2</v>
      </c>
      <c r="AE120" s="206">
        <f t="shared" si="143"/>
        <v>1.4180914875589756E-2</v>
      </c>
      <c r="AF120" s="58">
        <f t="shared" si="192"/>
        <v>0.30133333333333334</v>
      </c>
      <c r="AG120" s="61">
        <f t="shared" si="193"/>
        <v>0.30133333333333334</v>
      </c>
      <c r="AH120" s="58">
        <f t="shared" si="194"/>
        <v>3.772123356906875E-2</v>
      </c>
      <c r="AI120" s="49">
        <f t="shared" si="195"/>
        <v>2.9301893716622049</v>
      </c>
      <c r="AJ120" s="61">
        <f t="shared" si="144"/>
        <v>2.9679106052312738</v>
      </c>
      <c r="AK120" s="269">
        <f t="shared" si="196"/>
        <v>15.066666666666666</v>
      </c>
      <c r="AL120" s="268">
        <f t="shared" si="129"/>
        <v>5</v>
      </c>
      <c r="AM120" s="270">
        <f t="shared" si="206"/>
        <v>3.0133333333333332</v>
      </c>
      <c r="AN120" s="269">
        <f t="shared" si="207"/>
        <v>2</v>
      </c>
      <c r="AO120" s="268">
        <f t="shared" si="208"/>
        <v>0.5404411764705882</v>
      </c>
      <c r="AP120" s="268">
        <f t="shared" si="209"/>
        <v>5.5756916099773246</v>
      </c>
      <c r="AQ120" s="268">
        <f t="shared" si="210"/>
        <v>2.1883753501400558</v>
      </c>
      <c r="AR120" s="268">
        <f t="shared" si="172"/>
        <v>6.6698792850473527</v>
      </c>
      <c r="AS120" s="270">
        <f t="shared" si="173"/>
        <v>4.1251785234954035</v>
      </c>
      <c r="AT120" s="269"/>
      <c r="AU120" s="268">
        <f t="shared" si="211"/>
        <v>9.0801777777777773E-2</v>
      </c>
      <c r="AV120" s="270">
        <f t="shared" si="174"/>
        <v>9.0801777777777773E-2</v>
      </c>
      <c r="AW120" s="269">
        <f t="shared" si="212"/>
        <v>0.11424000000000001</v>
      </c>
      <c r="AX120" s="268">
        <f t="shared" si="213"/>
        <v>1.5066666666666666</v>
      </c>
      <c r="AY120" s="270">
        <f t="shared" si="175"/>
        <v>1.6209066666666665</v>
      </c>
      <c r="AZ120" s="263">
        <f t="shared" si="197"/>
        <v>0</v>
      </c>
      <c r="BA120" s="262">
        <f t="shared" si="198"/>
        <v>0</v>
      </c>
      <c r="BB120" s="262">
        <f t="shared" si="176"/>
        <v>0</v>
      </c>
      <c r="BC120" s="264" t="e">
        <f t="shared" si="214"/>
        <v>#DIV/0!</v>
      </c>
      <c r="BD120" s="263">
        <v>0</v>
      </c>
      <c r="BE120" s="262">
        <f t="shared" si="215"/>
        <v>0</v>
      </c>
      <c r="BF120" s="264">
        <f t="shared" si="177"/>
        <v>0</v>
      </c>
      <c r="BG120" s="263">
        <f t="shared" si="216"/>
        <v>0</v>
      </c>
      <c r="BH120" s="262">
        <f t="shared" si="217"/>
        <v>0</v>
      </c>
      <c r="BI120" s="264">
        <f t="shared" si="218"/>
        <v>0</v>
      </c>
      <c r="BK120" s="258">
        <f t="shared" si="199"/>
        <v>0</v>
      </c>
      <c r="BL120" s="257">
        <f t="shared" si="133"/>
        <v>0</v>
      </c>
      <c r="BM120" s="257">
        <f t="shared" si="200"/>
        <v>0</v>
      </c>
      <c r="BN120" s="259">
        <f t="shared" si="158"/>
        <v>0</v>
      </c>
      <c r="BO120" s="258">
        <v>0</v>
      </c>
      <c r="BP120" s="257">
        <f t="shared" si="219"/>
        <v>0</v>
      </c>
      <c r="BQ120" s="259">
        <f t="shared" si="178"/>
        <v>0</v>
      </c>
      <c r="BR120" s="258">
        <f t="shared" si="220"/>
        <v>0</v>
      </c>
      <c r="BS120" s="257">
        <f t="shared" si="221"/>
        <v>0</v>
      </c>
      <c r="BT120" s="259">
        <f t="shared" si="179"/>
        <v>0</v>
      </c>
      <c r="BU120" s="275">
        <f t="shared" si="201"/>
        <v>0</v>
      </c>
      <c r="BV120" s="274">
        <f t="shared" si="202"/>
        <v>0</v>
      </c>
      <c r="BW120" s="274">
        <f t="shared" si="203"/>
        <v>0</v>
      </c>
      <c r="BX120" s="276">
        <f t="shared" si="222"/>
        <v>0</v>
      </c>
      <c r="BY120" s="275">
        <v>0</v>
      </c>
      <c r="BZ120" s="274">
        <f t="shared" si="223"/>
        <v>0</v>
      </c>
      <c r="CA120" s="276">
        <f t="shared" si="180"/>
        <v>0</v>
      </c>
      <c r="CB120" s="275">
        <f t="shared" si="224"/>
        <v>0</v>
      </c>
      <c r="CC120" s="274">
        <f t="shared" si="225"/>
        <v>0</v>
      </c>
      <c r="CD120" s="276">
        <f t="shared" si="181"/>
        <v>0</v>
      </c>
      <c r="CE120" s="58">
        <f t="shared" si="226"/>
        <v>5.3887476527241074E-2</v>
      </c>
      <c r="CF120" s="49">
        <f t="shared" si="138"/>
        <v>7.3499999999999996E-2</v>
      </c>
      <c r="CG120" s="61">
        <f t="shared" si="182"/>
        <v>3.2340000000000001E-2</v>
      </c>
      <c r="CH120" s="49">
        <f t="shared" si="183"/>
        <v>1.4180914875589756E-2</v>
      </c>
      <c r="CI120" s="49">
        <f t="shared" si="184"/>
        <v>5.4561941077452154</v>
      </c>
      <c r="CJ120" s="49">
        <f t="shared" si="227"/>
        <v>73.414066548908934</v>
      </c>
      <c r="CN120" s="49">
        <f t="shared" si="168"/>
        <v>1.6209066666666665</v>
      </c>
      <c r="CO120" s="49">
        <f t="shared" si="169"/>
        <v>0</v>
      </c>
      <c r="CP120" s="49">
        <f t="shared" si="170"/>
        <v>0</v>
      </c>
      <c r="CQ120" s="49" t="str">
        <f t="shared" si="204"/>
        <v/>
      </c>
    </row>
    <row r="121" spans="12:95" x14ac:dyDescent="0.45">
      <c r="L121" s="49">
        <f t="shared" si="171"/>
        <v>76</v>
      </c>
      <c r="Q121" s="49">
        <v>114</v>
      </c>
      <c r="R121" s="278">
        <f t="shared" si="115"/>
        <v>15.2</v>
      </c>
      <c r="S121" s="201">
        <f t="shared" si="116"/>
        <v>42</v>
      </c>
      <c r="T121" s="206">
        <f t="shared" si="185"/>
        <v>0.3619047619047619</v>
      </c>
      <c r="U121" s="205">
        <f t="shared" si="186"/>
        <v>2</v>
      </c>
      <c r="V121" s="201">
        <f t="shared" si="187"/>
        <v>0.45955882352941174</v>
      </c>
      <c r="W121" s="201">
        <f t="shared" si="188"/>
        <v>0.54044117647058831</v>
      </c>
      <c r="X121" s="201">
        <f t="shared" si="140"/>
        <v>0</v>
      </c>
      <c r="Y121" s="205">
        <f t="shared" si="205"/>
        <v>0.78750476190476193</v>
      </c>
      <c r="Z121" s="201">
        <f t="shared" si="189"/>
        <v>0.30637254901960786</v>
      </c>
      <c r="AA121" s="201">
        <f t="shared" si="142"/>
        <v>0.94069103641456586</v>
      </c>
      <c r="AB121" s="206">
        <f t="shared" si="190"/>
        <v>0.53721168806062203</v>
      </c>
      <c r="AC121" s="205">
        <v>0</v>
      </c>
      <c r="AD121" s="201">
        <f t="shared" si="191"/>
        <v>1.4429819889447155E-2</v>
      </c>
      <c r="AE121" s="206">
        <f t="shared" si="143"/>
        <v>1.4429819889447155E-2</v>
      </c>
      <c r="AF121" s="58">
        <f t="shared" si="192"/>
        <v>0.30399999999999999</v>
      </c>
      <c r="AG121" s="61">
        <f t="shared" si="193"/>
        <v>0.30399999999999999</v>
      </c>
      <c r="AH121" s="58">
        <f t="shared" si="194"/>
        <v>3.8383320905929434E-2</v>
      </c>
      <c r="AI121" s="49">
        <f t="shared" si="195"/>
        <v>2.9561202510574454</v>
      </c>
      <c r="AJ121" s="61">
        <f t="shared" si="144"/>
        <v>2.9945035719633748</v>
      </c>
      <c r="AK121" s="269">
        <f t="shared" si="196"/>
        <v>15.2</v>
      </c>
      <c r="AL121" s="268">
        <f t="shared" si="129"/>
        <v>5</v>
      </c>
      <c r="AM121" s="270">
        <f t="shared" si="206"/>
        <v>3.04</v>
      </c>
      <c r="AN121" s="269">
        <f t="shared" si="207"/>
        <v>2</v>
      </c>
      <c r="AO121" s="268">
        <f t="shared" si="208"/>
        <v>0.54044117647058831</v>
      </c>
      <c r="AP121" s="268">
        <f t="shared" si="209"/>
        <v>5.6250340136054415</v>
      </c>
      <c r="AQ121" s="268">
        <f t="shared" si="210"/>
        <v>2.1883753501400562</v>
      </c>
      <c r="AR121" s="268">
        <f t="shared" si="172"/>
        <v>6.7192216886754697</v>
      </c>
      <c r="AS121" s="270">
        <f t="shared" si="173"/>
        <v>4.1612238424935253</v>
      </c>
      <c r="AT121" s="269"/>
      <c r="AU121" s="268">
        <f t="shared" si="211"/>
        <v>9.2415999999999998E-2</v>
      </c>
      <c r="AV121" s="270">
        <f t="shared" si="174"/>
        <v>9.2415999999999998E-2</v>
      </c>
      <c r="AW121" s="269">
        <f t="shared" si="212"/>
        <v>0.11424000000000001</v>
      </c>
      <c r="AX121" s="268">
        <f t="shared" si="213"/>
        <v>1.52</v>
      </c>
      <c r="AY121" s="270">
        <f t="shared" si="175"/>
        <v>1.6342400000000001</v>
      </c>
      <c r="AZ121" s="263">
        <f t="shared" si="197"/>
        <v>0</v>
      </c>
      <c r="BA121" s="262">
        <f t="shared" si="198"/>
        <v>0</v>
      </c>
      <c r="BB121" s="262">
        <f t="shared" si="176"/>
        <v>0</v>
      </c>
      <c r="BC121" s="264" t="e">
        <f t="shared" si="214"/>
        <v>#DIV/0!</v>
      </c>
      <c r="BD121" s="263">
        <v>0</v>
      </c>
      <c r="BE121" s="262">
        <f t="shared" si="215"/>
        <v>0</v>
      </c>
      <c r="BF121" s="264">
        <f t="shared" si="177"/>
        <v>0</v>
      </c>
      <c r="BG121" s="263">
        <f t="shared" si="216"/>
        <v>0</v>
      </c>
      <c r="BH121" s="262">
        <f t="shared" si="217"/>
        <v>0</v>
      </c>
      <c r="BI121" s="264">
        <f t="shared" si="218"/>
        <v>0</v>
      </c>
      <c r="BK121" s="258">
        <f t="shared" si="199"/>
        <v>0</v>
      </c>
      <c r="BL121" s="257">
        <f t="shared" si="133"/>
        <v>0</v>
      </c>
      <c r="BM121" s="257">
        <f t="shared" si="200"/>
        <v>0</v>
      </c>
      <c r="BN121" s="259">
        <f t="shared" si="158"/>
        <v>0</v>
      </c>
      <c r="BO121" s="258">
        <v>0</v>
      </c>
      <c r="BP121" s="257">
        <f t="shared" si="219"/>
        <v>0</v>
      </c>
      <c r="BQ121" s="259">
        <f t="shared" si="178"/>
        <v>0</v>
      </c>
      <c r="BR121" s="258">
        <f t="shared" si="220"/>
        <v>0</v>
      </c>
      <c r="BS121" s="257">
        <f t="shared" si="221"/>
        <v>0</v>
      </c>
      <c r="BT121" s="259">
        <f t="shared" si="179"/>
        <v>0</v>
      </c>
      <c r="BU121" s="275">
        <f t="shared" si="201"/>
        <v>0</v>
      </c>
      <c r="BV121" s="274">
        <f t="shared" si="202"/>
        <v>0</v>
      </c>
      <c r="BW121" s="274">
        <f t="shared" si="203"/>
        <v>0</v>
      </c>
      <c r="BX121" s="276">
        <f t="shared" si="222"/>
        <v>0</v>
      </c>
      <c r="BY121" s="275">
        <v>0</v>
      </c>
      <c r="BZ121" s="274">
        <f t="shared" si="223"/>
        <v>0</v>
      </c>
      <c r="CA121" s="276">
        <f t="shared" si="180"/>
        <v>0</v>
      </c>
      <c r="CB121" s="275">
        <f t="shared" si="224"/>
        <v>0</v>
      </c>
      <c r="CC121" s="274">
        <f t="shared" si="225"/>
        <v>0</v>
      </c>
      <c r="CD121" s="276">
        <f t="shared" si="181"/>
        <v>0</v>
      </c>
      <c r="CE121" s="58">
        <f t="shared" si="226"/>
        <v>5.4833315579899185E-2</v>
      </c>
      <c r="CF121" s="49">
        <f t="shared" si="138"/>
        <v>7.3499999999999996E-2</v>
      </c>
      <c r="CG121" s="61">
        <f t="shared" si="182"/>
        <v>3.2340000000000001E-2</v>
      </c>
      <c r="CH121" s="49">
        <f t="shared" si="183"/>
        <v>1.4429819889447155E-2</v>
      </c>
      <c r="CI121" s="49">
        <f t="shared" si="184"/>
        <v>5.5042627074327211</v>
      </c>
      <c r="CJ121" s="49">
        <f t="shared" si="227"/>
        <v>73.414833528668865</v>
      </c>
      <c r="CN121" s="49">
        <f t="shared" si="168"/>
        <v>1.6342400000000001</v>
      </c>
      <c r="CO121" s="49">
        <f t="shared" si="169"/>
        <v>0</v>
      </c>
      <c r="CP121" s="49">
        <f t="shared" si="170"/>
        <v>0</v>
      </c>
      <c r="CQ121" s="49" t="str">
        <f t="shared" si="204"/>
        <v/>
      </c>
    </row>
    <row r="122" spans="12:95" x14ac:dyDescent="0.45">
      <c r="L122" s="49">
        <f t="shared" si="171"/>
        <v>76.666666666666671</v>
      </c>
      <c r="Q122" s="49">
        <v>115</v>
      </c>
      <c r="R122" s="278">
        <f t="shared" si="115"/>
        <v>15.333333333333334</v>
      </c>
      <c r="S122" s="201">
        <f t="shared" si="116"/>
        <v>42</v>
      </c>
      <c r="T122" s="206">
        <f t="shared" si="185"/>
        <v>0.36507936507936511</v>
      </c>
      <c r="U122" s="205">
        <f t="shared" si="186"/>
        <v>2</v>
      </c>
      <c r="V122" s="201">
        <f t="shared" si="187"/>
        <v>0.45955882352941174</v>
      </c>
      <c r="W122" s="201">
        <f t="shared" si="188"/>
        <v>0.54044117647058831</v>
      </c>
      <c r="X122" s="201">
        <f t="shared" si="140"/>
        <v>0</v>
      </c>
      <c r="Y122" s="205">
        <f t="shared" si="205"/>
        <v>0.79441269841269846</v>
      </c>
      <c r="Z122" s="201">
        <f t="shared" si="189"/>
        <v>0.30637254901960786</v>
      </c>
      <c r="AA122" s="201">
        <f t="shared" si="142"/>
        <v>0.94759897292250239</v>
      </c>
      <c r="AB122" s="206">
        <f t="shared" si="190"/>
        <v>0.54186562723651976</v>
      </c>
      <c r="AC122" s="205">
        <v>0</v>
      </c>
      <c r="AD122" s="201">
        <f t="shared" si="191"/>
        <v>1.4680917899021352E-2</v>
      </c>
      <c r="AE122" s="206">
        <f t="shared" si="143"/>
        <v>1.4680917899021352E-2</v>
      </c>
      <c r="AF122" s="58">
        <f t="shared" si="192"/>
        <v>0.3066666666666667</v>
      </c>
      <c r="AG122" s="61">
        <f t="shared" si="193"/>
        <v>0.3066666666666667</v>
      </c>
      <c r="AH122" s="58">
        <f t="shared" si="194"/>
        <v>3.9051241611396795E-2</v>
      </c>
      <c r="AI122" s="49">
        <f t="shared" si="195"/>
        <v>2.9820511304526862</v>
      </c>
      <c r="AJ122" s="61">
        <f t="shared" si="144"/>
        <v>3.0211023720640831</v>
      </c>
      <c r="AK122" s="269">
        <f t="shared" si="196"/>
        <v>15.333333333333334</v>
      </c>
      <c r="AL122" s="268">
        <f t="shared" si="129"/>
        <v>5</v>
      </c>
      <c r="AM122" s="270">
        <f t="shared" si="206"/>
        <v>3.0666666666666669</v>
      </c>
      <c r="AN122" s="269">
        <f t="shared" si="207"/>
        <v>2</v>
      </c>
      <c r="AO122" s="268">
        <f t="shared" si="208"/>
        <v>0.54044117647058831</v>
      </c>
      <c r="AP122" s="268">
        <f t="shared" si="209"/>
        <v>5.6743764172335602</v>
      </c>
      <c r="AQ122" s="268">
        <f t="shared" si="210"/>
        <v>2.1883753501400562</v>
      </c>
      <c r="AR122" s="268">
        <f t="shared" si="172"/>
        <v>6.7685640923035884</v>
      </c>
      <c r="AS122" s="270">
        <f t="shared" si="173"/>
        <v>4.1972731003385553</v>
      </c>
      <c r="AT122" s="269"/>
      <c r="AU122" s="268">
        <f t="shared" si="211"/>
        <v>9.4044444444444458E-2</v>
      </c>
      <c r="AV122" s="270">
        <f t="shared" si="174"/>
        <v>9.4044444444444458E-2</v>
      </c>
      <c r="AW122" s="269">
        <f t="shared" si="212"/>
        <v>0.11424000000000001</v>
      </c>
      <c r="AX122" s="268">
        <f t="shared" si="213"/>
        <v>1.5333333333333334</v>
      </c>
      <c r="AY122" s="270">
        <f t="shared" si="175"/>
        <v>1.6475733333333333</v>
      </c>
      <c r="AZ122" s="263">
        <f t="shared" si="197"/>
        <v>0</v>
      </c>
      <c r="BA122" s="262">
        <f t="shared" si="198"/>
        <v>0</v>
      </c>
      <c r="BB122" s="262">
        <f t="shared" si="176"/>
        <v>0</v>
      </c>
      <c r="BC122" s="264" t="e">
        <f t="shared" si="214"/>
        <v>#DIV/0!</v>
      </c>
      <c r="BD122" s="263">
        <v>0</v>
      </c>
      <c r="BE122" s="262">
        <f t="shared" si="215"/>
        <v>0</v>
      </c>
      <c r="BF122" s="264">
        <f t="shared" si="177"/>
        <v>0</v>
      </c>
      <c r="BG122" s="263">
        <f t="shared" si="216"/>
        <v>0</v>
      </c>
      <c r="BH122" s="262">
        <f t="shared" si="217"/>
        <v>0</v>
      </c>
      <c r="BI122" s="264">
        <f t="shared" si="218"/>
        <v>0</v>
      </c>
      <c r="BK122" s="258">
        <f t="shared" si="199"/>
        <v>0</v>
      </c>
      <c r="BL122" s="257">
        <f t="shared" si="133"/>
        <v>0</v>
      </c>
      <c r="BM122" s="257">
        <f t="shared" si="200"/>
        <v>0</v>
      </c>
      <c r="BN122" s="259">
        <f t="shared" si="158"/>
        <v>0</v>
      </c>
      <c r="BO122" s="258">
        <v>0</v>
      </c>
      <c r="BP122" s="257">
        <f t="shared" si="219"/>
        <v>0</v>
      </c>
      <c r="BQ122" s="259">
        <f t="shared" si="178"/>
        <v>0</v>
      </c>
      <c r="BR122" s="258">
        <f t="shared" si="220"/>
        <v>0</v>
      </c>
      <c r="BS122" s="257">
        <f t="shared" si="221"/>
        <v>0</v>
      </c>
      <c r="BT122" s="259">
        <f t="shared" si="179"/>
        <v>0</v>
      </c>
      <c r="BU122" s="275">
        <f t="shared" si="201"/>
        <v>0</v>
      </c>
      <c r="BV122" s="274">
        <f t="shared" si="202"/>
        <v>0</v>
      </c>
      <c r="BW122" s="274">
        <f t="shared" si="203"/>
        <v>0</v>
      </c>
      <c r="BX122" s="276">
        <f t="shared" si="222"/>
        <v>0</v>
      </c>
      <c r="BY122" s="275">
        <v>0</v>
      </c>
      <c r="BZ122" s="274">
        <f t="shared" si="223"/>
        <v>0</v>
      </c>
      <c r="CA122" s="276">
        <f t="shared" si="180"/>
        <v>0</v>
      </c>
      <c r="CB122" s="275">
        <f t="shared" si="224"/>
        <v>0</v>
      </c>
      <c r="CC122" s="274">
        <f t="shared" si="225"/>
        <v>0</v>
      </c>
      <c r="CD122" s="276">
        <f t="shared" si="181"/>
        <v>0</v>
      </c>
      <c r="CE122" s="58">
        <f t="shared" si="226"/>
        <v>5.5787488016281132E-2</v>
      </c>
      <c r="CF122" s="49">
        <f t="shared" si="138"/>
        <v>7.3499999999999996E-2</v>
      </c>
      <c r="CG122" s="61">
        <f t="shared" si="182"/>
        <v>3.2340000000000001E-2</v>
      </c>
      <c r="CH122" s="49">
        <f t="shared" si="183"/>
        <v>1.4680917899021352E-2</v>
      </c>
      <c r="CI122" s="49">
        <f t="shared" si="184"/>
        <v>5.5523618890904967</v>
      </c>
      <c r="CJ122" s="49">
        <f t="shared" si="227"/>
        <v>73.415479686167075</v>
      </c>
      <c r="CN122" s="49">
        <f t="shared" si="168"/>
        <v>1.6475733333333333</v>
      </c>
      <c r="CO122" s="49">
        <f t="shared" si="169"/>
        <v>0</v>
      </c>
      <c r="CP122" s="49">
        <f t="shared" si="170"/>
        <v>0</v>
      </c>
      <c r="CQ122" s="49" t="str">
        <f t="shared" si="204"/>
        <v/>
      </c>
    </row>
    <row r="123" spans="12:95" x14ac:dyDescent="0.45">
      <c r="L123" s="49">
        <f t="shared" si="171"/>
        <v>77.333333333333329</v>
      </c>
      <c r="Q123" s="49">
        <v>116</v>
      </c>
      <c r="R123" s="278">
        <f t="shared" si="115"/>
        <v>15.466666666666667</v>
      </c>
      <c r="S123" s="201">
        <f t="shared" si="116"/>
        <v>42</v>
      </c>
      <c r="T123" s="206">
        <f t="shared" si="185"/>
        <v>0.36825396825396828</v>
      </c>
      <c r="U123" s="205">
        <f t="shared" si="186"/>
        <v>2</v>
      </c>
      <c r="V123" s="201">
        <f t="shared" si="187"/>
        <v>0.45955882352941174</v>
      </c>
      <c r="W123" s="201">
        <f t="shared" si="188"/>
        <v>0.54044117647058831</v>
      </c>
      <c r="X123" s="201">
        <f t="shared" si="140"/>
        <v>0</v>
      </c>
      <c r="Y123" s="205">
        <f t="shared" si="205"/>
        <v>0.80132063492063499</v>
      </c>
      <c r="Z123" s="201">
        <f t="shared" si="189"/>
        <v>0.30637254901960786</v>
      </c>
      <c r="AA123" s="201">
        <f t="shared" si="142"/>
        <v>0.95450690943043892</v>
      </c>
      <c r="AB123" s="206">
        <f t="shared" si="190"/>
        <v>0.54652006192476332</v>
      </c>
      <c r="AC123" s="205">
        <v>0</v>
      </c>
      <c r="AD123" s="201">
        <f t="shared" si="191"/>
        <v>1.4934208904312359E-2</v>
      </c>
      <c r="AE123" s="206">
        <f t="shared" si="143"/>
        <v>1.4934208904312359E-2</v>
      </c>
      <c r="AF123" s="58">
        <f t="shared" si="192"/>
        <v>0.30933333333333335</v>
      </c>
      <c r="AG123" s="61">
        <f t="shared" si="193"/>
        <v>0.30933333333333335</v>
      </c>
      <c r="AH123" s="58">
        <f t="shared" si="194"/>
        <v>3.9724995685470874E-2</v>
      </c>
      <c r="AI123" s="49">
        <f t="shared" si="195"/>
        <v>3.0079820098479271</v>
      </c>
      <c r="AJ123" s="61">
        <f t="shared" si="144"/>
        <v>3.0477070055333981</v>
      </c>
      <c r="AK123" s="269">
        <f t="shared" si="196"/>
        <v>15.466666666666667</v>
      </c>
      <c r="AL123" s="268">
        <f t="shared" si="129"/>
        <v>5</v>
      </c>
      <c r="AM123" s="270">
        <f t="shared" si="206"/>
        <v>3.0933333333333333</v>
      </c>
      <c r="AN123" s="269">
        <f t="shared" si="207"/>
        <v>2</v>
      </c>
      <c r="AO123" s="268">
        <f t="shared" si="208"/>
        <v>0.54044117647058831</v>
      </c>
      <c r="AP123" s="268">
        <f t="shared" si="209"/>
        <v>5.7237188208616772</v>
      </c>
      <c r="AQ123" s="268">
        <f t="shared" si="210"/>
        <v>2.1883753501400562</v>
      </c>
      <c r="AR123" s="268">
        <f t="shared" si="172"/>
        <v>6.8179064959317053</v>
      </c>
      <c r="AS123" s="270">
        <f t="shared" si="173"/>
        <v>4.2333261964057085</v>
      </c>
      <c r="AT123" s="269"/>
      <c r="AU123" s="268">
        <f t="shared" si="211"/>
        <v>9.5687111111111098E-2</v>
      </c>
      <c r="AV123" s="270">
        <f t="shared" si="174"/>
        <v>9.5687111111111098E-2</v>
      </c>
      <c r="AW123" s="269">
        <f t="shared" si="212"/>
        <v>0.11424000000000001</v>
      </c>
      <c r="AX123" s="268">
        <f t="shared" si="213"/>
        <v>1.5466666666666666</v>
      </c>
      <c r="AY123" s="270">
        <f t="shared" si="175"/>
        <v>1.6609066666666665</v>
      </c>
      <c r="AZ123" s="263">
        <f t="shared" si="197"/>
        <v>0</v>
      </c>
      <c r="BA123" s="262">
        <f t="shared" si="198"/>
        <v>0</v>
      </c>
      <c r="BB123" s="262">
        <f t="shared" si="176"/>
        <v>0</v>
      </c>
      <c r="BC123" s="264" t="e">
        <f t="shared" si="214"/>
        <v>#DIV/0!</v>
      </c>
      <c r="BD123" s="263">
        <v>0</v>
      </c>
      <c r="BE123" s="262">
        <f t="shared" si="215"/>
        <v>0</v>
      </c>
      <c r="BF123" s="264">
        <f t="shared" si="177"/>
        <v>0</v>
      </c>
      <c r="BG123" s="263">
        <f t="shared" si="216"/>
        <v>0</v>
      </c>
      <c r="BH123" s="262">
        <f t="shared" si="217"/>
        <v>0</v>
      </c>
      <c r="BI123" s="264">
        <f t="shared" si="218"/>
        <v>0</v>
      </c>
      <c r="BK123" s="258">
        <f t="shared" si="199"/>
        <v>0</v>
      </c>
      <c r="BL123" s="257">
        <f t="shared" si="133"/>
        <v>0</v>
      </c>
      <c r="BM123" s="257">
        <f t="shared" si="200"/>
        <v>0</v>
      </c>
      <c r="BN123" s="259">
        <f t="shared" si="158"/>
        <v>0</v>
      </c>
      <c r="BO123" s="258">
        <v>0</v>
      </c>
      <c r="BP123" s="257">
        <f t="shared" si="219"/>
        <v>0</v>
      </c>
      <c r="BQ123" s="259">
        <f t="shared" si="178"/>
        <v>0</v>
      </c>
      <c r="BR123" s="258">
        <f t="shared" si="220"/>
        <v>0</v>
      </c>
      <c r="BS123" s="257">
        <f t="shared" si="221"/>
        <v>0</v>
      </c>
      <c r="BT123" s="259">
        <f t="shared" si="179"/>
        <v>0</v>
      </c>
      <c r="BU123" s="275">
        <f t="shared" si="201"/>
        <v>0</v>
      </c>
      <c r="BV123" s="274">
        <f t="shared" si="202"/>
        <v>0</v>
      </c>
      <c r="BW123" s="274">
        <f t="shared" si="203"/>
        <v>0</v>
      </c>
      <c r="BX123" s="276">
        <f t="shared" si="222"/>
        <v>0</v>
      </c>
      <c r="BY123" s="275">
        <v>0</v>
      </c>
      <c r="BZ123" s="274">
        <f t="shared" si="223"/>
        <v>0</v>
      </c>
      <c r="CA123" s="276">
        <f t="shared" si="180"/>
        <v>0</v>
      </c>
      <c r="CB123" s="275">
        <f t="shared" si="224"/>
        <v>0</v>
      </c>
      <c r="CC123" s="274">
        <f t="shared" si="225"/>
        <v>0</v>
      </c>
      <c r="CD123" s="276">
        <f t="shared" si="181"/>
        <v>0</v>
      </c>
      <c r="CE123" s="58">
        <f t="shared" si="226"/>
        <v>5.6749993836386958E-2</v>
      </c>
      <c r="CF123" s="49">
        <f t="shared" si="138"/>
        <v>7.3499999999999996E-2</v>
      </c>
      <c r="CG123" s="61">
        <f t="shared" si="182"/>
        <v>3.2340000000000001E-2</v>
      </c>
      <c r="CH123" s="49">
        <f t="shared" si="183"/>
        <v>1.4934208904312359E-2</v>
      </c>
      <c r="CI123" s="49">
        <f t="shared" si="184"/>
        <v>5.6004916527185413</v>
      </c>
      <c r="CJ123" s="49">
        <f t="shared" si="227"/>
        <v>73.416008140190513</v>
      </c>
      <c r="CN123" s="49">
        <f t="shared" si="168"/>
        <v>1.6609066666666665</v>
      </c>
      <c r="CO123" s="49">
        <f t="shared" si="169"/>
        <v>0</v>
      </c>
      <c r="CP123" s="49">
        <f t="shared" si="170"/>
        <v>0</v>
      </c>
      <c r="CQ123" s="49" t="str">
        <f t="shared" si="204"/>
        <v/>
      </c>
    </row>
    <row r="124" spans="12:95" x14ac:dyDescent="0.45">
      <c r="L124" s="49">
        <f t="shared" si="171"/>
        <v>78</v>
      </c>
      <c r="Q124" s="49">
        <v>117</v>
      </c>
      <c r="R124" s="278">
        <f t="shared" si="115"/>
        <v>15.6</v>
      </c>
      <c r="S124" s="201">
        <f t="shared" si="116"/>
        <v>42</v>
      </c>
      <c r="T124" s="206">
        <f t="shared" si="185"/>
        <v>0.37142857142857144</v>
      </c>
      <c r="U124" s="205">
        <f t="shared" si="186"/>
        <v>2</v>
      </c>
      <c r="V124" s="201">
        <f t="shared" si="187"/>
        <v>0.45955882352941174</v>
      </c>
      <c r="W124" s="201">
        <f t="shared" si="188"/>
        <v>0.54044117647058831</v>
      </c>
      <c r="X124" s="201">
        <f t="shared" si="140"/>
        <v>0</v>
      </c>
      <c r="Y124" s="205">
        <f t="shared" si="205"/>
        <v>0.80822857142857141</v>
      </c>
      <c r="Z124" s="201">
        <f t="shared" si="189"/>
        <v>0.30637254901960786</v>
      </c>
      <c r="AA124" s="201">
        <f t="shared" si="142"/>
        <v>0.96141484593837534</v>
      </c>
      <c r="AB124" s="206">
        <f t="shared" si="190"/>
        <v>0.55117497957218931</v>
      </c>
      <c r="AC124" s="205">
        <v>0</v>
      </c>
      <c r="AD124" s="201">
        <f t="shared" si="191"/>
        <v>1.5189692905320165E-2</v>
      </c>
      <c r="AE124" s="206">
        <f t="shared" si="143"/>
        <v>1.5189692905320165E-2</v>
      </c>
      <c r="AF124" s="58">
        <f t="shared" si="192"/>
        <v>0.312</v>
      </c>
      <c r="AG124" s="61">
        <f t="shared" si="193"/>
        <v>0.312</v>
      </c>
      <c r="AH124" s="58">
        <f t="shared" si="194"/>
        <v>4.0404583128151643E-2</v>
      </c>
      <c r="AI124" s="49">
        <f t="shared" si="195"/>
        <v>3.0339128892431679</v>
      </c>
      <c r="AJ124" s="61">
        <f t="shared" si="144"/>
        <v>3.0743174723713196</v>
      </c>
      <c r="AK124" s="269">
        <f t="shared" si="196"/>
        <v>15.6</v>
      </c>
      <c r="AL124" s="268">
        <f t="shared" si="129"/>
        <v>5</v>
      </c>
      <c r="AM124" s="270">
        <f t="shared" si="206"/>
        <v>3.12</v>
      </c>
      <c r="AN124" s="269">
        <f t="shared" si="207"/>
        <v>2</v>
      </c>
      <c r="AO124" s="268">
        <f t="shared" si="208"/>
        <v>0.54044117647058831</v>
      </c>
      <c r="AP124" s="268">
        <f t="shared" si="209"/>
        <v>5.7730612244897959</v>
      </c>
      <c r="AQ124" s="268">
        <f t="shared" si="210"/>
        <v>2.1883753501400562</v>
      </c>
      <c r="AR124" s="268">
        <f t="shared" si="172"/>
        <v>6.867248899559824</v>
      </c>
      <c r="AS124" s="270">
        <f t="shared" si="173"/>
        <v>4.2693830334586051</v>
      </c>
      <c r="AT124" s="269"/>
      <c r="AU124" s="268">
        <f t="shared" si="211"/>
        <v>9.7344000000000014E-2</v>
      </c>
      <c r="AV124" s="270">
        <f t="shared" si="174"/>
        <v>9.7344000000000014E-2</v>
      </c>
      <c r="AW124" s="269">
        <f t="shared" si="212"/>
        <v>0.11424000000000001</v>
      </c>
      <c r="AX124" s="268">
        <f t="shared" si="213"/>
        <v>1.56</v>
      </c>
      <c r="AY124" s="270">
        <f t="shared" si="175"/>
        <v>1.6742400000000002</v>
      </c>
      <c r="AZ124" s="263">
        <f t="shared" si="197"/>
        <v>0</v>
      </c>
      <c r="BA124" s="262">
        <f t="shared" si="198"/>
        <v>0</v>
      </c>
      <c r="BB124" s="262">
        <f t="shared" si="176"/>
        <v>0</v>
      </c>
      <c r="BC124" s="264" t="e">
        <f t="shared" si="214"/>
        <v>#DIV/0!</v>
      </c>
      <c r="BD124" s="263">
        <v>0</v>
      </c>
      <c r="BE124" s="262">
        <f t="shared" si="215"/>
        <v>0</v>
      </c>
      <c r="BF124" s="264">
        <f t="shared" si="177"/>
        <v>0</v>
      </c>
      <c r="BG124" s="263">
        <f t="shared" si="216"/>
        <v>0</v>
      </c>
      <c r="BH124" s="262">
        <f t="shared" si="217"/>
        <v>0</v>
      </c>
      <c r="BI124" s="264">
        <f t="shared" si="218"/>
        <v>0</v>
      </c>
      <c r="BK124" s="258">
        <f t="shared" si="199"/>
        <v>0</v>
      </c>
      <c r="BL124" s="257">
        <f t="shared" si="133"/>
        <v>0</v>
      </c>
      <c r="BM124" s="257">
        <f t="shared" si="200"/>
        <v>0</v>
      </c>
      <c r="BN124" s="259">
        <f t="shared" si="158"/>
        <v>0</v>
      </c>
      <c r="BO124" s="258">
        <v>0</v>
      </c>
      <c r="BP124" s="257">
        <f t="shared" si="219"/>
        <v>0</v>
      </c>
      <c r="BQ124" s="259">
        <f t="shared" si="178"/>
        <v>0</v>
      </c>
      <c r="BR124" s="258">
        <f t="shared" si="220"/>
        <v>0</v>
      </c>
      <c r="BS124" s="257">
        <f t="shared" si="221"/>
        <v>0</v>
      </c>
      <c r="BT124" s="259">
        <f t="shared" si="179"/>
        <v>0</v>
      </c>
      <c r="BU124" s="275">
        <f t="shared" si="201"/>
        <v>0</v>
      </c>
      <c r="BV124" s="274">
        <f t="shared" si="202"/>
        <v>0</v>
      </c>
      <c r="BW124" s="274">
        <f t="shared" si="203"/>
        <v>0</v>
      </c>
      <c r="BX124" s="276">
        <f t="shared" si="222"/>
        <v>0</v>
      </c>
      <c r="BY124" s="275">
        <v>0</v>
      </c>
      <c r="BZ124" s="274">
        <f t="shared" si="223"/>
        <v>0</v>
      </c>
      <c r="CA124" s="276">
        <f t="shared" si="180"/>
        <v>0</v>
      </c>
      <c r="CB124" s="275">
        <f t="shared" si="224"/>
        <v>0</v>
      </c>
      <c r="CC124" s="274">
        <f t="shared" si="225"/>
        <v>0</v>
      </c>
      <c r="CD124" s="276">
        <f t="shared" si="181"/>
        <v>0</v>
      </c>
      <c r="CE124" s="58">
        <f t="shared" si="226"/>
        <v>5.7720833040216628E-2</v>
      </c>
      <c r="CF124" s="49">
        <f t="shared" si="138"/>
        <v>7.3499999999999996E-2</v>
      </c>
      <c r="CG124" s="61">
        <f t="shared" si="182"/>
        <v>3.2340000000000001E-2</v>
      </c>
      <c r="CH124" s="49">
        <f t="shared" si="183"/>
        <v>1.5189692905320165E-2</v>
      </c>
      <c r="CI124" s="49">
        <f t="shared" si="184"/>
        <v>5.6486519983168577</v>
      </c>
      <c r="CJ124" s="49">
        <f t="shared" si="227"/>
        <v>73.416421904013959</v>
      </c>
      <c r="CN124" s="49">
        <f t="shared" si="168"/>
        <v>1.6742400000000002</v>
      </c>
      <c r="CO124" s="49">
        <f t="shared" si="169"/>
        <v>0</v>
      </c>
      <c r="CP124" s="49">
        <f t="shared" si="170"/>
        <v>0</v>
      </c>
      <c r="CQ124" s="49" t="str">
        <f t="shared" si="204"/>
        <v/>
      </c>
    </row>
    <row r="125" spans="12:95" x14ac:dyDescent="0.45">
      <c r="L125" s="49">
        <f t="shared" si="171"/>
        <v>78.666666666666657</v>
      </c>
      <c r="Q125" s="49">
        <v>118</v>
      </c>
      <c r="R125" s="278">
        <f t="shared" si="115"/>
        <v>15.733333333333333</v>
      </c>
      <c r="S125" s="201">
        <f t="shared" si="116"/>
        <v>42</v>
      </c>
      <c r="T125" s="206">
        <f t="shared" si="185"/>
        <v>0.3746031746031746</v>
      </c>
      <c r="U125" s="205">
        <f t="shared" si="186"/>
        <v>2</v>
      </c>
      <c r="V125" s="201">
        <f t="shared" si="187"/>
        <v>0.45955882352941174</v>
      </c>
      <c r="W125" s="201">
        <f t="shared" si="188"/>
        <v>0.54044117647058831</v>
      </c>
      <c r="X125" s="201">
        <f t="shared" si="140"/>
        <v>0</v>
      </c>
      <c r="Y125" s="205">
        <f t="shared" si="205"/>
        <v>0.81513650793650794</v>
      </c>
      <c r="Z125" s="201">
        <f t="shared" si="189"/>
        <v>0.30637254901960786</v>
      </c>
      <c r="AA125" s="201">
        <f t="shared" si="142"/>
        <v>0.96832278244631187</v>
      </c>
      <c r="AB125" s="206">
        <f t="shared" si="190"/>
        <v>0.55583036804487007</v>
      </c>
      <c r="AC125" s="205">
        <v>0</v>
      </c>
      <c r="AD125" s="201">
        <f t="shared" si="191"/>
        <v>1.5447369902044787E-2</v>
      </c>
      <c r="AE125" s="206">
        <f t="shared" si="143"/>
        <v>1.5447369902044787E-2</v>
      </c>
      <c r="AF125" s="58">
        <f t="shared" si="192"/>
        <v>0.31466666666666665</v>
      </c>
      <c r="AG125" s="61">
        <f t="shared" si="193"/>
        <v>0.31466666666666665</v>
      </c>
      <c r="AH125" s="58">
        <f t="shared" si="194"/>
        <v>4.1090003939439131E-2</v>
      </c>
      <c r="AI125" s="49">
        <f t="shared" si="195"/>
        <v>3.0598437686384088</v>
      </c>
      <c r="AJ125" s="61">
        <f t="shared" si="144"/>
        <v>3.1009337725778479</v>
      </c>
      <c r="AK125" s="269">
        <f t="shared" si="196"/>
        <v>15.733333333333333</v>
      </c>
      <c r="AL125" s="268">
        <f t="shared" si="129"/>
        <v>5</v>
      </c>
      <c r="AM125" s="270">
        <f t="shared" si="206"/>
        <v>3.1466666666666665</v>
      </c>
      <c r="AN125" s="269">
        <f t="shared" si="207"/>
        <v>2</v>
      </c>
      <c r="AO125" s="268">
        <f t="shared" si="208"/>
        <v>0.5404411764705882</v>
      </c>
      <c r="AP125" s="268">
        <f t="shared" si="209"/>
        <v>5.8224036281179137</v>
      </c>
      <c r="AQ125" s="268">
        <f t="shared" si="210"/>
        <v>2.1883753501400558</v>
      </c>
      <c r="AR125" s="268">
        <f t="shared" si="172"/>
        <v>6.9165913031879418</v>
      </c>
      <c r="AS125" s="270">
        <f t="shared" si="173"/>
        <v>4.3054435175082411</v>
      </c>
      <c r="AT125" s="269"/>
      <c r="AU125" s="268">
        <f t="shared" si="211"/>
        <v>9.9015111111111109E-2</v>
      </c>
      <c r="AV125" s="270">
        <f t="shared" si="174"/>
        <v>9.9015111111111109E-2</v>
      </c>
      <c r="AW125" s="269">
        <f t="shared" si="212"/>
        <v>0.11424000000000001</v>
      </c>
      <c r="AX125" s="268">
        <f t="shared" si="213"/>
        <v>1.5733333333333333</v>
      </c>
      <c r="AY125" s="270">
        <f t="shared" si="175"/>
        <v>1.6875733333333334</v>
      </c>
      <c r="AZ125" s="263">
        <f t="shared" si="197"/>
        <v>0</v>
      </c>
      <c r="BA125" s="262">
        <f t="shared" si="198"/>
        <v>0</v>
      </c>
      <c r="BB125" s="262">
        <f t="shared" si="176"/>
        <v>0</v>
      </c>
      <c r="BC125" s="264" t="e">
        <f t="shared" si="214"/>
        <v>#DIV/0!</v>
      </c>
      <c r="BD125" s="263">
        <v>0</v>
      </c>
      <c r="BE125" s="262">
        <f t="shared" si="215"/>
        <v>0</v>
      </c>
      <c r="BF125" s="264">
        <f t="shared" si="177"/>
        <v>0</v>
      </c>
      <c r="BG125" s="263">
        <f t="shared" si="216"/>
        <v>0</v>
      </c>
      <c r="BH125" s="262">
        <f t="shared" si="217"/>
        <v>0</v>
      </c>
      <c r="BI125" s="264">
        <f t="shared" si="218"/>
        <v>0</v>
      </c>
      <c r="BK125" s="258">
        <f t="shared" si="199"/>
        <v>0</v>
      </c>
      <c r="BL125" s="257">
        <f t="shared" si="133"/>
        <v>0</v>
      </c>
      <c r="BM125" s="257">
        <f t="shared" si="200"/>
        <v>0</v>
      </c>
      <c r="BN125" s="259">
        <f t="shared" si="158"/>
        <v>0</v>
      </c>
      <c r="BO125" s="258">
        <v>0</v>
      </c>
      <c r="BP125" s="257">
        <f t="shared" si="219"/>
        <v>0</v>
      </c>
      <c r="BQ125" s="259">
        <f t="shared" si="178"/>
        <v>0</v>
      </c>
      <c r="BR125" s="258">
        <f t="shared" si="220"/>
        <v>0</v>
      </c>
      <c r="BS125" s="257">
        <f t="shared" si="221"/>
        <v>0</v>
      </c>
      <c r="BT125" s="259">
        <f t="shared" si="179"/>
        <v>0</v>
      </c>
      <c r="BU125" s="275">
        <f t="shared" si="201"/>
        <v>0</v>
      </c>
      <c r="BV125" s="274">
        <f t="shared" si="202"/>
        <v>0</v>
      </c>
      <c r="BW125" s="274">
        <f t="shared" si="203"/>
        <v>0</v>
      </c>
      <c r="BX125" s="276">
        <f t="shared" si="222"/>
        <v>0</v>
      </c>
      <c r="BY125" s="275">
        <v>0</v>
      </c>
      <c r="BZ125" s="274">
        <f t="shared" si="223"/>
        <v>0</v>
      </c>
      <c r="CA125" s="276">
        <f t="shared" si="180"/>
        <v>0</v>
      </c>
      <c r="CB125" s="275">
        <f t="shared" si="224"/>
        <v>0</v>
      </c>
      <c r="CC125" s="274">
        <f t="shared" si="225"/>
        <v>0</v>
      </c>
      <c r="CD125" s="276">
        <f t="shared" si="181"/>
        <v>0</v>
      </c>
      <c r="CE125" s="58">
        <f t="shared" si="226"/>
        <v>5.870000562777019E-2</v>
      </c>
      <c r="CF125" s="49">
        <f t="shared" si="138"/>
        <v>7.3499999999999996E-2</v>
      </c>
      <c r="CG125" s="61">
        <f t="shared" si="182"/>
        <v>3.2340000000000001E-2</v>
      </c>
      <c r="CH125" s="49">
        <f t="shared" si="183"/>
        <v>1.5447369902044787E-2</v>
      </c>
      <c r="CI125" s="49">
        <f t="shared" si="184"/>
        <v>5.6968429258854405</v>
      </c>
      <c r="CJ125" s="49">
        <f t="shared" si="227"/>
        <v>73.41672388982434</v>
      </c>
      <c r="CN125" s="49">
        <f t="shared" si="168"/>
        <v>1.6875733333333334</v>
      </c>
      <c r="CO125" s="49">
        <f t="shared" si="169"/>
        <v>0</v>
      </c>
      <c r="CP125" s="49">
        <f t="shared" si="170"/>
        <v>0</v>
      </c>
      <c r="CQ125" s="49" t="str">
        <f t="shared" si="204"/>
        <v/>
      </c>
    </row>
    <row r="126" spans="12:95" x14ac:dyDescent="0.45">
      <c r="L126" s="49">
        <f t="shared" si="171"/>
        <v>79.333333333333329</v>
      </c>
      <c r="Q126" s="49">
        <v>119</v>
      </c>
      <c r="R126" s="278">
        <f t="shared" si="115"/>
        <v>15.866666666666667</v>
      </c>
      <c r="S126" s="201">
        <f t="shared" si="116"/>
        <v>42</v>
      </c>
      <c r="T126" s="206">
        <f t="shared" si="185"/>
        <v>0.37777777777777777</v>
      </c>
      <c r="U126" s="205">
        <f t="shared" si="186"/>
        <v>2</v>
      </c>
      <c r="V126" s="201">
        <f t="shared" si="187"/>
        <v>0.45955882352941174</v>
      </c>
      <c r="W126" s="201">
        <f t="shared" si="188"/>
        <v>0.54044117647058831</v>
      </c>
      <c r="X126" s="201">
        <f t="shared" si="140"/>
        <v>0</v>
      </c>
      <c r="Y126" s="205">
        <f t="shared" si="205"/>
        <v>0.82204444444444447</v>
      </c>
      <c r="Z126" s="201">
        <f t="shared" si="189"/>
        <v>0.30637254901960786</v>
      </c>
      <c r="AA126" s="201">
        <f t="shared" si="142"/>
        <v>0.9752307189542484</v>
      </c>
      <c r="AB126" s="206">
        <f t="shared" si="190"/>
        <v>0.56048621561080703</v>
      </c>
      <c r="AC126" s="205">
        <v>0</v>
      </c>
      <c r="AD126" s="201">
        <f t="shared" si="191"/>
        <v>1.5707239894486202E-2</v>
      </c>
      <c r="AE126" s="206">
        <f t="shared" si="143"/>
        <v>1.5707239894486202E-2</v>
      </c>
      <c r="AF126" s="58">
        <f t="shared" si="192"/>
        <v>0.31733333333333336</v>
      </c>
      <c r="AG126" s="61">
        <f t="shared" si="193"/>
        <v>0.31733333333333336</v>
      </c>
      <c r="AH126" s="58">
        <f t="shared" si="194"/>
        <v>4.1781258119333302E-2</v>
      </c>
      <c r="AI126" s="49">
        <f t="shared" si="195"/>
        <v>3.0857746480336492</v>
      </c>
      <c r="AJ126" s="61">
        <f t="shared" si="144"/>
        <v>3.1275559061529825</v>
      </c>
      <c r="AK126" s="269">
        <f t="shared" si="196"/>
        <v>15.866666666666667</v>
      </c>
      <c r="AL126" s="268">
        <f t="shared" si="129"/>
        <v>5</v>
      </c>
      <c r="AM126" s="270">
        <f t="shared" si="206"/>
        <v>3.1733333333333333</v>
      </c>
      <c r="AN126" s="269">
        <f t="shared" si="207"/>
        <v>2</v>
      </c>
      <c r="AO126" s="268">
        <f t="shared" si="208"/>
        <v>0.54044117647058831</v>
      </c>
      <c r="AP126" s="268">
        <f t="shared" si="209"/>
        <v>5.8717460317460306</v>
      </c>
      <c r="AQ126" s="268">
        <f t="shared" si="210"/>
        <v>2.1883753501400562</v>
      </c>
      <c r="AR126" s="268">
        <f t="shared" si="172"/>
        <v>6.9659337068160587</v>
      </c>
      <c r="AS126" s="270">
        <f t="shared" si="173"/>
        <v>4.3415075576789501</v>
      </c>
      <c r="AT126" s="269"/>
      <c r="AU126" s="268">
        <f t="shared" si="211"/>
        <v>0.10070044444444445</v>
      </c>
      <c r="AV126" s="270">
        <f t="shared" si="174"/>
        <v>0.10070044444444445</v>
      </c>
      <c r="AW126" s="269">
        <f t="shared" si="212"/>
        <v>0.11424000000000001</v>
      </c>
      <c r="AX126" s="268">
        <f t="shared" si="213"/>
        <v>1.5866666666666667</v>
      </c>
      <c r="AY126" s="270">
        <f t="shared" si="175"/>
        <v>1.7009066666666666</v>
      </c>
      <c r="AZ126" s="263">
        <f t="shared" si="197"/>
        <v>0</v>
      </c>
      <c r="BA126" s="262">
        <f t="shared" si="198"/>
        <v>0</v>
      </c>
      <c r="BB126" s="262">
        <f t="shared" si="176"/>
        <v>0</v>
      </c>
      <c r="BC126" s="264" t="e">
        <f t="shared" si="214"/>
        <v>#DIV/0!</v>
      </c>
      <c r="BD126" s="263">
        <v>0</v>
      </c>
      <c r="BE126" s="262">
        <f t="shared" si="215"/>
        <v>0</v>
      </c>
      <c r="BF126" s="264">
        <f t="shared" si="177"/>
        <v>0</v>
      </c>
      <c r="BG126" s="263">
        <f t="shared" si="216"/>
        <v>0</v>
      </c>
      <c r="BH126" s="262">
        <f t="shared" si="217"/>
        <v>0</v>
      </c>
      <c r="BI126" s="264">
        <f t="shared" si="218"/>
        <v>0</v>
      </c>
      <c r="BK126" s="258">
        <f t="shared" si="199"/>
        <v>0</v>
      </c>
      <c r="BL126" s="257">
        <f t="shared" si="133"/>
        <v>0</v>
      </c>
      <c r="BM126" s="257">
        <f t="shared" si="200"/>
        <v>0</v>
      </c>
      <c r="BN126" s="259">
        <f t="shared" si="158"/>
        <v>0</v>
      </c>
      <c r="BO126" s="258">
        <v>0</v>
      </c>
      <c r="BP126" s="257">
        <f t="shared" si="219"/>
        <v>0</v>
      </c>
      <c r="BQ126" s="259">
        <f t="shared" si="178"/>
        <v>0</v>
      </c>
      <c r="BR126" s="258">
        <f t="shared" si="220"/>
        <v>0</v>
      </c>
      <c r="BS126" s="257">
        <f t="shared" si="221"/>
        <v>0</v>
      </c>
      <c r="BT126" s="259">
        <f t="shared" si="179"/>
        <v>0</v>
      </c>
      <c r="BU126" s="275">
        <f t="shared" si="201"/>
        <v>0</v>
      </c>
      <c r="BV126" s="274">
        <f t="shared" si="202"/>
        <v>0</v>
      </c>
      <c r="BW126" s="274">
        <f t="shared" si="203"/>
        <v>0</v>
      </c>
      <c r="BX126" s="276">
        <f t="shared" si="222"/>
        <v>0</v>
      </c>
      <c r="BY126" s="275">
        <v>0</v>
      </c>
      <c r="BZ126" s="274">
        <f t="shared" si="223"/>
        <v>0</v>
      </c>
      <c r="CA126" s="276">
        <f t="shared" si="180"/>
        <v>0</v>
      </c>
      <c r="CB126" s="275">
        <f t="shared" si="224"/>
        <v>0</v>
      </c>
      <c r="CC126" s="274">
        <f t="shared" si="225"/>
        <v>0</v>
      </c>
      <c r="CD126" s="276">
        <f t="shared" si="181"/>
        <v>0</v>
      </c>
      <c r="CE126" s="58">
        <f t="shared" si="226"/>
        <v>5.9687511599047567E-2</v>
      </c>
      <c r="CF126" s="49">
        <f t="shared" si="138"/>
        <v>7.3499999999999996E-2</v>
      </c>
      <c r="CG126" s="61">
        <f t="shared" si="182"/>
        <v>3.2340000000000001E-2</v>
      </c>
      <c r="CH126" s="49">
        <f t="shared" si="183"/>
        <v>1.5707239894486202E-2</v>
      </c>
      <c r="CI126" s="49">
        <f t="shared" si="184"/>
        <v>5.7450644354242932</v>
      </c>
      <c r="CJ126" s="49">
        <f t="shared" si="227"/>
        <v>73.416916912923966</v>
      </c>
      <c r="CN126" s="49">
        <f t="shared" si="168"/>
        <v>1.7009066666666666</v>
      </c>
      <c r="CO126" s="49">
        <f t="shared" si="169"/>
        <v>0</v>
      </c>
      <c r="CP126" s="49">
        <f t="shared" si="170"/>
        <v>0</v>
      </c>
      <c r="CQ126" s="49" t="str">
        <f t="shared" si="204"/>
        <v/>
      </c>
    </row>
    <row r="127" spans="12:95" x14ac:dyDescent="0.45">
      <c r="L127" s="49">
        <f t="shared" si="171"/>
        <v>80</v>
      </c>
      <c r="Q127" s="49">
        <v>120</v>
      </c>
      <c r="R127" s="278">
        <f t="shared" si="115"/>
        <v>16</v>
      </c>
      <c r="S127" s="201">
        <f t="shared" si="116"/>
        <v>42</v>
      </c>
      <c r="T127" s="206">
        <f t="shared" si="185"/>
        <v>0.38095238095238093</v>
      </c>
      <c r="U127" s="205">
        <f t="shared" si="186"/>
        <v>2</v>
      </c>
      <c r="V127" s="201">
        <f t="shared" si="187"/>
        <v>0.45955882352941174</v>
      </c>
      <c r="W127" s="201">
        <f t="shared" si="188"/>
        <v>0.54044117647058831</v>
      </c>
      <c r="X127" s="201">
        <f t="shared" si="140"/>
        <v>0</v>
      </c>
      <c r="Y127" s="205">
        <f t="shared" si="205"/>
        <v>0.828952380952381</v>
      </c>
      <c r="Z127" s="201">
        <f t="shared" si="189"/>
        <v>0.30637254901960786</v>
      </c>
      <c r="AA127" s="201">
        <f t="shared" si="142"/>
        <v>0.98213865546218493</v>
      </c>
      <c r="AB127" s="206">
        <f t="shared" si="190"/>
        <v>0.56514251092347378</v>
      </c>
      <c r="AC127" s="205">
        <v>0</v>
      </c>
      <c r="AD127" s="201">
        <f t="shared" si="191"/>
        <v>1.5969302882644434E-2</v>
      </c>
      <c r="AE127" s="206">
        <f t="shared" si="143"/>
        <v>1.5969302882644434E-2</v>
      </c>
      <c r="AF127" s="58">
        <f t="shared" si="192"/>
        <v>0.32</v>
      </c>
      <c r="AG127" s="61">
        <f t="shared" si="193"/>
        <v>0.32</v>
      </c>
      <c r="AH127" s="58">
        <f t="shared" si="194"/>
        <v>4.2478345667834198E-2</v>
      </c>
      <c r="AI127" s="49">
        <f t="shared" si="195"/>
        <v>3.1117055274288901</v>
      </c>
      <c r="AJ127" s="61">
        <f t="shared" si="144"/>
        <v>3.1541838730967244</v>
      </c>
      <c r="AK127" s="269">
        <f t="shared" si="196"/>
        <v>16</v>
      </c>
      <c r="AL127" s="268">
        <f t="shared" si="129"/>
        <v>5</v>
      </c>
      <c r="AM127" s="270">
        <f t="shared" si="206"/>
        <v>3.2</v>
      </c>
      <c r="AN127" s="269">
        <f t="shared" si="207"/>
        <v>2</v>
      </c>
      <c r="AO127" s="268">
        <f t="shared" si="208"/>
        <v>0.54044117647058831</v>
      </c>
      <c r="AP127" s="268">
        <f t="shared" si="209"/>
        <v>5.9210884353741493</v>
      </c>
      <c r="AQ127" s="268">
        <f t="shared" si="210"/>
        <v>2.1883753501400562</v>
      </c>
      <c r="AR127" s="268">
        <f t="shared" si="172"/>
        <v>7.0152761104441774</v>
      </c>
      <c r="AS127" s="270">
        <f t="shared" si="173"/>
        <v>4.3775750660809143</v>
      </c>
      <c r="AT127" s="269"/>
      <c r="AU127" s="268">
        <f t="shared" si="211"/>
        <v>0.10240000000000002</v>
      </c>
      <c r="AV127" s="270">
        <f t="shared" si="174"/>
        <v>0.10240000000000002</v>
      </c>
      <c r="AW127" s="269">
        <f t="shared" si="212"/>
        <v>0.11424000000000001</v>
      </c>
      <c r="AX127" s="268">
        <f t="shared" si="213"/>
        <v>1.6</v>
      </c>
      <c r="AY127" s="270">
        <f t="shared" si="175"/>
        <v>1.7142400000000002</v>
      </c>
      <c r="AZ127" s="263">
        <f t="shared" si="197"/>
        <v>0</v>
      </c>
      <c r="BA127" s="262">
        <f t="shared" si="198"/>
        <v>0</v>
      </c>
      <c r="BB127" s="262">
        <f t="shared" si="176"/>
        <v>0</v>
      </c>
      <c r="BC127" s="264" t="e">
        <f t="shared" si="214"/>
        <v>#DIV/0!</v>
      </c>
      <c r="BD127" s="263">
        <v>0</v>
      </c>
      <c r="BE127" s="262">
        <f t="shared" si="215"/>
        <v>0</v>
      </c>
      <c r="BF127" s="264">
        <f t="shared" si="177"/>
        <v>0</v>
      </c>
      <c r="BG127" s="263">
        <f t="shared" si="216"/>
        <v>0</v>
      </c>
      <c r="BH127" s="262">
        <f t="shared" si="217"/>
        <v>0</v>
      </c>
      <c r="BI127" s="264">
        <f t="shared" si="218"/>
        <v>0</v>
      </c>
      <c r="BK127" s="258">
        <f t="shared" si="199"/>
        <v>0</v>
      </c>
      <c r="BL127" s="257">
        <f t="shared" si="133"/>
        <v>0</v>
      </c>
      <c r="BM127" s="257">
        <f t="shared" si="200"/>
        <v>0</v>
      </c>
      <c r="BN127" s="259">
        <f t="shared" si="158"/>
        <v>0</v>
      </c>
      <c r="BO127" s="258">
        <v>0</v>
      </c>
      <c r="BP127" s="257">
        <f t="shared" si="219"/>
        <v>0</v>
      </c>
      <c r="BQ127" s="259">
        <f t="shared" si="178"/>
        <v>0</v>
      </c>
      <c r="BR127" s="258">
        <f t="shared" si="220"/>
        <v>0</v>
      </c>
      <c r="BS127" s="257">
        <f t="shared" si="221"/>
        <v>0</v>
      </c>
      <c r="BT127" s="259">
        <f t="shared" si="179"/>
        <v>0</v>
      </c>
      <c r="BU127" s="275">
        <f t="shared" si="201"/>
        <v>0</v>
      </c>
      <c r="BV127" s="274">
        <f t="shared" si="202"/>
        <v>0</v>
      </c>
      <c r="BW127" s="274">
        <f t="shared" si="203"/>
        <v>0</v>
      </c>
      <c r="BX127" s="276">
        <f t="shared" si="222"/>
        <v>0</v>
      </c>
      <c r="BY127" s="275">
        <v>0</v>
      </c>
      <c r="BZ127" s="274">
        <f t="shared" si="223"/>
        <v>0</v>
      </c>
      <c r="CA127" s="276">
        <f t="shared" si="180"/>
        <v>0</v>
      </c>
      <c r="CB127" s="275">
        <f t="shared" si="224"/>
        <v>0</v>
      </c>
      <c r="CC127" s="274">
        <f t="shared" si="225"/>
        <v>0</v>
      </c>
      <c r="CD127" s="276">
        <f t="shared" si="181"/>
        <v>0</v>
      </c>
      <c r="CE127" s="58">
        <f t="shared" si="226"/>
        <v>6.0683350954048851E-2</v>
      </c>
      <c r="CF127" s="49">
        <f t="shared" si="138"/>
        <v>7.3499999999999996E-2</v>
      </c>
      <c r="CG127" s="61">
        <f t="shared" si="182"/>
        <v>3.2340000000000001E-2</v>
      </c>
      <c r="CH127" s="49">
        <f t="shared" si="183"/>
        <v>1.5969302882644434E-2</v>
      </c>
      <c r="CI127" s="49">
        <f t="shared" si="184"/>
        <v>5.7933165269334186</v>
      </c>
      <c r="CJ127" s="49">
        <f t="shared" si="227"/>
        <v>73.417003695726123</v>
      </c>
      <c r="CN127" s="49">
        <f t="shared" si="168"/>
        <v>1.7142400000000002</v>
      </c>
      <c r="CO127" s="49">
        <f t="shared" si="169"/>
        <v>0</v>
      </c>
      <c r="CP127" s="49">
        <f t="shared" si="170"/>
        <v>0</v>
      </c>
      <c r="CQ127" s="49" t="str">
        <f t="shared" si="204"/>
        <v/>
      </c>
    </row>
    <row r="128" spans="12:95" x14ac:dyDescent="0.45">
      <c r="L128" s="49">
        <f t="shared" si="171"/>
        <v>80.666666666666657</v>
      </c>
      <c r="Q128" s="49">
        <v>121</v>
      </c>
      <c r="R128" s="278">
        <f t="shared" si="115"/>
        <v>16.133333333333333</v>
      </c>
      <c r="S128" s="201">
        <f t="shared" si="116"/>
        <v>42</v>
      </c>
      <c r="T128" s="206">
        <f t="shared" si="185"/>
        <v>0.38412698412698409</v>
      </c>
      <c r="U128" s="205">
        <f t="shared" si="186"/>
        <v>2</v>
      </c>
      <c r="V128" s="201">
        <f t="shared" si="187"/>
        <v>0.45955882352941174</v>
      </c>
      <c r="W128" s="201">
        <f t="shared" si="188"/>
        <v>0.54044117647058831</v>
      </c>
      <c r="X128" s="201">
        <f t="shared" si="140"/>
        <v>0</v>
      </c>
      <c r="Y128" s="205">
        <f t="shared" si="205"/>
        <v>0.83586031746031741</v>
      </c>
      <c r="Z128" s="201">
        <f t="shared" si="189"/>
        <v>0.30637254901960786</v>
      </c>
      <c r="AA128" s="201">
        <f t="shared" si="142"/>
        <v>0.98904659197012135</v>
      </c>
      <c r="AB128" s="206">
        <f t="shared" si="190"/>
        <v>0.5697992430061567</v>
      </c>
      <c r="AC128" s="205">
        <v>0</v>
      </c>
      <c r="AD128" s="201">
        <f t="shared" si="191"/>
        <v>1.6233558866519459E-2</v>
      </c>
      <c r="AE128" s="206">
        <f t="shared" si="143"/>
        <v>1.6233558866519459E-2</v>
      </c>
      <c r="AF128" s="58">
        <f t="shared" si="192"/>
        <v>0.32266666666666666</v>
      </c>
      <c r="AG128" s="61">
        <f t="shared" si="193"/>
        <v>0.32266666666666666</v>
      </c>
      <c r="AH128" s="58">
        <f t="shared" si="194"/>
        <v>4.3181266584941765E-2</v>
      </c>
      <c r="AI128" s="49">
        <f t="shared" si="195"/>
        <v>3.1376364068241305</v>
      </c>
      <c r="AJ128" s="61">
        <f t="shared" si="144"/>
        <v>3.1808176734090723</v>
      </c>
      <c r="AK128" s="269">
        <f t="shared" si="196"/>
        <v>16.133333333333333</v>
      </c>
      <c r="AL128" s="268">
        <f t="shared" si="129"/>
        <v>5</v>
      </c>
      <c r="AM128" s="270">
        <f t="shared" si="206"/>
        <v>3.2266666666666666</v>
      </c>
      <c r="AN128" s="269">
        <f t="shared" si="207"/>
        <v>2</v>
      </c>
      <c r="AO128" s="268">
        <f t="shared" si="208"/>
        <v>0.54044117647058831</v>
      </c>
      <c r="AP128" s="268">
        <f t="shared" si="209"/>
        <v>5.9704308390022671</v>
      </c>
      <c r="AQ128" s="268">
        <f t="shared" si="210"/>
        <v>2.1883753501400562</v>
      </c>
      <c r="AR128" s="268">
        <f t="shared" si="172"/>
        <v>7.0646185140722952</v>
      </c>
      <c r="AS128" s="270">
        <f t="shared" si="173"/>
        <v>4.4136459576888765</v>
      </c>
      <c r="AT128" s="269"/>
      <c r="AU128" s="268">
        <f t="shared" si="211"/>
        <v>0.10411377777777776</v>
      </c>
      <c r="AV128" s="270">
        <f t="shared" si="174"/>
        <v>0.10411377777777776</v>
      </c>
      <c r="AW128" s="269">
        <f t="shared" si="212"/>
        <v>0.11424000000000001</v>
      </c>
      <c r="AX128" s="268">
        <f t="shared" si="213"/>
        <v>1.6133333333333333</v>
      </c>
      <c r="AY128" s="270">
        <f t="shared" si="175"/>
        <v>1.7275733333333334</v>
      </c>
      <c r="AZ128" s="263">
        <f t="shared" si="197"/>
        <v>0</v>
      </c>
      <c r="BA128" s="262">
        <f t="shared" si="198"/>
        <v>0</v>
      </c>
      <c r="BB128" s="262">
        <f t="shared" si="176"/>
        <v>0</v>
      </c>
      <c r="BC128" s="264" t="e">
        <f t="shared" si="214"/>
        <v>#DIV/0!</v>
      </c>
      <c r="BD128" s="263">
        <v>0</v>
      </c>
      <c r="BE128" s="262">
        <f t="shared" si="215"/>
        <v>0</v>
      </c>
      <c r="BF128" s="264">
        <f t="shared" si="177"/>
        <v>0</v>
      </c>
      <c r="BG128" s="263">
        <f t="shared" si="216"/>
        <v>0</v>
      </c>
      <c r="BH128" s="262">
        <f t="shared" si="217"/>
        <v>0</v>
      </c>
      <c r="BI128" s="264">
        <f t="shared" si="218"/>
        <v>0</v>
      </c>
      <c r="BK128" s="258">
        <f t="shared" si="199"/>
        <v>0</v>
      </c>
      <c r="BL128" s="257">
        <f t="shared" si="133"/>
        <v>0</v>
      </c>
      <c r="BM128" s="257">
        <f t="shared" si="200"/>
        <v>0</v>
      </c>
      <c r="BN128" s="259">
        <f t="shared" si="158"/>
        <v>0</v>
      </c>
      <c r="BO128" s="258">
        <v>0</v>
      </c>
      <c r="BP128" s="257">
        <f t="shared" si="219"/>
        <v>0</v>
      </c>
      <c r="BQ128" s="259">
        <f t="shared" si="178"/>
        <v>0</v>
      </c>
      <c r="BR128" s="258">
        <f t="shared" si="220"/>
        <v>0</v>
      </c>
      <c r="BS128" s="257">
        <f t="shared" si="221"/>
        <v>0</v>
      </c>
      <c r="BT128" s="259">
        <f t="shared" si="179"/>
        <v>0</v>
      </c>
      <c r="BU128" s="275">
        <f t="shared" si="201"/>
        <v>0</v>
      </c>
      <c r="BV128" s="274">
        <f t="shared" si="202"/>
        <v>0</v>
      </c>
      <c r="BW128" s="274">
        <f t="shared" si="203"/>
        <v>0</v>
      </c>
      <c r="BX128" s="276">
        <f t="shared" si="222"/>
        <v>0</v>
      </c>
      <c r="BY128" s="275">
        <v>0</v>
      </c>
      <c r="BZ128" s="274">
        <f t="shared" si="223"/>
        <v>0</v>
      </c>
      <c r="CA128" s="276">
        <f t="shared" si="180"/>
        <v>0</v>
      </c>
      <c r="CB128" s="275">
        <f t="shared" si="224"/>
        <v>0</v>
      </c>
      <c r="CC128" s="274">
        <f t="shared" si="225"/>
        <v>0</v>
      </c>
      <c r="CD128" s="276">
        <f t="shared" si="181"/>
        <v>0</v>
      </c>
      <c r="CE128" s="58">
        <f t="shared" si="226"/>
        <v>6.168752369277395E-2</v>
      </c>
      <c r="CF128" s="49">
        <f t="shared" si="138"/>
        <v>7.3499999999999996E-2</v>
      </c>
      <c r="CG128" s="61">
        <f t="shared" si="182"/>
        <v>3.2340000000000001E-2</v>
      </c>
      <c r="CH128" s="49">
        <f t="shared" si="183"/>
        <v>1.6233558866519459E-2</v>
      </c>
      <c r="CI128" s="49">
        <f t="shared" si="184"/>
        <v>5.8415992004128112</v>
      </c>
      <c r="CJ128" s="49">
        <f t="shared" si="227"/>
        <v>73.416986871554343</v>
      </c>
      <c r="CN128" s="49">
        <f t="shared" si="168"/>
        <v>1.7275733333333334</v>
      </c>
      <c r="CO128" s="49">
        <f t="shared" si="169"/>
        <v>0</v>
      </c>
      <c r="CP128" s="49">
        <f t="shared" si="170"/>
        <v>0</v>
      </c>
      <c r="CQ128" s="49" t="str">
        <f t="shared" si="204"/>
        <v/>
      </c>
    </row>
    <row r="129" spans="12:95" x14ac:dyDescent="0.45">
      <c r="L129" s="49">
        <f t="shared" si="171"/>
        <v>81.333333333333329</v>
      </c>
      <c r="Q129" s="49">
        <v>122</v>
      </c>
      <c r="R129" s="278">
        <f t="shared" si="115"/>
        <v>16.266666666666666</v>
      </c>
      <c r="S129" s="201">
        <f t="shared" si="116"/>
        <v>42</v>
      </c>
      <c r="T129" s="206">
        <f t="shared" si="185"/>
        <v>0.38730158730158726</v>
      </c>
      <c r="U129" s="205">
        <f t="shared" si="186"/>
        <v>2</v>
      </c>
      <c r="V129" s="201">
        <f t="shared" si="187"/>
        <v>0.45955882352941174</v>
      </c>
      <c r="W129" s="201">
        <f t="shared" si="188"/>
        <v>0.54044117647058831</v>
      </c>
      <c r="X129" s="201">
        <f t="shared" si="140"/>
        <v>0</v>
      </c>
      <c r="Y129" s="205">
        <f t="shared" si="205"/>
        <v>0.84276825396825394</v>
      </c>
      <c r="Z129" s="201">
        <f t="shared" si="189"/>
        <v>0.30637254901960786</v>
      </c>
      <c r="AA129" s="201">
        <f t="shared" si="142"/>
        <v>0.99595452847805788</v>
      </c>
      <c r="AB129" s="206">
        <f t="shared" si="190"/>
        <v>0.57445640123705288</v>
      </c>
      <c r="AC129" s="205">
        <v>0</v>
      </c>
      <c r="AD129" s="201">
        <f t="shared" si="191"/>
        <v>1.6500007846111296E-2</v>
      </c>
      <c r="AE129" s="206">
        <f t="shared" si="143"/>
        <v>1.6500007846111296E-2</v>
      </c>
      <c r="AF129" s="58">
        <f t="shared" si="192"/>
        <v>0.32533333333333331</v>
      </c>
      <c r="AG129" s="61">
        <f t="shared" si="193"/>
        <v>0.32533333333333331</v>
      </c>
      <c r="AH129" s="58">
        <f t="shared" si="194"/>
        <v>4.3890020870656049E-2</v>
      </c>
      <c r="AI129" s="49">
        <f t="shared" si="195"/>
        <v>3.1635672862193709</v>
      </c>
      <c r="AJ129" s="61">
        <f t="shared" si="144"/>
        <v>3.207457307090027</v>
      </c>
      <c r="AK129" s="269">
        <f t="shared" si="196"/>
        <v>16.266666666666666</v>
      </c>
      <c r="AL129" s="268">
        <f t="shared" si="129"/>
        <v>5</v>
      </c>
      <c r="AM129" s="270">
        <f t="shared" si="206"/>
        <v>3.253333333333333</v>
      </c>
      <c r="AN129" s="269">
        <f t="shared" si="207"/>
        <v>2</v>
      </c>
      <c r="AO129" s="268">
        <f t="shared" si="208"/>
        <v>0.54044117647058831</v>
      </c>
      <c r="AP129" s="268">
        <f t="shared" si="209"/>
        <v>6.019773242630384</v>
      </c>
      <c r="AQ129" s="268">
        <f t="shared" si="210"/>
        <v>2.1883753501400562</v>
      </c>
      <c r="AR129" s="268">
        <f t="shared" si="172"/>
        <v>7.1139609177004122</v>
      </c>
      <c r="AS129" s="270">
        <f t="shared" si="173"/>
        <v>4.4497201502267032</v>
      </c>
      <c r="AT129" s="269"/>
      <c r="AU129" s="268">
        <f t="shared" si="211"/>
        <v>0.10584177777777776</v>
      </c>
      <c r="AV129" s="270">
        <f t="shared" si="174"/>
        <v>0.10584177777777776</v>
      </c>
      <c r="AW129" s="269">
        <f t="shared" si="212"/>
        <v>0.11424000000000001</v>
      </c>
      <c r="AX129" s="268">
        <f t="shared" si="213"/>
        <v>1.6266666666666665</v>
      </c>
      <c r="AY129" s="270">
        <f t="shared" si="175"/>
        <v>1.7409066666666666</v>
      </c>
      <c r="AZ129" s="263">
        <f t="shared" si="197"/>
        <v>0</v>
      </c>
      <c r="BA129" s="262">
        <f t="shared" si="198"/>
        <v>0</v>
      </c>
      <c r="BB129" s="262">
        <f t="shared" si="176"/>
        <v>0</v>
      </c>
      <c r="BC129" s="264" t="e">
        <f t="shared" si="214"/>
        <v>#DIV/0!</v>
      </c>
      <c r="BD129" s="263">
        <v>0</v>
      </c>
      <c r="BE129" s="262">
        <f t="shared" si="215"/>
        <v>0</v>
      </c>
      <c r="BF129" s="264">
        <f t="shared" si="177"/>
        <v>0</v>
      </c>
      <c r="BG129" s="263">
        <f t="shared" si="216"/>
        <v>0</v>
      </c>
      <c r="BH129" s="262">
        <f t="shared" si="217"/>
        <v>0</v>
      </c>
      <c r="BI129" s="264">
        <f t="shared" si="218"/>
        <v>0</v>
      </c>
      <c r="BK129" s="258">
        <f t="shared" si="199"/>
        <v>0</v>
      </c>
      <c r="BL129" s="257">
        <f t="shared" si="133"/>
        <v>0</v>
      </c>
      <c r="BM129" s="257">
        <f t="shared" si="200"/>
        <v>0</v>
      </c>
      <c r="BN129" s="259">
        <f t="shared" si="158"/>
        <v>0</v>
      </c>
      <c r="BO129" s="258">
        <v>0</v>
      </c>
      <c r="BP129" s="257">
        <f t="shared" si="219"/>
        <v>0</v>
      </c>
      <c r="BQ129" s="259">
        <f t="shared" si="178"/>
        <v>0</v>
      </c>
      <c r="BR129" s="258">
        <f t="shared" si="220"/>
        <v>0</v>
      </c>
      <c r="BS129" s="257">
        <f t="shared" si="221"/>
        <v>0</v>
      </c>
      <c r="BT129" s="259">
        <f t="shared" si="179"/>
        <v>0</v>
      </c>
      <c r="BU129" s="275">
        <f t="shared" si="201"/>
        <v>0</v>
      </c>
      <c r="BV129" s="274">
        <f t="shared" si="202"/>
        <v>0</v>
      </c>
      <c r="BW129" s="274">
        <f t="shared" si="203"/>
        <v>0</v>
      </c>
      <c r="BX129" s="276">
        <f t="shared" si="222"/>
        <v>0</v>
      </c>
      <c r="BY129" s="275">
        <v>0</v>
      </c>
      <c r="BZ129" s="274">
        <f t="shared" si="223"/>
        <v>0</v>
      </c>
      <c r="CA129" s="276">
        <f t="shared" si="180"/>
        <v>0</v>
      </c>
      <c r="CB129" s="275">
        <f t="shared" si="224"/>
        <v>0</v>
      </c>
      <c r="CC129" s="274">
        <f t="shared" si="225"/>
        <v>0</v>
      </c>
      <c r="CD129" s="276">
        <f t="shared" si="181"/>
        <v>0</v>
      </c>
      <c r="CE129" s="58">
        <f t="shared" si="226"/>
        <v>6.2700029815222921E-2</v>
      </c>
      <c r="CF129" s="49">
        <f t="shared" si="138"/>
        <v>7.3499999999999996E-2</v>
      </c>
      <c r="CG129" s="61">
        <f t="shared" si="182"/>
        <v>3.2340000000000001E-2</v>
      </c>
      <c r="CH129" s="49">
        <f t="shared" si="183"/>
        <v>1.6500007846111296E-2</v>
      </c>
      <c r="CI129" s="49">
        <f t="shared" si="184"/>
        <v>5.8899124558624711</v>
      </c>
      <c r="CJ129" s="49">
        <f t="shared" si="227"/>
        <v>73.416868988256752</v>
      </c>
      <c r="CN129" s="49">
        <f t="shared" si="168"/>
        <v>1.7409066666666666</v>
      </c>
      <c r="CO129" s="49">
        <f t="shared" si="169"/>
        <v>0</v>
      </c>
      <c r="CP129" s="49">
        <f t="shared" si="170"/>
        <v>0</v>
      </c>
      <c r="CQ129" s="49" t="str">
        <f t="shared" si="204"/>
        <v/>
      </c>
    </row>
    <row r="130" spans="12:95" x14ac:dyDescent="0.45">
      <c r="L130" s="49">
        <f t="shared" si="171"/>
        <v>82</v>
      </c>
      <c r="Q130" s="49">
        <v>123</v>
      </c>
      <c r="R130" s="278">
        <f t="shared" si="115"/>
        <v>16.399999999999999</v>
      </c>
      <c r="S130" s="201">
        <f t="shared" si="116"/>
        <v>42</v>
      </c>
      <c r="T130" s="206">
        <f t="shared" si="185"/>
        <v>0.39047619047619042</v>
      </c>
      <c r="U130" s="205">
        <f t="shared" si="186"/>
        <v>2</v>
      </c>
      <c r="V130" s="201">
        <f t="shared" si="187"/>
        <v>0.45955882352941174</v>
      </c>
      <c r="W130" s="201">
        <f t="shared" si="188"/>
        <v>0.54044117647058831</v>
      </c>
      <c r="X130" s="201">
        <f t="shared" si="140"/>
        <v>0</v>
      </c>
      <c r="Y130" s="205">
        <f t="shared" si="205"/>
        <v>0.84967619047619047</v>
      </c>
      <c r="Z130" s="201">
        <f t="shared" si="189"/>
        <v>0.30637254901960786</v>
      </c>
      <c r="AA130" s="201">
        <f t="shared" si="142"/>
        <v>1.0028624649859945</v>
      </c>
      <c r="AB130" s="206">
        <f t="shared" si="190"/>
        <v>0.57911397533507936</v>
      </c>
      <c r="AC130" s="205">
        <v>0</v>
      </c>
      <c r="AD130" s="201">
        <f t="shared" si="191"/>
        <v>1.6768649821419946E-2</v>
      </c>
      <c r="AE130" s="206">
        <f t="shared" si="143"/>
        <v>1.6768649821419946E-2</v>
      </c>
      <c r="AF130" s="58">
        <f t="shared" si="192"/>
        <v>0.32799999999999996</v>
      </c>
      <c r="AG130" s="61">
        <f t="shared" si="193"/>
        <v>0.32799999999999996</v>
      </c>
      <c r="AH130" s="58">
        <f t="shared" si="194"/>
        <v>4.4604608524977059E-2</v>
      </c>
      <c r="AI130" s="49">
        <f t="shared" si="195"/>
        <v>3.1894981656146122</v>
      </c>
      <c r="AJ130" s="61">
        <f t="shared" si="144"/>
        <v>3.2341027741395894</v>
      </c>
      <c r="AK130" s="269">
        <f t="shared" si="196"/>
        <v>16.399999999999999</v>
      </c>
      <c r="AL130" s="268">
        <f t="shared" si="129"/>
        <v>5</v>
      </c>
      <c r="AM130" s="270">
        <f t="shared" si="206"/>
        <v>3.28</v>
      </c>
      <c r="AN130" s="269">
        <f t="shared" si="207"/>
        <v>2</v>
      </c>
      <c r="AO130" s="268">
        <f t="shared" si="208"/>
        <v>0.5404411764705882</v>
      </c>
      <c r="AP130" s="268">
        <f t="shared" si="209"/>
        <v>6.0691156462585036</v>
      </c>
      <c r="AQ130" s="268">
        <f t="shared" si="210"/>
        <v>2.1883753501400558</v>
      </c>
      <c r="AR130" s="268">
        <f t="shared" si="172"/>
        <v>7.1633033213285318</v>
      </c>
      <c r="AS130" s="270">
        <f t="shared" si="173"/>
        <v>4.4857975640574699</v>
      </c>
      <c r="AT130" s="269"/>
      <c r="AU130" s="268">
        <f t="shared" si="211"/>
        <v>0.10758399999999999</v>
      </c>
      <c r="AV130" s="270">
        <f t="shared" si="174"/>
        <v>0.10758399999999999</v>
      </c>
      <c r="AW130" s="269">
        <f t="shared" si="212"/>
        <v>0.11424000000000001</v>
      </c>
      <c r="AX130" s="268">
        <f t="shared" si="213"/>
        <v>1.64</v>
      </c>
      <c r="AY130" s="270">
        <f t="shared" si="175"/>
        <v>1.7542399999999998</v>
      </c>
      <c r="AZ130" s="263">
        <f t="shared" si="197"/>
        <v>0</v>
      </c>
      <c r="BA130" s="262">
        <f t="shared" si="198"/>
        <v>0</v>
      </c>
      <c r="BB130" s="262">
        <f t="shared" si="176"/>
        <v>0</v>
      </c>
      <c r="BC130" s="264" t="e">
        <f t="shared" si="214"/>
        <v>#DIV/0!</v>
      </c>
      <c r="BD130" s="263">
        <v>0</v>
      </c>
      <c r="BE130" s="262">
        <f t="shared" si="215"/>
        <v>0</v>
      </c>
      <c r="BF130" s="264">
        <f t="shared" si="177"/>
        <v>0</v>
      </c>
      <c r="BG130" s="263">
        <f t="shared" si="216"/>
        <v>0</v>
      </c>
      <c r="BH130" s="262">
        <f t="shared" si="217"/>
        <v>0</v>
      </c>
      <c r="BI130" s="264">
        <f t="shared" si="218"/>
        <v>0</v>
      </c>
      <c r="BK130" s="258">
        <f t="shared" si="199"/>
        <v>0</v>
      </c>
      <c r="BL130" s="257">
        <f t="shared" si="133"/>
        <v>0</v>
      </c>
      <c r="BM130" s="257">
        <f t="shared" si="200"/>
        <v>0</v>
      </c>
      <c r="BN130" s="259">
        <f t="shared" si="158"/>
        <v>0</v>
      </c>
      <c r="BO130" s="258">
        <v>0</v>
      </c>
      <c r="BP130" s="257">
        <f t="shared" si="219"/>
        <v>0</v>
      </c>
      <c r="BQ130" s="259">
        <f t="shared" si="178"/>
        <v>0</v>
      </c>
      <c r="BR130" s="258">
        <f t="shared" si="220"/>
        <v>0</v>
      </c>
      <c r="BS130" s="257">
        <f t="shared" si="221"/>
        <v>0</v>
      </c>
      <c r="BT130" s="259">
        <f t="shared" si="179"/>
        <v>0</v>
      </c>
      <c r="BU130" s="275">
        <f t="shared" si="201"/>
        <v>0</v>
      </c>
      <c r="BV130" s="274">
        <f t="shared" si="202"/>
        <v>0</v>
      </c>
      <c r="BW130" s="274">
        <f t="shared" si="203"/>
        <v>0</v>
      </c>
      <c r="BX130" s="276">
        <f t="shared" si="222"/>
        <v>0</v>
      </c>
      <c r="BY130" s="275">
        <v>0</v>
      </c>
      <c r="BZ130" s="274">
        <f t="shared" si="223"/>
        <v>0</v>
      </c>
      <c r="CA130" s="276">
        <f t="shared" si="180"/>
        <v>0</v>
      </c>
      <c r="CB130" s="275">
        <f t="shared" si="224"/>
        <v>0</v>
      </c>
      <c r="CC130" s="274">
        <f t="shared" si="225"/>
        <v>0</v>
      </c>
      <c r="CD130" s="276">
        <f t="shared" si="181"/>
        <v>0</v>
      </c>
      <c r="CE130" s="58">
        <f t="shared" si="226"/>
        <v>6.3720869321395798E-2</v>
      </c>
      <c r="CF130" s="49">
        <f t="shared" si="138"/>
        <v>7.3499999999999996E-2</v>
      </c>
      <c r="CG130" s="61">
        <f t="shared" si="182"/>
        <v>3.2340000000000001E-2</v>
      </c>
      <c r="CH130" s="49">
        <f t="shared" si="183"/>
        <v>1.6768649821419946E-2</v>
      </c>
      <c r="CI130" s="49">
        <f t="shared" si="184"/>
        <v>5.9382562932824055</v>
      </c>
      <c r="CJ130" s="49">
        <f t="shared" si="227"/>
        <v>73.416652511645822</v>
      </c>
      <c r="CN130" s="49">
        <f t="shared" si="168"/>
        <v>1.7542399999999998</v>
      </c>
      <c r="CO130" s="49">
        <f t="shared" si="169"/>
        <v>0</v>
      </c>
      <c r="CP130" s="49">
        <f t="shared" si="170"/>
        <v>0</v>
      </c>
      <c r="CQ130" s="49" t="str">
        <f t="shared" si="204"/>
        <v/>
      </c>
    </row>
    <row r="131" spans="12:95" x14ac:dyDescent="0.45">
      <c r="L131" s="49">
        <f t="shared" si="171"/>
        <v>82.666666666666657</v>
      </c>
      <c r="Q131" s="49">
        <v>124</v>
      </c>
      <c r="R131" s="278">
        <f t="shared" si="115"/>
        <v>16.533333333333331</v>
      </c>
      <c r="S131" s="201">
        <f t="shared" si="116"/>
        <v>42</v>
      </c>
      <c r="T131" s="206">
        <f t="shared" si="185"/>
        <v>0.39365079365079358</v>
      </c>
      <c r="U131" s="205">
        <f t="shared" si="186"/>
        <v>2</v>
      </c>
      <c r="V131" s="201">
        <f t="shared" si="187"/>
        <v>0.45955882352941174</v>
      </c>
      <c r="W131" s="201">
        <f t="shared" si="188"/>
        <v>0.54044117647058831</v>
      </c>
      <c r="X131" s="201">
        <f t="shared" si="140"/>
        <v>0</v>
      </c>
      <c r="Y131" s="205">
        <f t="shared" si="205"/>
        <v>0.85658412698412689</v>
      </c>
      <c r="Z131" s="201">
        <f t="shared" si="189"/>
        <v>0.30637254901960786</v>
      </c>
      <c r="AA131" s="201">
        <f t="shared" si="142"/>
        <v>1.0097704014939308</v>
      </c>
      <c r="AB131" s="206">
        <f t="shared" si="190"/>
        <v>0.58377195534635584</v>
      </c>
      <c r="AC131" s="205">
        <v>0</v>
      </c>
      <c r="AD131" s="201">
        <f t="shared" si="191"/>
        <v>1.7039484792445384E-2</v>
      </c>
      <c r="AE131" s="206">
        <f t="shared" si="143"/>
        <v>1.7039484792445384E-2</v>
      </c>
      <c r="AF131" s="58">
        <f t="shared" si="192"/>
        <v>0.33066666666666661</v>
      </c>
      <c r="AG131" s="61">
        <f t="shared" si="193"/>
        <v>0.33066666666666661</v>
      </c>
      <c r="AH131" s="58">
        <f t="shared" si="194"/>
        <v>4.5325029547904724E-2</v>
      </c>
      <c r="AI131" s="49">
        <f t="shared" si="195"/>
        <v>3.2154290450098526</v>
      </c>
      <c r="AJ131" s="61">
        <f t="shared" si="144"/>
        <v>3.2607540745577572</v>
      </c>
      <c r="AK131" s="269">
        <f t="shared" si="196"/>
        <v>16.533333333333331</v>
      </c>
      <c r="AL131" s="268">
        <f t="shared" si="129"/>
        <v>5</v>
      </c>
      <c r="AM131" s="270">
        <f t="shared" si="206"/>
        <v>3.3066666666666662</v>
      </c>
      <c r="AN131" s="269">
        <f t="shared" si="207"/>
        <v>2</v>
      </c>
      <c r="AO131" s="268">
        <f t="shared" si="208"/>
        <v>0.5404411764705882</v>
      </c>
      <c r="AP131" s="268">
        <f t="shared" si="209"/>
        <v>6.1184580498866206</v>
      </c>
      <c r="AQ131" s="268">
        <f t="shared" si="210"/>
        <v>2.1883753501400558</v>
      </c>
      <c r="AR131" s="268">
        <f t="shared" si="172"/>
        <v>7.2126457249566487</v>
      </c>
      <c r="AS131" s="270">
        <f t="shared" si="173"/>
        <v>4.5218781220787516</v>
      </c>
      <c r="AT131" s="269"/>
      <c r="AU131" s="268">
        <f t="shared" si="211"/>
        <v>0.10934044444444442</v>
      </c>
      <c r="AV131" s="270">
        <f t="shared" si="174"/>
        <v>0.10934044444444442</v>
      </c>
      <c r="AW131" s="269">
        <f t="shared" si="212"/>
        <v>0.11424000000000001</v>
      </c>
      <c r="AX131" s="268">
        <f t="shared" si="213"/>
        <v>1.6533333333333331</v>
      </c>
      <c r="AY131" s="270">
        <f t="shared" si="175"/>
        <v>1.767573333333333</v>
      </c>
      <c r="AZ131" s="263">
        <f t="shared" si="197"/>
        <v>0</v>
      </c>
      <c r="BA131" s="262">
        <f t="shared" si="198"/>
        <v>0</v>
      </c>
      <c r="BB131" s="262">
        <f t="shared" si="176"/>
        <v>0</v>
      </c>
      <c r="BC131" s="264" t="e">
        <f t="shared" si="214"/>
        <v>#DIV/0!</v>
      </c>
      <c r="BD131" s="263">
        <v>0</v>
      </c>
      <c r="BE131" s="262">
        <f t="shared" si="215"/>
        <v>0</v>
      </c>
      <c r="BF131" s="264">
        <f t="shared" si="177"/>
        <v>0</v>
      </c>
      <c r="BG131" s="263">
        <f t="shared" si="216"/>
        <v>0</v>
      </c>
      <c r="BH131" s="262">
        <f t="shared" si="217"/>
        <v>0</v>
      </c>
      <c r="BI131" s="264">
        <f t="shared" si="218"/>
        <v>0</v>
      </c>
      <c r="BK131" s="258">
        <f t="shared" si="199"/>
        <v>0</v>
      </c>
      <c r="BL131" s="257">
        <f t="shared" si="133"/>
        <v>0</v>
      </c>
      <c r="BM131" s="257">
        <f t="shared" si="200"/>
        <v>0</v>
      </c>
      <c r="BN131" s="259">
        <f t="shared" si="158"/>
        <v>0</v>
      </c>
      <c r="BO131" s="258">
        <v>0</v>
      </c>
      <c r="BP131" s="257">
        <f t="shared" si="219"/>
        <v>0</v>
      </c>
      <c r="BQ131" s="259">
        <f t="shared" si="178"/>
        <v>0</v>
      </c>
      <c r="BR131" s="258">
        <f t="shared" si="220"/>
        <v>0</v>
      </c>
      <c r="BS131" s="257">
        <f t="shared" si="221"/>
        <v>0</v>
      </c>
      <c r="BT131" s="259">
        <f t="shared" si="179"/>
        <v>0</v>
      </c>
      <c r="BU131" s="275">
        <f t="shared" si="201"/>
        <v>0</v>
      </c>
      <c r="BV131" s="274">
        <f t="shared" si="202"/>
        <v>0</v>
      </c>
      <c r="BW131" s="274">
        <f t="shared" si="203"/>
        <v>0</v>
      </c>
      <c r="BX131" s="276">
        <f t="shared" si="222"/>
        <v>0</v>
      </c>
      <c r="BY131" s="275">
        <v>0</v>
      </c>
      <c r="BZ131" s="274">
        <f t="shared" si="223"/>
        <v>0</v>
      </c>
      <c r="CA131" s="276">
        <f t="shared" si="180"/>
        <v>0</v>
      </c>
      <c r="CB131" s="275">
        <f t="shared" si="224"/>
        <v>0</v>
      </c>
      <c r="CC131" s="274">
        <f t="shared" si="225"/>
        <v>0</v>
      </c>
      <c r="CD131" s="276">
        <f t="shared" si="181"/>
        <v>0</v>
      </c>
      <c r="CE131" s="58">
        <f t="shared" si="226"/>
        <v>6.4750042211292463E-2</v>
      </c>
      <c r="CF131" s="49">
        <f t="shared" si="138"/>
        <v>7.3499999999999996E-2</v>
      </c>
      <c r="CG131" s="61">
        <f t="shared" si="182"/>
        <v>3.2340000000000001E-2</v>
      </c>
      <c r="CH131" s="49">
        <f t="shared" si="183"/>
        <v>1.7039484792445384E-2</v>
      </c>
      <c r="CI131" s="49">
        <f t="shared" si="184"/>
        <v>5.9866307126726062</v>
      </c>
      <c r="CJ131" s="49">
        <f t="shared" si="227"/>
        <v>73.416339828773502</v>
      </c>
      <c r="CN131" s="49">
        <f t="shared" si="168"/>
        <v>1.767573333333333</v>
      </c>
      <c r="CO131" s="49">
        <f t="shared" si="169"/>
        <v>0</v>
      </c>
      <c r="CP131" s="49">
        <f t="shared" si="170"/>
        <v>0</v>
      </c>
      <c r="CQ131" s="49" t="str">
        <f t="shared" si="204"/>
        <v/>
      </c>
    </row>
    <row r="132" spans="12:95" x14ac:dyDescent="0.45">
      <c r="L132" s="49">
        <f t="shared" si="171"/>
        <v>83.333333333333343</v>
      </c>
      <c r="Q132" s="49">
        <v>125</v>
      </c>
      <c r="R132" s="278">
        <f t="shared" si="115"/>
        <v>16.666666666666668</v>
      </c>
      <c r="S132" s="201">
        <f t="shared" si="116"/>
        <v>42</v>
      </c>
      <c r="T132" s="206">
        <f t="shared" si="185"/>
        <v>0.39682539682539686</v>
      </c>
      <c r="U132" s="205">
        <f t="shared" si="186"/>
        <v>2</v>
      </c>
      <c r="V132" s="201">
        <f t="shared" si="187"/>
        <v>0.45955882352941174</v>
      </c>
      <c r="W132" s="201">
        <f t="shared" si="188"/>
        <v>0.54044117647058831</v>
      </c>
      <c r="X132" s="201">
        <f t="shared" si="140"/>
        <v>0</v>
      </c>
      <c r="Y132" s="205">
        <f t="shared" si="205"/>
        <v>0.86349206349206353</v>
      </c>
      <c r="Z132" s="201">
        <f t="shared" si="189"/>
        <v>0.30637254901960786</v>
      </c>
      <c r="AA132" s="201">
        <f t="shared" si="142"/>
        <v>1.0166783380018676</v>
      </c>
      <c r="AB132" s="206">
        <f t="shared" si="190"/>
        <v>0.58843033163132652</v>
      </c>
      <c r="AC132" s="205">
        <v>0</v>
      </c>
      <c r="AD132" s="201">
        <f t="shared" si="191"/>
        <v>1.7312512759187645E-2</v>
      </c>
      <c r="AE132" s="206">
        <f t="shared" si="143"/>
        <v>1.7312512759187645E-2</v>
      </c>
      <c r="AF132" s="58">
        <f t="shared" si="192"/>
        <v>0.33333333333333337</v>
      </c>
      <c r="AG132" s="61">
        <f t="shared" si="193"/>
        <v>0.33333333333333337</v>
      </c>
      <c r="AH132" s="58">
        <f t="shared" si="194"/>
        <v>4.6051283939439136E-2</v>
      </c>
      <c r="AI132" s="49">
        <f t="shared" si="195"/>
        <v>3.2413599244050939</v>
      </c>
      <c r="AJ132" s="61">
        <f t="shared" si="144"/>
        <v>3.2874112083445333</v>
      </c>
      <c r="AK132" s="269">
        <f t="shared" si="196"/>
        <v>16.666666666666668</v>
      </c>
      <c r="AL132" s="268">
        <f t="shared" si="129"/>
        <v>5</v>
      </c>
      <c r="AM132" s="270">
        <f t="shared" si="206"/>
        <v>3.3333333333333335</v>
      </c>
      <c r="AN132" s="269">
        <f t="shared" si="207"/>
        <v>2</v>
      </c>
      <c r="AO132" s="268">
        <f t="shared" si="208"/>
        <v>0.54044117647058831</v>
      </c>
      <c r="AP132" s="268">
        <f t="shared" si="209"/>
        <v>6.1678004535147384</v>
      </c>
      <c r="AQ132" s="268">
        <f t="shared" si="210"/>
        <v>2.1883753501400562</v>
      </c>
      <c r="AR132" s="268">
        <f t="shared" si="172"/>
        <v>7.2619881285847665</v>
      </c>
      <c r="AS132" s="270">
        <f t="shared" si="173"/>
        <v>4.5579617496228693</v>
      </c>
      <c r="AT132" s="269"/>
      <c r="AU132" s="268">
        <f t="shared" si="211"/>
        <v>0.11111111111111113</v>
      </c>
      <c r="AV132" s="270">
        <f t="shared" si="174"/>
        <v>0.11111111111111113</v>
      </c>
      <c r="AW132" s="269">
        <f t="shared" si="212"/>
        <v>0.11424000000000001</v>
      </c>
      <c r="AX132" s="268">
        <f t="shared" si="213"/>
        <v>1.6666666666666667</v>
      </c>
      <c r="AY132" s="270">
        <f t="shared" si="175"/>
        <v>1.7809066666666666</v>
      </c>
      <c r="AZ132" s="263">
        <f t="shared" si="197"/>
        <v>0</v>
      </c>
      <c r="BA132" s="262">
        <f t="shared" si="198"/>
        <v>0</v>
      </c>
      <c r="BB132" s="262">
        <f t="shared" si="176"/>
        <v>0</v>
      </c>
      <c r="BC132" s="264" t="e">
        <f t="shared" si="214"/>
        <v>#DIV/0!</v>
      </c>
      <c r="BD132" s="263">
        <v>0</v>
      </c>
      <c r="BE132" s="262">
        <f t="shared" si="215"/>
        <v>0</v>
      </c>
      <c r="BF132" s="264">
        <f t="shared" si="177"/>
        <v>0</v>
      </c>
      <c r="BG132" s="263">
        <f t="shared" si="216"/>
        <v>0</v>
      </c>
      <c r="BH132" s="262">
        <f t="shared" si="217"/>
        <v>0</v>
      </c>
      <c r="BI132" s="264">
        <f t="shared" si="218"/>
        <v>0</v>
      </c>
      <c r="BK132" s="258">
        <f t="shared" si="199"/>
        <v>0</v>
      </c>
      <c r="BL132" s="257">
        <f t="shared" si="133"/>
        <v>0</v>
      </c>
      <c r="BM132" s="257">
        <f t="shared" si="200"/>
        <v>0</v>
      </c>
      <c r="BN132" s="259">
        <f t="shared" si="158"/>
        <v>0</v>
      </c>
      <c r="BO132" s="258">
        <v>0</v>
      </c>
      <c r="BP132" s="257">
        <f t="shared" si="219"/>
        <v>0</v>
      </c>
      <c r="BQ132" s="259">
        <f t="shared" si="178"/>
        <v>0</v>
      </c>
      <c r="BR132" s="258">
        <f t="shared" si="220"/>
        <v>0</v>
      </c>
      <c r="BS132" s="257">
        <f t="shared" si="221"/>
        <v>0</v>
      </c>
      <c r="BT132" s="259">
        <f t="shared" si="179"/>
        <v>0</v>
      </c>
      <c r="BU132" s="275">
        <f t="shared" si="201"/>
        <v>0</v>
      </c>
      <c r="BV132" s="274">
        <f t="shared" si="202"/>
        <v>0</v>
      </c>
      <c r="BW132" s="274">
        <f t="shared" si="203"/>
        <v>0</v>
      </c>
      <c r="BX132" s="276">
        <f t="shared" si="222"/>
        <v>0</v>
      </c>
      <c r="BY132" s="275">
        <v>0</v>
      </c>
      <c r="BZ132" s="274">
        <f t="shared" si="223"/>
        <v>0</v>
      </c>
      <c r="CA132" s="276">
        <f t="shared" si="180"/>
        <v>0</v>
      </c>
      <c r="CB132" s="275">
        <f t="shared" si="224"/>
        <v>0</v>
      </c>
      <c r="CC132" s="274">
        <f t="shared" si="225"/>
        <v>0</v>
      </c>
      <c r="CD132" s="276">
        <f t="shared" si="181"/>
        <v>0</v>
      </c>
      <c r="CE132" s="58">
        <f t="shared" si="226"/>
        <v>6.5787548484913055E-2</v>
      </c>
      <c r="CF132" s="49">
        <f t="shared" si="138"/>
        <v>7.3499999999999996E-2</v>
      </c>
      <c r="CG132" s="61">
        <f t="shared" si="182"/>
        <v>3.2340000000000001E-2</v>
      </c>
      <c r="CH132" s="49">
        <f t="shared" si="183"/>
        <v>1.7312512759187645E-2</v>
      </c>
      <c r="CI132" s="49">
        <f t="shared" si="184"/>
        <v>6.0350357140330777</v>
      </c>
      <c r="CJ132" s="49">
        <f t="shared" si="227"/>
        <v>73.415933251050504</v>
      </c>
      <c r="CN132" s="49">
        <f t="shared" si="168"/>
        <v>1.7809066666666666</v>
      </c>
      <c r="CO132" s="49">
        <f t="shared" si="169"/>
        <v>0</v>
      </c>
      <c r="CP132" s="49">
        <f t="shared" si="170"/>
        <v>0</v>
      </c>
      <c r="CQ132" s="49" t="str">
        <f t="shared" si="204"/>
        <v/>
      </c>
    </row>
    <row r="133" spans="12:95" x14ac:dyDescent="0.45">
      <c r="L133" s="49">
        <f t="shared" si="171"/>
        <v>84.000000000000014</v>
      </c>
      <c r="Q133" s="49">
        <v>126</v>
      </c>
      <c r="R133" s="278">
        <f t="shared" si="115"/>
        <v>16.8</v>
      </c>
      <c r="S133" s="201">
        <f t="shared" si="116"/>
        <v>42</v>
      </c>
      <c r="T133" s="206">
        <f t="shared" si="185"/>
        <v>0.4</v>
      </c>
      <c r="U133" s="205">
        <f t="shared" si="186"/>
        <v>2</v>
      </c>
      <c r="V133" s="201">
        <f t="shared" si="187"/>
        <v>0.45955882352941174</v>
      </c>
      <c r="W133" s="201">
        <f t="shared" si="188"/>
        <v>0.54044117647058831</v>
      </c>
      <c r="X133" s="201">
        <f t="shared" si="140"/>
        <v>0</v>
      </c>
      <c r="Y133" s="205">
        <f t="shared" si="205"/>
        <v>0.87040000000000006</v>
      </c>
      <c r="Z133" s="201">
        <f t="shared" si="189"/>
        <v>0.30637254901960786</v>
      </c>
      <c r="AA133" s="201">
        <f t="shared" si="142"/>
        <v>1.0235862745098041</v>
      </c>
      <c r="AB133" s="206">
        <f t="shared" si="190"/>
        <v>0.59308909485248007</v>
      </c>
      <c r="AC133" s="205">
        <v>0</v>
      </c>
      <c r="AD133" s="201">
        <f t="shared" si="191"/>
        <v>1.7587733721646705E-2</v>
      </c>
      <c r="AE133" s="206">
        <f t="shared" si="143"/>
        <v>1.7587733721646705E-2</v>
      </c>
      <c r="AF133" s="58">
        <f t="shared" si="192"/>
        <v>0.33600000000000002</v>
      </c>
      <c r="AG133" s="61">
        <f t="shared" si="193"/>
        <v>0.33600000000000002</v>
      </c>
      <c r="AH133" s="58">
        <f t="shared" si="194"/>
        <v>4.6783371699580238E-2</v>
      </c>
      <c r="AI133" s="49">
        <f t="shared" si="195"/>
        <v>3.2672908038003348</v>
      </c>
      <c r="AJ133" s="61">
        <f t="shared" si="144"/>
        <v>3.3140741754999148</v>
      </c>
      <c r="AK133" s="269">
        <f t="shared" si="196"/>
        <v>16.8</v>
      </c>
      <c r="AL133" s="268">
        <f t="shared" si="129"/>
        <v>5</v>
      </c>
      <c r="AM133" s="270">
        <f t="shared" si="206"/>
        <v>3.3600000000000003</v>
      </c>
      <c r="AN133" s="269">
        <f t="shared" si="207"/>
        <v>2</v>
      </c>
      <c r="AO133" s="268">
        <f t="shared" si="208"/>
        <v>0.54044117647058831</v>
      </c>
      <c r="AP133" s="268">
        <f t="shared" si="209"/>
        <v>6.2171428571428571</v>
      </c>
      <c r="AQ133" s="268">
        <f t="shared" si="210"/>
        <v>2.1883753501400562</v>
      </c>
      <c r="AR133" s="268">
        <f t="shared" si="172"/>
        <v>7.3113305322128852</v>
      </c>
      <c r="AS133" s="270">
        <f t="shared" si="173"/>
        <v>4.5940483743617717</v>
      </c>
      <c r="AT133" s="269"/>
      <c r="AU133" s="268">
        <f t="shared" si="211"/>
        <v>0.11289600000000002</v>
      </c>
      <c r="AV133" s="270">
        <f t="shared" si="174"/>
        <v>0.11289600000000002</v>
      </c>
      <c r="AW133" s="269">
        <f t="shared" si="212"/>
        <v>0.11424000000000001</v>
      </c>
      <c r="AX133" s="268">
        <f t="shared" si="213"/>
        <v>1.6800000000000002</v>
      </c>
      <c r="AY133" s="270">
        <f t="shared" si="175"/>
        <v>1.7942400000000003</v>
      </c>
      <c r="AZ133" s="263">
        <f t="shared" si="197"/>
        <v>0</v>
      </c>
      <c r="BA133" s="262">
        <f t="shared" si="198"/>
        <v>0</v>
      </c>
      <c r="BB133" s="262">
        <f t="shared" si="176"/>
        <v>0</v>
      </c>
      <c r="BC133" s="264" t="e">
        <f t="shared" si="214"/>
        <v>#DIV/0!</v>
      </c>
      <c r="BD133" s="263">
        <v>0</v>
      </c>
      <c r="BE133" s="262">
        <f t="shared" si="215"/>
        <v>0</v>
      </c>
      <c r="BF133" s="264">
        <f t="shared" si="177"/>
        <v>0</v>
      </c>
      <c r="BG133" s="263">
        <f t="shared" si="216"/>
        <v>0</v>
      </c>
      <c r="BH133" s="262">
        <f t="shared" si="217"/>
        <v>0</v>
      </c>
      <c r="BI133" s="264">
        <f t="shared" si="218"/>
        <v>0</v>
      </c>
      <c r="BK133" s="258">
        <f t="shared" si="199"/>
        <v>0</v>
      </c>
      <c r="BL133" s="257">
        <f t="shared" si="133"/>
        <v>0</v>
      </c>
      <c r="BM133" s="257">
        <f t="shared" si="200"/>
        <v>0</v>
      </c>
      <c r="BN133" s="259">
        <f t="shared" si="158"/>
        <v>0</v>
      </c>
      <c r="BO133" s="258">
        <v>0</v>
      </c>
      <c r="BP133" s="257">
        <f t="shared" si="219"/>
        <v>0</v>
      </c>
      <c r="BQ133" s="259">
        <f t="shared" si="178"/>
        <v>0</v>
      </c>
      <c r="BR133" s="258">
        <f t="shared" si="220"/>
        <v>0</v>
      </c>
      <c r="BS133" s="257">
        <f t="shared" si="221"/>
        <v>0</v>
      </c>
      <c r="BT133" s="259">
        <f t="shared" si="179"/>
        <v>0</v>
      </c>
      <c r="BU133" s="275">
        <f t="shared" si="201"/>
        <v>0</v>
      </c>
      <c r="BV133" s="274">
        <f t="shared" si="202"/>
        <v>0</v>
      </c>
      <c r="BW133" s="274">
        <f t="shared" si="203"/>
        <v>0</v>
      </c>
      <c r="BX133" s="276">
        <f t="shared" si="222"/>
        <v>0</v>
      </c>
      <c r="BY133" s="275">
        <v>0</v>
      </c>
      <c r="BZ133" s="274">
        <f t="shared" si="223"/>
        <v>0</v>
      </c>
      <c r="CA133" s="276">
        <f t="shared" si="180"/>
        <v>0</v>
      </c>
      <c r="CB133" s="275">
        <f t="shared" si="224"/>
        <v>0</v>
      </c>
      <c r="CC133" s="274">
        <f t="shared" si="225"/>
        <v>0</v>
      </c>
      <c r="CD133" s="276">
        <f t="shared" si="181"/>
        <v>0</v>
      </c>
      <c r="CE133" s="58">
        <f t="shared" si="226"/>
        <v>6.6833388142257477E-2</v>
      </c>
      <c r="CF133" s="49">
        <f t="shared" si="138"/>
        <v>7.3499999999999996E-2</v>
      </c>
      <c r="CG133" s="61">
        <f t="shared" si="182"/>
        <v>3.2340000000000001E-2</v>
      </c>
      <c r="CH133" s="49">
        <f t="shared" si="183"/>
        <v>1.7587733721646705E-2</v>
      </c>
      <c r="CI133" s="49">
        <f t="shared" si="184"/>
        <v>6.0834712973638201</v>
      </c>
      <c r="CJ133" s="49">
        <f t="shared" si="227"/>
        <v>73.415435017218584</v>
      </c>
      <c r="CN133" s="49">
        <f t="shared" si="168"/>
        <v>1.7942400000000003</v>
      </c>
      <c r="CO133" s="49">
        <f t="shared" si="169"/>
        <v>0</v>
      </c>
      <c r="CP133" s="49">
        <f t="shared" si="170"/>
        <v>0</v>
      </c>
      <c r="CQ133" s="49" t="str">
        <f t="shared" si="204"/>
        <v/>
      </c>
    </row>
    <row r="134" spans="12:95" x14ac:dyDescent="0.45">
      <c r="L134" s="49">
        <f t="shared" si="171"/>
        <v>84.666666666666671</v>
      </c>
      <c r="Q134" s="49">
        <v>127</v>
      </c>
      <c r="R134" s="278">
        <f t="shared" si="115"/>
        <v>16.933333333333334</v>
      </c>
      <c r="S134" s="201">
        <f t="shared" si="116"/>
        <v>42</v>
      </c>
      <c r="T134" s="206">
        <f t="shared" si="185"/>
        <v>0.40317460317460319</v>
      </c>
      <c r="U134" s="205">
        <f t="shared" si="186"/>
        <v>2</v>
      </c>
      <c r="V134" s="201">
        <f t="shared" si="187"/>
        <v>0.45955882352941174</v>
      </c>
      <c r="W134" s="201">
        <f t="shared" si="188"/>
        <v>0.54044117647058831</v>
      </c>
      <c r="X134" s="201">
        <f t="shared" si="140"/>
        <v>0</v>
      </c>
      <c r="Y134" s="205">
        <f t="shared" si="205"/>
        <v>0.87730793650793659</v>
      </c>
      <c r="Z134" s="201">
        <f t="shared" si="189"/>
        <v>0.30637254901960786</v>
      </c>
      <c r="AA134" s="201">
        <f t="shared" si="142"/>
        <v>1.0304942110177406</v>
      </c>
      <c r="AB134" s="206">
        <f t="shared" si="190"/>
        <v>0.59774823596264282</v>
      </c>
      <c r="AC134" s="205">
        <v>0</v>
      </c>
      <c r="AD134" s="201">
        <f t="shared" si="191"/>
        <v>1.7865147679822568E-2</v>
      </c>
      <c r="AE134" s="206">
        <f t="shared" si="143"/>
        <v>1.7865147679822568E-2</v>
      </c>
      <c r="AF134" s="58">
        <f t="shared" si="192"/>
        <v>0.33866666666666667</v>
      </c>
      <c r="AG134" s="61">
        <f t="shared" si="193"/>
        <v>0.33866666666666667</v>
      </c>
      <c r="AH134" s="58">
        <f t="shared" si="194"/>
        <v>4.7521292828328024E-2</v>
      </c>
      <c r="AI134" s="49">
        <f t="shared" si="195"/>
        <v>3.2932216831955761</v>
      </c>
      <c r="AJ134" s="61">
        <f t="shared" si="144"/>
        <v>3.340742976023904</v>
      </c>
      <c r="AK134" s="269">
        <f t="shared" si="196"/>
        <v>16.933333333333334</v>
      </c>
      <c r="AL134" s="268">
        <f t="shared" si="129"/>
        <v>5</v>
      </c>
      <c r="AM134" s="270">
        <f t="shared" si="206"/>
        <v>3.3866666666666667</v>
      </c>
      <c r="AN134" s="269">
        <f t="shared" si="207"/>
        <v>2</v>
      </c>
      <c r="AO134" s="268">
        <f t="shared" si="208"/>
        <v>0.54044117647058831</v>
      </c>
      <c r="AP134" s="268">
        <f t="shared" si="209"/>
        <v>6.266485260770974</v>
      </c>
      <c r="AQ134" s="268">
        <f t="shared" si="210"/>
        <v>2.1883753501400562</v>
      </c>
      <c r="AR134" s="268">
        <f t="shared" si="172"/>
        <v>7.3606729358410021</v>
      </c>
      <c r="AS134" s="270">
        <f t="shared" si="173"/>
        <v>4.6301379262163529</v>
      </c>
      <c r="AT134" s="269"/>
      <c r="AU134" s="268">
        <f t="shared" si="211"/>
        <v>0.11469511111111112</v>
      </c>
      <c r="AV134" s="270">
        <f t="shared" si="174"/>
        <v>0.11469511111111112</v>
      </c>
      <c r="AW134" s="269">
        <f t="shared" si="212"/>
        <v>0.11424000000000001</v>
      </c>
      <c r="AX134" s="268">
        <f t="shared" si="213"/>
        <v>1.6933333333333334</v>
      </c>
      <c r="AY134" s="270">
        <f t="shared" si="175"/>
        <v>1.8075733333333335</v>
      </c>
      <c r="AZ134" s="263">
        <f t="shared" si="197"/>
        <v>0</v>
      </c>
      <c r="BA134" s="262">
        <f t="shared" si="198"/>
        <v>0</v>
      </c>
      <c r="BB134" s="262">
        <f t="shared" si="176"/>
        <v>0</v>
      </c>
      <c r="BC134" s="264" t="e">
        <f t="shared" si="214"/>
        <v>#DIV/0!</v>
      </c>
      <c r="BD134" s="263">
        <v>0</v>
      </c>
      <c r="BE134" s="262">
        <f t="shared" si="215"/>
        <v>0</v>
      </c>
      <c r="BF134" s="264">
        <f t="shared" si="177"/>
        <v>0</v>
      </c>
      <c r="BG134" s="263">
        <f t="shared" si="216"/>
        <v>0</v>
      </c>
      <c r="BH134" s="262">
        <f t="shared" si="217"/>
        <v>0</v>
      </c>
      <c r="BI134" s="264">
        <f t="shared" si="218"/>
        <v>0</v>
      </c>
      <c r="BK134" s="258">
        <f t="shared" si="199"/>
        <v>0</v>
      </c>
      <c r="BL134" s="257">
        <f t="shared" si="133"/>
        <v>0</v>
      </c>
      <c r="BM134" s="257">
        <f t="shared" si="200"/>
        <v>0</v>
      </c>
      <c r="BN134" s="259">
        <f t="shared" si="158"/>
        <v>0</v>
      </c>
      <c r="BO134" s="258">
        <v>0</v>
      </c>
      <c r="BP134" s="257">
        <f t="shared" si="219"/>
        <v>0</v>
      </c>
      <c r="BQ134" s="259">
        <f t="shared" si="178"/>
        <v>0</v>
      </c>
      <c r="BR134" s="258">
        <f t="shared" si="220"/>
        <v>0</v>
      </c>
      <c r="BS134" s="257">
        <f t="shared" si="221"/>
        <v>0</v>
      </c>
      <c r="BT134" s="259">
        <f t="shared" si="179"/>
        <v>0</v>
      </c>
      <c r="BU134" s="275">
        <f t="shared" si="201"/>
        <v>0</v>
      </c>
      <c r="BV134" s="274">
        <f t="shared" si="202"/>
        <v>0</v>
      </c>
      <c r="BW134" s="274">
        <f t="shared" si="203"/>
        <v>0</v>
      </c>
      <c r="BX134" s="276">
        <f t="shared" si="222"/>
        <v>0</v>
      </c>
      <c r="BY134" s="275">
        <v>0</v>
      </c>
      <c r="BZ134" s="274">
        <f t="shared" si="223"/>
        <v>0</v>
      </c>
      <c r="CA134" s="276">
        <f t="shared" si="180"/>
        <v>0</v>
      </c>
      <c r="CB134" s="275">
        <f t="shared" si="224"/>
        <v>0</v>
      </c>
      <c r="CC134" s="274">
        <f t="shared" si="225"/>
        <v>0</v>
      </c>
      <c r="CD134" s="276">
        <f t="shared" si="181"/>
        <v>0</v>
      </c>
      <c r="CE134" s="58">
        <f t="shared" si="226"/>
        <v>6.7887561183325756E-2</v>
      </c>
      <c r="CF134" s="49">
        <f t="shared" si="138"/>
        <v>7.3499999999999996E-2</v>
      </c>
      <c r="CG134" s="61">
        <f t="shared" si="182"/>
        <v>3.2340000000000001E-2</v>
      </c>
      <c r="CH134" s="49">
        <f t="shared" si="183"/>
        <v>1.7865147679822568E-2</v>
      </c>
      <c r="CI134" s="49">
        <f t="shared" si="184"/>
        <v>6.1319374626648298</v>
      </c>
      <c r="CJ134" s="49">
        <f t="shared" si="227"/>
        <v>73.414847296183822</v>
      </c>
      <c r="CN134" s="49">
        <f t="shared" si="168"/>
        <v>1.8075733333333335</v>
      </c>
      <c r="CO134" s="49">
        <f t="shared" si="169"/>
        <v>0</v>
      </c>
      <c r="CP134" s="49">
        <f t="shared" si="170"/>
        <v>0</v>
      </c>
      <c r="CQ134" s="49" t="str">
        <f t="shared" si="204"/>
        <v/>
      </c>
    </row>
    <row r="135" spans="12:95" x14ac:dyDescent="0.45">
      <c r="L135" s="49">
        <f t="shared" si="171"/>
        <v>85.333333333333329</v>
      </c>
      <c r="Q135" s="49">
        <v>128</v>
      </c>
      <c r="R135" s="278">
        <f t="shared" ref="R135:R156" si="228">AK135+AZ135+BK135+BU135</f>
        <v>17.066666666666666</v>
      </c>
      <c r="S135" s="201">
        <f t="shared" ref="S135:S157" si="229">VIN_var</f>
        <v>42</v>
      </c>
      <c r="T135" s="206">
        <f t="shared" ref="T135:T157" si="230">(R135)/(S135*EFF_est)</f>
        <v>0.40634920634920635</v>
      </c>
      <c r="U135" s="205">
        <f t="shared" ref="U135:U157" si="231">IF(R135&lt;((((Np/NS1_)*(AL135)/((S135+((Np/NS1_)*(AL135)))))^2)*(S135^2))/(2*Lm*Fsw),1,2)</f>
        <v>2</v>
      </c>
      <c r="V135" s="201">
        <f t="shared" ref="V135:V157" si="232">CHOOSE(U135,SQRT((2*Lm*R135*Fsw)/((S135^2)*EFF_est)),(((Np/NS1_)*(AL135))/(S135+((Np/NS1_)*(AL135)))))</f>
        <v>0.45955882352941174</v>
      </c>
      <c r="W135" s="201">
        <f t="shared" ref="W135:W157" si="233">CHOOSE(U135,(NS1_*S135*V135)/(Np*AL135),1-V135)</f>
        <v>0.54044117647058831</v>
      </c>
      <c r="X135" s="201">
        <f t="shared" si="140"/>
        <v>0</v>
      </c>
      <c r="Y135" s="205">
        <f t="shared" si="205"/>
        <v>0.88421587301587301</v>
      </c>
      <c r="Z135" s="201">
        <f t="shared" ref="Z135:Z157" si="234">(S135*V135)/(Lm*Fsw)</f>
        <v>0.30637254901960786</v>
      </c>
      <c r="AA135" s="201">
        <f t="shared" si="142"/>
        <v>1.0374021475256769</v>
      </c>
      <c r="AB135" s="206">
        <f t="shared" ref="AB135:AB157" si="235">CHOOSE(U135,AA135*SQRT(V135/3),SQRT(V135*((AA135^2)+((Z135^2)/(3))-(AA135*Z135))))</f>
        <v>0.60240774619380899</v>
      </c>
      <c r="AC135" s="205">
        <v>0</v>
      </c>
      <c r="AD135" s="201">
        <f t="shared" ref="AD135:AD157" si="236">(AB135^2)*Rdcr</f>
        <v>1.8144754633715229E-2</v>
      </c>
      <c r="AE135" s="206">
        <f t="shared" si="143"/>
        <v>1.8144754633715229E-2</v>
      </c>
      <c r="AF135" s="58">
        <f t="shared" ref="AF135:AF157" si="237">R135*0.02</f>
        <v>0.34133333333333332</v>
      </c>
      <c r="AG135" s="61">
        <f t="shared" ref="AG135:AG157" si="238">R135*0.02</f>
        <v>0.34133333333333332</v>
      </c>
      <c r="AH135" s="58">
        <f t="shared" ref="AH135:AH157" si="239">(AB135^2)*RDS_on</f>
        <v>4.8265047325682514E-2</v>
      </c>
      <c r="AI135" s="49">
        <f t="shared" ref="AI135:AI157" si="240">((Y135*(S135+((Np/NS1_)*VOUT1)))/2)*Fsw*(tr_sw+tf_sw)</f>
        <v>3.3191525625908165</v>
      </c>
      <c r="AJ135" s="61">
        <f t="shared" si="144"/>
        <v>3.3674176099164992</v>
      </c>
      <c r="AK135" s="269">
        <f t="shared" ref="AK135:AK157" si="241">Q135*$B$11</f>
        <v>17.066666666666666</v>
      </c>
      <c r="AL135" s="268">
        <f t="shared" ref="AL135:AL157" si="242">VOUT1</f>
        <v>5</v>
      </c>
      <c r="AM135" s="270">
        <f t="shared" si="206"/>
        <v>3.4133333333333331</v>
      </c>
      <c r="AN135" s="269">
        <f t="shared" si="207"/>
        <v>2</v>
      </c>
      <c r="AO135" s="268">
        <f t="shared" si="208"/>
        <v>0.54044117647058831</v>
      </c>
      <c r="AP135" s="268">
        <f t="shared" si="209"/>
        <v>6.3158276643990918</v>
      </c>
      <c r="AQ135" s="268">
        <f t="shared" si="210"/>
        <v>2.1883753501400562</v>
      </c>
      <c r="AR135" s="268">
        <f t="shared" si="172"/>
        <v>7.4100153394691199</v>
      </c>
      <c r="AS135" s="270">
        <f t="shared" si="173"/>
        <v>4.6662303372699325</v>
      </c>
      <c r="AT135" s="269"/>
      <c r="AU135" s="268">
        <f t="shared" si="211"/>
        <v>0.11650844444444443</v>
      </c>
      <c r="AV135" s="270">
        <f t="shared" si="174"/>
        <v>0.11650844444444443</v>
      </c>
      <c r="AW135" s="269">
        <f t="shared" si="212"/>
        <v>0.11424000000000001</v>
      </c>
      <c r="AX135" s="268">
        <f t="shared" si="213"/>
        <v>1.7066666666666666</v>
      </c>
      <c r="AY135" s="270">
        <f t="shared" si="175"/>
        <v>1.8209066666666667</v>
      </c>
      <c r="AZ135" s="263">
        <f t="shared" ref="AZ135:AZ157" si="243">IF(EN_OUT_2=1,Q135*$B$15,0)</f>
        <v>0</v>
      </c>
      <c r="BA135" s="262">
        <f t="shared" ref="BA135:BA157" si="244">IF(EN_OUT_2=1,VOUT2,0)</f>
        <v>0</v>
      </c>
      <c r="BB135" s="262">
        <f t="shared" si="176"/>
        <v>0</v>
      </c>
      <c r="BC135" s="264" t="e">
        <f t="shared" si="214"/>
        <v>#DIV/0!</v>
      </c>
      <c r="BD135" s="263">
        <v>0</v>
      </c>
      <c r="BE135" s="262">
        <f t="shared" si="215"/>
        <v>0</v>
      </c>
      <c r="BF135" s="264">
        <f t="shared" si="177"/>
        <v>0</v>
      </c>
      <c r="BG135" s="263">
        <f t="shared" si="216"/>
        <v>0</v>
      </c>
      <c r="BH135" s="262">
        <f t="shared" si="217"/>
        <v>0</v>
      </c>
      <c r="BI135" s="264">
        <f t="shared" si="218"/>
        <v>0</v>
      </c>
      <c r="BK135" s="258">
        <f t="shared" ref="BK135:BK157" si="245">IF(EN_OUT_3=1,Q135*$B$19,0)</f>
        <v>0</v>
      </c>
      <c r="BL135" s="257">
        <f t="shared" ref="BL135:BL157" si="246">IF(EN_OUT_3=1,VOUT3,0)</f>
        <v>0</v>
      </c>
      <c r="BM135" s="257">
        <f t="shared" ref="BM135:BM157" si="247">IF(EN_OUT_3=1,BK135/BL135,0)</f>
        <v>0</v>
      </c>
      <c r="BN135" s="259">
        <f t="shared" si="158"/>
        <v>0</v>
      </c>
      <c r="BO135" s="258">
        <v>0</v>
      </c>
      <c r="BP135" s="257">
        <f t="shared" si="219"/>
        <v>0</v>
      </c>
      <c r="BQ135" s="259">
        <f t="shared" si="178"/>
        <v>0</v>
      </c>
      <c r="BR135" s="258">
        <f t="shared" si="220"/>
        <v>0</v>
      </c>
      <c r="BS135" s="257">
        <f t="shared" si="221"/>
        <v>0</v>
      </c>
      <c r="BT135" s="259">
        <f t="shared" si="179"/>
        <v>0</v>
      </c>
      <c r="BU135" s="275">
        <f t="shared" ref="BU135:BU157" si="248">IF(EN_OUT_4=1,Q135*$B$22,0)</f>
        <v>0</v>
      </c>
      <c r="BV135" s="274">
        <f t="shared" ref="BV135:BV157" si="249">IF(EN_OUT_4=1,VOUT4,0)</f>
        <v>0</v>
      </c>
      <c r="BW135" s="274">
        <f t="shared" ref="BW135:BW157" si="250">IF(EN_OUT_4=1,BU135/BV135,0)</f>
        <v>0</v>
      </c>
      <c r="BX135" s="276">
        <f t="shared" si="222"/>
        <v>0</v>
      </c>
      <c r="BY135" s="275">
        <v>0</v>
      </c>
      <c r="BZ135" s="274">
        <f t="shared" si="223"/>
        <v>0</v>
      </c>
      <c r="CA135" s="276">
        <f t="shared" si="180"/>
        <v>0</v>
      </c>
      <c r="CB135" s="275">
        <f t="shared" si="224"/>
        <v>0</v>
      </c>
      <c r="CC135" s="274">
        <f t="shared" si="225"/>
        <v>0</v>
      </c>
      <c r="CD135" s="276">
        <f t="shared" si="181"/>
        <v>0</v>
      </c>
      <c r="CE135" s="58">
        <f t="shared" si="226"/>
        <v>6.8950067608117865E-2</v>
      </c>
      <c r="CF135" s="49">
        <f t="shared" ref="CF135:CF157" si="251">Qg_tot*Vcc*Fsw</f>
        <v>7.3499999999999996E-2</v>
      </c>
      <c r="CG135" s="61">
        <f t="shared" si="182"/>
        <v>3.2340000000000001E-2</v>
      </c>
      <c r="CH135" s="49">
        <f t="shared" si="183"/>
        <v>1.8144754633715229E-2</v>
      </c>
      <c r="CI135" s="49">
        <f t="shared" si="184"/>
        <v>6.1804342099361094</v>
      </c>
      <c r="CJ135" s="49">
        <f t="shared" si="227"/>
        <v>73.414172189718258</v>
      </c>
      <c r="CN135" s="49">
        <f t="shared" si="168"/>
        <v>1.8209066666666667</v>
      </c>
      <c r="CO135" s="49">
        <f t="shared" si="169"/>
        <v>0</v>
      </c>
      <c r="CP135" s="49">
        <f t="shared" si="170"/>
        <v>0</v>
      </c>
      <c r="CQ135" s="49" t="str">
        <f t="shared" ref="CQ135:CQ157" si="252">IF(num_VOUT=4,CD135,"")</f>
        <v/>
      </c>
    </row>
    <row r="136" spans="12:95" x14ac:dyDescent="0.45">
      <c r="L136" s="49">
        <f t="shared" si="171"/>
        <v>86</v>
      </c>
      <c r="Q136" s="49">
        <v>129</v>
      </c>
      <c r="R136" s="278">
        <f t="shared" si="228"/>
        <v>17.2</v>
      </c>
      <c r="S136" s="201">
        <f t="shared" si="229"/>
        <v>42</v>
      </c>
      <c r="T136" s="206">
        <f t="shared" si="230"/>
        <v>0.40952380952380951</v>
      </c>
      <c r="U136" s="205">
        <f t="shared" si="231"/>
        <v>2</v>
      </c>
      <c r="V136" s="201">
        <f t="shared" si="232"/>
        <v>0.45955882352941174</v>
      </c>
      <c r="W136" s="201">
        <f t="shared" si="233"/>
        <v>0.54044117647058831</v>
      </c>
      <c r="X136" s="201">
        <f t="shared" ref="X136:X157" si="253">CHOOSE(U136,1-V136-W136,0)</f>
        <v>0</v>
      </c>
      <c r="Y136" s="205">
        <f t="shared" ref="Y136:Y157" si="254">R136/(S136*EFF_est*V136)</f>
        <v>0.89112380952380954</v>
      </c>
      <c r="Z136" s="201">
        <f t="shared" si="234"/>
        <v>0.30637254901960786</v>
      </c>
      <c r="AA136" s="201">
        <f t="shared" ref="AA136:AA156" si="255">Y136+(Z136/2)</f>
        <v>1.0443100840336135</v>
      </c>
      <c r="AB136" s="206">
        <f t="shared" si="235"/>
        <v>0.60706761704648193</v>
      </c>
      <c r="AC136" s="205">
        <v>0</v>
      </c>
      <c r="AD136" s="201">
        <f t="shared" si="236"/>
        <v>1.8426554583324702E-2</v>
      </c>
      <c r="AE136" s="206">
        <f t="shared" ref="AE136:AE157" si="256">AC136+AD136</f>
        <v>1.8426554583324702E-2</v>
      </c>
      <c r="AF136" s="58">
        <f t="shared" si="237"/>
        <v>0.34399999999999997</v>
      </c>
      <c r="AG136" s="61">
        <f t="shared" si="238"/>
        <v>0.34399999999999997</v>
      </c>
      <c r="AH136" s="58">
        <f t="shared" si="239"/>
        <v>4.9014635191643716E-2</v>
      </c>
      <c r="AI136" s="49">
        <f t="shared" si="240"/>
        <v>3.3450834419860573</v>
      </c>
      <c r="AJ136" s="61">
        <f t="shared" ref="AJ136:AJ157" si="257">AH136+AI136</f>
        <v>3.3940980771777012</v>
      </c>
      <c r="AK136" s="269">
        <f t="shared" si="241"/>
        <v>17.2</v>
      </c>
      <c r="AL136" s="268">
        <f t="shared" si="242"/>
        <v>5</v>
      </c>
      <c r="AM136" s="270">
        <f t="shared" ref="AM136:AM157" si="258">AK136/AL136</f>
        <v>3.44</v>
      </c>
      <c r="AN136" s="269">
        <f t="shared" ref="AN136:AN157" si="259">IF(((AL136*AO136)/(Fsw*$AO$2))/2&gt;AP136,1,2)</f>
        <v>2</v>
      </c>
      <c r="AO136" s="268">
        <f t="shared" ref="AO136:AO157" si="260">AM136/AP136</f>
        <v>0.5404411764705882</v>
      </c>
      <c r="AP136" s="268">
        <f t="shared" ref="AP136:AP157" si="261">Np*$Y136*AK136/(R136*NS1_)</f>
        <v>6.3651700680272105</v>
      </c>
      <c r="AQ136" s="268">
        <f t="shared" ref="AQ136:AQ157" si="262">(AL136*AO136)/(Fsw*$AO$2)</f>
        <v>2.1883753501400558</v>
      </c>
      <c r="AR136" s="268">
        <f t="shared" si="172"/>
        <v>7.4593577430972386</v>
      </c>
      <c r="AS136" s="270">
        <f t="shared" si="173"/>
        <v>4.7023255416856928</v>
      </c>
      <c r="AT136" s="269"/>
      <c r="AU136" s="268">
        <f t="shared" ref="AU136:AU157" si="263">(AM136^2)*Rdcr1</f>
        <v>0.118336</v>
      </c>
      <c r="AV136" s="270">
        <f t="shared" si="174"/>
        <v>0.118336</v>
      </c>
      <c r="AW136" s="269">
        <f t="shared" ref="AW136:AW157" si="264">(VOUT1+((NS1_/Np)*S136))*QRR1_*Fsw</f>
        <v>0.11424000000000001</v>
      </c>
      <c r="AX136" s="268">
        <f t="shared" ref="AX136:AX157" si="265">AM136*VD1_</f>
        <v>1.72</v>
      </c>
      <c r="AY136" s="270">
        <f t="shared" si="175"/>
        <v>1.8342399999999999</v>
      </c>
      <c r="AZ136" s="263">
        <f t="shared" si="243"/>
        <v>0</v>
      </c>
      <c r="BA136" s="262">
        <f t="shared" si="244"/>
        <v>0</v>
      </c>
      <c r="BB136" s="262">
        <f t="shared" si="176"/>
        <v>0</v>
      </c>
      <c r="BC136" s="264" t="e">
        <f t="shared" ref="BC136:BC157" si="266">Y136*(Np/NS2_)*(AZ136/R136)</f>
        <v>#DIV/0!</v>
      </c>
      <c r="BD136" s="263">
        <v>0</v>
      </c>
      <c r="BE136" s="262">
        <f t="shared" ref="BE136:BE157" si="267">(BB136^2)*Rdcr2</f>
        <v>0</v>
      </c>
      <c r="BF136" s="264">
        <f t="shared" si="177"/>
        <v>0</v>
      </c>
      <c r="BG136" s="263">
        <f t="shared" ref="BG136:BG157" si="268">(VOUT2+((NS2_/Np)*S136))*QRR2_*Fsw</f>
        <v>0</v>
      </c>
      <c r="BH136" s="262">
        <f t="shared" ref="BH136:BH157" si="269">BB136*VD2_</f>
        <v>0</v>
      </c>
      <c r="BI136" s="264">
        <f t="shared" ref="BI136:BI157" si="270">BH136+BG136</f>
        <v>0</v>
      </c>
      <c r="BK136" s="258">
        <f t="shared" si="245"/>
        <v>0</v>
      </c>
      <c r="BL136" s="257">
        <f t="shared" si="246"/>
        <v>0</v>
      </c>
      <c r="BM136" s="257">
        <f t="shared" si="247"/>
        <v>0</v>
      </c>
      <c r="BN136" s="259">
        <f t="shared" ref="BN136:BN157" si="271">Y136*(Np/NS3_)*(BK136/R136)</f>
        <v>0</v>
      </c>
      <c r="BO136" s="258">
        <v>0</v>
      </c>
      <c r="BP136" s="257">
        <f t="shared" ref="BP136:BP157" si="272">(BM136^2)*Rdcr3</f>
        <v>0</v>
      </c>
      <c r="BQ136" s="259">
        <f t="shared" si="178"/>
        <v>0</v>
      </c>
      <c r="BR136" s="258">
        <f t="shared" ref="BR136:BR157" si="273">(VOUT3+((NS3_/Np)*S136))*QRR3_*Fsw</f>
        <v>0</v>
      </c>
      <c r="BS136" s="257">
        <f t="shared" ref="BS136:BS157" si="274">BM136*VD3_</f>
        <v>0</v>
      </c>
      <c r="BT136" s="259">
        <f t="shared" si="179"/>
        <v>0</v>
      </c>
      <c r="BU136" s="275">
        <f t="shared" si="248"/>
        <v>0</v>
      </c>
      <c r="BV136" s="274">
        <f t="shared" si="249"/>
        <v>0</v>
      </c>
      <c r="BW136" s="274">
        <f t="shared" si="250"/>
        <v>0</v>
      </c>
      <c r="BX136" s="276">
        <f t="shared" ref="BX136:BX157" si="275">Y136*(Np/NS4_)*(BU136/R136)</f>
        <v>0</v>
      </c>
      <c r="BY136" s="275">
        <v>0</v>
      </c>
      <c r="BZ136" s="274">
        <f t="shared" ref="BZ136:BZ157" si="276">(BW136^2)*Rdcr4</f>
        <v>0</v>
      </c>
      <c r="CA136" s="276">
        <f t="shared" si="180"/>
        <v>0</v>
      </c>
      <c r="CB136" s="275">
        <f t="shared" ref="CB136:CB157" si="277">(VOUT4+((NS4_/Np)*S136))*QRR4_*Fsw</f>
        <v>0</v>
      </c>
      <c r="CC136" s="274">
        <f t="shared" ref="CC136:CC157" si="278">BW136*VD4_</f>
        <v>0</v>
      </c>
      <c r="CD136" s="276">
        <f t="shared" si="181"/>
        <v>0</v>
      </c>
      <c r="CE136" s="58">
        <f t="shared" ref="CE136:CE157" si="279">(AB136^2)*R_cs</f>
        <v>7.0020907416633874E-2</v>
      </c>
      <c r="CF136" s="49">
        <f t="shared" si="251"/>
        <v>7.3499999999999996E-2</v>
      </c>
      <c r="CG136" s="61">
        <f t="shared" si="182"/>
        <v>3.2340000000000001E-2</v>
      </c>
      <c r="CH136" s="49">
        <f t="shared" si="183"/>
        <v>1.8426554583324702E-2</v>
      </c>
      <c r="CI136" s="49">
        <f t="shared" si="184"/>
        <v>6.2289615391776607</v>
      </c>
      <c r="CJ136" s="49">
        <f t="shared" ref="CJ136:CJ157" si="280">(R136/(R136+CI136))*100</f>
        <v>73.413411735037187</v>
      </c>
      <c r="CN136" s="49">
        <f t="shared" ref="CN136:CN157" si="281">AY136</f>
        <v>1.8342399999999999</v>
      </c>
      <c r="CO136" s="49">
        <f t="shared" ref="CO136:CO157" si="282">BI136</f>
        <v>0</v>
      </c>
      <c r="CP136" s="49">
        <f t="shared" ref="CP136:CP157" si="283">BT136</f>
        <v>0</v>
      </c>
      <c r="CQ136" s="49" t="str">
        <f t="shared" si="252"/>
        <v/>
      </c>
    </row>
    <row r="137" spans="12:95" x14ac:dyDescent="0.45">
      <c r="L137" s="49">
        <f t="shared" ref="L137:L157" si="284">R137/$G$10*100</f>
        <v>86.666666666666657</v>
      </c>
      <c r="Q137" s="49">
        <v>130</v>
      </c>
      <c r="R137" s="278">
        <f t="shared" si="228"/>
        <v>17.333333333333332</v>
      </c>
      <c r="S137" s="201">
        <f t="shared" si="229"/>
        <v>42</v>
      </c>
      <c r="T137" s="206">
        <f t="shared" si="230"/>
        <v>0.41269841269841268</v>
      </c>
      <c r="U137" s="205">
        <f t="shared" si="231"/>
        <v>2</v>
      </c>
      <c r="V137" s="201">
        <f t="shared" si="232"/>
        <v>0.45955882352941174</v>
      </c>
      <c r="W137" s="201">
        <f t="shared" si="233"/>
        <v>0.54044117647058831</v>
      </c>
      <c r="X137" s="201">
        <f t="shared" si="253"/>
        <v>0</v>
      </c>
      <c r="Y137" s="205">
        <f t="shared" si="254"/>
        <v>0.89803174603174596</v>
      </c>
      <c r="Z137" s="201">
        <f t="shared" si="234"/>
        <v>0.30637254901960786</v>
      </c>
      <c r="AA137" s="201">
        <f t="shared" si="255"/>
        <v>1.0512180205415498</v>
      </c>
      <c r="AB137" s="206">
        <f t="shared" si="235"/>
        <v>0.61172784027949845</v>
      </c>
      <c r="AC137" s="205">
        <v>0</v>
      </c>
      <c r="AD137" s="201">
        <f t="shared" si="236"/>
        <v>1.8710547528650978E-2</v>
      </c>
      <c r="AE137" s="206">
        <f t="shared" si="256"/>
        <v>1.8710547528650978E-2</v>
      </c>
      <c r="AF137" s="58">
        <f t="shared" si="237"/>
        <v>0.34666666666666662</v>
      </c>
      <c r="AG137" s="61">
        <f t="shared" si="238"/>
        <v>0.34666666666666662</v>
      </c>
      <c r="AH137" s="58">
        <f t="shared" si="239"/>
        <v>4.9770056426211608E-2</v>
      </c>
      <c r="AI137" s="49">
        <f t="shared" si="240"/>
        <v>3.3710143213812973</v>
      </c>
      <c r="AJ137" s="61">
        <f t="shared" si="257"/>
        <v>3.4207843778075091</v>
      </c>
      <c r="AK137" s="269">
        <f t="shared" si="241"/>
        <v>17.333333333333332</v>
      </c>
      <c r="AL137" s="268">
        <f t="shared" si="242"/>
        <v>5</v>
      </c>
      <c r="AM137" s="270">
        <f t="shared" si="258"/>
        <v>3.4666666666666663</v>
      </c>
      <c r="AN137" s="269">
        <f t="shared" si="259"/>
        <v>2</v>
      </c>
      <c r="AO137" s="268">
        <f t="shared" si="260"/>
        <v>0.5404411764705882</v>
      </c>
      <c r="AP137" s="268">
        <f t="shared" si="261"/>
        <v>6.4145124716553283</v>
      </c>
      <c r="AQ137" s="268">
        <f t="shared" si="262"/>
        <v>2.1883753501400558</v>
      </c>
      <c r="AR137" s="268">
        <f t="shared" ref="AR137:AR157" si="285">AP137+(AQ137/2)</f>
        <v>7.5087001467253565</v>
      </c>
      <c r="AS137" s="270">
        <f t="shared" ref="AS137:AS157" si="286">CHOOSE(AN137,AR137*SQRT(AO137/3),SQRT(AO137*((AR137^2)+((AQ137^2)/(3))-(AQ137*AR137))))</f>
        <v>4.7384234756278563</v>
      </c>
      <c r="AT137" s="269"/>
      <c r="AU137" s="268">
        <f t="shared" si="263"/>
        <v>0.12017777777777776</v>
      </c>
      <c r="AV137" s="270">
        <f t="shared" ref="AV137:AV157" si="287">AT137+AU137</f>
        <v>0.12017777777777776</v>
      </c>
      <c r="AW137" s="269">
        <f t="shared" si="264"/>
        <v>0.11424000000000001</v>
      </c>
      <c r="AX137" s="268">
        <f t="shared" si="265"/>
        <v>1.7333333333333332</v>
      </c>
      <c r="AY137" s="270">
        <f t="shared" ref="AY137:AY157" si="288">AW137+AX137</f>
        <v>1.8475733333333331</v>
      </c>
      <c r="AZ137" s="263">
        <f t="shared" si="243"/>
        <v>0</v>
      </c>
      <c r="BA137" s="262">
        <f t="shared" si="244"/>
        <v>0</v>
      </c>
      <c r="BB137" s="262">
        <f t="shared" ref="BB137:BB157" si="289">IF(EN_OUT_2=1,AZ137/BA137,0)</f>
        <v>0</v>
      </c>
      <c r="BC137" s="264" t="e">
        <f t="shared" si="266"/>
        <v>#DIV/0!</v>
      </c>
      <c r="BD137" s="263">
        <v>0</v>
      </c>
      <c r="BE137" s="262">
        <f t="shared" si="267"/>
        <v>0</v>
      </c>
      <c r="BF137" s="264">
        <f t="shared" ref="BF137:BF157" si="290">BD137+BE137</f>
        <v>0</v>
      </c>
      <c r="BG137" s="263">
        <f t="shared" si="268"/>
        <v>0</v>
      </c>
      <c r="BH137" s="262">
        <f t="shared" si="269"/>
        <v>0</v>
      </c>
      <c r="BI137" s="264">
        <f t="shared" si="270"/>
        <v>0</v>
      </c>
      <c r="BK137" s="258">
        <f t="shared" si="245"/>
        <v>0</v>
      </c>
      <c r="BL137" s="257">
        <f t="shared" si="246"/>
        <v>0</v>
      </c>
      <c r="BM137" s="257">
        <f t="shared" si="247"/>
        <v>0</v>
      </c>
      <c r="BN137" s="259">
        <f t="shared" si="271"/>
        <v>0</v>
      </c>
      <c r="BO137" s="258">
        <v>0</v>
      </c>
      <c r="BP137" s="257">
        <f t="shared" si="272"/>
        <v>0</v>
      </c>
      <c r="BQ137" s="259">
        <f t="shared" ref="BQ137:BQ157" si="291">BO137+BP137</f>
        <v>0</v>
      </c>
      <c r="BR137" s="258">
        <f t="shared" si="273"/>
        <v>0</v>
      </c>
      <c r="BS137" s="257">
        <f t="shared" si="274"/>
        <v>0</v>
      </c>
      <c r="BT137" s="259">
        <f t="shared" ref="BT137:BT157" si="292">BS137+BR137</f>
        <v>0</v>
      </c>
      <c r="BU137" s="275">
        <f t="shared" si="248"/>
        <v>0</v>
      </c>
      <c r="BV137" s="274">
        <f t="shared" si="249"/>
        <v>0</v>
      </c>
      <c r="BW137" s="274">
        <f t="shared" si="250"/>
        <v>0</v>
      </c>
      <c r="BX137" s="276">
        <f t="shared" si="275"/>
        <v>0</v>
      </c>
      <c r="BY137" s="275">
        <v>0</v>
      </c>
      <c r="BZ137" s="274">
        <f t="shared" si="276"/>
        <v>0</v>
      </c>
      <c r="CA137" s="276">
        <f t="shared" ref="CA137:CA157" si="293">BY137+BZ137</f>
        <v>0</v>
      </c>
      <c r="CB137" s="275">
        <f t="shared" si="277"/>
        <v>0</v>
      </c>
      <c r="CC137" s="274">
        <f t="shared" si="278"/>
        <v>0</v>
      </c>
      <c r="CD137" s="276">
        <f t="shared" ref="CD137:CD157" si="294">CC137+CB137</f>
        <v>0</v>
      </c>
      <c r="CE137" s="58">
        <f t="shared" si="279"/>
        <v>7.1100080608873711E-2</v>
      </c>
      <c r="CF137" s="49">
        <f t="shared" si="251"/>
        <v>7.3499999999999996E-2</v>
      </c>
      <c r="CG137" s="61">
        <f t="shared" ref="CG137:CG157" si="295">IQ*S137</f>
        <v>3.2340000000000001E-2</v>
      </c>
      <c r="CH137" s="49">
        <f t="shared" ref="CH137:CH157" si="296">BF137+BQ137+AE137+CA137</f>
        <v>1.8710547528650978E-2</v>
      </c>
      <c r="CI137" s="49">
        <f t="shared" ref="CI137:CI157" si="297">CG137+CF137+CE137+BT137+BQ137+BI137+BF137++AY137+AV137+AJ137+AF137+AE137+AG137+CA137+CD137</f>
        <v>6.2775194503894785</v>
      </c>
      <c r="CJ137" s="49">
        <f t="shared" si="280"/>
        <v>73.412567907258449</v>
      </c>
      <c r="CN137" s="49">
        <f t="shared" si="281"/>
        <v>1.8475733333333331</v>
      </c>
      <c r="CO137" s="49">
        <f t="shared" si="282"/>
        <v>0</v>
      </c>
      <c r="CP137" s="49">
        <f t="shared" si="283"/>
        <v>0</v>
      </c>
      <c r="CQ137" s="49" t="str">
        <f t="shared" si="252"/>
        <v/>
      </c>
    </row>
    <row r="138" spans="12:95" x14ac:dyDescent="0.45">
      <c r="L138" s="49">
        <f t="shared" si="284"/>
        <v>87.333333333333329</v>
      </c>
      <c r="Q138" s="49">
        <v>131</v>
      </c>
      <c r="R138" s="278">
        <f t="shared" si="228"/>
        <v>17.466666666666665</v>
      </c>
      <c r="S138" s="201">
        <f t="shared" si="229"/>
        <v>42</v>
      </c>
      <c r="T138" s="206">
        <f t="shared" si="230"/>
        <v>0.41587301587301584</v>
      </c>
      <c r="U138" s="205">
        <f t="shared" si="231"/>
        <v>2</v>
      </c>
      <c r="V138" s="201">
        <f t="shared" si="232"/>
        <v>0.45955882352941174</v>
      </c>
      <c r="W138" s="201">
        <f t="shared" si="233"/>
        <v>0.54044117647058831</v>
      </c>
      <c r="X138" s="201">
        <f t="shared" si="253"/>
        <v>0</v>
      </c>
      <c r="Y138" s="205">
        <f t="shared" si="254"/>
        <v>0.90493968253968249</v>
      </c>
      <c r="Z138" s="201">
        <f t="shared" si="234"/>
        <v>0.30637254901960786</v>
      </c>
      <c r="AA138" s="201">
        <f t="shared" si="255"/>
        <v>1.0581259570494863</v>
      </c>
      <c r="AB138" s="206">
        <f t="shared" si="235"/>
        <v>0.6163884079003118</v>
      </c>
      <c r="AC138" s="205">
        <v>0</v>
      </c>
      <c r="AD138" s="201">
        <f t="shared" si="236"/>
        <v>1.899673346969406E-2</v>
      </c>
      <c r="AE138" s="206">
        <f t="shared" si="256"/>
        <v>1.899673346969406E-2</v>
      </c>
      <c r="AF138" s="58">
        <f t="shared" si="237"/>
        <v>0.34933333333333333</v>
      </c>
      <c r="AG138" s="61">
        <f t="shared" si="238"/>
        <v>0.34933333333333333</v>
      </c>
      <c r="AH138" s="58">
        <f t="shared" si="239"/>
        <v>5.0531311029386197E-2</v>
      </c>
      <c r="AI138" s="49">
        <f t="shared" si="240"/>
        <v>3.3969452007765377</v>
      </c>
      <c r="AJ138" s="61">
        <f t="shared" si="257"/>
        <v>3.4474765118059238</v>
      </c>
      <c r="AK138" s="269">
        <f t="shared" si="241"/>
        <v>17.466666666666665</v>
      </c>
      <c r="AL138" s="268">
        <f t="shared" si="242"/>
        <v>5</v>
      </c>
      <c r="AM138" s="270">
        <f t="shared" si="258"/>
        <v>3.4933333333333332</v>
      </c>
      <c r="AN138" s="269">
        <f t="shared" si="259"/>
        <v>2</v>
      </c>
      <c r="AO138" s="268">
        <f t="shared" si="260"/>
        <v>0.5404411764705882</v>
      </c>
      <c r="AP138" s="268">
        <f t="shared" si="261"/>
        <v>6.4638548752834462</v>
      </c>
      <c r="AQ138" s="268">
        <f t="shared" si="262"/>
        <v>2.1883753501400558</v>
      </c>
      <c r="AR138" s="268">
        <f t="shared" si="285"/>
        <v>7.5580425503534743</v>
      </c>
      <c r="AS138" s="270">
        <f t="shared" si="286"/>
        <v>4.7745240771864239</v>
      </c>
      <c r="AT138" s="269"/>
      <c r="AU138" s="268">
        <f t="shared" si="263"/>
        <v>0.12203377777777777</v>
      </c>
      <c r="AV138" s="270">
        <f t="shared" si="287"/>
        <v>0.12203377777777777</v>
      </c>
      <c r="AW138" s="269">
        <f t="shared" si="264"/>
        <v>0.11424000000000001</v>
      </c>
      <c r="AX138" s="268">
        <f t="shared" si="265"/>
        <v>1.7466666666666666</v>
      </c>
      <c r="AY138" s="270">
        <f t="shared" si="288"/>
        <v>1.8609066666666667</v>
      </c>
      <c r="AZ138" s="263">
        <f t="shared" si="243"/>
        <v>0</v>
      </c>
      <c r="BA138" s="262">
        <f t="shared" si="244"/>
        <v>0</v>
      </c>
      <c r="BB138" s="262">
        <f t="shared" si="289"/>
        <v>0</v>
      </c>
      <c r="BC138" s="264" t="e">
        <f t="shared" si="266"/>
        <v>#DIV/0!</v>
      </c>
      <c r="BD138" s="263">
        <v>0</v>
      </c>
      <c r="BE138" s="262">
        <f t="shared" si="267"/>
        <v>0</v>
      </c>
      <c r="BF138" s="264">
        <f t="shared" si="290"/>
        <v>0</v>
      </c>
      <c r="BG138" s="263">
        <f t="shared" si="268"/>
        <v>0</v>
      </c>
      <c r="BH138" s="262">
        <f t="shared" si="269"/>
        <v>0</v>
      </c>
      <c r="BI138" s="264">
        <f t="shared" si="270"/>
        <v>0</v>
      </c>
      <c r="BK138" s="258">
        <f t="shared" si="245"/>
        <v>0</v>
      </c>
      <c r="BL138" s="257">
        <f t="shared" si="246"/>
        <v>0</v>
      </c>
      <c r="BM138" s="257">
        <f t="shared" si="247"/>
        <v>0</v>
      </c>
      <c r="BN138" s="259">
        <f t="shared" si="271"/>
        <v>0</v>
      </c>
      <c r="BO138" s="258">
        <v>0</v>
      </c>
      <c r="BP138" s="257">
        <f t="shared" si="272"/>
        <v>0</v>
      </c>
      <c r="BQ138" s="259">
        <f t="shared" si="291"/>
        <v>0</v>
      </c>
      <c r="BR138" s="258">
        <f t="shared" si="273"/>
        <v>0</v>
      </c>
      <c r="BS138" s="257">
        <f t="shared" si="274"/>
        <v>0</v>
      </c>
      <c r="BT138" s="259">
        <f t="shared" si="292"/>
        <v>0</v>
      </c>
      <c r="BU138" s="275">
        <f t="shared" si="248"/>
        <v>0</v>
      </c>
      <c r="BV138" s="274">
        <f t="shared" si="249"/>
        <v>0</v>
      </c>
      <c r="BW138" s="274">
        <f t="shared" si="250"/>
        <v>0</v>
      </c>
      <c r="BX138" s="276">
        <f t="shared" si="275"/>
        <v>0</v>
      </c>
      <c r="BY138" s="275">
        <v>0</v>
      </c>
      <c r="BZ138" s="274">
        <f t="shared" si="276"/>
        <v>0</v>
      </c>
      <c r="CA138" s="276">
        <f t="shared" si="293"/>
        <v>0</v>
      </c>
      <c r="CB138" s="275">
        <f t="shared" si="277"/>
        <v>0</v>
      </c>
      <c r="CC138" s="274">
        <f t="shared" si="278"/>
        <v>0</v>
      </c>
      <c r="CD138" s="276">
        <f t="shared" si="294"/>
        <v>0</v>
      </c>
      <c r="CE138" s="58">
        <f t="shared" si="279"/>
        <v>7.2187587184837421E-2</v>
      </c>
      <c r="CF138" s="49">
        <f t="shared" si="251"/>
        <v>7.3499999999999996E-2</v>
      </c>
      <c r="CG138" s="61">
        <f t="shared" si="295"/>
        <v>3.2340000000000001E-2</v>
      </c>
      <c r="CH138" s="49">
        <f t="shared" si="296"/>
        <v>1.899673346969406E-2</v>
      </c>
      <c r="CI138" s="49">
        <f t="shared" si="297"/>
        <v>6.3261079435715661</v>
      </c>
      <c r="CJ138" s="49">
        <f t="shared" si="280"/>
        <v>73.411642621750431</v>
      </c>
      <c r="CN138" s="49">
        <f t="shared" si="281"/>
        <v>1.8609066666666667</v>
      </c>
      <c r="CO138" s="49">
        <f t="shared" si="282"/>
        <v>0</v>
      </c>
      <c r="CP138" s="49">
        <f t="shared" si="283"/>
        <v>0</v>
      </c>
      <c r="CQ138" s="49" t="str">
        <f t="shared" si="252"/>
        <v/>
      </c>
    </row>
    <row r="139" spans="12:95" x14ac:dyDescent="0.45">
      <c r="L139" s="49">
        <f t="shared" si="284"/>
        <v>88.000000000000014</v>
      </c>
      <c r="Q139" s="49">
        <v>132</v>
      </c>
      <c r="R139" s="278">
        <f t="shared" si="228"/>
        <v>17.600000000000001</v>
      </c>
      <c r="S139" s="201">
        <f t="shared" si="229"/>
        <v>42</v>
      </c>
      <c r="T139" s="206">
        <f t="shared" si="230"/>
        <v>0.41904761904761906</v>
      </c>
      <c r="U139" s="205">
        <f t="shared" si="231"/>
        <v>2</v>
      </c>
      <c r="V139" s="201">
        <f t="shared" si="232"/>
        <v>0.45955882352941174</v>
      </c>
      <c r="W139" s="201">
        <f t="shared" si="233"/>
        <v>0.54044117647058831</v>
      </c>
      <c r="X139" s="201">
        <f t="shared" si="253"/>
        <v>0</v>
      </c>
      <c r="Y139" s="205">
        <f t="shared" si="254"/>
        <v>0.91184761904761913</v>
      </c>
      <c r="Z139" s="201">
        <f t="shared" si="234"/>
        <v>0.30637254901960786</v>
      </c>
      <c r="AA139" s="201">
        <f t="shared" si="255"/>
        <v>1.0650338935574231</v>
      </c>
      <c r="AB139" s="206">
        <f t="shared" si="235"/>
        <v>0.62104931215570891</v>
      </c>
      <c r="AC139" s="205">
        <v>0</v>
      </c>
      <c r="AD139" s="201">
        <f t="shared" si="236"/>
        <v>1.9285112406453961E-2</v>
      </c>
      <c r="AE139" s="206">
        <f t="shared" si="256"/>
        <v>1.9285112406453961E-2</v>
      </c>
      <c r="AF139" s="58">
        <f t="shared" si="237"/>
        <v>0.35200000000000004</v>
      </c>
      <c r="AG139" s="61">
        <f t="shared" si="238"/>
        <v>0.35200000000000004</v>
      </c>
      <c r="AH139" s="58">
        <f t="shared" si="239"/>
        <v>5.1298399001167533E-2</v>
      </c>
      <c r="AI139" s="49">
        <f t="shared" si="240"/>
        <v>3.4228760801717795</v>
      </c>
      <c r="AJ139" s="61">
        <f t="shared" si="257"/>
        <v>3.4741744791729472</v>
      </c>
      <c r="AK139" s="269">
        <f t="shared" si="241"/>
        <v>17.600000000000001</v>
      </c>
      <c r="AL139" s="268">
        <f t="shared" si="242"/>
        <v>5</v>
      </c>
      <c r="AM139" s="270">
        <f t="shared" si="258"/>
        <v>3.5200000000000005</v>
      </c>
      <c r="AN139" s="269">
        <f t="shared" si="259"/>
        <v>2</v>
      </c>
      <c r="AO139" s="268">
        <f t="shared" si="260"/>
        <v>0.54044117647058831</v>
      </c>
      <c r="AP139" s="268">
        <f t="shared" si="261"/>
        <v>6.5131972789115649</v>
      </c>
      <c r="AQ139" s="268">
        <f t="shared" si="262"/>
        <v>2.1883753501400562</v>
      </c>
      <c r="AR139" s="268">
        <f t="shared" si="285"/>
        <v>7.607384953981593</v>
      </c>
      <c r="AS139" s="270">
        <f t="shared" si="286"/>
        <v>4.8106272863052641</v>
      </c>
      <c r="AT139" s="269"/>
      <c r="AU139" s="268">
        <f t="shared" si="263"/>
        <v>0.12390400000000003</v>
      </c>
      <c r="AV139" s="270">
        <f t="shared" si="287"/>
        <v>0.12390400000000003</v>
      </c>
      <c r="AW139" s="269">
        <f t="shared" si="264"/>
        <v>0.11424000000000001</v>
      </c>
      <c r="AX139" s="268">
        <f t="shared" si="265"/>
        <v>1.7600000000000002</v>
      </c>
      <c r="AY139" s="270">
        <f t="shared" si="288"/>
        <v>1.8742400000000004</v>
      </c>
      <c r="AZ139" s="263">
        <f t="shared" si="243"/>
        <v>0</v>
      </c>
      <c r="BA139" s="262">
        <f t="shared" si="244"/>
        <v>0</v>
      </c>
      <c r="BB139" s="262">
        <f t="shared" si="289"/>
        <v>0</v>
      </c>
      <c r="BC139" s="264" t="e">
        <f t="shared" si="266"/>
        <v>#DIV/0!</v>
      </c>
      <c r="BD139" s="263">
        <v>0</v>
      </c>
      <c r="BE139" s="262">
        <f t="shared" si="267"/>
        <v>0</v>
      </c>
      <c r="BF139" s="264">
        <f t="shared" si="290"/>
        <v>0</v>
      </c>
      <c r="BG139" s="263">
        <f t="shared" si="268"/>
        <v>0</v>
      </c>
      <c r="BH139" s="262">
        <f t="shared" si="269"/>
        <v>0</v>
      </c>
      <c r="BI139" s="264">
        <f t="shared" si="270"/>
        <v>0</v>
      </c>
      <c r="BK139" s="258">
        <f t="shared" si="245"/>
        <v>0</v>
      </c>
      <c r="BL139" s="257">
        <f t="shared" si="246"/>
        <v>0</v>
      </c>
      <c r="BM139" s="257">
        <f t="shared" si="247"/>
        <v>0</v>
      </c>
      <c r="BN139" s="259">
        <f t="shared" si="271"/>
        <v>0</v>
      </c>
      <c r="BO139" s="258">
        <v>0</v>
      </c>
      <c r="BP139" s="257">
        <f t="shared" si="272"/>
        <v>0</v>
      </c>
      <c r="BQ139" s="259">
        <f t="shared" si="291"/>
        <v>0</v>
      </c>
      <c r="BR139" s="258">
        <f t="shared" si="273"/>
        <v>0</v>
      </c>
      <c r="BS139" s="257">
        <f t="shared" si="274"/>
        <v>0</v>
      </c>
      <c r="BT139" s="259">
        <f t="shared" si="292"/>
        <v>0</v>
      </c>
      <c r="BU139" s="275">
        <f t="shared" si="248"/>
        <v>0</v>
      </c>
      <c r="BV139" s="274">
        <f t="shared" si="249"/>
        <v>0</v>
      </c>
      <c r="BW139" s="274">
        <f t="shared" si="250"/>
        <v>0</v>
      </c>
      <c r="BX139" s="276">
        <f t="shared" si="275"/>
        <v>0</v>
      </c>
      <c r="BY139" s="275">
        <v>0</v>
      </c>
      <c r="BZ139" s="274">
        <f t="shared" si="276"/>
        <v>0</v>
      </c>
      <c r="CA139" s="276">
        <f t="shared" si="293"/>
        <v>0</v>
      </c>
      <c r="CB139" s="275">
        <f t="shared" si="277"/>
        <v>0</v>
      </c>
      <c r="CC139" s="274">
        <f t="shared" si="278"/>
        <v>0</v>
      </c>
      <c r="CD139" s="276">
        <f t="shared" si="294"/>
        <v>0</v>
      </c>
      <c r="CE139" s="58">
        <f t="shared" si="279"/>
        <v>7.3283427144525043E-2</v>
      </c>
      <c r="CF139" s="49">
        <f t="shared" si="251"/>
        <v>7.3499999999999996E-2</v>
      </c>
      <c r="CG139" s="61">
        <f t="shared" si="295"/>
        <v>3.2340000000000001E-2</v>
      </c>
      <c r="CH139" s="49">
        <f t="shared" si="296"/>
        <v>1.9285112406453961E-2</v>
      </c>
      <c r="CI139" s="49">
        <f t="shared" si="297"/>
        <v>6.3747270187239273</v>
      </c>
      <c r="CJ139" s="49">
        <f t="shared" si="280"/>
        <v>73.410637736373999</v>
      </c>
      <c r="CN139" s="49">
        <f t="shared" si="281"/>
        <v>1.8742400000000004</v>
      </c>
      <c r="CO139" s="49">
        <f t="shared" si="282"/>
        <v>0</v>
      </c>
      <c r="CP139" s="49">
        <f t="shared" si="283"/>
        <v>0</v>
      </c>
      <c r="CQ139" s="49" t="str">
        <f t="shared" si="252"/>
        <v/>
      </c>
    </row>
    <row r="140" spans="12:95" x14ac:dyDescent="0.45">
      <c r="L140" s="49">
        <f t="shared" si="284"/>
        <v>88.666666666666671</v>
      </c>
      <c r="Q140" s="49">
        <v>133</v>
      </c>
      <c r="R140" s="278">
        <f t="shared" si="228"/>
        <v>17.733333333333334</v>
      </c>
      <c r="S140" s="201">
        <f t="shared" si="229"/>
        <v>42</v>
      </c>
      <c r="T140" s="206">
        <f t="shared" si="230"/>
        <v>0.42222222222222222</v>
      </c>
      <c r="U140" s="205">
        <f t="shared" si="231"/>
        <v>2</v>
      </c>
      <c r="V140" s="201">
        <f t="shared" si="232"/>
        <v>0.45955882352941174</v>
      </c>
      <c r="W140" s="201">
        <f t="shared" si="233"/>
        <v>0.54044117647058831</v>
      </c>
      <c r="X140" s="201">
        <f t="shared" si="253"/>
        <v>0</v>
      </c>
      <c r="Y140" s="205">
        <f t="shared" si="254"/>
        <v>0.91875555555555566</v>
      </c>
      <c r="Z140" s="201">
        <f t="shared" si="234"/>
        <v>0.30637254901960786</v>
      </c>
      <c r="AA140" s="201">
        <f t="shared" si="255"/>
        <v>1.0719418300653596</v>
      </c>
      <c r="AB140" s="206">
        <f t="shared" si="235"/>
        <v>0.62571054552293826</v>
      </c>
      <c r="AC140" s="205">
        <v>0</v>
      </c>
      <c r="AD140" s="201">
        <f t="shared" si="236"/>
        <v>1.957568433893065E-2</v>
      </c>
      <c r="AE140" s="206">
        <f t="shared" si="256"/>
        <v>1.957568433893065E-2</v>
      </c>
      <c r="AF140" s="58">
        <f t="shared" si="237"/>
        <v>0.35466666666666669</v>
      </c>
      <c r="AG140" s="61">
        <f t="shared" si="238"/>
        <v>0.35466666666666669</v>
      </c>
      <c r="AH140" s="58">
        <f t="shared" si="239"/>
        <v>5.2071320341555531E-2</v>
      </c>
      <c r="AI140" s="49">
        <f t="shared" si="240"/>
        <v>3.4488069595670199</v>
      </c>
      <c r="AJ140" s="61">
        <f t="shared" si="257"/>
        <v>3.5008782799085756</v>
      </c>
      <c r="AK140" s="269">
        <f t="shared" si="241"/>
        <v>17.733333333333334</v>
      </c>
      <c r="AL140" s="268">
        <f t="shared" si="242"/>
        <v>5</v>
      </c>
      <c r="AM140" s="270">
        <f t="shared" si="258"/>
        <v>3.5466666666666669</v>
      </c>
      <c r="AN140" s="269">
        <f t="shared" si="259"/>
        <v>2</v>
      </c>
      <c r="AO140" s="268">
        <f t="shared" si="260"/>
        <v>0.54044117647058831</v>
      </c>
      <c r="AP140" s="268">
        <f t="shared" si="261"/>
        <v>6.5625396825396818</v>
      </c>
      <c r="AQ140" s="268">
        <f t="shared" si="262"/>
        <v>2.1883753501400562</v>
      </c>
      <c r="AR140" s="268">
        <f t="shared" si="285"/>
        <v>7.6567273576097099</v>
      </c>
      <c r="AS140" s="270">
        <f t="shared" si="286"/>
        <v>4.8467330447133952</v>
      </c>
      <c r="AT140" s="269"/>
      <c r="AU140" s="268">
        <f t="shared" si="263"/>
        <v>0.12578844444444445</v>
      </c>
      <c r="AV140" s="270">
        <f t="shared" si="287"/>
        <v>0.12578844444444445</v>
      </c>
      <c r="AW140" s="269">
        <f t="shared" si="264"/>
        <v>0.11424000000000001</v>
      </c>
      <c r="AX140" s="268">
        <f t="shared" si="265"/>
        <v>1.7733333333333334</v>
      </c>
      <c r="AY140" s="270">
        <f t="shared" si="288"/>
        <v>1.8875733333333335</v>
      </c>
      <c r="AZ140" s="263">
        <f t="shared" si="243"/>
        <v>0</v>
      </c>
      <c r="BA140" s="262">
        <f t="shared" si="244"/>
        <v>0</v>
      </c>
      <c r="BB140" s="262">
        <f t="shared" si="289"/>
        <v>0</v>
      </c>
      <c r="BC140" s="264" t="e">
        <f t="shared" si="266"/>
        <v>#DIV/0!</v>
      </c>
      <c r="BD140" s="263">
        <v>0</v>
      </c>
      <c r="BE140" s="262">
        <f t="shared" si="267"/>
        <v>0</v>
      </c>
      <c r="BF140" s="264">
        <f t="shared" si="290"/>
        <v>0</v>
      </c>
      <c r="BG140" s="263">
        <f t="shared" si="268"/>
        <v>0</v>
      </c>
      <c r="BH140" s="262">
        <f t="shared" si="269"/>
        <v>0</v>
      </c>
      <c r="BI140" s="264">
        <f t="shared" si="270"/>
        <v>0</v>
      </c>
      <c r="BK140" s="258">
        <f t="shared" si="245"/>
        <v>0</v>
      </c>
      <c r="BL140" s="257">
        <f t="shared" si="246"/>
        <v>0</v>
      </c>
      <c r="BM140" s="257">
        <f t="shared" si="247"/>
        <v>0</v>
      </c>
      <c r="BN140" s="259">
        <f t="shared" si="271"/>
        <v>0</v>
      </c>
      <c r="BO140" s="258">
        <v>0</v>
      </c>
      <c r="BP140" s="257">
        <f t="shared" si="272"/>
        <v>0</v>
      </c>
      <c r="BQ140" s="259">
        <f t="shared" si="291"/>
        <v>0</v>
      </c>
      <c r="BR140" s="258">
        <f t="shared" si="273"/>
        <v>0</v>
      </c>
      <c r="BS140" s="257">
        <f t="shared" si="274"/>
        <v>0</v>
      </c>
      <c r="BT140" s="259">
        <f t="shared" si="292"/>
        <v>0</v>
      </c>
      <c r="BU140" s="275">
        <f t="shared" si="248"/>
        <v>0</v>
      </c>
      <c r="BV140" s="274">
        <f t="shared" si="249"/>
        <v>0</v>
      </c>
      <c r="BW140" s="274">
        <f t="shared" si="250"/>
        <v>0</v>
      </c>
      <c r="BX140" s="276">
        <f t="shared" si="275"/>
        <v>0</v>
      </c>
      <c r="BY140" s="275">
        <v>0</v>
      </c>
      <c r="BZ140" s="274">
        <f t="shared" si="276"/>
        <v>0</v>
      </c>
      <c r="CA140" s="276">
        <f t="shared" si="293"/>
        <v>0</v>
      </c>
      <c r="CB140" s="275">
        <f t="shared" si="277"/>
        <v>0</v>
      </c>
      <c r="CC140" s="274">
        <f t="shared" si="278"/>
        <v>0</v>
      </c>
      <c r="CD140" s="276">
        <f t="shared" si="294"/>
        <v>0</v>
      </c>
      <c r="CE140" s="58">
        <f t="shared" si="279"/>
        <v>7.4387600487936467E-2</v>
      </c>
      <c r="CF140" s="49">
        <f t="shared" si="251"/>
        <v>7.3499999999999996E-2</v>
      </c>
      <c r="CG140" s="61">
        <f t="shared" si="295"/>
        <v>3.2340000000000001E-2</v>
      </c>
      <c r="CH140" s="49">
        <f t="shared" si="296"/>
        <v>1.957568433893065E-2</v>
      </c>
      <c r="CI140" s="49">
        <f t="shared" si="297"/>
        <v>6.423376675846554</v>
      </c>
      <c r="CJ140" s="49">
        <f t="shared" si="280"/>
        <v>73.409555053624516</v>
      </c>
      <c r="CN140" s="49">
        <f t="shared" si="281"/>
        <v>1.8875733333333335</v>
      </c>
      <c r="CO140" s="49">
        <f t="shared" si="282"/>
        <v>0</v>
      </c>
      <c r="CP140" s="49">
        <f t="shared" si="283"/>
        <v>0</v>
      </c>
      <c r="CQ140" s="49" t="str">
        <f t="shared" si="252"/>
        <v/>
      </c>
    </row>
    <row r="141" spans="12:95" x14ac:dyDescent="0.45">
      <c r="L141" s="49">
        <f t="shared" si="284"/>
        <v>89.333333333333329</v>
      </c>
      <c r="Q141" s="49">
        <v>134</v>
      </c>
      <c r="R141" s="278">
        <f t="shared" si="228"/>
        <v>17.866666666666667</v>
      </c>
      <c r="S141" s="201">
        <f t="shared" si="229"/>
        <v>42</v>
      </c>
      <c r="T141" s="206">
        <f t="shared" si="230"/>
        <v>0.42539682539682538</v>
      </c>
      <c r="U141" s="205">
        <f t="shared" si="231"/>
        <v>2</v>
      </c>
      <c r="V141" s="201">
        <f t="shared" si="232"/>
        <v>0.45955882352941174</v>
      </c>
      <c r="W141" s="201">
        <f t="shared" si="233"/>
        <v>0.54044117647058831</v>
      </c>
      <c r="X141" s="201">
        <f t="shared" si="253"/>
        <v>0</v>
      </c>
      <c r="Y141" s="205">
        <f t="shared" si="254"/>
        <v>0.92566349206349208</v>
      </c>
      <c r="Z141" s="201">
        <f t="shared" si="234"/>
        <v>0.30637254901960786</v>
      </c>
      <c r="AA141" s="201">
        <f t="shared" si="255"/>
        <v>1.0788497665732959</v>
      </c>
      <c r="AB141" s="206">
        <f t="shared" si="235"/>
        <v>0.63037210070123095</v>
      </c>
      <c r="AC141" s="205">
        <v>0</v>
      </c>
      <c r="AD141" s="201">
        <f t="shared" si="236"/>
        <v>1.9868449267124146E-2</v>
      </c>
      <c r="AE141" s="206">
        <f t="shared" si="256"/>
        <v>1.9868449267124146E-2</v>
      </c>
      <c r="AF141" s="58">
        <f t="shared" si="237"/>
        <v>0.35733333333333334</v>
      </c>
      <c r="AG141" s="61">
        <f t="shared" si="238"/>
        <v>0.35733333333333334</v>
      </c>
      <c r="AH141" s="58">
        <f t="shared" si="239"/>
        <v>5.2850075050550227E-2</v>
      </c>
      <c r="AI141" s="49">
        <f t="shared" si="240"/>
        <v>3.4747378389622607</v>
      </c>
      <c r="AJ141" s="61">
        <f t="shared" si="257"/>
        <v>3.5275879140128108</v>
      </c>
      <c r="AK141" s="269">
        <f t="shared" si="241"/>
        <v>17.866666666666667</v>
      </c>
      <c r="AL141" s="268">
        <f t="shared" si="242"/>
        <v>5</v>
      </c>
      <c r="AM141" s="270">
        <f t="shared" si="258"/>
        <v>3.5733333333333333</v>
      </c>
      <c r="AN141" s="269">
        <f t="shared" si="259"/>
        <v>2</v>
      </c>
      <c r="AO141" s="268">
        <f t="shared" si="260"/>
        <v>0.5404411764705882</v>
      </c>
      <c r="AP141" s="268">
        <f t="shared" si="261"/>
        <v>6.6118820861678005</v>
      </c>
      <c r="AQ141" s="268">
        <f t="shared" si="262"/>
        <v>2.1883753501400558</v>
      </c>
      <c r="AR141" s="268">
        <f t="shared" si="285"/>
        <v>7.7060697612378286</v>
      </c>
      <c r="AS141" s="270">
        <f t="shared" si="286"/>
        <v>4.882841295859305</v>
      </c>
      <c r="AT141" s="269"/>
      <c r="AU141" s="268">
        <f t="shared" si="263"/>
        <v>0.12768711111111111</v>
      </c>
      <c r="AV141" s="270">
        <f t="shared" si="287"/>
        <v>0.12768711111111111</v>
      </c>
      <c r="AW141" s="269">
        <f t="shared" si="264"/>
        <v>0.11424000000000001</v>
      </c>
      <c r="AX141" s="268">
        <f t="shared" si="265"/>
        <v>1.7866666666666666</v>
      </c>
      <c r="AY141" s="270">
        <f t="shared" si="288"/>
        <v>1.9009066666666667</v>
      </c>
      <c r="AZ141" s="263">
        <f t="shared" si="243"/>
        <v>0</v>
      </c>
      <c r="BA141" s="262">
        <f t="shared" si="244"/>
        <v>0</v>
      </c>
      <c r="BB141" s="262">
        <f t="shared" si="289"/>
        <v>0</v>
      </c>
      <c r="BC141" s="264" t="e">
        <f t="shared" si="266"/>
        <v>#DIV/0!</v>
      </c>
      <c r="BD141" s="263">
        <v>0</v>
      </c>
      <c r="BE141" s="262">
        <f t="shared" si="267"/>
        <v>0</v>
      </c>
      <c r="BF141" s="264">
        <f t="shared" si="290"/>
        <v>0</v>
      </c>
      <c r="BG141" s="263">
        <f t="shared" si="268"/>
        <v>0</v>
      </c>
      <c r="BH141" s="262">
        <f t="shared" si="269"/>
        <v>0</v>
      </c>
      <c r="BI141" s="264">
        <f t="shared" si="270"/>
        <v>0</v>
      </c>
      <c r="BK141" s="258">
        <f t="shared" si="245"/>
        <v>0</v>
      </c>
      <c r="BL141" s="257">
        <f t="shared" si="246"/>
        <v>0</v>
      </c>
      <c r="BM141" s="257">
        <f t="shared" si="247"/>
        <v>0</v>
      </c>
      <c r="BN141" s="259">
        <f t="shared" si="271"/>
        <v>0</v>
      </c>
      <c r="BO141" s="258">
        <v>0</v>
      </c>
      <c r="BP141" s="257">
        <f t="shared" si="272"/>
        <v>0</v>
      </c>
      <c r="BQ141" s="259">
        <f t="shared" si="291"/>
        <v>0</v>
      </c>
      <c r="BR141" s="258">
        <f t="shared" si="273"/>
        <v>0</v>
      </c>
      <c r="BS141" s="257">
        <f t="shared" si="274"/>
        <v>0</v>
      </c>
      <c r="BT141" s="259">
        <f t="shared" si="292"/>
        <v>0</v>
      </c>
      <c r="BU141" s="275">
        <f t="shared" si="248"/>
        <v>0</v>
      </c>
      <c r="BV141" s="274">
        <f t="shared" si="249"/>
        <v>0</v>
      </c>
      <c r="BW141" s="274">
        <f t="shared" si="250"/>
        <v>0</v>
      </c>
      <c r="BX141" s="276">
        <f t="shared" si="275"/>
        <v>0</v>
      </c>
      <c r="BY141" s="275">
        <v>0</v>
      </c>
      <c r="BZ141" s="274">
        <f t="shared" si="276"/>
        <v>0</v>
      </c>
      <c r="CA141" s="276">
        <f t="shared" si="293"/>
        <v>0</v>
      </c>
      <c r="CB141" s="275">
        <f t="shared" si="277"/>
        <v>0</v>
      </c>
      <c r="CC141" s="274">
        <f t="shared" si="278"/>
        <v>0</v>
      </c>
      <c r="CD141" s="276">
        <f t="shared" si="294"/>
        <v>0</v>
      </c>
      <c r="CE141" s="58">
        <f t="shared" si="279"/>
        <v>7.5500107215071749E-2</v>
      </c>
      <c r="CF141" s="49">
        <f t="shared" si="251"/>
        <v>7.3499999999999996E-2</v>
      </c>
      <c r="CG141" s="61">
        <f t="shared" si="295"/>
        <v>3.2340000000000001E-2</v>
      </c>
      <c r="CH141" s="49">
        <f t="shared" si="296"/>
        <v>1.9868449267124146E-2</v>
      </c>
      <c r="CI141" s="49">
        <f t="shared" si="297"/>
        <v>6.4720569149394507</v>
      </c>
      <c r="CJ141" s="49">
        <f t="shared" si="280"/>
        <v>73.408396322678655</v>
      </c>
      <c r="CN141" s="49">
        <f t="shared" si="281"/>
        <v>1.9009066666666667</v>
      </c>
      <c r="CO141" s="49">
        <f t="shared" si="282"/>
        <v>0</v>
      </c>
      <c r="CP141" s="49">
        <f t="shared" si="283"/>
        <v>0</v>
      </c>
      <c r="CQ141" s="49" t="str">
        <f t="shared" si="252"/>
        <v/>
      </c>
    </row>
    <row r="142" spans="12:95" x14ac:dyDescent="0.45">
      <c r="L142" s="49">
        <f t="shared" si="284"/>
        <v>90</v>
      </c>
      <c r="Q142" s="49">
        <v>135</v>
      </c>
      <c r="R142" s="278">
        <f t="shared" si="228"/>
        <v>18</v>
      </c>
      <c r="S142" s="201">
        <f t="shared" si="229"/>
        <v>42</v>
      </c>
      <c r="T142" s="206">
        <f t="shared" si="230"/>
        <v>0.42857142857142855</v>
      </c>
      <c r="U142" s="205">
        <f t="shared" si="231"/>
        <v>2</v>
      </c>
      <c r="V142" s="201">
        <f t="shared" si="232"/>
        <v>0.45955882352941174</v>
      </c>
      <c r="W142" s="201">
        <f t="shared" si="233"/>
        <v>0.54044117647058831</v>
      </c>
      <c r="X142" s="201">
        <f t="shared" si="253"/>
        <v>0</v>
      </c>
      <c r="Y142" s="205">
        <f t="shared" si="254"/>
        <v>0.93257142857142861</v>
      </c>
      <c r="Z142" s="201">
        <f t="shared" si="234"/>
        <v>0.30637254901960786</v>
      </c>
      <c r="AA142" s="201">
        <f t="shared" si="255"/>
        <v>1.0857577030812324</v>
      </c>
      <c r="AB142" s="206">
        <f t="shared" si="235"/>
        <v>0.6350339706036906</v>
      </c>
      <c r="AC142" s="205">
        <v>0</v>
      </c>
      <c r="AD142" s="201">
        <f t="shared" si="236"/>
        <v>2.016340719103445E-2</v>
      </c>
      <c r="AE142" s="206">
        <f t="shared" si="256"/>
        <v>2.016340719103445E-2</v>
      </c>
      <c r="AF142" s="58">
        <f t="shared" si="237"/>
        <v>0.36</v>
      </c>
      <c r="AG142" s="61">
        <f t="shared" si="238"/>
        <v>0.36</v>
      </c>
      <c r="AH142" s="58">
        <f t="shared" si="239"/>
        <v>5.3634663128151641E-2</v>
      </c>
      <c r="AI142" s="49">
        <f t="shared" si="240"/>
        <v>3.5006687183575016</v>
      </c>
      <c r="AJ142" s="61">
        <f t="shared" si="257"/>
        <v>3.5543033814856533</v>
      </c>
      <c r="AK142" s="269">
        <f t="shared" si="241"/>
        <v>18</v>
      </c>
      <c r="AL142" s="268">
        <f t="shared" si="242"/>
        <v>5</v>
      </c>
      <c r="AM142" s="270">
        <f t="shared" si="258"/>
        <v>3.6</v>
      </c>
      <c r="AN142" s="269">
        <f t="shared" si="259"/>
        <v>2</v>
      </c>
      <c r="AO142" s="268">
        <f t="shared" si="260"/>
        <v>0.54044117647058831</v>
      </c>
      <c r="AP142" s="268">
        <f t="shared" si="261"/>
        <v>6.6612244897959174</v>
      </c>
      <c r="AQ142" s="268">
        <f t="shared" si="262"/>
        <v>2.1883753501400562</v>
      </c>
      <c r="AR142" s="268">
        <f t="shared" si="285"/>
        <v>7.7554121648659455</v>
      </c>
      <c r="AS142" s="270">
        <f t="shared" si="286"/>
        <v>4.9189519848481282</v>
      </c>
      <c r="AT142" s="269"/>
      <c r="AU142" s="268">
        <f t="shared" si="263"/>
        <v>0.12960000000000002</v>
      </c>
      <c r="AV142" s="270">
        <f t="shared" si="287"/>
        <v>0.12960000000000002</v>
      </c>
      <c r="AW142" s="269">
        <f t="shared" si="264"/>
        <v>0.11424000000000001</v>
      </c>
      <c r="AX142" s="268">
        <f t="shared" si="265"/>
        <v>1.8</v>
      </c>
      <c r="AY142" s="270">
        <f t="shared" si="288"/>
        <v>1.9142399999999999</v>
      </c>
      <c r="AZ142" s="263">
        <f t="shared" si="243"/>
        <v>0</v>
      </c>
      <c r="BA142" s="262">
        <f t="shared" si="244"/>
        <v>0</v>
      </c>
      <c r="BB142" s="262">
        <f t="shared" si="289"/>
        <v>0</v>
      </c>
      <c r="BC142" s="264" t="e">
        <f t="shared" si="266"/>
        <v>#DIV/0!</v>
      </c>
      <c r="BD142" s="263">
        <v>0</v>
      </c>
      <c r="BE142" s="262">
        <f t="shared" si="267"/>
        <v>0</v>
      </c>
      <c r="BF142" s="264">
        <f t="shared" si="290"/>
        <v>0</v>
      </c>
      <c r="BG142" s="263">
        <f t="shared" si="268"/>
        <v>0</v>
      </c>
      <c r="BH142" s="262">
        <f t="shared" si="269"/>
        <v>0</v>
      </c>
      <c r="BI142" s="264">
        <f t="shared" si="270"/>
        <v>0</v>
      </c>
      <c r="BK142" s="258">
        <f t="shared" si="245"/>
        <v>0</v>
      </c>
      <c r="BL142" s="257">
        <f t="shared" si="246"/>
        <v>0</v>
      </c>
      <c r="BM142" s="257">
        <f t="shared" si="247"/>
        <v>0</v>
      </c>
      <c r="BN142" s="259">
        <f t="shared" si="271"/>
        <v>0</v>
      </c>
      <c r="BO142" s="258">
        <v>0</v>
      </c>
      <c r="BP142" s="257">
        <f t="shared" si="272"/>
        <v>0</v>
      </c>
      <c r="BQ142" s="259">
        <f t="shared" si="291"/>
        <v>0</v>
      </c>
      <c r="BR142" s="258">
        <f t="shared" si="273"/>
        <v>0</v>
      </c>
      <c r="BS142" s="257">
        <f t="shared" si="274"/>
        <v>0</v>
      </c>
      <c r="BT142" s="259">
        <f t="shared" si="292"/>
        <v>0</v>
      </c>
      <c r="BU142" s="275">
        <f t="shared" si="248"/>
        <v>0</v>
      </c>
      <c r="BV142" s="274">
        <f t="shared" si="249"/>
        <v>0</v>
      </c>
      <c r="BW142" s="274">
        <f t="shared" si="250"/>
        <v>0</v>
      </c>
      <c r="BX142" s="276">
        <f t="shared" si="275"/>
        <v>0</v>
      </c>
      <c r="BY142" s="275">
        <v>0</v>
      </c>
      <c r="BZ142" s="274">
        <f t="shared" si="276"/>
        <v>0</v>
      </c>
      <c r="CA142" s="276">
        <f t="shared" si="293"/>
        <v>0</v>
      </c>
      <c r="CB142" s="275">
        <f t="shared" si="277"/>
        <v>0</v>
      </c>
      <c r="CC142" s="274">
        <f t="shared" si="278"/>
        <v>0</v>
      </c>
      <c r="CD142" s="276">
        <f t="shared" si="294"/>
        <v>0</v>
      </c>
      <c r="CE142" s="58">
        <f t="shared" si="279"/>
        <v>7.6620947325930902E-2</v>
      </c>
      <c r="CF142" s="49">
        <f t="shared" si="251"/>
        <v>7.3499999999999996E-2</v>
      </c>
      <c r="CG142" s="61">
        <f t="shared" si="295"/>
        <v>3.2340000000000001E-2</v>
      </c>
      <c r="CH142" s="49">
        <f t="shared" si="296"/>
        <v>2.016340719103445E-2</v>
      </c>
      <c r="CI142" s="49">
        <f t="shared" si="297"/>
        <v>6.5207677360026199</v>
      </c>
      <c r="CJ142" s="49">
        <f t="shared" si="280"/>
        <v>73.407163241351128</v>
      </c>
      <c r="CN142" s="49">
        <f t="shared" si="281"/>
        <v>1.9142399999999999</v>
      </c>
      <c r="CO142" s="49">
        <f t="shared" si="282"/>
        <v>0</v>
      </c>
      <c r="CP142" s="49">
        <f t="shared" si="283"/>
        <v>0</v>
      </c>
      <c r="CQ142" s="49" t="str">
        <f t="shared" si="252"/>
        <v/>
      </c>
    </row>
    <row r="143" spans="12:95" x14ac:dyDescent="0.45">
      <c r="L143" s="49">
        <f t="shared" si="284"/>
        <v>90.666666666666657</v>
      </c>
      <c r="Q143" s="49">
        <v>136</v>
      </c>
      <c r="R143" s="278">
        <f t="shared" si="228"/>
        <v>18.133333333333333</v>
      </c>
      <c r="S143" s="201">
        <f t="shared" si="229"/>
        <v>42</v>
      </c>
      <c r="T143" s="206">
        <f t="shared" si="230"/>
        <v>0.43174603174603171</v>
      </c>
      <c r="U143" s="205">
        <f t="shared" si="231"/>
        <v>2</v>
      </c>
      <c r="V143" s="201">
        <f t="shared" si="232"/>
        <v>0.45955882352941174</v>
      </c>
      <c r="W143" s="201">
        <f t="shared" si="233"/>
        <v>0.54044117647058831</v>
      </c>
      <c r="X143" s="201">
        <f t="shared" si="253"/>
        <v>0</v>
      </c>
      <c r="Y143" s="205">
        <f t="shared" si="254"/>
        <v>0.93947936507936514</v>
      </c>
      <c r="Z143" s="201">
        <f t="shared" si="234"/>
        <v>0.30637254901960786</v>
      </c>
      <c r="AA143" s="201">
        <f t="shared" si="255"/>
        <v>1.092665639589169</v>
      </c>
      <c r="AB143" s="206">
        <f t="shared" si="235"/>
        <v>0.6396961483495357</v>
      </c>
      <c r="AC143" s="205">
        <v>0</v>
      </c>
      <c r="AD143" s="201">
        <f t="shared" si="236"/>
        <v>2.046055811066156E-2</v>
      </c>
      <c r="AE143" s="206">
        <f t="shared" si="256"/>
        <v>2.046055811066156E-2</v>
      </c>
      <c r="AF143" s="58">
        <f t="shared" si="237"/>
        <v>0.36266666666666664</v>
      </c>
      <c r="AG143" s="61">
        <f t="shared" si="238"/>
        <v>0.36266666666666664</v>
      </c>
      <c r="AH143" s="58">
        <f t="shared" si="239"/>
        <v>5.4425084574359746E-2</v>
      </c>
      <c r="AI143" s="49">
        <f t="shared" si="240"/>
        <v>3.5265995977527425</v>
      </c>
      <c r="AJ143" s="61">
        <f t="shared" si="257"/>
        <v>3.5810246823271021</v>
      </c>
      <c r="AK143" s="269">
        <f t="shared" si="241"/>
        <v>18.133333333333333</v>
      </c>
      <c r="AL143" s="268">
        <f t="shared" si="242"/>
        <v>5</v>
      </c>
      <c r="AM143" s="270">
        <f t="shared" si="258"/>
        <v>3.6266666666666665</v>
      </c>
      <c r="AN143" s="269">
        <f t="shared" si="259"/>
        <v>2</v>
      </c>
      <c r="AO143" s="268">
        <f t="shared" si="260"/>
        <v>0.54044117647058831</v>
      </c>
      <c r="AP143" s="268">
        <f t="shared" si="261"/>
        <v>6.7105668934240352</v>
      </c>
      <c r="AQ143" s="268">
        <f t="shared" si="262"/>
        <v>2.1883753501400562</v>
      </c>
      <c r="AR143" s="268">
        <f t="shared" si="285"/>
        <v>7.8047545684940633</v>
      </c>
      <c r="AS143" s="270">
        <f t="shared" si="286"/>
        <v>4.9550650583815621</v>
      </c>
      <c r="AT143" s="269"/>
      <c r="AU143" s="268">
        <f t="shared" si="263"/>
        <v>0.13152711111111109</v>
      </c>
      <c r="AV143" s="270">
        <f t="shared" si="287"/>
        <v>0.13152711111111109</v>
      </c>
      <c r="AW143" s="269">
        <f t="shared" si="264"/>
        <v>0.11424000000000001</v>
      </c>
      <c r="AX143" s="268">
        <f t="shared" si="265"/>
        <v>1.8133333333333332</v>
      </c>
      <c r="AY143" s="270">
        <f t="shared" si="288"/>
        <v>1.9275733333333331</v>
      </c>
      <c r="AZ143" s="263">
        <f t="shared" si="243"/>
        <v>0</v>
      </c>
      <c r="BA143" s="262">
        <f t="shared" si="244"/>
        <v>0</v>
      </c>
      <c r="BB143" s="262">
        <f t="shared" si="289"/>
        <v>0</v>
      </c>
      <c r="BC143" s="264" t="e">
        <f t="shared" si="266"/>
        <v>#DIV/0!</v>
      </c>
      <c r="BD143" s="263">
        <v>0</v>
      </c>
      <c r="BE143" s="262">
        <f t="shared" si="267"/>
        <v>0</v>
      </c>
      <c r="BF143" s="264">
        <f t="shared" si="290"/>
        <v>0</v>
      </c>
      <c r="BG143" s="263">
        <f t="shared" si="268"/>
        <v>0</v>
      </c>
      <c r="BH143" s="262">
        <f t="shared" si="269"/>
        <v>0</v>
      </c>
      <c r="BI143" s="264">
        <f t="shared" si="270"/>
        <v>0</v>
      </c>
      <c r="BK143" s="258">
        <f t="shared" si="245"/>
        <v>0</v>
      </c>
      <c r="BL143" s="257">
        <f t="shared" si="246"/>
        <v>0</v>
      </c>
      <c r="BM143" s="257">
        <f t="shared" si="247"/>
        <v>0</v>
      </c>
      <c r="BN143" s="259">
        <f t="shared" si="271"/>
        <v>0</v>
      </c>
      <c r="BO143" s="258">
        <v>0</v>
      </c>
      <c r="BP143" s="257">
        <f t="shared" si="272"/>
        <v>0</v>
      </c>
      <c r="BQ143" s="259">
        <f t="shared" si="291"/>
        <v>0</v>
      </c>
      <c r="BR143" s="258">
        <f t="shared" si="273"/>
        <v>0</v>
      </c>
      <c r="BS143" s="257">
        <f t="shared" si="274"/>
        <v>0</v>
      </c>
      <c r="BT143" s="259">
        <f t="shared" si="292"/>
        <v>0</v>
      </c>
      <c r="BU143" s="275">
        <f t="shared" si="248"/>
        <v>0</v>
      </c>
      <c r="BV143" s="274">
        <f t="shared" si="249"/>
        <v>0</v>
      </c>
      <c r="BW143" s="274">
        <f t="shared" si="250"/>
        <v>0</v>
      </c>
      <c r="BX143" s="276">
        <f t="shared" si="275"/>
        <v>0</v>
      </c>
      <c r="BY143" s="275">
        <v>0</v>
      </c>
      <c r="BZ143" s="274">
        <f t="shared" si="276"/>
        <v>0</v>
      </c>
      <c r="CA143" s="276">
        <f t="shared" si="293"/>
        <v>0</v>
      </c>
      <c r="CB143" s="275">
        <f t="shared" si="277"/>
        <v>0</v>
      </c>
      <c r="CC143" s="274">
        <f t="shared" si="278"/>
        <v>0</v>
      </c>
      <c r="CD143" s="276">
        <f t="shared" si="294"/>
        <v>0</v>
      </c>
      <c r="CE143" s="58">
        <f t="shared" si="279"/>
        <v>7.7750120820513927E-2</v>
      </c>
      <c r="CF143" s="49">
        <f t="shared" si="251"/>
        <v>7.3499999999999996E-2</v>
      </c>
      <c r="CG143" s="61">
        <f t="shared" si="295"/>
        <v>3.2340000000000001E-2</v>
      </c>
      <c r="CH143" s="49">
        <f t="shared" si="296"/>
        <v>2.046055811066156E-2</v>
      </c>
      <c r="CI143" s="49">
        <f t="shared" si="297"/>
        <v>6.5695091390360556</v>
      </c>
      <c r="CJ143" s="49">
        <f t="shared" si="280"/>
        <v>73.405857457965894</v>
      </c>
      <c r="CN143" s="49">
        <f t="shared" si="281"/>
        <v>1.9275733333333331</v>
      </c>
      <c r="CO143" s="49">
        <f t="shared" si="282"/>
        <v>0</v>
      </c>
      <c r="CP143" s="49">
        <f t="shared" si="283"/>
        <v>0</v>
      </c>
      <c r="CQ143" s="49" t="str">
        <f t="shared" si="252"/>
        <v/>
      </c>
    </row>
    <row r="144" spans="12:95" x14ac:dyDescent="0.45">
      <c r="L144" s="49">
        <f t="shared" si="284"/>
        <v>91.333333333333329</v>
      </c>
      <c r="Q144" s="49">
        <v>137</v>
      </c>
      <c r="R144" s="278">
        <f t="shared" si="228"/>
        <v>18.266666666666666</v>
      </c>
      <c r="S144" s="201">
        <f t="shared" si="229"/>
        <v>42</v>
      </c>
      <c r="T144" s="206">
        <f t="shared" si="230"/>
        <v>0.43492063492063487</v>
      </c>
      <c r="U144" s="205">
        <f t="shared" si="231"/>
        <v>2</v>
      </c>
      <c r="V144" s="201">
        <f t="shared" si="232"/>
        <v>0.45955882352941174</v>
      </c>
      <c r="W144" s="201">
        <f t="shared" si="233"/>
        <v>0.54044117647058831</v>
      </c>
      <c r="X144" s="201">
        <f t="shared" si="253"/>
        <v>0</v>
      </c>
      <c r="Y144" s="205">
        <f t="shared" si="254"/>
        <v>0.94638730158730155</v>
      </c>
      <c r="Z144" s="201">
        <f t="shared" si="234"/>
        <v>0.30637254901960786</v>
      </c>
      <c r="AA144" s="201">
        <f t="shared" si="255"/>
        <v>1.0995735760971055</v>
      </c>
      <c r="AB144" s="206">
        <f t="shared" si="235"/>
        <v>0.64435862725667725</v>
      </c>
      <c r="AC144" s="205">
        <v>0</v>
      </c>
      <c r="AD144" s="201">
        <f t="shared" si="236"/>
        <v>2.0759902026005479E-2</v>
      </c>
      <c r="AE144" s="206">
        <f t="shared" si="256"/>
        <v>2.0759902026005479E-2</v>
      </c>
      <c r="AF144" s="58">
        <f t="shared" si="237"/>
        <v>0.36533333333333334</v>
      </c>
      <c r="AG144" s="61">
        <f t="shared" si="238"/>
        <v>0.36533333333333334</v>
      </c>
      <c r="AH144" s="58">
        <f t="shared" si="239"/>
        <v>5.5221339389174576E-2</v>
      </c>
      <c r="AI144" s="49">
        <f t="shared" si="240"/>
        <v>3.5525304771479829</v>
      </c>
      <c r="AJ144" s="61">
        <f t="shared" si="257"/>
        <v>3.6077518165371574</v>
      </c>
      <c r="AK144" s="269">
        <f t="shared" si="241"/>
        <v>18.266666666666666</v>
      </c>
      <c r="AL144" s="268">
        <f t="shared" si="242"/>
        <v>5</v>
      </c>
      <c r="AM144" s="270">
        <f t="shared" si="258"/>
        <v>3.6533333333333333</v>
      </c>
      <c r="AN144" s="269">
        <f t="shared" si="259"/>
        <v>2</v>
      </c>
      <c r="AO144" s="268">
        <f t="shared" si="260"/>
        <v>0.5404411764705882</v>
      </c>
      <c r="AP144" s="268">
        <f t="shared" si="261"/>
        <v>6.7599092970521539</v>
      </c>
      <c r="AQ144" s="268">
        <f t="shared" si="262"/>
        <v>2.1883753501400558</v>
      </c>
      <c r="AR144" s="268">
        <f t="shared" si="285"/>
        <v>7.8540969721221821</v>
      </c>
      <c r="AS144" s="270">
        <f t="shared" si="286"/>
        <v>4.991180464700367</v>
      </c>
      <c r="AT144" s="269"/>
      <c r="AU144" s="268">
        <f t="shared" si="263"/>
        <v>0.13346844444444445</v>
      </c>
      <c r="AV144" s="270">
        <f t="shared" si="287"/>
        <v>0.13346844444444445</v>
      </c>
      <c r="AW144" s="269">
        <f t="shared" si="264"/>
        <v>0.11424000000000001</v>
      </c>
      <c r="AX144" s="268">
        <f t="shared" si="265"/>
        <v>1.8266666666666667</v>
      </c>
      <c r="AY144" s="270">
        <f t="shared" si="288"/>
        <v>1.9409066666666668</v>
      </c>
      <c r="AZ144" s="263">
        <f t="shared" si="243"/>
        <v>0</v>
      </c>
      <c r="BA144" s="262">
        <f t="shared" si="244"/>
        <v>0</v>
      </c>
      <c r="BB144" s="262">
        <f t="shared" si="289"/>
        <v>0</v>
      </c>
      <c r="BC144" s="264" t="e">
        <f t="shared" si="266"/>
        <v>#DIV/0!</v>
      </c>
      <c r="BD144" s="263">
        <v>0</v>
      </c>
      <c r="BE144" s="262">
        <f t="shared" si="267"/>
        <v>0</v>
      </c>
      <c r="BF144" s="264">
        <f t="shared" si="290"/>
        <v>0</v>
      </c>
      <c r="BG144" s="263">
        <f t="shared" si="268"/>
        <v>0</v>
      </c>
      <c r="BH144" s="262">
        <f t="shared" si="269"/>
        <v>0</v>
      </c>
      <c r="BI144" s="264">
        <f t="shared" si="270"/>
        <v>0</v>
      </c>
      <c r="BK144" s="258">
        <f t="shared" si="245"/>
        <v>0</v>
      </c>
      <c r="BL144" s="257">
        <f t="shared" si="246"/>
        <v>0</v>
      </c>
      <c r="BM144" s="257">
        <f t="shared" si="247"/>
        <v>0</v>
      </c>
      <c r="BN144" s="259">
        <f t="shared" si="271"/>
        <v>0</v>
      </c>
      <c r="BO144" s="258">
        <v>0</v>
      </c>
      <c r="BP144" s="257">
        <f t="shared" si="272"/>
        <v>0</v>
      </c>
      <c r="BQ144" s="259">
        <f t="shared" si="291"/>
        <v>0</v>
      </c>
      <c r="BR144" s="258">
        <f t="shared" si="273"/>
        <v>0</v>
      </c>
      <c r="BS144" s="257">
        <f t="shared" si="274"/>
        <v>0</v>
      </c>
      <c r="BT144" s="259">
        <f t="shared" si="292"/>
        <v>0</v>
      </c>
      <c r="BU144" s="275">
        <f t="shared" si="248"/>
        <v>0</v>
      </c>
      <c r="BV144" s="274">
        <f t="shared" si="249"/>
        <v>0</v>
      </c>
      <c r="BW144" s="274">
        <f t="shared" si="250"/>
        <v>0</v>
      </c>
      <c r="BX144" s="276">
        <f t="shared" si="275"/>
        <v>0</v>
      </c>
      <c r="BY144" s="275">
        <v>0</v>
      </c>
      <c r="BZ144" s="274">
        <f t="shared" si="276"/>
        <v>0</v>
      </c>
      <c r="CA144" s="276">
        <f t="shared" si="293"/>
        <v>0</v>
      </c>
      <c r="CB144" s="275">
        <f t="shared" si="277"/>
        <v>0</v>
      </c>
      <c r="CC144" s="274">
        <f t="shared" si="278"/>
        <v>0</v>
      </c>
      <c r="CD144" s="276">
        <f t="shared" si="294"/>
        <v>0</v>
      </c>
      <c r="CE144" s="58">
        <f t="shared" si="279"/>
        <v>7.8887627698820822E-2</v>
      </c>
      <c r="CF144" s="49">
        <f t="shared" si="251"/>
        <v>7.3499999999999996E-2</v>
      </c>
      <c r="CG144" s="61">
        <f t="shared" si="295"/>
        <v>3.2340000000000001E-2</v>
      </c>
      <c r="CH144" s="49">
        <f t="shared" si="296"/>
        <v>2.0759902026005479E-2</v>
      </c>
      <c r="CI144" s="49">
        <f t="shared" si="297"/>
        <v>6.6182811240397612</v>
      </c>
      <c r="CJ144" s="49">
        <f t="shared" si="280"/>
        <v>73.404480573146174</v>
      </c>
      <c r="CN144" s="49">
        <f t="shared" si="281"/>
        <v>1.9409066666666668</v>
      </c>
      <c r="CO144" s="49">
        <f t="shared" si="282"/>
        <v>0</v>
      </c>
      <c r="CP144" s="49">
        <f t="shared" si="283"/>
        <v>0</v>
      </c>
      <c r="CQ144" s="49" t="str">
        <f t="shared" si="252"/>
        <v/>
      </c>
    </row>
    <row r="145" spans="12:95" x14ac:dyDescent="0.45">
      <c r="L145" s="49">
        <f t="shared" si="284"/>
        <v>92</v>
      </c>
      <c r="Q145" s="49">
        <v>138</v>
      </c>
      <c r="R145" s="278">
        <f t="shared" si="228"/>
        <v>18.399999999999999</v>
      </c>
      <c r="S145" s="201">
        <f t="shared" si="229"/>
        <v>42</v>
      </c>
      <c r="T145" s="206">
        <f t="shared" si="230"/>
        <v>0.43809523809523804</v>
      </c>
      <c r="U145" s="205">
        <f t="shared" si="231"/>
        <v>2</v>
      </c>
      <c r="V145" s="201">
        <f t="shared" si="232"/>
        <v>0.45955882352941174</v>
      </c>
      <c r="W145" s="201">
        <f t="shared" si="233"/>
        <v>0.54044117647058831</v>
      </c>
      <c r="X145" s="201">
        <f t="shared" si="253"/>
        <v>0</v>
      </c>
      <c r="Y145" s="205">
        <f t="shared" si="254"/>
        <v>0.95329523809523808</v>
      </c>
      <c r="Z145" s="201">
        <f t="shared" si="234"/>
        <v>0.30637254901960786</v>
      </c>
      <c r="AA145" s="201">
        <f t="shared" si="255"/>
        <v>1.106481512605042</v>
      </c>
      <c r="AB145" s="206">
        <f t="shared" si="235"/>
        <v>0.64902140083461346</v>
      </c>
      <c r="AC145" s="205">
        <v>0</v>
      </c>
      <c r="AD145" s="201">
        <f t="shared" si="236"/>
        <v>2.1061438937066201E-2</v>
      </c>
      <c r="AE145" s="206">
        <f t="shared" si="256"/>
        <v>2.1061438937066201E-2</v>
      </c>
      <c r="AF145" s="58">
        <f t="shared" si="237"/>
        <v>0.36799999999999999</v>
      </c>
      <c r="AG145" s="61">
        <f t="shared" si="238"/>
        <v>0.36799999999999999</v>
      </c>
      <c r="AH145" s="58">
        <f t="shared" si="239"/>
        <v>5.6023427572596089E-2</v>
      </c>
      <c r="AI145" s="49">
        <f t="shared" si="240"/>
        <v>3.5784613565432233</v>
      </c>
      <c r="AJ145" s="61">
        <f t="shared" si="257"/>
        <v>3.6344847841158194</v>
      </c>
      <c r="AK145" s="269">
        <f t="shared" si="241"/>
        <v>18.399999999999999</v>
      </c>
      <c r="AL145" s="268">
        <f t="shared" si="242"/>
        <v>5</v>
      </c>
      <c r="AM145" s="270">
        <f t="shared" si="258"/>
        <v>3.6799999999999997</v>
      </c>
      <c r="AN145" s="269">
        <f t="shared" si="259"/>
        <v>2</v>
      </c>
      <c r="AO145" s="268">
        <f t="shared" si="260"/>
        <v>0.54044117647058831</v>
      </c>
      <c r="AP145" s="268">
        <f t="shared" si="261"/>
        <v>6.8092517006802709</v>
      </c>
      <c r="AQ145" s="268">
        <f t="shared" si="262"/>
        <v>2.1883753501400562</v>
      </c>
      <c r="AR145" s="268">
        <f t="shared" si="285"/>
        <v>7.903439375750299</v>
      </c>
      <c r="AS145" s="270">
        <f t="shared" si="286"/>
        <v>5.0272981535293324</v>
      </c>
      <c r="AT145" s="269"/>
      <c r="AU145" s="268">
        <f t="shared" si="263"/>
        <v>0.13542399999999996</v>
      </c>
      <c r="AV145" s="270">
        <f t="shared" si="287"/>
        <v>0.13542399999999996</v>
      </c>
      <c r="AW145" s="269">
        <f t="shared" si="264"/>
        <v>0.11424000000000001</v>
      </c>
      <c r="AX145" s="268">
        <f t="shared" si="265"/>
        <v>1.8399999999999999</v>
      </c>
      <c r="AY145" s="270">
        <f t="shared" si="288"/>
        <v>1.95424</v>
      </c>
      <c r="AZ145" s="263">
        <f t="shared" si="243"/>
        <v>0</v>
      </c>
      <c r="BA145" s="262">
        <f t="shared" si="244"/>
        <v>0</v>
      </c>
      <c r="BB145" s="262">
        <f t="shared" si="289"/>
        <v>0</v>
      </c>
      <c r="BC145" s="264" t="e">
        <f t="shared" si="266"/>
        <v>#DIV/0!</v>
      </c>
      <c r="BD145" s="263">
        <v>0</v>
      </c>
      <c r="BE145" s="262">
        <f t="shared" si="267"/>
        <v>0</v>
      </c>
      <c r="BF145" s="264">
        <f t="shared" si="290"/>
        <v>0</v>
      </c>
      <c r="BG145" s="263">
        <f t="shared" si="268"/>
        <v>0</v>
      </c>
      <c r="BH145" s="262">
        <f t="shared" si="269"/>
        <v>0</v>
      </c>
      <c r="BI145" s="264">
        <f t="shared" si="270"/>
        <v>0</v>
      </c>
      <c r="BK145" s="258">
        <f t="shared" si="245"/>
        <v>0</v>
      </c>
      <c r="BL145" s="257">
        <f t="shared" si="246"/>
        <v>0</v>
      </c>
      <c r="BM145" s="257">
        <f t="shared" si="247"/>
        <v>0</v>
      </c>
      <c r="BN145" s="259">
        <f t="shared" si="271"/>
        <v>0</v>
      </c>
      <c r="BO145" s="258">
        <v>0</v>
      </c>
      <c r="BP145" s="257">
        <f t="shared" si="272"/>
        <v>0</v>
      </c>
      <c r="BQ145" s="259">
        <f t="shared" si="291"/>
        <v>0</v>
      </c>
      <c r="BR145" s="258">
        <f t="shared" si="273"/>
        <v>0</v>
      </c>
      <c r="BS145" s="257">
        <f t="shared" si="274"/>
        <v>0</v>
      </c>
      <c r="BT145" s="259">
        <f t="shared" si="292"/>
        <v>0</v>
      </c>
      <c r="BU145" s="275">
        <f t="shared" si="248"/>
        <v>0</v>
      </c>
      <c r="BV145" s="274">
        <f t="shared" si="249"/>
        <v>0</v>
      </c>
      <c r="BW145" s="274">
        <f t="shared" si="250"/>
        <v>0</v>
      </c>
      <c r="BX145" s="276">
        <f t="shared" si="275"/>
        <v>0</v>
      </c>
      <c r="BY145" s="275">
        <v>0</v>
      </c>
      <c r="BZ145" s="274">
        <f t="shared" si="276"/>
        <v>0</v>
      </c>
      <c r="CA145" s="276">
        <f t="shared" si="293"/>
        <v>0</v>
      </c>
      <c r="CB145" s="275">
        <f t="shared" si="277"/>
        <v>0</v>
      </c>
      <c r="CC145" s="274">
        <f t="shared" si="278"/>
        <v>0</v>
      </c>
      <c r="CD145" s="276">
        <f t="shared" si="294"/>
        <v>0</v>
      </c>
      <c r="CE145" s="58">
        <f t="shared" si="279"/>
        <v>8.0033467960851562E-2</v>
      </c>
      <c r="CF145" s="49">
        <f t="shared" si="251"/>
        <v>7.3499999999999996E-2</v>
      </c>
      <c r="CG145" s="61">
        <f t="shared" si="295"/>
        <v>3.2340000000000001E-2</v>
      </c>
      <c r="CH145" s="49">
        <f t="shared" si="296"/>
        <v>2.1061438937066201E-2</v>
      </c>
      <c r="CI145" s="49">
        <f t="shared" si="297"/>
        <v>6.6670836910137368</v>
      </c>
      <c r="CJ145" s="49">
        <f t="shared" si="280"/>
        <v>73.403034141527158</v>
      </c>
      <c r="CN145" s="49">
        <f t="shared" si="281"/>
        <v>1.95424</v>
      </c>
      <c r="CO145" s="49">
        <f t="shared" si="282"/>
        <v>0</v>
      </c>
      <c r="CP145" s="49">
        <f t="shared" si="283"/>
        <v>0</v>
      </c>
      <c r="CQ145" s="49" t="str">
        <f t="shared" si="252"/>
        <v/>
      </c>
    </row>
    <row r="146" spans="12:95" x14ac:dyDescent="0.45">
      <c r="L146" s="49">
        <f t="shared" si="284"/>
        <v>92.666666666666657</v>
      </c>
      <c r="Q146" s="49">
        <v>139</v>
      </c>
      <c r="R146" s="278">
        <f t="shared" si="228"/>
        <v>18.533333333333331</v>
      </c>
      <c r="S146" s="201">
        <f t="shared" si="229"/>
        <v>42</v>
      </c>
      <c r="T146" s="206">
        <f t="shared" si="230"/>
        <v>0.4412698412698412</v>
      </c>
      <c r="U146" s="205">
        <f t="shared" si="231"/>
        <v>2</v>
      </c>
      <c r="V146" s="201">
        <f t="shared" si="232"/>
        <v>0.45955882352941174</v>
      </c>
      <c r="W146" s="201">
        <f t="shared" si="233"/>
        <v>0.54044117647058831</v>
      </c>
      <c r="X146" s="201">
        <f t="shared" si="253"/>
        <v>0</v>
      </c>
      <c r="Y146" s="205">
        <f t="shared" si="254"/>
        <v>0.9602031746031745</v>
      </c>
      <c r="Z146" s="201">
        <f t="shared" si="234"/>
        <v>0.30637254901960786</v>
      </c>
      <c r="AA146" s="201">
        <f t="shared" si="255"/>
        <v>1.1133894491129785</v>
      </c>
      <c r="AB146" s="206">
        <f t="shared" si="235"/>
        <v>0.65368446277762671</v>
      </c>
      <c r="AC146" s="205">
        <v>0</v>
      </c>
      <c r="AD146" s="201">
        <f t="shared" si="236"/>
        <v>2.1365168843843721E-2</v>
      </c>
      <c r="AE146" s="206">
        <f t="shared" si="256"/>
        <v>2.1365168843843721E-2</v>
      </c>
      <c r="AF146" s="58">
        <f t="shared" si="237"/>
        <v>0.37066666666666664</v>
      </c>
      <c r="AG146" s="61">
        <f t="shared" si="238"/>
        <v>0.37066666666666664</v>
      </c>
      <c r="AH146" s="58">
        <f t="shared" si="239"/>
        <v>5.68313491246243E-2</v>
      </c>
      <c r="AI146" s="49">
        <f t="shared" si="240"/>
        <v>3.6043922359384637</v>
      </c>
      <c r="AJ146" s="61">
        <f t="shared" si="257"/>
        <v>3.6612235850630879</v>
      </c>
      <c r="AK146" s="269">
        <f t="shared" si="241"/>
        <v>18.533333333333331</v>
      </c>
      <c r="AL146" s="268">
        <f t="shared" si="242"/>
        <v>5</v>
      </c>
      <c r="AM146" s="270">
        <f t="shared" si="258"/>
        <v>3.7066666666666661</v>
      </c>
      <c r="AN146" s="269">
        <f t="shared" si="259"/>
        <v>2</v>
      </c>
      <c r="AO146" s="268">
        <f t="shared" si="260"/>
        <v>0.54044117647058831</v>
      </c>
      <c r="AP146" s="268">
        <f t="shared" si="261"/>
        <v>6.8585941043083887</v>
      </c>
      <c r="AQ146" s="268">
        <f t="shared" si="262"/>
        <v>2.1883753501400562</v>
      </c>
      <c r="AR146" s="268">
        <f t="shared" si="285"/>
        <v>7.9527817793784168</v>
      </c>
      <c r="AS146" s="270">
        <f t="shared" si="286"/>
        <v>5.0634180760245808</v>
      </c>
      <c r="AT146" s="269"/>
      <c r="AU146" s="268">
        <f t="shared" si="263"/>
        <v>0.13739377777777775</v>
      </c>
      <c r="AV146" s="270">
        <f t="shared" si="287"/>
        <v>0.13739377777777775</v>
      </c>
      <c r="AW146" s="269">
        <f t="shared" si="264"/>
        <v>0.11424000000000001</v>
      </c>
      <c r="AX146" s="268">
        <f t="shared" si="265"/>
        <v>1.8533333333333331</v>
      </c>
      <c r="AY146" s="270">
        <f t="shared" si="288"/>
        <v>1.9675733333333332</v>
      </c>
      <c r="AZ146" s="263">
        <f t="shared" si="243"/>
        <v>0</v>
      </c>
      <c r="BA146" s="262">
        <f t="shared" si="244"/>
        <v>0</v>
      </c>
      <c r="BB146" s="262">
        <f t="shared" si="289"/>
        <v>0</v>
      </c>
      <c r="BC146" s="264" t="e">
        <f t="shared" si="266"/>
        <v>#DIV/0!</v>
      </c>
      <c r="BD146" s="263">
        <v>0</v>
      </c>
      <c r="BE146" s="262">
        <f t="shared" si="267"/>
        <v>0</v>
      </c>
      <c r="BF146" s="264">
        <f t="shared" si="290"/>
        <v>0</v>
      </c>
      <c r="BG146" s="263">
        <f t="shared" si="268"/>
        <v>0</v>
      </c>
      <c r="BH146" s="262">
        <f t="shared" si="269"/>
        <v>0</v>
      </c>
      <c r="BI146" s="264">
        <f t="shared" si="270"/>
        <v>0</v>
      </c>
      <c r="BK146" s="258">
        <f t="shared" si="245"/>
        <v>0</v>
      </c>
      <c r="BL146" s="257">
        <f t="shared" si="246"/>
        <v>0</v>
      </c>
      <c r="BM146" s="257">
        <f t="shared" si="247"/>
        <v>0</v>
      </c>
      <c r="BN146" s="259">
        <f t="shared" si="271"/>
        <v>0</v>
      </c>
      <c r="BO146" s="258">
        <v>0</v>
      </c>
      <c r="BP146" s="257">
        <f t="shared" si="272"/>
        <v>0</v>
      </c>
      <c r="BQ146" s="259">
        <f t="shared" si="291"/>
        <v>0</v>
      </c>
      <c r="BR146" s="258">
        <f t="shared" si="273"/>
        <v>0</v>
      </c>
      <c r="BS146" s="257">
        <f t="shared" si="274"/>
        <v>0</v>
      </c>
      <c r="BT146" s="259">
        <f t="shared" si="292"/>
        <v>0</v>
      </c>
      <c r="BU146" s="275">
        <f t="shared" si="248"/>
        <v>0</v>
      </c>
      <c r="BV146" s="274">
        <f t="shared" si="249"/>
        <v>0</v>
      </c>
      <c r="BW146" s="274">
        <f t="shared" si="250"/>
        <v>0</v>
      </c>
      <c r="BX146" s="276">
        <f t="shared" si="275"/>
        <v>0</v>
      </c>
      <c r="BY146" s="275">
        <v>0</v>
      </c>
      <c r="BZ146" s="274">
        <f t="shared" si="276"/>
        <v>0</v>
      </c>
      <c r="CA146" s="276">
        <f t="shared" si="293"/>
        <v>0</v>
      </c>
      <c r="CB146" s="275">
        <f t="shared" si="277"/>
        <v>0</v>
      </c>
      <c r="CC146" s="274">
        <f t="shared" si="278"/>
        <v>0</v>
      </c>
      <c r="CD146" s="276">
        <f t="shared" si="294"/>
        <v>0</v>
      </c>
      <c r="CE146" s="58">
        <f t="shared" si="279"/>
        <v>8.1187641606606145E-2</v>
      </c>
      <c r="CF146" s="49">
        <f t="shared" si="251"/>
        <v>7.3499999999999996E-2</v>
      </c>
      <c r="CG146" s="61">
        <f t="shared" si="295"/>
        <v>3.2340000000000001E-2</v>
      </c>
      <c r="CH146" s="49">
        <f t="shared" si="296"/>
        <v>2.1365168843843721E-2</v>
      </c>
      <c r="CI146" s="49">
        <f t="shared" si="297"/>
        <v>6.7159168399579823</v>
      </c>
      <c r="CJ146" s="49">
        <f t="shared" si="280"/>
        <v>73.401519673395725</v>
      </c>
      <c r="CN146" s="49">
        <f t="shared" si="281"/>
        <v>1.9675733333333332</v>
      </c>
      <c r="CO146" s="49">
        <f t="shared" si="282"/>
        <v>0</v>
      </c>
      <c r="CP146" s="49">
        <f t="shared" si="283"/>
        <v>0</v>
      </c>
      <c r="CQ146" s="49" t="str">
        <f t="shared" si="252"/>
        <v/>
      </c>
    </row>
    <row r="147" spans="12:95" x14ac:dyDescent="0.45">
      <c r="L147" s="49">
        <f t="shared" si="284"/>
        <v>93.333333333333329</v>
      </c>
      <c r="Q147" s="49">
        <v>140</v>
      </c>
      <c r="R147" s="278">
        <f t="shared" si="228"/>
        <v>18.666666666666668</v>
      </c>
      <c r="S147" s="201">
        <f t="shared" si="229"/>
        <v>42</v>
      </c>
      <c r="T147" s="206">
        <f t="shared" si="230"/>
        <v>0.44444444444444448</v>
      </c>
      <c r="U147" s="205">
        <f t="shared" si="231"/>
        <v>2</v>
      </c>
      <c r="V147" s="201">
        <f t="shared" si="232"/>
        <v>0.45955882352941174</v>
      </c>
      <c r="W147" s="201">
        <f t="shared" si="233"/>
        <v>0.54044117647058831</v>
      </c>
      <c r="X147" s="201">
        <f t="shared" si="253"/>
        <v>0</v>
      </c>
      <c r="Y147" s="205">
        <f t="shared" si="254"/>
        <v>0.96711111111111125</v>
      </c>
      <c r="Z147" s="201">
        <f t="shared" si="234"/>
        <v>0.30637254901960786</v>
      </c>
      <c r="AA147" s="201">
        <f t="shared" si="255"/>
        <v>1.1202973856209151</v>
      </c>
      <c r="AB147" s="206">
        <f t="shared" si="235"/>
        <v>0.65834780695826811</v>
      </c>
      <c r="AC147" s="205">
        <v>0</v>
      </c>
      <c r="AD147" s="201">
        <f t="shared" si="236"/>
        <v>2.1671091746338054E-2</v>
      </c>
      <c r="AE147" s="206">
        <f t="shared" si="256"/>
        <v>2.1671091746338054E-2</v>
      </c>
      <c r="AF147" s="58">
        <f t="shared" si="237"/>
        <v>0.37333333333333335</v>
      </c>
      <c r="AG147" s="61">
        <f t="shared" si="238"/>
        <v>0.37333333333333335</v>
      </c>
      <c r="AH147" s="58">
        <f t="shared" si="239"/>
        <v>5.7645104045259223E-2</v>
      </c>
      <c r="AI147" s="49">
        <f t="shared" si="240"/>
        <v>3.6303231153337054</v>
      </c>
      <c r="AJ147" s="61">
        <f t="shared" si="257"/>
        <v>3.6879682193789645</v>
      </c>
      <c r="AK147" s="269">
        <f t="shared" si="241"/>
        <v>18.666666666666668</v>
      </c>
      <c r="AL147" s="268">
        <f t="shared" si="242"/>
        <v>5</v>
      </c>
      <c r="AM147" s="270">
        <f t="shared" si="258"/>
        <v>3.7333333333333334</v>
      </c>
      <c r="AN147" s="269">
        <f t="shared" si="259"/>
        <v>2</v>
      </c>
      <c r="AO147" s="268">
        <f t="shared" si="260"/>
        <v>0.5404411764705882</v>
      </c>
      <c r="AP147" s="268">
        <f t="shared" si="261"/>
        <v>6.9079365079365083</v>
      </c>
      <c r="AQ147" s="268">
        <f t="shared" si="262"/>
        <v>2.1883753501400558</v>
      </c>
      <c r="AR147" s="268">
        <f t="shared" si="285"/>
        <v>8.0021241830065364</v>
      </c>
      <c r="AS147" s="270">
        <f t="shared" si="286"/>
        <v>5.0995401847230957</v>
      </c>
      <c r="AT147" s="269"/>
      <c r="AU147" s="268">
        <f t="shared" si="263"/>
        <v>0.13937777777777779</v>
      </c>
      <c r="AV147" s="270">
        <f t="shared" si="287"/>
        <v>0.13937777777777779</v>
      </c>
      <c r="AW147" s="269">
        <f t="shared" si="264"/>
        <v>0.11424000000000001</v>
      </c>
      <c r="AX147" s="268">
        <f t="shared" si="265"/>
        <v>1.8666666666666667</v>
      </c>
      <c r="AY147" s="270">
        <f t="shared" si="288"/>
        <v>1.9809066666666668</v>
      </c>
      <c r="AZ147" s="263">
        <f t="shared" si="243"/>
        <v>0</v>
      </c>
      <c r="BA147" s="262">
        <f t="shared" si="244"/>
        <v>0</v>
      </c>
      <c r="BB147" s="262">
        <f t="shared" si="289"/>
        <v>0</v>
      </c>
      <c r="BC147" s="264" t="e">
        <f t="shared" si="266"/>
        <v>#DIV/0!</v>
      </c>
      <c r="BD147" s="263">
        <v>0</v>
      </c>
      <c r="BE147" s="262">
        <f t="shared" si="267"/>
        <v>0</v>
      </c>
      <c r="BF147" s="264">
        <f t="shared" si="290"/>
        <v>0</v>
      </c>
      <c r="BG147" s="263">
        <f t="shared" si="268"/>
        <v>0</v>
      </c>
      <c r="BH147" s="262">
        <f t="shared" si="269"/>
        <v>0</v>
      </c>
      <c r="BI147" s="264">
        <f t="shared" si="270"/>
        <v>0</v>
      </c>
      <c r="BK147" s="258">
        <f t="shared" si="245"/>
        <v>0</v>
      </c>
      <c r="BL147" s="257">
        <f t="shared" si="246"/>
        <v>0</v>
      </c>
      <c r="BM147" s="257">
        <f t="shared" si="247"/>
        <v>0</v>
      </c>
      <c r="BN147" s="259">
        <f t="shared" si="271"/>
        <v>0</v>
      </c>
      <c r="BO147" s="258">
        <v>0</v>
      </c>
      <c r="BP147" s="257">
        <f t="shared" si="272"/>
        <v>0</v>
      </c>
      <c r="BQ147" s="259">
        <f t="shared" si="291"/>
        <v>0</v>
      </c>
      <c r="BR147" s="258">
        <f t="shared" si="273"/>
        <v>0</v>
      </c>
      <c r="BS147" s="257">
        <f t="shared" si="274"/>
        <v>0</v>
      </c>
      <c r="BT147" s="259">
        <f t="shared" si="292"/>
        <v>0</v>
      </c>
      <c r="BU147" s="275">
        <f t="shared" si="248"/>
        <v>0</v>
      </c>
      <c r="BV147" s="274">
        <f t="shared" si="249"/>
        <v>0</v>
      </c>
      <c r="BW147" s="274">
        <f t="shared" si="250"/>
        <v>0</v>
      </c>
      <c r="BX147" s="276">
        <f t="shared" si="275"/>
        <v>0</v>
      </c>
      <c r="BY147" s="275">
        <v>0</v>
      </c>
      <c r="BZ147" s="274">
        <f t="shared" si="276"/>
        <v>0</v>
      </c>
      <c r="CA147" s="276">
        <f t="shared" si="293"/>
        <v>0</v>
      </c>
      <c r="CB147" s="275">
        <f t="shared" si="277"/>
        <v>0</v>
      </c>
      <c r="CC147" s="274">
        <f t="shared" si="278"/>
        <v>0</v>
      </c>
      <c r="CD147" s="276">
        <f t="shared" si="294"/>
        <v>0</v>
      </c>
      <c r="CE147" s="58">
        <f t="shared" si="279"/>
        <v>8.23501486360846E-2</v>
      </c>
      <c r="CF147" s="49">
        <f t="shared" si="251"/>
        <v>7.3499999999999996E-2</v>
      </c>
      <c r="CG147" s="61">
        <f t="shared" si="295"/>
        <v>3.2340000000000001E-2</v>
      </c>
      <c r="CH147" s="49">
        <f t="shared" si="296"/>
        <v>2.1671091746338054E-2</v>
      </c>
      <c r="CI147" s="49">
        <f t="shared" si="297"/>
        <v>6.7647805708724977</v>
      </c>
      <c r="CJ147" s="49">
        <f t="shared" si="280"/>
        <v>73.399938636260316</v>
      </c>
      <c r="CN147" s="49">
        <f t="shared" si="281"/>
        <v>1.9809066666666668</v>
      </c>
      <c r="CO147" s="49">
        <f t="shared" si="282"/>
        <v>0</v>
      </c>
      <c r="CP147" s="49">
        <f t="shared" si="283"/>
        <v>0</v>
      </c>
      <c r="CQ147" s="49" t="str">
        <f t="shared" si="252"/>
        <v/>
      </c>
    </row>
    <row r="148" spans="12:95" x14ac:dyDescent="0.45">
      <c r="L148" s="49">
        <f t="shared" si="284"/>
        <v>94</v>
      </c>
      <c r="Q148" s="49">
        <v>141</v>
      </c>
      <c r="R148" s="278">
        <f t="shared" si="228"/>
        <v>18.8</v>
      </c>
      <c r="S148" s="201">
        <f t="shared" si="229"/>
        <v>42</v>
      </c>
      <c r="T148" s="206">
        <f t="shared" si="230"/>
        <v>0.44761904761904764</v>
      </c>
      <c r="U148" s="205">
        <f t="shared" si="231"/>
        <v>2</v>
      </c>
      <c r="V148" s="201">
        <f t="shared" si="232"/>
        <v>0.45955882352941174</v>
      </c>
      <c r="W148" s="201">
        <f t="shared" si="233"/>
        <v>0.54044117647058831</v>
      </c>
      <c r="X148" s="201">
        <f t="shared" si="253"/>
        <v>0</v>
      </c>
      <c r="Y148" s="205">
        <f t="shared" si="254"/>
        <v>0.97401904761904767</v>
      </c>
      <c r="Z148" s="201">
        <f t="shared" si="234"/>
        <v>0.30637254901960786</v>
      </c>
      <c r="AA148" s="201">
        <f t="shared" si="255"/>
        <v>1.1272053221288516</v>
      </c>
      <c r="AB148" s="206">
        <f t="shared" si="235"/>
        <v>0.66301142742111452</v>
      </c>
      <c r="AC148" s="205">
        <v>0</v>
      </c>
      <c r="AD148" s="201">
        <f t="shared" si="236"/>
        <v>2.1979207644549192E-2</v>
      </c>
      <c r="AE148" s="206">
        <f t="shared" si="256"/>
        <v>2.1979207644549192E-2</v>
      </c>
      <c r="AF148" s="58">
        <f t="shared" si="237"/>
        <v>0.376</v>
      </c>
      <c r="AG148" s="61">
        <f t="shared" si="238"/>
        <v>0.376</v>
      </c>
      <c r="AH148" s="58">
        <f t="shared" si="239"/>
        <v>5.8464692334500849E-2</v>
      </c>
      <c r="AI148" s="49">
        <f t="shared" si="240"/>
        <v>3.6562539947289459</v>
      </c>
      <c r="AJ148" s="61">
        <f t="shared" si="257"/>
        <v>3.7147186870634465</v>
      </c>
      <c r="AK148" s="269">
        <f t="shared" si="241"/>
        <v>18.8</v>
      </c>
      <c r="AL148" s="268">
        <f t="shared" si="242"/>
        <v>5</v>
      </c>
      <c r="AM148" s="270">
        <f t="shared" si="258"/>
        <v>3.7600000000000002</v>
      </c>
      <c r="AN148" s="269">
        <f t="shared" si="259"/>
        <v>2</v>
      </c>
      <c r="AO148" s="268">
        <f t="shared" si="260"/>
        <v>0.54044117647058831</v>
      </c>
      <c r="AP148" s="268">
        <f t="shared" si="261"/>
        <v>6.9572789115646252</v>
      </c>
      <c r="AQ148" s="268">
        <f t="shared" si="262"/>
        <v>2.1883753501400562</v>
      </c>
      <c r="AR148" s="268">
        <f t="shared" si="285"/>
        <v>8.0514665866346533</v>
      </c>
      <c r="AS148" s="270">
        <f t="shared" si="286"/>
        <v>5.1356644334943677</v>
      </c>
      <c r="AT148" s="269"/>
      <c r="AU148" s="268">
        <f t="shared" si="263"/>
        <v>0.14137600000000003</v>
      </c>
      <c r="AV148" s="270">
        <f t="shared" si="287"/>
        <v>0.14137600000000003</v>
      </c>
      <c r="AW148" s="269">
        <f t="shared" si="264"/>
        <v>0.11424000000000001</v>
      </c>
      <c r="AX148" s="268">
        <f t="shared" si="265"/>
        <v>1.8800000000000001</v>
      </c>
      <c r="AY148" s="270">
        <f t="shared" si="288"/>
        <v>1.99424</v>
      </c>
      <c r="AZ148" s="263">
        <f t="shared" si="243"/>
        <v>0</v>
      </c>
      <c r="BA148" s="262">
        <f t="shared" si="244"/>
        <v>0</v>
      </c>
      <c r="BB148" s="262">
        <f t="shared" si="289"/>
        <v>0</v>
      </c>
      <c r="BC148" s="264" t="e">
        <f t="shared" si="266"/>
        <v>#DIV/0!</v>
      </c>
      <c r="BD148" s="263">
        <v>0</v>
      </c>
      <c r="BE148" s="262">
        <f t="shared" si="267"/>
        <v>0</v>
      </c>
      <c r="BF148" s="264">
        <f t="shared" si="290"/>
        <v>0</v>
      </c>
      <c r="BG148" s="263">
        <f t="shared" si="268"/>
        <v>0</v>
      </c>
      <c r="BH148" s="262">
        <f t="shared" si="269"/>
        <v>0</v>
      </c>
      <c r="BI148" s="264">
        <f t="shared" si="270"/>
        <v>0</v>
      </c>
      <c r="BK148" s="258">
        <f t="shared" si="245"/>
        <v>0</v>
      </c>
      <c r="BL148" s="257">
        <f t="shared" si="246"/>
        <v>0</v>
      </c>
      <c r="BM148" s="257">
        <f t="shared" si="247"/>
        <v>0</v>
      </c>
      <c r="BN148" s="259">
        <f t="shared" si="271"/>
        <v>0</v>
      </c>
      <c r="BO148" s="258">
        <v>0</v>
      </c>
      <c r="BP148" s="257">
        <f t="shared" si="272"/>
        <v>0</v>
      </c>
      <c r="BQ148" s="259">
        <f t="shared" si="291"/>
        <v>0</v>
      </c>
      <c r="BR148" s="258">
        <f t="shared" si="273"/>
        <v>0</v>
      </c>
      <c r="BS148" s="257">
        <f t="shared" si="274"/>
        <v>0</v>
      </c>
      <c r="BT148" s="259">
        <f t="shared" si="292"/>
        <v>0</v>
      </c>
      <c r="BU148" s="275">
        <f t="shared" si="248"/>
        <v>0</v>
      </c>
      <c r="BV148" s="274">
        <f t="shared" si="249"/>
        <v>0</v>
      </c>
      <c r="BW148" s="274">
        <f t="shared" si="250"/>
        <v>0</v>
      </c>
      <c r="BX148" s="276">
        <f t="shared" si="275"/>
        <v>0</v>
      </c>
      <c r="BY148" s="275">
        <v>0</v>
      </c>
      <c r="BZ148" s="274">
        <f t="shared" si="276"/>
        <v>0</v>
      </c>
      <c r="CA148" s="276">
        <f t="shared" si="293"/>
        <v>0</v>
      </c>
      <c r="CB148" s="275">
        <f t="shared" si="277"/>
        <v>0</v>
      </c>
      <c r="CC148" s="274">
        <f t="shared" si="278"/>
        <v>0</v>
      </c>
      <c r="CD148" s="276">
        <f t="shared" si="294"/>
        <v>0</v>
      </c>
      <c r="CE148" s="58">
        <f t="shared" si="279"/>
        <v>8.3520989049286926E-2</v>
      </c>
      <c r="CF148" s="49">
        <f t="shared" si="251"/>
        <v>7.3499999999999996E-2</v>
      </c>
      <c r="CG148" s="61">
        <f t="shared" si="295"/>
        <v>3.2340000000000001E-2</v>
      </c>
      <c r="CH148" s="49">
        <f t="shared" si="296"/>
        <v>2.1979207644549192E-2</v>
      </c>
      <c r="CI148" s="49">
        <f t="shared" si="297"/>
        <v>6.813674883757284</v>
      </c>
      <c r="CJ148" s="49">
        <f t="shared" si="280"/>
        <v>73.39829245635454</v>
      </c>
      <c r="CN148" s="49">
        <f t="shared" si="281"/>
        <v>1.99424</v>
      </c>
      <c r="CO148" s="49">
        <f t="shared" si="282"/>
        <v>0</v>
      </c>
      <c r="CP148" s="49">
        <f t="shared" si="283"/>
        <v>0</v>
      </c>
      <c r="CQ148" s="49" t="str">
        <f t="shared" si="252"/>
        <v/>
      </c>
    </row>
    <row r="149" spans="12:95" x14ac:dyDescent="0.45">
      <c r="L149" s="49">
        <f t="shared" si="284"/>
        <v>94.666666666666671</v>
      </c>
      <c r="Q149" s="49">
        <v>142</v>
      </c>
      <c r="R149" s="278">
        <f t="shared" si="228"/>
        <v>18.933333333333334</v>
      </c>
      <c r="S149" s="201">
        <f t="shared" si="229"/>
        <v>42</v>
      </c>
      <c r="T149" s="206">
        <f t="shared" si="230"/>
        <v>0.4507936507936508</v>
      </c>
      <c r="U149" s="205">
        <f t="shared" si="231"/>
        <v>2</v>
      </c>
      <c r="V149" s="201">
        <f t="shared" si="232"/>
        <v>0.45955882352941174</v>
      </c>
      <c r="W149" s="201">
        <f t="shared" si="233"/>
        <v>0.54044117647058831</v>
      </c>
      <c r="X149" s="201">
        <f t="shared" si="253"/>
        <v>0</v>
      </c>
      <c r="Y149" s="205">
        <f t="shared" si="254"/>
        <v>0.9809269841269842</v>
      </c>
      <c r="Z149" s="201">
        <f t="shared" si="234"/>
        <v>0.30637254901960786</v>
      </c>
      <c r="AA149" s="201">
        <f t="shared" si="255"/>
        <v>1.1341132586367881</v>
      </c>
      <c r="AB149" s="206">
        <f t="shared" si="235"/>
        <v>0.66767531837678606</v>
      </c>
      <c r="AC149" s="205">
        <v>0</v>
      </c>
      <c r="AD149" s="201">
        <f t="shared" si="236"/>
        <v>2.2289516538477133E-2</v>
      </c>
      <c r="AE149" s="206">
        <f t="shared" si="256"/>
        <v>2.2289516538477133E-2</v>
      </c>
      <c r="AF149" s="58">
        <f t="shared" si="237"/>
        <v>0.37866666666666671</v>
      </c>
      <c r="AG149" s="61">
        <f t="shared" si="238"/>
        <v>0.37866666666666671</v>
      </c>
      <c r="AH149" s="58">
        <f t="shared" si="239"/>
        <v>5.9290113992349174E-2</v>
      </c>
      <c r="AI149" s="49">
        <f t="shared" si="240"/>
        <v>3.6821848741241872</v>
      </c>
      <c r="AJ149" s="61">
        <f t="shared" si="257"/>
        <v>3.7414749881165363</v>
      </c>
      <c r="AK149" s="269">
        <f t="shared" si="241"/>
        <v>18.933333333333334</v>
      </c>
      <c r="AL149" s="268">
        <f t="shared" si="242"/>
        <v>5</v>
      </c>
      <c r="AM149" s="270">
        <f t="shared" si="258"/>
        <v>3.7866666666666666</v>
      </c>
      <c r="AN149" s="269">
        <f t="shared" si="259"/>
        <v>2</v>
      </c>
      <c r="AO149" s="268">
        <f t="shared" si="260"/>
        <v>0.54044117647058831</v>
      </c>
      <c r="AP149" s="268">
        <f t="shared" si="261"/>
        <v>7.006621315192743</v>
      </c>
      <c r="AQ149" s="268">
        <f t="shared" si="262"/>
        <v>2.1883753501400562</v>
      </c>
      <c r="AR149" s="268">
        <f t="shared" si="285"/>
        <v>8.1008089902627702</v>
      </c>
      <c r="AS149" s="270">
        <f t="shared" si="286"/>
        <v>5.1717907774940546</v>
      </c>
      <c r="AT149" s="269"/>
      <c r="AU149" s="268">
        <f t="shared" si="263"/>
        <v>0.14338844444444443</v>
      </c>
      <c r="AV149" s="270">
        <f t="shared" si="287"/>
        <v>0.14338844444444443</v>
      </c>
      <c r="AW149" s="269">
        <f t="shared" si="264"/>
        <v>0.11424000000000001</v>
      </c>
      <c r="AX149" s="268">
        <f t="shared" si="265"/>
        <v>1.8933333333333333</v>
      </c>
      <c r="AY149" s="270">
        <f t="shared" si="288"/>
        <v>2.0075733333333332</v>
      </c>
      <c r="AZ149" s="263">
        <f t="shared" si="243"/>
        <v>0</v>
      </c>
      <c r="BA149" s="262">
        <f t="shared" si="244"/>
        <v>0</v>
      </c>
      <c r="BB149" s="262">
        <f t="shared" si="289"/>
        <v>0</v>
      </c>
      <c r="BC149" s="264" t="e">
        <f t="shared" si="266"/>
        <v>#DIV/0!</v>
      </c>
      <c r="BD149" s="263">
        <v>0</v>
      </c>
      <c r="BE149" s="262">
        <f t="shared" si="267"/>
        <v>0</v>
      </c>
      <c r="BF149" s="264">
        <f t="shared" si="290"/>
        <v>0</v>
      </c>
      <c r="BG149" s="263">
        <f t="shared" si="268"/>
        <v>0</v>
      </c>
      <c r="BH149" s="262">
        <f t="shared" si="269"/>
        <v>0</v>
      </c>
      <c r="BI149" s="264">
        <f t="shared" si="270"/>
        <v>0</v>
      </c>
      <c r="BK149" s="258">
        <f t="shared" si="245"/>
        <v>0</v>
      </c>
      <c r="BL149" s="257">
        <f t="shared" si="246"/>
        <v>0</v>
      </c>
      <c r="BM149" s="257">
        <f t="shared" si="247"/>
        <v>0</v>
      </c>
      <c r="BN149" s="259">
        <f t="shared" si="271"/>
        <v>0</v>
      </c>
      <c r="BO149" s="258">
        <v>0</v>
      </c>
      <c r="BP149" s="257">
        <f t="shared" si="272"/>
        <v>0</v>
      </c>
      <c r="BQ149" s="259">
        <f t="shared" si="291"/>
        <v>0</v>
      </c>
      <c r="BR149" s="258">
        <f t="shared" si="273"/>
        <v>0</v>
      </c>
      <c r="BS149" s="257">
        <f t="shared" si="274"/>
        <v>0</v>
      </c>
      <c r="BT149" s="259">
        <f t="shared" si="292"/>
        <v>0</v>
      </c>
      <c r="BU149" s="275">
        <f t="shared" si="248"/>
        <v>0</v>
      </c>
      <c r="BV149" s="274">
        <f t="shared" si="249"/>
        <v>0</v>
      </c>
      <c r="BW149" s="274">
        <f t="shared" si="250"/>
        <v>0</v>
      </c>
      <c r="BX149" s="276">
        <f t="shared" si="275"/>
        <v>0</v>
      </c>
      <c r="BY149" s="275">
        <v>0</v>
      </c>
      <c r="BZ149" s="274">
        <f t="shared" si="276"/>
        <v>0</v>
      </c>
      <c r="CA149" s="276">
        <f t="shared" si="293"/>
        <v>0</v>
      </c>
      <c r="CB149" s="275">
        <f t="shared" si="277"/>
        <v>0</v>
      </c>
      <c r="CC149" s="274">
        <f t="shared" si="278"/>
        <v>0</v>
      </c>
      <c r="CD149" s="276">
        <f t="shared" si="294"/>
        <v>0</v>
      </c>
      <c r="CE149" s="58">
        <f t="shared" si="279"/>
        <v>8.4700162846213095E-2</v>
      </c>
      <c r="CF149" s="49">
        <f t="shared" si="251"/>
        <v>7.3499999999999996E-2</v>
      </c>
      <c r="CG149" s="61">
        <f t="shared" si="295"/>
        <v>3.2340000000000001E-2</v>
      </c>
      <c r="CH149" s="49">
        <f t="shared" si="296"/>
        <v>2.2289516538477133E-2</v>
      </c>
      <c r="CI149" s="49">
        <f t="shared" si="297"/>
        <v>6.8625997786123376</v>
      </c>
      <c r="CJ149" s="49">
        <f t="shared" si="280"/>
        <v>73.396582520078013</v>
      </c>
      <c r="CN149" s="49">
        <f t="shared" si="281"/>
        <v>2.0075733333333332</v>
      </c>
      <c r="CO149" s="49">
        <f t="shared" si="282"/>
        <v>0</v>
      </c>
      <c r="CP149" s="49">
        <f t="shared" si="283"/>
        <v>0</v>
      </c>
      <c r="CQ149" s="49" t="str">
        <f t="shared" si="252"/>
        <v/>
      </c>
    </row>
    <row r="150" spans="12:95" x14ac:dyDescent="0.45">
      <c r="L150" s="49">
        <f t="shared" si="284"/>
        <v>95.333333333333343</v>
      </c>
      <c r="Q150" s="49">
        <v>143</v>
      </c>
      <c r="R150" s="278">
        <f t="shared" si="228"/>
        <v>19.066666666666666</v>
      </c>
      <c r="S150" s="201">
        <f t="shared" si="229"/>
        <v>42</v>
      </c>
      <c r="T150" s="206">
        <f t="shared" si="230"/>
        <v>0.45396825396825397</v>
      </c>
      <c r="U150" s="205">
        <f t="shared" si="231"/>
        <v>2</v>
      </c>
      <c r="V150" s="201">
        <f t="shared" si="232"/>
        <v>0.45955882352941174</v>
      </c>
      <c r="W150" s="201">
        <f t="shared" si="233"/>
        <v>0.54044117647058831</v>
      </c>
      <c r="X150" s="201">
        <f t="shared" si="253"/>
        <v>0</v>
      </c>
      <c r="Y150" s="205">
        <f t="shared" si="254"/>
        <v>0.98783492063492062</v>
      </c>
      <c r="Z150" s="201">
        <f t="shared" si="234"/>
        <v>0.30637254901960786</v>
      </c>
      <c r="AA150" s="201">
        <f t="shared" si="255"/>
        <v>1.1410211951447247</v>
      </c>
      <c r="AB150" s="206">
        <f t="shared" si="235"/>
        <v>0.6723394741962111</v>
      </c>
      <c r="AC150" s="205">
        <v>0</v>
      </c>
      <c r="AD150" s="201">
        <f t="shared" si="236"/>
        <v>2.2602018428121883E-2</v>
      </c>
      <c r="AE150" s="206">
        <f t="shared" si="256"/>
        <v>2.2602018428121883E-2</v>
      </c>
      <c r="AF150" s="58">
        <f t="shared" si="237"/>
        <v>0.38133333333333336</v>
      </c>
      <c r="AG150" s="61">
        <f t="shared" si="238"/>
        <v>0.38133333333333336</v>
      </c>
      <c r="AH150" s="58">
        <f t="shared" si="239"/>
        <v>6.0121369018804209E-2</v>
      </c>
      <c r="AI150" s="49">
        <f t="shared" si="240"/>
        <v>3.7081157535194276</v>
      </c>
      <c r="AJ150" s="61">
        <f t="shared" si="257"/>
        <v>3.7682371225382316</v>
      </c>
      <c r="AK150" s="269">
        <f t="shared" si="241"/>
        <v>19.066666666666666</v>
      </c>
      <c r="AL150" s="268">
        <f t="shared" si="242"/>
        <v>5</v>
      </c>
      <c r="AM150" s="270">
        <f t="shared" si="258"/>
        <v>3.8133333333333335</v>
      </c>
      <c r="AN150" s="269">
        <f t="shared" si="259"/>
        <v>2</v>
      </c>
      <c r="AO150" s="268">
        <f t="shared" si="260"/>
        <v>0.5404411764705882</v>
      </c>
      <c r="AP150" s="268">
        <f t="shared" si="261"/>
        <v>7.0559637188208617</v>
      </c>
      <c r="AQ150" s="268">
        <f t="shared" si="262"/>
        <v>2.1883753501400558</v>
      </c>
      <c r="AR150" s="268">
        <f t="shared" si="285"/>
        <v>8.1501513938908889</v>
      </c>
      <c r="AS150" s="270">
        <f t="shared" si="286"/>
        <v>5.2079191731195529</v>
      </c>
      <c r="AT150" s="269"/>
      <c r="AU150" s="268">
        <f t="shared" si="263"/>
        <v>0.14541511111111111</v>
      </c>
      <c r="AV150" s="270">
        <f t="shared" si="287"/>
        <v>0.14541511111111111</v>
      </c>
      <c r="AW150" s="269">
        <f t="shared" si="264"/>
        <v>0.11424000000000001</v>
      </c>
      <c r="AX150" s="268">
        <f t="shared" si="265"/>
        <v>1.9066666666666667</v>
      </c>
      <c r="AY150" s="270">
        <f t="shared" si="288"/>
        <v>2.0209066666666669</v>
      </c>
      <c r="AZ150" s="263">
        <f t="shared" si="243"/>
        <v>0</v>
      </c>
      <c r="BA150" s="262">
        <f t="shared" si="244"/>
        <v>0</v>
      </c>
      <c r="BB150" s="262">
        <f t="shared" si="289"/>
        <v>0</v>
      </c>
      <c r="BC150" s="264" t="e">
        <f t="shared" si="266"/>
        <v>#DIV/0!</v>
      </c>
      <c r="BD150" s="263">
        <v>0</v>
      </c>
      <c r="BE150" s="262">
        <f t="shared" si="267"/>
        <v>0</v>
      </c>
      <c r="BF150" s="264">
        <f t="shared" si="290"/>
        <v>0</v>
      </c>
      <c r="BG150" s="263">
        <f t="shared" si="268"/>
        <v>0</v>
      </c>
      <c r="BH150" s="262">
        <f t="shared" si="269"/>
        <v>0</v>
      </c>
      <c r="BI150" s="264">
        <f t="shared" si="270"/>
        <v>0</v>
      </c>
      <c r="BK150" s="258">
        <f t="shared" si="245"/>
        <v>0</v>
      </c>
      <c r="BL150" s="257">
        <f t="shared" si="246"/>
        <v>0</v>
      </c>
      <c r="BM150" s="257">
        <f t="shared" si="247"/>
        <v>0</v>
      </c>
      <c r="BN150" s="259">
        <f t="shared" si="271"/>
        <v>0</v>
      </c>
      <c r="BO150" s="258">
        <v>0</v>
      </c>
      <c r="BP150" s="257">
        <f t="shared" si="272"/>
        <v>0</v>
      </c>
      <c r="BQ150" s="259">
        <f t="shared" si="291"/>
        <v>0</v>
      </c>
      <c r="BR150" s="258">
        <f t="shared" si="273"/>
        <v>0</v>
      </c>
      <c r="BS150" s="257">
        <f t="shared" si="274"/>
        <v>0</v>
      </c>
      <c r="BT150" s="259">
        <f t="shared" si="292"/>
        <v>0</v>
      </c>
      <c r="BU150" s="275">
        <f t="shared" si="248"/>
        <v>0</v>
      </c>
      <c r="BV150" s="274">
        <f t="shared" si="249"/>
        <v>0</v>
      </c>
      <c r="BW150" s="274">
        <f t="shared" si="250"/>
        <v>0</v>
      </c>
      <c r="BX150" s="276">
        <f t="shared" si="275"/>
        <v>0</v>
      </c>
      <c r="BY150" s="275">
        <v>0</v>
      </c>
      <c r="BZ150" s="274">
        <f t="shared" si="276"/>
        <v>0</v>
      </c>
      <c r="CA150" s="276">
        <f t="shared" si="293"/>
        <v>0</v>
      </c>
      <c r="CB150" s="275">
        <f t="shared" si="277"/>
        <v>0</v>
      </c>
      <c r="CC150" s="274">
        <f t="shared" si="278"/>
        <v>0</v>
      </c>
      <c r="CD150" s="276">
        <f t="shared" si="294"/>
        <v>0</v>
      </c>
      <c r="CE150" s="58">
        <f t="shared" si="279"/>
        <v>8.588767002686315E-2</v>
      </c>
      <c r="CF150" s="49">
        <f t="shared" si="251"/>
        <v>7.3499999999999996E-2</v>
      </c>
      <c r="CG150" s="61">
        <f t="shared" si="295"/>
        <v>3.2340000000000001E-2</v>
      </c>
      <c r="CH150" s="49">
        <f t="shared" si="296"/>
        <v>2.2602018428121883E-2</v>
      </c>
      <c r="CI150" s="49">
        <f t="shared" si="297"/>
        <v>6.9115552554376611</v>
      </c>
      <c r="CJ150" s="49">
        <f t="shared" si="280"/>
        <v>73.394810175377074</v>
      </c>
      <c r="CN150" s="49">
        <f t="shared" si="281"/>
        <v>2.0209066666666669</v>
      </c>
      <c r="CO150" s="49">
        <f t="shared" si="282"/>
        <v>0</v>
      </c>
      <c r="CP150" s="49">
        <f t="shared" si="283"/>
        <v>0</v>
      </c>
      <c r="CQ150" s="49" t="str">
        <f t="shared" si="252"/>
        <v/>
      </c>
    </row>
    <row r="151" spans="12:95" x14ac:dyDescent="0.45">
      <c r="L151" s="49">
        <f t="shared" si="284"/>
        <v>96</v>
      </c>
      <c r="Q151" s="49">
        <v>144</v>
      </c>
      <c r="R151" s="278">
        <f t="shared" si="228"/>
        <v>19.2</v>
      </c>
      <c r="S151" s="201">
        <f t="shared" si="229"/>
        <v>42</v>
      </c>
      <c r="T151" s="206">
        <f t="shared" si="230"/>
        <v>0.45714285714285713</v>
      </c>
      <c r="U151" s="205">
        <f t="shared" si="231"/>
        <v>2</v>
      </c>
      <c r="V151" s="201">
        <f t="shared" si="232"/>
        <v>0.45955882352941174</v>
      </c>
      <c r="W151" s="201">
        <f t="shared" si="233"/>
        <v>0.54044117647058831</v>
      </c>
      <c r="X151" s="201">
        <f t="shared" si="253"/>
        <v>0</v>
      </c>
      <c r="Y151" s="205">
        <f t="shared" si="254"/>
        <v>0.99474285714285715</v>
      </c>
      <c r="Z151" s="201">
        <f t="shared" si="234"/>
        <v>0.30637254901960786</v>
      </c>
      <c r="AA151" s="201">
        <f t="shared" si="255"/>
        <v>1.1479291316526612</v>
      </c>
      <c r="AB151" s="206">
        <f t="shared" si="235"/>
        <v>0.67700388940512646</v>
      </c>
      <c r="AC151" s="205">
        <v>0</v>
      </c>
      <c r="AD151" s="201">
        <f t="shared" si="236"/>
        <v>2.2916713313483439E-2</v>
      </c>
      <c r="AE151" s="206">
        <f t="shared" si="256"/>
        <v>2.2916713313483439E-2</v>
      </c>
      <c r="AF151" s="58">
        <f t="shared" si="237"/>
        <v>0.38400000000000001</v>
      </c>
      <c r="AG151" s="61">
        <f t="shared" si="238"/>
        <v>0.38400000000000001</v>
      </c>
      <c r="AH151" s="58">
        <f t="shared" si="239"/>
        <v>6.0958457413865942E-2</v>
      </c>
      <c r="AI151" s="49">
        <f t="shared" si="240"/>
        <v>3.734046632914668</v>
      </c>
      <c r="AJ151" s="61">
        <f t="shared" si="257"/>
        <v>3.7950050903285337</v>
      </c>
      <c r="AK151" s="269">
        <f t="shared" si="241"/>
        <v>19.2</v>
      </c>
      <c r="AL151" s="268">
        <f t="shared" si="242"/>
        <v>5</v>
      </c>
      <c r="AM151" s="270">
        <f t="shared" si="258"/>
        <v>3.84</v>
      </c>
      <c r="AN151" s="269">
        <f t="shared" si="259"/>
        <v>2</v>
      </c>
      <c r="AO151" s="268">
        <f t="shared" si="260"/>
        <v>0.5404411764705882</v>
      </c>
      <c r="AP151" s="268">
        <f t="shared" si="261"/>
        <v>7.1053061224489795</v>
      </c>
      <c r="AQ151" s="268">
        <f t="shared" si="262"/>
        <v>2.1883753501400558</v>
      </c>
      <c r="AR151" s="268">
        <f t="shared" si="285"/>
        <v>8.1994937975190076</v>
      </c>
      <c r="AS151" s="270">
        <f t="shared" si="286"/>
        <v>5.244049577967405</v>
      </c>
      <c r="AT151" s="269"/>
      <c r="AU151" s="268">
        <f t="shared" si="263"/>
        <v>0.147456</v>
      </c>
      <c r="AV151" s="270">
        <f t="shared" si="287"/>
        <v>0.147456</v>
      </c>
      <c r="AW151" s="269">
        <f t="shared" si="264"/>
        <v>0.11424000000000001</v>
      </c>
      <c r="AX151" s="268">
        <f t="shared" si="265"/>
        <v>1.92</v>
      </c>
      <c r="AY151" s="270">
        <f t="shared" si="288"/>
        <v>2.03424</v>
      </c>
      <c r="AZ151" s="263">
        <f t="shared" si="243"/>
        <v>0</v>
      </c>
      <c r="BA151" s="262">
        <f t="shared" si="244"/>
        <v>0</v>
      </c>
      <c r="BB151" s="262">
        <f t="shared" si="289"/>
        <v>0</v>
      </c>
      <c r="BC151" s="264" t="e">
        <f t="shared" si="266"/>
        <v>#DIV/0!</v>
      </c>
      <c r="BD151" s="263">
        <v>0</v>
      </c>
      <c r="BE151" s="262">
        <f t="shared" si="267"/>
        <v>0</v>
      </c>
      <c r="BF151" s="264">
        <f t="shared" si="290"/>
        <v>0</v>
      </c>
      <c r="BG151" s="263">
        <f t="shared" si="268"/>
        <v>0</v>
      </c>
      <c r="BH151" s="262">
        <f t="shared" si="269"/>
        <v>0</v>
      </c>
      <c r="BI151" s="264">
        <f t="shared" si="270"/>
        <v>0</v>
      </c>
      <c r="BK151" s="258">
        <f t="shared" si="245"/>
        <v>0</v>
      </c>
      <c r="BL151" s="257">
        <f t="shared" si="246"/>
        <v>0</v>
      </c>
      <c r="BM151" s="257">
        <f t="shared" si="247"/>
        <v>0</v>
      </c>
      <c r="BN151" s="259">
        <f t="shared" si="271"/>
        <v>0</v>
      </c>
      <c r="BO151" s="258">
        <v>0</v>
      </c>
      <c r="BP151" s="257">
        <f t="shared" si="272"/>
        <v>0</v>
      </c>
      <c r="BQ151" s="259">
        <f t="shared" si="291"/>
        <v>0</v>
      </c>
      <c r="BR151" s="258">
        <f t="shared" si="273"/>
        <v>0</v>
      </c>
      <c r="BS151" s="257">
        <f t="shared" si="274"/>
        <v>0</v>
      </c>
      <c r="BT151" s="259">
        <f t="shared" si="292"/>
        <v>0</v>
      </c>
      <c r="BU151" s="275">
        <f t="shared" si="248"/>
        <v>0</v>
      </c>
      <c r="BV151" s="274">
        <f t="shared" si="249"/>
        <v>0</v>
      </c>
      <c r="BW151" s="274">
        <f t="shared" si="250"/>
        <v>0</v>
      </c>
      <c r="BX151" s="276">
        <f t="shared" si="275"/>
        <v>0</v>
      </c>
      <c r="BY151" s="275">
        <v>0</v>
      </c>
      <c r="BZ151" s="274">
        <f t="shared" si="276"/>
        <v>0</v>
      </c>
      <c r="CA151" s="276">
        <f t="shared" si="293"/>
        <v>0</v>
      </c>
      <c r="CB151" s="275">
        <f t="shared" si="277"/>
        <v>0</v>
      </c>
      <c r="CC151" s="274">
        <f t="shared" si="278"/>
        <v>0</v>
      </c>
      <c r="CD151" s="276">
        <f t="shared" si="294"/>
        <v>0</v>
      </c>
      <c r="CE151" s="58">
        <f t="shared" si="279"/>
        <v>8.7083510591237062E-2</v>
      </c>
      <c r="CF151" s="49">
        <f t="shared" si="251"/>
        <v>7.3499999999999996E-2</v>
      </c>
      <c r="CG151" s="61">
        <f t="shared" si="295"/>
        <v>3.2340000000000001E-2</v>
      </c>
      <c r="CH151" s="49">
        <f t="shared" si="296"/>
        <v>2.2916713313483439E-2</v>
      </c>
      <c r="CI151" s="49">
        <f t="shared" si="297"/>
        <v>6.9605413142332555</v>
      </c>
      <c r="CJ151" s="49">
        <f t="shared" si="280"/>
        <v>73.392976733068551</v>
      </c>
      <c r="CN151" s="49">
        <f t="shared" si="281"/>
        <v>2.03424</v>
      </c>
      <c r="CO151" s="49">
        <f t="shared" si="282"/>
        <v>0</v>
      </c>
      <c r="CP151" s="49">
        <f t="shared" si="283"/>
        <v>0</v>
      </c>
      <c r="CQ151" s="49" t="str">
        <f t="shared" si="252"/>
        <v/>
      </c>
    </row>
    <row r="152" spans="12:95" x14ac:dyDescent="0.45">
      <c r="L152" s="49">
        <f t="shared" si="284"/>
        <v>96.666666666666657</v>
      </c>
      <c r="Q152" s="49">
        <v>145</v>
      </c>
      <c r="R152" s="278">
        <f t="shared" si="228"/>
        <v>19.333333333333332</v>
      </c>
      <c r="S152" s="201">
        <f t="shared" si="229"/>
        <v>42</v>
      </c>
      <c r="T152" s="206">
        <f t="shared" si="230"/>
        <v>0.46031746031746029</v>
      </c>
      <c r="U152" s="205">
        <f t="shared" si="231"/>
        <v>2</v>
      </c>
      <c r="V152" s="201">
        <f t="shared" si="232"/>
        <v>0.45955882352941174</v>
      </c>
      <c r="W152" s="201">
        <f t="shared" si="233"/>
        <v>0.54044117647058831</v>
      </c>
      <c r="X152" s="201">
        <f t="shared" si="253"/>
        <v>0</v>
      </c>
      <c r="Y152" s="205">
        <f t="shared" si="254"/>
        <v>1.0016507936507937</v>
      </c>
      <c r="Z152" s="201">
        <f t="shared" si="234"/>
        <v>0.30637254901960786</v>
      </c>
      <c r="AA152" s="201">
        <f t="shared" si="255"/>
        <v>1.1548370681605977</v>
      </c>
      <c r="AB152" s="206">
        <f t="shared" si="235"/>
        <v>0.68166855867880238</v>
      </c>
      <c r="AC152" s="205">
        <v>0</v>
      </c>
      <c r="AD152" s="201">
        <f t="shared" si="236"/>
        <v>2.3233601194561793E-2</v>
      </c>
      <c r="AE152" s="206">
        <f t="shared" si="256"/>
        <v>2.3233601194561793E-2</v>
      </c>
      <c r="AF152" s="58">
        <f t="shared" si="237"/>
        <v>0.38666666666666666</v>
      </c>
      <c r="AG152" s="61">
        <f t="shared" si="238"/>
        <v>0.38666666666666666</v>
      </c>
      <c r="AH152" s="58">
        <f t="shared" si="239"/>
        <v>6.1801379177534373E-2</v>
      </c>
      <c r="AI152" s="49">
        <f t="shared" si="240"/>
        <v>3.7599775123099093</v>
      </c>
      <c r="AJ152" s="61">
        <f t="shared" si="257"/>
        <v>3.8217788914874435</v>
      </c>
      <c r="AK152" s="269">
        <f t="shared" si="241"/>
        <v>19.333333333333332</v>
      </c>
      <c r="AL152" s="268">
        <f t="shared" si="242"/>
        <v>5</v>
      </c>
      <c r="AM152" s="270">
        <f t="shared" si="258"/>
        <v>3.8666666666666663</v>
      </c>
      <c r="AN152" s="269">
        <f t="shared" si="259"/>
        <v>2</v>
      </c>
      <c r="AO152" s="268">
        <f t="shared" si="260"/>
        <v>0.5404411764705882</v>
      </c>
      <c r="AP152" s="268">
        <f t="shared" si="261"/>
        <v>7.1546485260770973</v>
      </c>
      <c r="AQ152" s="268">
        <f t="shared" si="262"/>
        <v>2.1883753501400558</v>
      </c>
      <c r="AR152" s="268">
        <f t="shared" si="285"/>
        <v>8.2488362011471246</v>
      </c>
      <c r="AS152" s="270">
        <f t="shared" si="286"/>
        <v>5.2801819507924286</v>
      </c>
      <c r="AT152" s="269"/>
      <c r="AU152" s="268">
        <f t="shared" si="263"/>
        <v>0.14951111111111107</v>
      </c>
      <c r="AV152" s="270">
        <f t="shared" si="287"/>
        <v>0.14951111111111107</v>
      </c>
      <c r="AW152" s="269">
        <f t="shared" si="264"/>
        <v>0.11424000000000001</v>
      </c>
      <c r="AX152" s="268">
        <f t="shared" si="265"/>
        <v>1.9333333333333331</v>
      </c>
      <c r="AY152" s="270">
        <f t="shared" si="288"/>
        <v>2.0475733333333332</v>
      </c>
      <c r="AZ152" s="263">
        <f t="shared" si="243"/>
        <v>0</v>
      </c>
      <c r="BA152" s="262">
        <f t="shared" si="244"/>
        <v>0</v>
      </c>
      <c r="BB152" s="262">
        <f t="shared" si="289"/>
        <v>0</v>
      </c>
      <c r="BC152" s="264" t="e">
        <f t="shared" si="266"/>
        <v>#DIV/0!</v>
      </c>
      <c r="BD152" s="263">
        <v>0</v>
      </c>
      <c r="BE152" s="262">
        <f t="shared" si="267"/>
        <v>0</v>
      </c>
      <c r="BF152" s="264">
        <f t="shared" si="290"/>
        <v>0</v>
      </c>
      <c r="BG152" s="263">
        <f t="shared" si="268"/>
        <v>0</v>
      </c>
      <c r="BH152" s="262">
        <f t="shared" si="269"/>
        <v>0</v>
      </c>
      <c r="BI152" s="264">
        <f t="shared" si="270"/>
        <v>0</v>
      </c>
      <c r="BK152" s="258">
        <f t="shared" si="245"/>
        <v>0</v>
      </c>
      <c r="BL152" s="257">
        <f t="shared" si="246"/>
        <v>0</v>
      </c>
      <c r="BM152" s="257">
        <f t="shared" si="247"/>
        <v>0</v>
      </c>
      <c r="BN152" s="259">
        <f t="shared" si="271"/>
        <v>0</v>
      </c>
      <c r="BO152" s="258">
        <v>0</v>
      </c>
      <c r="BP152" s="257">
        <f t="shared" si="272"/>
        <v>0</v>
      </c>
      <c r="BQ152" s="259">
        <f t="shared" si="291"/>
        <v>0</v>
      </c>
      <c r="BR152" s="258">
        <f t="shared" si="273"/>
        <v>0</v>
      </c>
      <c r="BS152" s="257">
        <f t="shared" si="274"/>
        <v>0</v>
      </c>
      <c r="BT152" s="259">
        <f t="shared" si="292"/>
        <v>0</v>
      </c>
      <c r="BU152" s="275">
        <f t="shared" si="248"/>
        <v>0</v>
      </c>
      <c r="BV152" s="274">
        <f t="shared" si="249"/>
        <v>0</v>
      </c>
      <c r="BW152" s="274">
        <f t="shared" si="250"/>
        <v>0</v>
      </c>
      <c r="BX152" s="276">
        <f t="shared" si="275"/>
        <v>0</v>
      </c>
      <c r="BY152" s="275">
        <v>0</v>
      </c>
      <c r="BZ152" s="274">
        <f t="shared" si="276"/>
        <v>0</v>
      </c>
      <c r="CA152" s="276">
        <f t="shared" si="293"/>
        <v>0</v>
      </c>
      <c r="CB152" s="275">
        <f t="shared" si="277"/>
        <v>0</v>
      </c>
      <c r="CC152" s="274">
        <f t="shared" si="278"/>
        <v>0</v>
      </c>
      <c r="CD152" s="276">
        <f t="shared" si="294"/>
        <v>0</v>
      </c>
      <c r="CE152" s="58">
        <f t="shared" si="279"/>
        <v>8.8287684539334818E-2</v>
      </c>
      <c r="CF152" s="49">
        <f t="shared" si="251"/>
        <v>7.3499999999999996E-2</v>
      </c>
      <c r="CG152" s="61">
        <f t="shared" si="295"/>
        <v>3.2340000000000001E-2</v>
      </c>
      <c r="CH152" s="49">
        <f t="shared" si="296"/>
        <v>2.3233601194561793E-2</v>
      </c>
      <c r="CI152" s="49">
        <f t="shared" si="297"/>
        <v>7.009557954999118</v>
      </c>
      <c r="CJ152" s="49">
        <f t="shared" si="280"/>
        <v>73.391083468109187</v>
      </c>
      <c r="CN152" s="49">
        <f t="shared" si="281"/>
        <v>2.0475733333333332</v>
      </c>
      <c r="CO152" s="49">
        <f t="shared" si="282"/>
        <v>0</v>
      </c>
      <c r="CP152" s="49">
        <f t="shared" si="283"/>
        <v>0</v>
      </c>
      <c r="CQ152" s="49" t="str">
        <f t="shared" si="252"/>
        <v/>
      </c>
    </row>
    <row r="153" spans="12:95" x14ac:dyDescent="0.45">
      <c r="L153" s="49">
        <f t="shared" si="284"/>
        <v>97.333333333333329</v>
      </c>
      <c r="Q153" s="49">
        <v>146</v>
      </c>
      <c r="R153" s="278">
        <f t="shared" si="228"/>
        <v>19.466666666666665</v>
      </c>
      <c r="S153" s="201">
        <f t="shared" si="229"/>
        <v>42</v>
      </c>
      <c r="T153" s="206">
        <f t="shared" si="230"/>
        <v>0.46349206349206346</v>
      </c>
      <c r="U153" s="205">
        <f t="shared" si="231"/>
        <v>2</v>
      </c>
      <c r="V153" s="201">
        <f t="shared" si="232"/>
        <v>0.45955882352941174</v>
      </c>
      <c r="W153" s="201">
        <f t="shared" si="233"/>
        <v>0.54044117647058831</v>
      </c>
      <c r="X153" s="201">
        <f t="shared" si="253"/>
        <v>0</v>
      </c>
      <c r="Y153" s="205">
        <f t="shared" si="254"/>
        <v>1.0085587301587302</v>
      </c>
      <c r="Z153" s="201">
        <f t="shared" si="234"/>
        <v>0.30637254901960786</v>
      </c>
      <c r="AA153" s="201">
        <f t="shared" si="255"/>
        <v>1.1617450046685343</v>
      </c>
      <c r="AB153" s="206">
        <f t="shared" si="235"/>
        <v>0.68633347683698132</v>
      </c>
      <c r="AC153" s="205">
        <v>0</v>
      </c>
      <c r="AD153" s="201">
        <f t="shared" si="236"/>
        <v>2.355268207135696E-2</v>
      </c>
      <c r="AE153" s="206">
        <f t="shared" si="256"/>
        <v>2.355268207135696E-2</v>
      </c>
      <c r="AF153" s="58">
        <f t="shared" si="237"/>
        <v>0.38933333333333331</v>
      </c>
      <c r="AG153" s="61">
        <f t="shared" si="238"/>
        <v>0.38933333333333331</v>
      </c>
      <c r="AH153" s="58">
        <f t="shared" si="239"/>
        <v>6.2650134309809508E-2</v>
      </c>
      <c r="AI153" s="49">
        <f t="shared" si="240"/>
        <v>3.7859083917051501</v>
      </c>
      <c r="AJ153" s="61">
        <f t="shared" si="257"/>
        <v>3.8485585260149597</v>
      </c>
      <c r="AK153" s="269">
        <f t="shared" si="241"/>
        <v>19.466666666666665</v>
      </c>
      <c r="AL153" s="268">
        <f t="shared" si="242"/>
        <v>5</v>
      </c>
      <c r="AM153" s="270">
        <f t="shared" si="258"/>
        <v>3.8933333333333331</v>
      </c>
      <c r="AN153" s="269">
        <f t="shared" si="259"/>
        <v>2</v>
      </c>
      <c r="AO153" s="268">
        <f t="shared" si="260"/>
        <v>0.5404411764705882</v>
      </c>
      <c r="AP153" s="268">
        <f t="shared" si="261"/>
        <v>7.2039909297052152</v>
      </c>
      <c r="AQ153" s="268">
        <f t="shared" si="262"/>
        <v>2.1883753501400558</v>
      </c>
      <c r="AR153" s="268">
        <f t="shared" si="285"/>
        <v>8.2981786047752433</v>
      </c>
      <c r="AS153" s="270">
        <f t="shared" si="286"/>
        <v>5.3163162514685247</v>
      </c>
      <c r="AT153" s="269"/>
      <c r="AU153" s="268">
        <f t="shared" si="263"/>
        <v>0.15158044444444443</v>
      </c>
      <c r="AV153" s="270">
        <f t="shared" si="287"/>
        <v>0.15158044444444443</v>
      </c>
      <c r="AW153" s="269">
        <f t="shared" si="264"/>
        <v>0.11424000000000001</v>
      </c>
      <c r="AX153" s="268">
        <f t="shared" si="265"/>
        <v>1.9466666666666665</v>
      </c>
      <c r="AY153" s="270">
        <f t="shared" si="288"/>
        <v>2.0609066666666664</v>
      </c>
      <c r="AZ153" s="263">
        <f t="shared" si="243"/>
        <v>0</v>
      </c>
      <c r="BA153" s="262">
        <f t="shared" si="244"/>
        <v>0</v>
      </c>
      <c r="BB153" s="262">
        <f t="shared" si="289"/>
        <v>0</v>
      </c>
      <c r="BC153" s="264" t="e">
        <f t="shared" si="266"/>
        <v>#DIV/0!</v>
      </c>
      <c r="BD153" s="263">
        <v>0</v>
      </c>
      <c r="BE153" s="262">
        <f t="shared" si="267"/>
        <v>0</v>
      </c>
      <c r="BF153" s="264">
        <f t="shared" si="290"/>
        <v>0</v>
      </c>
      <c r="BG153" s="263">
        <f t="shared" si="268"/>
        <v>0</v>
      </c>
      <c r="BH153" s="262">
        <f t="shared" si="269"/>
        <v>0</v>
      </c>
      <c r="BI153" s="264">
        <f t="shared" si="270"/>
        <v>0</v>
      </c>
      <c r="BK153" s="258">
        <f t="shared" si="245"/>
        <v>0</v>
      </c>
      <c r="BL153" s="257">
        <f t="shared" si="246"/>
        <v>0</v>
      </c>
      <c r="BM153" s="257">
        <f t="shared" si="247"/>
        <v>0</v>
      </c>
      <c r="BN153" s="259">
        <f t="shared" si="271"/>
        <v>0</v>
      </c>
      <c r="BO153" s="258">
        <v>0</v>
      </c>
      <c r="BP153" s="257">
        <f t="shared" si="272"/>
        <v>0</v>
      </c>
      <c r="BQ153" s="259">
        <f t="shared" si="291"/>
        <v>0</v>
      </c>
      <c r="BR153" s="258">
        <f t="shared" si="273"/>
        <v>0</v>
      </c>
      <c r="BS153" s="257">
        <f t="shared" si="274"/>
        <v>0</v>
      </c>
      <c r="BT153" s="259">
        <f t="shared" si="292"/>
        <v>0</v>
      </c>
      <c r="BU153" s="275">
        <f t="shared" si="248"/>
        <v>0</v>
      </c>
      <c r="BV153" s="274">
        <f t="shared" si="249"/>
        <v>0</v>
      </c>
      <c r="BW153" s="274">
        <f t="shared" si="250"/>
        <v>0</v>
      </c>
      <c r="BX153" s="276">
        <f t="shared" si="275"/>
        <v>0</v>
      </c>
      <c r="BY153" s="275">
        <v>0</v>
      </c>
      <c r="BZ153" s="274">
        <f t="shared" si="276"/>
        <v>0</v>
      </c>
      <c r="CA153" s="276">
        <f t="shared" si="293"/>
        <v>0</v>
      </c>
      <c r="CB153" s="275">
        <f t="shared" si="277"/>
        <v>0</v>
      </c>
      <c r="CC153" s="274">
        <f t="shared" si="278"/>
        <v>0</v>
      </c>
      <c r="CD153" s="276">
        <f t="shared" si="294"/>
        <v>0</v>
      </c>
      <c r="CE153" s="58">
        <f t="shared" si="279"/>
        <v>8.9500191871156445E-2</v>
      </c>
      <c r="CF153" s="49">
        <f t="shared" si="251"/>
        <v>7.3499999999999996E-2</v>
      </c>
      <c r="CG153" s="61">
        <f t="shared" si="295"/>
        <v>3.2340000000000001E-2</v>
      </c>
      <c r="CH153" s="49">
        <f t="shared" si="296"/>
        <v>2.355268207135696E-2</v>
      </c>
      <c r="CI153" s="49">
        <f t="shared" si="297"/>
        <v>7.0586051777352505</v>
      </c>
      <c r="CJ153" s="49">
        <f t="shared" si="280"/>
        <v>73.389131620813359</v>
      </c>
      <c r="CN153" s="49">
        <f t="shared" si="281"/>
        <v>2.0609066666666664</v>
      </c>
      <c r="CO153" s="49">
        <f t="shared" si="282"/>
        <v>0</v>
      </c>
      <c r="CP153" s="49">
        <f t="shared" si="283"/>
        <v>0</v>
      </c>
      <c r="CQ153" s="49" t="str">
        <f t="shared" si="252"/>
        <v/>
      </c>
    </row>
    <row r="154" spans="12:95" x14ac:dyDescent="0.45">
      <c r="L154" s="49">
        <f t="shared" si="284"/>
        <v>98.000000000000014</v>
      </c>
      <c r="Q154" s="49">
        <v>147</v>
      </c>
      <c r="R154" s="278">
        <f t="shared" si="228"/>
        <v>19.600000000000001</v>
      </c>
      <c r="S154" s="201">
        <f t="shared" si="229"/>
        <v>42</v>
      </c>
      <c r="T154" s="206">
        <f t="shared" si="230"/>
        <v>0.46666666666666667</v>
      </c>
      <c r="U154" s="205">
        <f t="shared" si="231"/>
        <v>2</v>
      </c>
      <c r="V154" s="201">
        <f t="shared" si="232"/>
        <v>0.45955882352941174</v>
      </c>
      <c r="W154" s="201">
        <f t="shared" si="233"/>
        <v>0.54044117647058831</v>
      </c>
      <c r="X154" s="201">
        <f t="shared" si="253"/>
        <v>0</v>
      </c>
      <c r="Y154" s="205">
        <f t="shared" si="254"/>
        <v>1.0154666666666667</v>
      </c>
      <c r="Z154" s="201">
        <f t="shared" si="234"/>
        <v>0.30637254901960786</v>
      </c>
      <c r="AA154" s="201">
        <f t="shared" si="255"/>
        <v>1.1686529411764708</v>
      </c>
      <c r="AB154" s="206">
        <f t="shared" si="235"/>
        <v>0.69099863883902013</v>
      </c>
      <c r="AC154" s="205">
        <v>0</v>
      </c>
      <c r="AD154" s="201">
        <f t="shared" si="236"/>
        <v>2.387395594386893E-2</v>
      </c>
      <c r="AE154" s="206">
        <f t="shared" si="256"/>
        <v>2.387395594386893E-2</v>
      </c>
      <c r="AF154" s="58">
        <f t="shared" si="237"/>
        <v>0.39200000000000002</v>
      </c>
      <c r="AG154" s="61">
        <f t="shared" si="238"/>
        <v>0.39200000000000002</v>
      </c>
      <c r="AH154" s="58">
        <f t="shared" si="239"/>
        <v>6.3504722810691361E-2</v>
      </c>
      <c r="AI154" s="49">
        <f t="shared" si="240"/>
        <v>3.8118392711003906</v>
      </c>
      <c r="AJ154" s="61">
        <f t="shared" si="257"/>
        <v>3.8753439939110819</v>
      </c>
      <c r="AK154" s="269">
        <f t="shared" si="241"/>
        <v>19.600000000000001</v>
      </c>
      <c r="AL154" s="268">
        <f t="shared" si="242"/>
        <v>5</v>
      </c>
      <c r="AM154" s="270">
        <f t="shared" si="258"/>
        <v>3.9200000000000004</v>
      </c>
      <c r="AN154" s="269">
        <f t="shared" si="259"/>
        <v>2</v>
      </c>
      <c r="AO154" s="268">
        <f t="shared" si="260"/>
        <v>0.54044117647058842</v>
      </c>
      <c r="AP154" s="268">
        <f t="shared" si="261"/>
        <v>7.2533333333333321</v>
      </c>
      <c r="AQ154" s="268">
        <f t="shared" si="262"/>
        <v>2.1883753501400567</v>
      </c>
      <c r="AR154" s="268">
        <f t="shared" si="285"/>
        <v>8.3475210084033602</v>
      </c>
      <c r="AS154" s="270">
        <f t="shared" si="286"/>
        <v>5.3524524409510361</v>
      </c>
      <c r="AT154" s="269"/>
      <c r="AU154" s="268">
        <f t="shared" si="263"/>
        <v>0.15366400000000002</v>
      </c>
      <c r="AV154" s="270">
        <f t="shared" si="287"/>
        <v>0.15366400000000002</v>
      </c>
      <c r="AW154" s="269">
        <f t="shared" si="264"/>
        <v>0.11424000000000001</v>
      </c>
      <c r="AX154" s="268">
        <f t="shared" si="265"/>
        <v>1.9600000000000002</v>
      </c>
      <c r="AY154" s="270">
        <f t="shared" si="288"/>
        <v>2.0742400000000001</v>
      </c>
      <c r="AZ154" s="263">
        <f t="shared" si="243"/>
        <v>0</v>
      </c>
      <c r="BA154" s="262">
        <f t="shared" si="244"/>
        <v>0</v>
      </c>
      <c r="BB154" s="262">
        <f t="shared" si="289"/>
        <v>0</v>
      </c>
      <c r="BC154" s="264" t="e">
        <f t="shared" si="266"/>
        <v>#DIV/0!</v>
      </c>
      <c r="BD154" s="263">
        <v>0</v>
      </c>
      <c r="BE154" s="262">
        <f t="shared" si="267"/>
        <v>0</v>
      </c>
      <c r="BF154" s="264">
        <f t="shared" si="290"/>
        <v>0</v>
      </c>
      <c r="BG154" s="263">
        <f t="shared" si="268"/>
        <v>0</v>
      </c>
      <c r="BH154" s="262">
        <f t="shared" si="269"/>
        <v>0</v>
      </c>
      <c r="BI154" s="264">
        <f t="shared" si="270"/>
        <v>0</v>
      </c>
      <c r="BK154" s="258">
        <f t="shared" si="245"/>
        <v>0</v>
      </c>
      <c r="BL154" s="257">
        <f t="shared" si="246"/>
        <v>0</v>
      </c>
      <c r="BM154" s="257">
        <f t="shared" si="247"/>
        <v>0</v>
      </c>
      <c r="BN154" s="259">
        <f t="shared" si="271"/>
        <v>0</v>
      </c>
      <c r="BO154" s="258">
        <v>0</v>
      </c>
      <c r="BP154" s="257">
        <f t="shared" si="272"/>
        <v>0</v>
      </c>
      <c r="BQ154" s="259">
        <f t="shared" si="291"/>
        <v>0</v>
      </c>
      <c r="BR154" s="258">
        <f t="shared" si="273"/>
        <v>0</v>
      </c>
      <c r="BS154" s="257">
        <f t="shared" si="274"/>
        <v>0</v>
      </c>
      <c r="BT154" s="259">
        <f t="shared" si="292"/>
        <v>0</v>
      </c>
      <c r="BU154" s="275">
        <f t="shared" si="248"/>
        <v>0</v>
      </c>
      <c r="BV154" s="274">
        <f t="shared" si="249"/>
        <v>0</v>
      </c>
      <c r="BW154" s="274">
        <f t="shared" si="250"/>
        <v>0</v>
      </c>
      <c r="BX154" s="276">
        <f t="shared" si="275"/>
        <v>0</v>
      </c>
      <c r="BY154" s="275">
        <v>0</v>
      </c>
      <c r="BZ154" s="274">
        <f t="shared" si="276"/>
        <v>0</v>
      </c>
      <c r="CA154" s="276">
        <f t="shared" si="293"/>
        <v>0</v>
      </c>
      <c r="CB154" s="275">
        <f t="shared" si="277"/>
        <v>0</v>
      </c>
      <c r="CC154" s="274">
        <f t="shared" si="278"/>
        <v>0</v>
      </c>
      <c r="CD154" s="276">
        <f t="shared" si="294"/>
        <v>0</v>
      </c>
      <c r="CE154" s="58">
        <f t="shared" si="279"/>
        <v>9.072103258670193E-2</v>
      </c>
      <c r="CF154" s="49">
        <f t="shared" si="251"/>
        <v>7.3499999999999996E-2</v>
      </c>
      <c r="CG154" s="61">
        <f t="shared" si="295"/>
        <v>3.2340000000000001E-2</v>
      </c>
      <c r="CH154" s="49">
        <f t="shared" si="296"/>
        <v>2.387395594386893E-2</v>
      </c>
      <c r="CI154" s="49">
        <f t="shared" si="297"/>
        <v>7.107682982441653</v>
      </c>
      <c r="CJ154" s="49">
        <f t="shared" si="280"/>
        <v>73.387122398021447</v>
      </c>
      <c r="CN154" s="49">
        <f t="shared" si="281"/>
        <v>2.0742400000000001</v>
      </c>
      <c r="CO154" s="49">
        <f t="shared" si="282"/>
        <v>0</v>
      </c>
      <c r="CP154" s="49">
        <f t="shared" si="283"/>
        <v>0</v>
      </c>
      <c r="CQ154" s="49" t="str">
        <f t="shared" si="252"/>
        <v/>
      </c>
    </row>
    <row r="155" spans="12:95" x14ac:dyDescent="0.45">
      <c r="L155" s="49">
        <f t="shared" si="284"/>
        <v>98.666666666666671</v>
      </c>
      <c r="Q155" s="49">
        <v>148</v>
      </c>
      <c r="R155" s="278">
        <f t="shared" si="228"/>
        <v>19.733333333333334</v>
      </c>
      <c r="S155" s="201">
        <f t="shared" si="229"/>
        <v>42</v>
      </c>
      <c r="T155" s="206">
        <f t="shared" si="230"/>
        <v>0.46984126984126984</v>
      </c>
      <c r="U155" s="205">
        <f t="shared" si="231"/>
        <v>2</v>
      </c>
      <c r="V155" s="201">
        <f t="shared" si="232"/>
        <v>0.45955882352941174</v>
      </c>
      <c r="W155" s="201">
        <f t="shared" si="233"/>
        <v>0.54044117647058831</v>
      </c>
      <c r="X155" s="201">
        <f t="shared" si="253"/>
        <v>0</v>
      </c>
      <c r="Y155" s="205">
        <f t="shared" si="254"/>
        <v>1.0223746031746033</v>
      </c>
      <c r="Z155" s="201">
        <f t="shared" si="234"/>
        <v>0.30637254901960786</v>
      </c>
      <c r="AA155" s="201">
        <f t="shared" si="255"/>
        <v>1.1755608776844073</v>
      </c>
      <c r="AB155" s="206">
        <f t="shared" si="235"/>
        <v>0.69566403977922708</v>
      </c>
      <c r="AC155" s="205">
        <v>0</v>
      </c>
      <c r="AD155" s="201">
        <f t="shared" si="236"/>
        <v>2.4197422812097705E-2</v>
      </c>
      <c r="AE155" s="206">
        <f t="shared" si="256"/>
        <v>2.4197422812097705E-2</v>
      </c>
      <c r="AF155" s="58">
        <f t="shared" si="237"/>
        <v>0.39466666666666672</v>
      </c>
      <c r="AG155" s="61">
        <f t="shared" si="238"/>
        <v>0.39466666666666672</v>
      </c>
      <c r="AH155" s="58">
        <f t="shared" si="239"/>
        <v>6.4365144680179884E-2</v>
      </c>
      <c r="AI155" s="49">
        <f t="shared" si="240"/>
        <v>3.837770150495631</v>
      </c>
      <c r="AJ155" s="61">
        <f t="shared" si="257"/>
        <v>3.9021352951758108</v>
      </c>
      <c r="AK155" s="269">
        <f t="shared" si="241"/>
        <v>19.733333333333334</v>
      </c>
      <c r="AL155" s="268">
        <f t="shared" si="242"/>
        <v>5</v>
      </c>
      <c r="AM155" s="270">
        <f t="shared" si="258"/>
        <v>3.9466666666666668</v>
      </c>
      <c r="AN155" s="269">
        <f t="shared" si="259"/>
        <v>2</v>
      </c>
      <c r="AO155" s="268">
        <f t="shared" si="260"/>
        <v>0.54044117647058831</v>
      </c>
      <c r="AP155" s="268">
        <f t="shared" si="261"/>
        <v>7.3026757369614508</v>
      </c>
      <c r="AQ155" s="268">
        <f t="shared" si="262"/>
        <v>2.1883753501400562</v>
      </c>
      <c r="AR155" s="268">
        <f t="shared" si="285"/>
        <v>8.3968634120314789</v>
      </c>
      <c r="AS155" s="270">
        <f t="shared" si="286"/>
        <v>5.38859048124064</v>
      </c>
      <c r="AT155" s="269"/>
      <c r="AU155" s="268">
        <f t="shared" si="263"/>
        <v>0.1557617777777778</v>
      </c>
      <c r="AV155" s="270">
        <f t="shared" si="287"/>
        <v>0.1557617777777778</v>
      </c>
      <c r="AW155" s="269">
        <f t="shared" si="264"/>
        <v>0.11424000000000001</v>
      </c>
      <c r="AX155" s="268">
        <f t="shared" si="265"/>
        <v>1.9733333333333334</v>
      </c>
      <c r="AY155" s="270">
        <f t="shared" si="288"/>
        <v>2.0875733333333333</v>
      </c>
      <c r="AZ155" s="263">
        <f t="shared" si="243"/>
        <v>0</v>
      </c>
      <c r="BA155" s="262">
        <f t="shared" si="244"/>
        <v>0</v>
      </c>
      <c r="BB155" s="262">
        <f t="shared" si="289"/>
        <v>0</v>
      </c>
      <c r="BC155" s="264" t="e">
        <f t="shared" si="266"/>
        <v>#DIV/0!</v>
      </c>
      <c r="BD155" s="263">
        <v>0</v>
      </c>
      <c r="BE155" s="262">
        <f t="shared" si="267"/>
        <v>0</v>
      </c>
      <c r="BF155" s="264">
        <f t="shared" si="290"/>
        <v>0</v>
      </c>
      <c r="BG155" s="263">
        <f t="shared" si="268"/>
        <v>0</v>
      </c>
      <c r="BH155" s="262">
        <f t="shared" si="269"/>
        <v>0</v>
      </c>
      <c r="BI155" s="264">
        <f t="shared" si="270"/>
        <v>0</v>
      </c>
      <c r="BK155" s="258">
        <f t="shared" si="245"/>
        <v>0</v>
      </c>
      <c r="BL155" s="257">
        <f t="shared" si="246"/>
        <v>0</v>
      </c>
      <c r="BM155" s="257">
        <f t="shared" si="247"/>
        <v>0</v>
      </c>
      <c r="BN155" s="259">
        <f t="shared" si="271"/>
        <v>0</v>
      </c>
      <c r="BO155" s="258">
        <v>0</v>
      </c>
      <c r="BP155" s="257">
        <f t="shared" si="272"/>
        <v>0</v>
      </c>
      <c r="BQ155" s="259">
        <f t="shared" si="291"/>
        <v>0</v>
      </c>
      <c r="BR155" s="258">
        <f t="shared" si="273"/>
        <v>0</v>
      </c>
      <c r="BS155" s="257">
        <f t="shared" si="274"/>
        <v>0</v>
      </c>
      <c r="BT155" s="259">
        <f t="shared" si="292"/>
        <v>0</v>
      </c>
      <c r="BU155" s="275">
        <f t="shared" si="248"/>
        <v>0</v>
      </c>
      <c r="BV155" s="274">
        <f t="shared" si="249"/>
        <v>0</v>
      </c>
      <c r="BW155" s="274">
        <f t="shared" si="250"/>
        <v>0</v>
      </c>
      <c r="BX155" s="276">
        <f t="shared" si="275"/>
        <v>0</v>
      </c>
      <c r="BY155" s="275">
        <v>0</v>
      </c>
      <c r="BZ155" s="274">
        <f t="shared" si="276"/>
        <v>0</v>
      </c>
      <c r="CA155" s="276">
        <f t="shared" si="293"/>
        <v>0</v>
      </c>
      <c r="CB155" s="275">
        <f t="shared" si="277"/>
        <v>0</v>
      </c>
      <c r="CC155" s="274">
        <f t="shared" si="278"/>
        <v>0</v>
      </c>
      <c r="CD155" s="276">
        <f t="shared" si="294"/>
        <v>0</v>
      </c>
      <c r="CE155" s="58">
        <f t="shared" si="279"/>
        <v>9.1950206685971272E-2</v>
      </c>
      <c r="CF155" s="49">
        <f t="shared" si="251"/>
        <v>7.3499999999999996E-2</v>
      </c>
      <c r="CG155" s="61">
        <f t="shared" si="295"/>
        <v>3.2340000000000001E-2</v>
      </c>
      <c r="CH155" s="49">
        <f t="shared" si="296"/>
        <v>2.4197422812097705E-2</v>
      </c>
      <c r="CI155" s="49">
        <f t="shared" si="297"/>
        <v>7.1567913691183236</v>
      </c>
      <c r="CJ155" s="49">
        <f t="shared" si="280"/>
        <v>73.385056974221413</v>
      </c>
      <c r="CN155" s="49">
        <f t="shared" si="281"/>
        <v>2.0875733333333333</v>
      </c>
      <c r="CO155" s="49">
        <f t="shared" si="282"/>
        <v>0</v>
      </c>
      <c r="CP155" s="49">
        <f t="shared" si="283"/>
        <v>0</v>
      </c>
      <c r="CQ155" s="49" t="str">
        <f t="shared" si="252"/>
        <v/>
      </c>
    </row>
    <row r="156" spans="12:95" x14ac:dyDescent="0.45">
      <c r="L156" s="49">
        <f t="shared" si="284"/>
        <v>99.333333333333343</v>
      </c>
      <c r="Q156" s="49">
        <v>149</v>
      </c>
      <c r="R156" s="278">
        <f t="shared" si="228"/>
        <v>19.866666666666667</v>
      </c>
      <c r="S156" s="201">
        <f t="shared" si="229"/>
        <v>42</v>
      </c>
      <c r="T156" s="206">
        <f t="shared" si="230"/>
        <v>0.473015873015873</v>
      </c>
      <c r="U156" s="205">
        <f t="shared" si="231"/>
        <v>2</v>
      </c>
      <c r="V156" s="201">
        <f t="shared" si="232"/>
        <v>0.45955882352941174</v>
      </c>
      <c r="W156" s="201">
        <f t="shared" si="233"/>
        <v>0.54044117647058831</v>
      </c>
      <c r="X156" s="201">
        <f t="shared" si="253"/>
        <v>0</v>
      </c>
      <c r="Y156" s="205">
        <f t="shared" si="254"/>
        <v>1.0292825396825398</v>
      </c>
      <c r="Z156" s="201">
        <f t="shared" si="234"/>
        <v>0.30637254901960786</v>
      </c>
      <c r="AA156" s="201">
        <f t="shared" si="255"/>
        <v>1.1824688141923438</v>
      </c>
      <c r="AB156" s="206">
        <f t="shared" si="235"/>
        <v>0.70032967488238396</v>
      </c>
      <c r="AC156" s="205">
        <v>0</v>
      </c>
      <c r="AD156" s="201">
        <f t="shared" si="236"/>
        <v>2.4523082676043282E-2</v>
      </c>
      <c r="AE156" s="206">
        <f t="shared" si="256"/>
        <v>2.4523082676043282E-2</v>
      </c>
      <c r="AF156" s="58">
        <f t="shared" si="237"/>
        <v>0.39733333333333337</v>
      </c>
      <c r="AG156" s="61">
        <f t="shared" si="238"/>
        <v>0.39733333333333337</v>
      </c>
      <c r="AH156" s="58">
        <f t="shared" si="239"/>
        <v>6.5231399918275132E-2</v>
      </c>
      <c r="AI156" s="49">
        <f t="shared" si="240"/>
        <v>3.8637010298908723</v>
      </c>
      <c r="AJ156" s="61">
        <f t="shared" si="257"/>
        <v>3.9289324298091475</v>
      </c>
      <c r="AK156" s="269">
        <f t="shared" si="241"/>
        <v>19.866666666666667</v>
      </c>
      <c r="AL156" s="268">
        <f t="shared" si="242"/>
        <v>5</v>
      </c>
      <c r="AM156" s="270">
        <f t="shared" si="258"/>
        <v>3.9733333333333336</v>
      </c>
      <c r="AN156" s="269">
        <f t="shared" si="259"/>
        <v>2</v>
      </c>
      <c r="AO156" s="268">
        <f t="shared" si="260"/>
        <v>0.54044117647058831</v>
      </c>
      <c r="AP156" s="268">
        <f t="shared" si="261"/>
        <v>7.3520181405895686</v>
      </c>
      <c r="AQ156" s="268">
        <f t="shared" si="262"/>
        <v>2.1883753501400562</v>
      </c>
      <c r="AR156" s="268">
        <f t="shared" si="285"/>
        <v>8.4462058156595958</v>
      </c>
      <c r="AS156" s="270">
        <f t="shared" si="286"/>
        <v>5.424730335348654</v>
      </c>
      <c r="AT156" s="269"/>
      <c r="AU156" s="268">
        <f t="shared" si="263"/>
        <v>0.15787377777777781</v>
      </c>
      <c r="AV156" s="270">
        <f t="shared" si="287"/>
        <v>0.15787377777777781</v>
      </c>
      <c r="AW156" s="269">
        <f t="shared" si="264"/>
        <v>0.11424000000000001</v>
      </c>
      <c r="AX156" s="268">
        <f t="shared" si="265"/>
        <v>1.9866666666666668</v>
      </c>
      <c r="AY156" s="270">
        <f t="shared" si="288"/>
        <v>2.1009066666666669</v>
      </c>
      <c r="AZ156" s="263">
        <f t="shared" si="243"/>
        <v>0</v>
      </c>
      <c r="BA156" s="262">
        <f t="shared" si="244"/>
        <v>0</v>
      </c>
      <c r="BB156" s="262">
        <f t="shared" si="289"/>
        <v>0</v>
      </c>
      <c r="BC156" s="264" t="e">
        <f t="shared" si="266"/>
        <v>#DIV/0!</v>
      </c>
      <c r="BD156" s="263">
        <v>0</v>
      </c>
      <c r="BE156" s="262">
        <f t="shared" si="267"/>
        <v>0</v>
      </c>
      <c r="BF156" s="264">
        <f t="shared" si="290"/>
        <v>0</v>
      </c>
      <c r="BG156" s="263">
        <f t="shared" si="268"/>
        <v>0</v>
      </c>
      <c r="BH156" s="262">
        <f t="shared" si="269"/>
        <v>0</v>
      </c>
      <c r="BI156" s="264">
        <f t="shared" si="270"/>
        <v>0</v>
      </c>
      <c r="BK156" s="258">
        <f t="shared" si="245"/>
        <v>0</v>
      </c>
      <c r="BL156" s="257">
        <f t="shared" si="246"/>
        <v>0</v>
      </c>
      <c r="BM156" s="257">
        <f t="shared" si="247"/>
        <v>0</v>
      </c>
      <c r="BN156" s="259">
        <f t="shared" si="271"/>
        <v>0</v>
      </c>
      <c r="BO156" s="258">
        <v>0</v>
      </c>
      <c r="BP156" s="257">
        <f t="shared" si="272"/>
        <v>0</v>
      </c>
      <c r="BQ156" s="259">
        <f t="shared" si="291"/>
        <v>0</v>
      </c>
      <c r="BR156" s="258">
        <f t="shared" si="273"/>
        <v>0</v>
      </c>
      <c r="BS156" s="257">
        <f t="shared" si="274"/>
        <v>0</v>
      </c>
      <c r="BT156" s="259">
        <f t="shared" si="292"/>
        <v>0</v>
      </c>
      <c r="BU156" s="275">
        <f t="shared" si="248"/>
        <v>0</v>
      </c>
      <c r="BV156" s="274">
        <f t="shared" si="249"/>
        <v>0</v>
      </c>
      <c r="BW156" s="274">
        <f t="shared" si="250"/>
        <v>0</v>
      </c>
      <c r="BX156" s="276">
        <f t="shared" si="275"/>
        <v>0</v>
      </c>
      <c r="BY156" s="275">
        <v>0</v>
      </c>
      <c r="BZ156" s="274">
        <f t="shared" si="276"/>
        <v>0</v>
      </c>
      <c r="CA156" s="276">
        <f t="shared" si="293"/>
        <v>0</v>
      </c>
      <c r="CB156" s="275">
        <f t="shared" si="277"/>
        <v>0</v>
      </c>
      <c r="CC156" s="274">
        <f t="shared" si="278"/>
        <v>0</v>
      </c>
      <c r="CD156" s="276">
        <f t="shared" si="294"/>
        <v>0</v>
      </c>
      <c r="CE156" s="58">
        <f t="shared" si="279"/>
        <v>9.3187714168964472E-2</v>
      </c>
      <c r="CF156" s="49">
        <f t="shared" si="251"/>
        <v>7.3499999999999996E-2</v>
      </c>
      <c r="CG156" s="61">
        <f t="shared" si="295"/>
        <v>3.2340000000000001E-2</v>
      </c>
      <c r="CH156" s="49">
        <f t="shared" si="296"/>
        <v>2.4523082676043282E-2</v>
      </c>
      <c r="CI156" s="49">
        <f t="shared" si="297"/>
        <v>7.2059303377652659</v>
      </c>
      <c r="CJ156" s="49">
        <f t="shared" si="280"/>
        <v>73.382936492625305</v>
      </c>
      <c r="CN156" s="49">
        <f t="shared" si="281"/>
        <v>2.1009066666666669</v>
      </c>
      <c r="CO156" s="49">
        <f t="shared" si="282"/>
        <v>0</v>
      </c>
      <c r="CP156" s="49">
        <f t="shared" si="283"/>
        <v>0</v>
      </c>
      <c r="CQ156" s="49" t="str">
        <f t="shared" si="252"/>
        <v/>
      </c>
    </row>
    <row r="157" spans="12:95" ht="14.65" thickBot="1" x14ac:dyDescent="0.5">
      <c r="L157" s="49">
        <f t="shared" si="284"/>
        <v>100</v>
      </c>
      <c r="Q157" s="49">
        <v>150</v>
      </c>
      <c r="R157" s="278">
        <f>AK157+AZ157+BK157+BU157</f>
        <v>20</v>
      </c>
      <c r="S157" s="208">
        <f t="shared" si="229"/>
        <v>42</v>
      </c>
      <c r="T157" s="209">
        <f t="shared" si="230"/>
        <v>0.47619047619047616</v>
      </c>
      <c r="U157" s="207">
        <f t="shared" si="231"/>
        <v>2</v>
      </c>
      <c r="V157" s="208">
        <f t="shared" si="232"/>
        <v>0.45955882352941174</v>
      </c>
      <c r="W157" s="208">
        <f t="shared" si="233"/>
        <v>0.54044117647058831</v>
      </c>
      <c r="X157" s="208">
        <f t="shared" si="253"/>
        <v>0</v>
      </c>
      <c r="Y157" s="207">
        <f t="shared" si="254"/>
        <v>1.0361904761904763</v>
      </c>
      <c r="Z157" s="208">
        <f t="shared" si="234"/>
        <v>0.30637254901960786</v>
      </c>
      <c r="AA157" s="208">
        <f>Y157+(Z157/2)</f>
        <v>1.1893767507002804</v>
      </c>
      <c r="AB157" s="209">
        <f t="shared" si="235"/>
        <v>0.70499553949944482</v>
      </c>
      <c r="AC157" s="207">
        <v>0</v>
      </c>
      <c r="AD157" s="208">
        <f t="shared" si="236"/>
        <v>2.4850935535705665E-2</v>
      </c>
      <c r="AE157" s="209">
        <f t="shared" si="256"/>
        <v>2.4850935535705665E-2</v>
      </c>
      <c r="AF157" s="58">
        <f t="shared" si="237"/>
        <v>0.4</v>
      </c>
      <c r="AG157" s="63">
        <f t="shared" si="238"/>
        <v>0.4</v>
      </c>
      <c r="AH157" s="62">
        <f t="shared" si="239"/>
        <v>6.6103488524977064E-2</v>
      </c>
      <c r="AI157" s="49">
        <f t="shared" si="240"/>
        <v>3.8896319092861131</v>
      </c>
      <c r="AJ157" s="63">
        <f t="shared" si="257"/>
        <v>3.9557353978110901</v>
      </c>
      <c r="AK157" s="271">
        <f t="shared" si="241"/>
        <v>20</v>
      </c>
      <c r="AL157" s="272">
        <f t="shared" si="242"/>
        <v>5</v>
      </c>
      <c r="AM157" s="273">
        <f t="shared" si="258"/>
        <v>4</v>
      </c>
      <c r="AN157" s="271">
        <f t="shared" si="259"/>
        <v>2</v>
      </c>
      <c r="AO157" s="272">
        <f t="shared" si="260"/>
        <v>0.5404411764705882</v>
      </c>
      <c r="AP157" s="272">
        <f t="shared" si="261"/>
        <v>7.4013605442176882</v>
      </c>
      <c r="AQ157" s="272">
        <f t="shared" si="262"/>
        <v>2.1883753501400558</v>
      </c>
      <c r="AR157" s="272">
        <f t="shared" si="285"/>
        <v>8.4955482192877163</v>
      </c>
      <c r="AS157" s="273">
        <f t="shared" si="286"/>
        <v>5.460871967263726</v>
      </c>
      <c r="AT157" s="269"/>
      <c r="AU157" s="268">
        <f t="shared" si="263"/>
        <v>0.16</v>
      </c>
      <c r="AV157" s="270">
        <f t="shared" si="287"/>
        <v>0.16</v>
      </c>
      <c r="AW157" s="269">
        <f t="shared" si="264"/>
        <v>0.11424000000000001</v>
      </c>
      <c r="AX157" s="268">
        <f t="shared" si="265"/>
        <v>2</v>
      </c>
      <c r="AY157" s="270">
        <f t="shared" si="288"/>
        <v>2.1142400000000001</v>
      </c>
      <c r="AZ157" s="265">
        <f t="shared" si="243"/>
        <v>0</v>
      </c>
      <c r="BA157" s="266">
        <f t="shared" si="244"/>
        <v>0</v>
      </c>
      <c r="BB157" s="262">
        <f t="shared" si="289"/>
        <v>0</v>
      </c>
      <c r="BC157" s="264" t="e">
        <f t="shared" si="266"/>
        <v>#DIV/0!</v>
      </c>
      <c r="BD157" s="263">
        <v>0</v>
      </c>
      <c r="BE157" s="262">
        <f t="shared" si="267"/>
        <v>0</v>
      </c>
      <c r="BF157" s="264">
        <f t="shared" si="290"/>
        <v>0</v>
      </c>
      <c r="BG157" s="263">
        <f t="shared" si="268"/>
        <v>0</v>
      </c>
      <c r="BH157" s="262">
        <f t="shared" si="269"/>
        <v>0</v>
      </c>
      <c r="BI157" s="267">
        <f t="shared" si="270"/>
        <v>0</v>
      </c>
      <c r="BJ157" s="55"/>
      <c r="BK157" s="260">
        <f t="shared" si="245"/>
        <v>0</v>
      </c>
      <c r="BL157" s="261">
        <f t="shared" si="246"/>
        <v>0</v>
      </c>
      <c r="BM157" s="261">
        <f t="shared" si="247"/>
        <v>0</v>
      </c>
      <c r="BN157" s="259">
        <f t="shared" si="271"/>
        <v>0</v>
      </c>
      <c r="BO157" s="258">
        <v>0</v>
      </c>
      <c r="BP157" s="257">
        <f t="shared" si="272"/>
        <v>0</v>
      </c>
      <c r="BQ157" s="259">
        <f t="shared" si="291"/>
        <v>0</v>
      </c>
      <c r="BR157" s="258">
        <f t="shared" si="273"/>
        <v>0</v>
      </c>
      <c r="BS157" s="257">
        <f t="shared" si="274"/>
        <v>0</v>
      </c>
      <c r="BT157" s="259">
        <f t="shared" si="292"/>
        <v>0</v>
      </c>
      <c r="BU157" s="275">
        <f t="shared" si="248"/>
        <v>0</v>
      </c>
      <c r="BV157" s="274">
        <f t="shared" si="249"/>
        <v>0</v>
      </c>
      <c r="BW157" s="274">
        <f t="shared" si="250"/>
        <v>0</v>
      </c>
      <c r="BX157" s="276">
        <f t="shared" si="275"/>
        <v>0</v>
      </c>
      <c r="BY157" s="275">
        <v>0</v>
      </c>
      <c r="BZ157" s="274">
        <f t="shared" si="276"/>
        <v>0</v>
      </c>
      <c r="CA157" s="276">
        <f t="shared" si="293"/>
        <v>0</v>
      </c>
      <c r="CB157" s="275">
        <f t="shared" si="277"/>
        <v>0</v>
      </c>
      <c r="CC157" s="274">
        <f t="shared" si="278"/>
        <v>0</v>
      </c>
      <c r="CD157" s="276">
        <f t="shared" si="294"/>
        <v>0</v>
      </c>
      <c r="CE157" s="58">
        <f t="shared" si="279"/>
        <v>9.4433555035681516E-2</v>
      </c>
      <c r="CF157" s="49">
        <f t="shared" si="251"/>
        <v>7.3499999999999996E-2</v>
      </c>
      <c r="CG157" s="61">
        <f t="shared" si="295"/>
        <v>3.2340000000000001E-2</v>
      </c>
      <c r="CH157" s="49">
        <f t="shared" si="296"/>
        <v>2.4850935535705665E-2</v>
      </c>
      <c r="CI157" s="49">
        <f t="shared" si="297"/>
        <v>7.2550998883824782</v>
      </c>
      <c r="CJ157" s="49">
        <f t="shared" si="280"/>
        <v>73.380762066203346</v>
      </c>
      <c r="CN157" s="49">
        <f t="shared" si="281"/>
        <v>2.1142400000000001</v>
      </c>
      <c r="CO157" s="49">
        <f t="shared" si="282"/>
        <v>0</v>
      </c>
      <c r="CP157" s="49">
        <f t="shared" si="283"/>
        <v>0</v>
      </c>
      <c r="CQ157" s="49" t="str">
        <f t="shared" si="252"/>
        <v/>
      </c>
    </row>
  </sheetData>
  <mergeCells count="23">
    <mergeCell ref="BK4:BT4"/>
    <mergeCell ref="AF5:AG5"/>
    <mergeCell ref="R4:T5"/>
    <mergeCell ref="BK5:BN5"/>
    <mergeCell ref="CE5:CG5"/>
    <mergeCell ref="BD5:BF5"/>
    <mergeCell ref="AZ5:BC5"/>
    <mergeCell ref="BG5:BI5"/>
    <mergeCell ref="AZ4:BI4"/>
    <mergeCell ref="BO5:BQ5"/>
    <mergeCell ref="BR5:BT5"/>
    <mergeCell ref="BU4:CD4"/>
    <mergeCell ref="BU5:BX5"/>
    <mergeCell ref="BY5:CA5"/>
    <mergeCell ref="CB5:CD5"/>
    <mergeCell ref="A1:M1"/>
    <mergeCell ref="AH5:AJ5"/>
    <mergeCell ref="U4:AE4"/>
    <mergeCell ref="AK4:AY4"/>
    <mergeCell ref="AK5:AM5"/>
    <mergeCell ref="AN5:AS5"/>
    <mergeCell ref="AT5:AV5"/>
    <mergeCell ref="AW5:AY5"/>
  </mergeCells>
  <conditionalFormatting sqref="CP1:CP1048576">
    <cfRule type="expression" dxfId="0" priority="1">
      <formula>num_VOUT&lt;3</formula>
    </cfRule>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C12"/>
  <sheetViews>
    <sheetView zoomScale="70" zoomScaleNormal="70" workbookViewId="0">
      <selection activeCell="B2" sqref="B2"/>
    </sheetView>
  </sheetViews>
  <sheetFormatPr defaultColWidth="9.265625" defaultRowHeight="14.25" x14ac:dyDescent="0.45"/>
  <cols>
    <col min="1" max="2" width="9.265625" style="49"/>
    <col min="3" max="3" width="145.86328125" style="195" customWidth="1"/>
    <col min="4" max="16384" width="9.265625" style="49"/>
  </cols>
  <sheetData>
    <row r="2" spans="2:2" x14ac:dyDescent="0.45">
      <c r="B2" s="49" t="str">
        <f>CHOOSE(Variable_Management!B14,"Eff_OUT_1","Eff_OUT_2","Eff_OUT_3","Eff_OUT_4")</f>
        <v>Eff_OUT_1</v>
      </c>
    </row>
    <row r="3" spans="2:2" ht="379.7" customHeight="1" x14ac:dyDescent="0.45"/>
    <row r="6" spans="2:2" ht="379.7" customHeight="1" x14ac:dyDescent="0.45"/>
    <row r="9" spans="2:2" ht="379.9" customHeight="1" x14ac:dyDescent="0.45"/>
    <row r="12" spans="2:2" ht="380.1" customHeight="1" x14ac:dyDescent="0.45"/>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16"/>
  <sheetViews>
    <sheetView zoomScale="85" workbookViewId="0">
      <selection activeCell="M2" sqref="M2:M5"/>
    </sheetView>
  </sheetViews>
  <sheetFormatPr defaultRowHeight="14.25" x14ac:dyDescent="0.45"/>
  <cols>
    <col min="1" max="1" width="28.3984375" bestFit="1" customWidth="1"/>
    <col min="9" max="9" width="16.59765625" bestFit="1" customWidth="1"/>
  </cols>
  <sheetData>
    <row r="1" spans="1:12" x14ac:dyDescent="0.45">
      <c r="I1" t="s">
        <v>491</v>
      </c>
    </row>
    <row r="2" spans="1:12" x14ac:dyDescent="0.45">
      <c r="A2" t="s">
        <v>371</v>
      </c>
      <c r="F2" t="s">
        <v>410</v>
      </c>
      <c r="I2" s="31" t="s">
        <v>492</v>
      </c>
      <c r="J2">
        <v>1</v>
      </c>
      <c r="L2" t="s">
        <v>797</v>
      </c>
    </row>
    <row r="3" spans="1:12" x14ac:dyDescent="0.45">
      <c r="B3">
        <f>VIN_min</f>
        <v>36</v>
      </c>
      <c r="F3" t="s">
        <v>410</v>
      </c>
      <c r="G3">
        <v>1</v>
      </c>
      <c r="I3" s="31" t="s">
        <v>493</v>
      </c>
      <c r="J3">
        <v>2</v>
      </c>
      <c r="L3" t="s">
        <v>798</v>
      </c>
    </row>
    <row r="4" spans="1:12" x14ac:dyDescent="0.45">
      <c r="B4">
        <f>VIN_nom</f>
        <v>42</v>
      </c>
      <c r="D4">
        <v>2.5</v>
      </c>
      <c r="G4">
        <v>0</v>
      </c>
      <c r="I4" s="31" t="s">
        <v>796</v>
      </c>
      <c r="J4">
        <v>3</v>
      </c>
      <c r="L4" t="s">
        <v>609</v>
      </c>
    </row>
    <row r="5" spans="1:12" x14ac:dyDescent="0.45">
      <c r="B5">
        <f>VIN_max</f>
        <v>57</v>
      </c>
    </row>
    <row r="9" spans="1:12" x14ac:dyDescent="0.45">
      <c r="A9" s="31" t="s">
        <v>676</v>
      </c>
      <c r="B9" s="26"/>
      <c r="C9" s="31"/>
      <c r="D9" s="31"/>
      <c r="E9" s="31"/>
      <c r="F9" s="31"/>
    </row>
    <row r="10" spans="1:12" x14ac:dyDescent="0.45">
      <c r="A10" s="31" t="s">
        <v>677</v>
      </c>
      <c r="B10" s="243">
        <f>Isw_lim_57</f>
        <v>6.5</v>
      </c>
      <c r="C10" s="31" t="s">
        <v>10</v>
      </c>
      <c r="D10" s="31"/>
      <c r="E10" s="31"/>
      <c r="F10" s="31"/>
    </row>
    <row r="11" spans="1:12" x14ac:dyDescent="0.45">
      <c r="A11" s="31" t="s">
        <v>664</v>
      </c>
      <c r="B11" s="243">
        <f>Isw_lim_571</f>
        <v>4.33</v>
      </c>
      <c r="C11" s="31" t="s">
        <v>10</v>
      </c>
      <c r="D11" s="31"/>
      <c r="E11" s="31"/>
      <c r="F11" s="31"/>
    </row>
    <row r="12" spans="1:12" x14ac:dyDescent="0.45">
      <c r="A12" s="31" t="s">
        <v>678</v>
      </c>
      <c r="B12" s="243">
        <f>Isw_lim_58</f>
        <v>3</v>
      </c>
      <c r="C12" s="31" t="s">
        <v>10</v>
      </c>
      <c r="D12" s="31"/>
      <c r="E12" s="31"/>
    </row>
    <row r="13" spans="1:12" x14ac:dyDescent="0.45">
      <c r="A13" s="31" t="s">
        <v>679</v>
      </c>
      <c r="B13" s="243">
        <f>Isw_lim_581</f>
        <v>1.5</v>
      </c>
      <c r="C13" s="31" t="s">
        <v>10</v>
      </c>
      <c r="D13" s="31"/>
      <c r="E13" s="31"/>
    </row>
    <row r="14" spans="1:12" x14ac:dyDescent="0.45">
      <c r="A14" s="31"/>
      <c r="B14" s="26"/>
      <c r="C14" s="31"/>
      <c r="D14" s="31"/>
      <c r="E14" s="31"/>
      <c r="F14" s="31"/>
    </row>
    <row r="15" spans="1:12" x14ac:dyDescent="0.45">
      <c r="A15" s="31" t="s">
        <v>680</v>
      </c>
      <c r="B15" s="1">
        <f>IF(OR('Design Converter'!H28="LM5158",'Design Converter'!H28="LM51581"),Vin_op_max_58,VIN_op_max)</f>
        <v>45</v>
      </c>
      <c r="C15" s="31" t="s">
        <v>9</v>
      </c>
      <c r="D15" s="31"/>
      <c r="E15" s="31" t="s">
        <v>682</v>
      </c>
    </row>
    <row r="16" spans="1:12" x14ac:dyDescent="0.45">
      <c r="A16" s="31" t="s">
        <v>681</v>
      </c>
      <c r="B16" s="1">
        <f>IF(OR('Design Converter'!H26="LM5158",'Design Converter'!H26="LM51581"),Vout_op_max_58,Vout_op_max_57)</f>
        <v>48</v>
      </c>
      <c r="C16" s="31" t="s">
        <v>9</v>
      </c>
      <c r="D16" s="31"/>
      <c r="E16" s="31" t="s">
        <v>683</v>
      </c>
    </row>
  </sheetData>
  <dataValidations count="3">
    <dataValidation type="list" allowBlank="1" showInputMessage="1" showErrorMessage="1" sqref="D4" xr:uid="{00000000-0002-0000-0700-000000000000}">
      <formula1>$B$3:$B$5</formula1>
    </dataValidation>
    <dataValidation type="decimal" allowBlank="1" showInputMessage="1" showErrorMessage="1" sqref="F4" xr:uid="{00000000-0002-0000-0700-000001000000}">
      <formula1>B3</formula1>
      <formula2>B5</formula2>
    </dataValidation>
    <dataValidation type="list" showDropDown="1" showInputMessage="1" showErrorMessage="1" sqref="I15" xr:uid="{00000000-0002-0000-0700-000002000000}">
      <formula1>$B$3:$B$5</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16"/>
  <sheetViews>
    <sheetView zoomScale="55" zoomScaleNormal="55" workbookViewId="0">
      <selection activeCell="M64" sqref="M64"/>
    </sheetView>
  </sheetViews>
  <sheetFormatPr defaultColWidth="9.265625" defaultRowHeight="14.25" x14ac:dyDescent="0.45"/>
  <cols>
    <col min="1" max="1" width="14.86328125" style="222" bestFit="1" customWidth="1"/>
    <col min="2" max="2" width="91.59765625" style="223" customWidth="1"/>
    <col min="3" max="3" width="9.265625" style="222"/>
    <col min="4" max="4" width="91.73046875" style="222" customWidth="1"/>
    <col min="5" max="5" width="9.265625" style="222"/>
    <col min="6" max="6" width="91.73046875" style="222" customWidth="1"/>
    <col min="7" max="7" width="9.265625" style="222"/>
    <col min="8" max="8" width="91.73046875" style="222" customWidth="1"/>
    <col min="9" max="9" width="9.265625" style="222"/>
    <col min="10" max="10" width="91.86328125" style="222" customWidth="1"/>
    <col min="11" max="11" width="9.265625" style="222"/>
    <col min="12" max="12" width="91.86328125" style="222" customWidth="1"/>
    <col min="13" max="13" width="9.265625" style="222"/>
    <col min="14" max="14" width="91.86328125" style="222" customWidth="1"/>
    <col min="15" max="15" width="9.265625" style="222"/>
    <col min="16" max="16" width="91.86328125" style="222" customWidth="1"/>
    <col min="17" max="17" width="9.265625" style="222"/>
    <col min="18" max="18" width="91.86328125" style="222" customWidth="1"/>
    <col min="19" max="19" width="9.265625" style="222"/>
    <col min="20" max="20" width="91.86328125" style="222" customWidth="1"/>
    <col min="21" max="21" width="9.265625" style="222"/>
    <col min="22" max="22" width="91.86328125" style="222" customWidth="1"/>
    <col min="23" max="23" width="9.265625" style="222"/>
    <col min="24" max="24" width="91.86328125" style="222" customWidth="1"/>
    <col min="25" max="25" width="9.265625" style="222"/>
    <col min="26" max="26" width="91.86328125" style="222" customWidth="1"/>
    <col min="27" max="27" width="9.265625" style="222"/>
    <col min="28" max="28" width="91.86328125" style="222" customWidth="1"/>
    <col min="29" max="16384" width="9.265625" style="222"/>
  </cols>
  <sheetData>
    <row r="1" spans="1:7" x14ac:dyDescent="0.45">
      <c r="A1" s="229" t="str">
        <f>CHOOSE(FB_type,A5,A2,A7)</f>
        <v>sch_ISO_1</v>
      </c>
      <c r="B1" s="230"/>
      <c r="C1" s="229"/>
      <c r="D1" s="229"/>
      <c r="E1" s="229"/>
      <c r="F1" s="229"/>
      <c r="G1" s="226"/>
    </row>
    <row r="2" spans="1:7" x14ac:dyDescent="0.45">
      <c r="A2" s="222" t="str">
        <f>CHOOSE(Variable_Management!B13,"sch_nISO_1",IF(A9=2,"sch_nISO_2n1","sch_nISO_2"),CHOOSE(A11,"sch_nISO_3","sch_nISO_3n1","sch_nISO_3n2","sch_nISO_3n3"))</f>
        <v>sch_nISO_1</v>
      </c>
      <c r="G2" s="226"/>
    </row>
    <row r="3" spans="1:7" ht="15.6" customHeight="1" x14ac:dyDescent="0.45">
      <c r="G3" s="226"/>
    </row>
    <row r="4" spans="1:7" ht="409.5" customHeight="1" x14ac:dyDescent="0.45">
      <c r="G4" s="226"/>
    </row>
    <row r="5" spans="1:7" x14ac:dyDescent="0.45">
      <c r="A5" s="222" t="str">
        <f>CHOOSE(Variable_Management!B13,"sch_ISO_1",IF(A9=2,"sch_ISO_2n1","sch_ISO_2"),CHOOSE(A11,"sch_ISO_3","sch_ISO_3n1","sch_ISO_3n2","sch_ISO_3n3"))</f>
        <v>sch_ISO_1</v>
      </c>
      <c r="G5" s="226"/>
    </row>
    <row r="6" spans="1:7" ht="409.5" customHeight="1" x14ac:dyDescent="0.45">
      <c r="G6" s="226"/>
    </row>
    <row r="7" spans="1:7" x14ac:dyDescent="0.45">
      <c r="A7" s="227" t="str">
        <f>CHOOSE(Variable_Management!B13,IF('Design Converter'!N14&gt;0,"sch_PSR_1","sch_PSR_1n"),CHOOSE(A11,"sch_PSR_2","sch_PSR_2n1","sch_PSR_2n2","sch_PSR_2n3"),CHOOSE(A16,"sch_PSR_3","sch_PSR_3n1","sch_PSR_3n2","sch_PSR_3n3","sch_PSR_3n4","sch_PSR_3n5","sch_PSR_3n6","sch_PSR_3n7"))</f>
        <v>sch_PSR_1</v>
      </c>
      <c r="B7" s="228"/>
      <c r="C7" s="227"/>
      <c r="D7" s="227"/>
      <c r="E7" s="227"/>
      <c r="F7" s="227"/>
    </row>
    <row r="8" spans="1:7" ht="409.5" customHeight="1" x14ac:dyDescent="0.45">
      <c r="B8" s="253"/>
    </row>
    <row r="9" spans="1:7" x14ac:dyDescent="0.45">
      <c r="A9" s="222">
        <f>IF('Design Converter'!N14&gt;0,0,2)</f>
        <v>0</v>
      </c>
    </row>
    <row r="10" spans="1:7" x14ac:dyDescent="0.45">
      <c r="A10" s="222">
        <f>IF('Design Converter'!N22&gt;0,0,1)</f>
        <v>0</v>
      </c>
    </row>
    <row r="11" spans="1:7" x14ac:dyDescent="0.45">
      <c r="A11" s="222">
        <f>SUM(A9+A10)+1</f>
        <v>1</v>
      </c>
    </row>
    <row r="13" spans="1:7" x14ac:dyDescent="0.45">
      <c r="A13" s="222">
        <f>IF('Design Converter'!N14&gt;0,0,4)</f>
        <v>0</v>
      </c>
    </row>
    <row r="14" spans="1:7" x14ac:dyDescent="0.45">
      <c r="A14" s="222">
        <f>IF('Design Converter'!N22&gt;0,0,2)</f>
        <v>0</v>
      </c>
    </row>
    <row r="15" spans="1:7" x14ac:dyDescent="0.45">
      <c r="A15" s="222">
        <f>IF('Design Converter'!N30&gt;0,0,1)</f>
        <v>0</v>
      </c>
    </row>
    <row r="16" spans="1:7" x14ac:dyDescent="0.45">
      <c r="A16" s="222">
        <f>SUM(A13,A14,A15)+1</f>
        <v>1</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28673" r:id="rId4">
          <objectPr defaultSize="0" autoPict="0" r:id="rId5">
            <anchor moveWithCells="1">
              <from>
                <xdr:col>9</xdr:col>
                <xdr:colOff>0</xdr:colOff>
                <xdr:row>3</xdr:row>
                <xdr:rowOff>0</xdr:rowOff>
              </from>
              <to>
                <xdr:col>9</xdr:col>
                <xdr:colOff>5895975</xdr:colOff>
                <xdr:row>4</xdr:row>
                <xdr:rowOff>9525</xdr:rowOff>
              </to>
            </anchor>
          </objectPr>
        </oleObject>
      </mc:Choice>
      <mc:Fallback>
        <oleObject progId="Visio.Drawing.15" shapeId="28673" r:id="rId4"/>
      </mc:Fallback>
    </mc:AlternateContent>
    <mc:AlternateContent xmlns:mc="http://schemas.openxmlformats.org/markup-compatibility/2006">
      <mc:Choice Requires="x14">
        <oleObject progId="Visio.Drawing.15" shapeId="28674" r:id="rId6">
          <objectPr defaultSize="0" autoPict="0" r:id="rId7">
            <anchor moveWithCells="1">
              <from>
                <xdr:col>11</xdr:col>
                <xdr:colOff>0</xdr:colOff>
                <xdr:row>3</xdr:row>
                <xdr:rowOff>0</xdr:rowOff>
              </from>
              <to>
                <xdr:col>11</xdr:col>
                <xdr:colOff>5895975</xdr:colOff>
                <xdr:row>4</xdr:row>
                <xdr:rowOff>9525</xdr:rowOff>
              </to>
            </anchor>
          </objectPr>
        </oleObject>
      </mc:Choice>
      <mc:Fallback>
        <oleObject progId="Visio.Drawing.15" shapeId="28674" r:id="rId6"/>
      </mc:Fallback>
    </mc:AlternateContent>
    <mc:AlternateContent xmlns:mc="http://schemas.openxmlformats.org/markup-compatibility/2006">
      <mc:Choice Requires="x14">
        <oleObject progId="Visio.Drawing.15" shapeId="28675" r:id="rId8">
          <objectPr defaultSize="0" autoPict="0" r:id="rId9">
            <anchor moveWithCells="1">
              <from>
                <xdr:col>13</xdr:col>
                <xdr:colOff>0</xdr:colOff>
                <xdr:row>3</xdr:row>
                <xdr:rowOff>0</xdr:rowOff>
              </from>
              <to>
                <xdr:col>13</xdr:col>
                <xdr:colOff>5895975</xdr:colOff>
                <xdr:row>4</xdr:row>
                <xdr:rowOff>9525</xdr:rowOff>
              </to>
            </anchor>
          </objectPr>
        </oleObject>
      </mc:Choice>
      <mc:Fallback>
        <oleObject progId="Visio.Drawing.15" shapeId="28675" r:id="rId8"/>
      </mc:Fallback>
    </mc:AlternateContent>
    <mc:AlternateContent xmlns:mc="http://schemas.openxmlformats.org/markup-compatibility/2006">
      <mc:Choice Requires="x14">
        <oleObject progId="Visio.Drawing.15" shapeId="28676" r:id="rId10">
          <objectPr defaultSize="0" autoPict="0" r:id="rId11">
            <anchor moveWithCells="1">
              <from>
                <xdr:col>1</xdr:col>
                <xdr:colOff>0</xdr:colOff>
                <xdr:row>3</xdr:row>
                <xdr:rowOff>0</xdr:rowOff>
              </from>
              <to>
                <xdr:col>1</xdr:col>
                <xdr:colOff>5895975</xdr:colOff>
                <xdr:row>4</xdr:row>
                <xdr:rowOff>9525</xdr:rowOff>
              </to>
            </anchor>
          </objectPr>
        </oleObject>
      </mc:Choice>
      <mc:Fallback>
        <oleObject progId="Visio.Drawing.15" shapeId="28676" r:id="rId10"/>
      </mc:Fallback>
    </mc:AlternateContent>
    <mc:AlternateContent xmlns:mc="http://schemas.openxmlformats.org/markup-compatibility/2006">
      <mc:Choice Requires="x14">
        <oleObject progId="Visio.Drawing.15" shapeId="28678" r:id="rId12">
          <objectPr defaultSize="0" autoPict="0" r:id="rId13">
            <anchor moveWithCells="1">
              <from>
                <xdr:col>3</xdr:col>
                <xdr:colOff>0</xdr:colOff>
                <xdr:row>3</xdr:row>
                <xdr:rowOff>0</xdr:rowOff>
              </from>
              <to>
                <xdr:col>3</xdr:col>
                <xdr:colOff>5895975</xdr:colOff>
                <xdr:row>4</xdr:row>
                <xdr:rowOff>9525</xdr:rowOff>
              </to>
            </anchor>
          </objectPr>
        </oleObject>
      </mc:Choice>
      <mc:Fallback>
        <oleObject progId="Visio.Drawing.15" shapeId="28678" r:id="rId12"/>
      </mc:Fallback>
    </mc:AlternateContent>
    <mc:AlternateContent xmlns:mc="http://schemas.openxmlformats.org/markup-compatibility/2006">
      <mc:Choice Requires="x14">
        <oleObject progId="Visio.Drawing.15" shapeId="28679" r:id="rId14">
          <objectPr defaultSize="0" autoPict="0" r:id="rId15">
            <anchor moveWithCells="1">
              <from>
                <xdr:col>7</xdr:col>
                <xdr:colOff>0</xdr:colOff>
                <xdr:row>3</xdr:row>
                <xdr:rowOff>0</xdr:rowOff>
              </from>
              <to>
                <xdr:col>7</xdr:col>
                <xdr:colOff>5895975</xdr:colOff>
                <xdr:row>4</xdr:row>
                <xdr:rowOff>9525</xdr:rowOff>
              </to>
            </anchor>
          </objectPr>
        </oleObject>
      </mc:Choice>
      <mc:Fallback>
        <oleObject progId="Visio.Drawing.15" shapeId="28679" r:id="rId14"/>
      </mc:Fallback>
    </mc:AlternateContent>
    <mc:AlternateContent xmlns:mc="http://schemas.openxmlformats.org/markup-compatibility/2006">
      <mc:Choice Requires="x14">
        <oleObject progId="Visio.Drawing.15" shapeId="28680" r:id="rId16">
          <objectPr defaultSize="0" autoPict="0" r:id="rId17">
            <anchor moveWithCells="1">
              <from>
                <xdr:col>5</xdr:col>
                <xdr:colOff>0</xdr:colOff>
                <xdr:row>3</xdr:row>
                <xdr:rowOff>0</xdr:rowOff>
              </from>
              <to>
                <xdr:col>5</xdr:col>
                <xdr:colOff>5895975</xdr:colOff>
                <xdr:row>4</xdr:row>
                <xdr:rowOff>9525</xdr:rowOff>
              </to>
            </anchor>
          </objectPr>
        </oleObject>
      </mc:Choice>
      <mc:Fallback>
        <oleObject progId="Visio.Drawing.15" shapeId="28680" r:id="rId16"/>
      </mc:Fallback>
    </mc:AlternateContent>
    <mc:AlternateContent xmlns:mc="http://schemas.openxmlformats.org/markup-compatibility/2006">
      <mc:Choice Requires="x14">
        <oleObject progId="Visio.Drawing.15" shapeId="28681" r:id="rId18">
          <objectPr defaultSize="0" autoPict="0" r:id="rId19">
            <anchor moveWithCells="1">
              <from>
                <xdr:col>1</xdr:col>
                <xdr:colOff>0</xdr:colOff>
                <xdr:row>7</xdr:row>
                <xdr:rowOff>0</xdr:rowOff>
              </from>
              <to>
                <xdr:col>1</xdr:col>
                <xdr:colOff>5895975</xdr:colOff>
                <xdr:row>8</xdr:row>
                <xdr:rowOff>9525</xdr:rowOff>
              </to>
            </anchor>
          </objectPr>
        </oleObject>
      </mc:Choice>
      <mc:Fallback>
        <oleObject progId="Visio.Drawing.15" shapeId="28681" r:id="rId18"/>
      </mc:Fallback>
    </mc:AlternateContent>
    <mc:AlternateContent xmlns:mc="http://schemas.openxmlformats.org/markup-compatibility/2006">
      <mc:Choice Requires="x14">
        <oleObject progId="Visio.Drawing.15" shapeId="28682" r:id="rId20">
          <objectPr defaultSize="0" autoPict="0" r:id="rId21">
            <anchor moveWithCells="1">
              <from>
                <xdr:col>15</xdr:col>
                <xdr:colOff>0</xdr:colOff>
                <xdr:row>7</xdr:row>
                <xdr:rowOff>0</xdr:rowOff>
              </from>
              <to>
                <xdr:col>15</xdr:col>
                <xdr:colOff>5895975</xdr:colOff>
                <xdr:row>8</xdr:row>
                <xdr:rowOff>9525</xdr:rowOff>
              </to>
            </anchor>
          </objectPr>
        </oleObject>
      </mc:Choice>
      <mc:Fallback>
        <oleObject progId="Visio.Drawing.15" shapeId="28682" r:id="rId20"/>
      </mc:Fallback>
    </mc:AlternateContent>
    <mc:AlternateContent xmlns:mc="http://schemas.openxmlformats.org/markup-compatibility/2006">
      <mc:Choice Requires="x14">
        <oleObject progId="Visio.Drawing.15" shapeId="28683" r:id="rId22">
          <objectPr defaultSize="0" autoPict="0" r:id="rId23">
            <anchor moveWithCells="1">
              <from>
                <xdr:col>17</xdr:col>
                <xdr:colOff>0</xdr:colOff>
                <xdr:row>7</xdr:row>
                <xdr:rowOff>0</xdr:rowOff>
              </from>
              <to>
                <xdr:col>17</xdr:col>
                <xdr:colOff>5895975</xdr:colOff>
                <xdr:row>8</xdr:row>
                <xdr:rowOff>9525</xdr:rowOff>
              </to>
            </anchor>
          </objectPr>
        </oleObject>
      </mc:Choice>
      <mc:Fallback>
        <oleObject progId="Visio.Drawing.15" shapeId="28683" r:id="rId22"/>
      </mc:Fallback>
    </mc:AlternateContent>
    <mc:AlternateContent xmlns:mc="http://schemas.openxmlformats.org/markup-compatibility/2006">
      <mc:Choice Requires="x14">
        <oleObject progId="Visio.Drawing.15" shapeId="28684" r:id="rId24">
          <objectPr defaultSize="0" autoPict="0" r:id="rId25">
            <anchor moveWithCells="1">
              <from>
                <xdr:col>19</xdr:col>
                <xdr:colOff>0</xdr:colOff>
                <xdr:row>7</xdr:row>
                <xdr:rowOff>0</xdr:rowOff>
              </from>
              <to>
                <xdr:col>19</xdr:col>
                <xdr:colOff>5895975</xdr:colOff>
                <xdr:row>8</xdr:row>
                <xdr:rowOff>9525</xdr:rowOff>
              </to>
            </anchor>
          </objectPr>
        </oleObject>
      </mc:Choice>
      <mc:Fallback>
        <oleObject progId="Visio.Drawing.15" shapeId="28684" r:id="rId24"/>
      </mc:Fallback>
    </mc:AlternateContent>
    <mc:AlternateContent xmlns:mc="http://schemas.openxmlformats.org/markup-compatibility/2006">
      <mc:Choice Requires="x14">
        <oleObject progId="Visio.Drawing.15" shapeId="28685" r:id="rId26">
          <objectPr defaultSize="0" autoPict="0" r:id="rId27">
            <anchor moveWithCells="1">
              <from>
                <xdr:col>21</xdr:col>
                <xdr:colOff>0</xdr:colOff>
                <xdr:row>7</xdr:row>
                <xdr:rowOff>0</xdr:rowOff>
              </from>
              <to>
                <xdr:col>21</xdr:col>
                <xdr:colOff>5848350</xdr:colOff>
                <xdr:row>7</xdr:row>
                <xdr:rowOff>5143500</xdr:rowOff>
              </to>
            </anchor>
          </objectPr>
        </oleObject>
      </mc:Choice>
      <mc:Fallback>
        <oleObject progId="Visio.Drawing.15" shapeId="28685" r:id="rId26"/>
      </mc:Fallback>
    </mc:AlternateContent>
    <mc:AlternateContent xmlns:mc="http://schemas.openxmlformats.org/markup-compatibility/2006">
      <mc:Choice Requires="x14">
        <oleObject progId="Visio.Drawing.15" shapeId="28686" r:id="rId28">
          <objectPr defaultSize="0" autoPict="0" r:id="rId29">
            <anchor moveWithCells="1">
              <from>
                <xdr:col>23</xdr:col>
                <xdr:colOff>0</xdr:colOff>
                <xdr:row>7</xdr:row>
                <xdr:rowOff>0</xdr:rowOff>
              </from>
              <to>
                <xdr:col>23</xdr:col>
                <xdr:colOff>5848350</xdr:colOff>
                <xdr:row>7</xdr:row>
                <xdr:rowOff>5143500</xdr:rowOff>
              </to>
            </anchor>
          </objectPr>
        </oleObject>
      </mc:Choice>
      <mc:Fallback>
        <oleObject progId="Visio.Drawing.15" shapeId="28686" r:id="rId28"/>
      </mc:Fallback>
    </mc:AlternateContent>
    <mc:AlternateContent xmlns:mc="http://schemas.openxmlformats.org/markup-compatibility/2006">
      <mc:Choice Requires="x14">
        <oleObject progId="Visio.Drawing.15" shapeId="28687" r:id="rId30">
          <objectPr defaultSize="0" autoPict="0" r:id="rId31">
            <anchor moveWithCells="1">
              <from>
                <xdr:col>25</xdr:col>
                <xdr:colOff>0</xdr:colOff>
                <xdr:row>7</xdr:row>
                <xdr:rowOff>0</xdr:rowOff>
              </from>
              <to>
                <xdr:col>25</xdr:col>
                <xdr:colOff>5848350</xdr:colOff>
                <xdr:row>7</xdr:row>
                <xdr:rowOff>5143500</xdr:rowOff>
              </to>
            </anchor>
          </objectPr>
        </oleObject>
      </mc:Choice>
      <mc:Fallback>
        <oleObject progId="Visio.Drawing.15" shapeId="28687" r:id="rId30"/>
      </mc:Fallback>
    </mc:AlternateContent>
    <mc:AlternateContent xmlns:mc="http://schemas.openxmlformats.org/markup-compatibility/2006">
      <mc:Choice Requires="x14">
        <oleObject progId="Visio.Drawing.15" shapeId="28688" r:id="rId32">
          <objectPr defaultSize="0" autoPict="0" r:id="rId33">
            <anchor moveWithCells="1">
              <from>
                <xdr:col>27</xdr:col>
                <xdr:colOff>0</xdr:colOff>
                <xdr:row>7</xdr:row>
                <xdr:rowOff>0</xdr:rowOff>
              </from>
              <to>
                <xdr:col>27</xdr:col>
                <xdr:colOff>5848350</xdr:colOff>
                <xdr:row>7</xdr:row>
                <xdr:rowOff>5143500</xdr:rowOff>
              </to>
            </anchor>
          </objectPr>
        </oleObject>
      </mc:Choice>
      <mc:Fallback>
        <oleObject progId="Visio.Drawing.15" shapeId="28688" r:id="rId32"/>
      </mc:Fallback>
    </mc:AlternateContent>
    <mc:AlternateContent xmlns:mc="http://schemas.openxmlformats.org/markup-compatibility/2006">
      <mc:Choice Requires="x14">
        <oleObject progId="Visio.Drawing.15" shapeId="28689" r:id="rId34">
          <objectPr defaultSize="0" autoPict="0" r:id="rId35">
            <anchor moveWithCells="1">
              <from>
                <xdr:col>3</xdr:col>
                <xdr:colOff>0</xdr:colOff>
                <xdr:row>7</xdr:row>
                <xdr:rowOff>0</xdr:rowOff>
              </from>
              <to>
                <xdr:col>3</xdr:col>
                <xdr:colOff>5895975</xdr:colOff>
                <xdr:row>8</xdr:row>
                <xdr:rowOff>9525</xdr:rowOff>
              </to>
            </anchor>
          </objectPr>
        </oleObject>
      </mc:Choice>
      <mc:Fallback>
        <oleObject progId="Visio.Drawing.15" shapeId="28689" r:id="rId34"/>
      </mc:Fallback>
    </mc:AlternateContent>
    <mc:AlternateContent xmlns:mc="http://schemas.openxmlformats.org/markup-compatibility/2006">
      <mc:Choice Requires="x14">
        <oleObject progId="Visio.Drawing.15" shapeId="28690" r:id="rId36">
          <objectPr defaultSize="0" autoPict="0" r:id="rId37">
            <anchor moveWithCells="1">
              <from>
                <xdr:col>7</xdr:col>
                <xdr:colOff>0</xdr:colOff>
                <xdr:row>7</xdr:row>
                <xdr:rowOff>0</xdr:rowOff>
              </from>
              <to>
                <xdr:col>7</xdr:col>
                <xdr:colOff>5895975</xdr:colOff>
                <xdr:row>8</xdr:row>
                <xdr:rowOff>9525</xdr:rowOff>
              </to>
            </anchor>
          </objectPr>
        </oleObject>
      </mc:Choice>
      <mc:Fallback>
        <oleObject progId="Visio.Drawing.15" shapeId="28690" r:id="rId36"/>
      </mc:Fallback>
    </mc:AlternateContent>
    <mc:AlternateContent xmlns:mc="http://schemas.openxmlformats.org/markup-compatibility/2006">
      <mc:Choice Requires="x14">
        <oleObject progId="Visio.Drawing.15" shapeId="28691" r:id="rId38">
          <objectPr defaultSize="0" autoPict="0" r:id="rId39">
            <anchor moveWithCells="1">
              <from>
                <xdr:col>11</xdr:col>
                <xdr:colOff>0</xdr:colOff>
                <xdr:row>7</xdr:row>
                <xdr:rowOff>0</xdr:rowOff>
              </from>
              <to>
                <xdr:col>11</xdr:col>
                <xdr:colOff>5848350</xdr:colOff>
                <xdr:row>7</xdr:row>
                <xdr:rowOff>5153025</xdr:rowOff>
              </to>
            </anchor>
          </objectPr>
        </oleObject>
      </mc:Choice>
      <mc:Fallback>
        <oleObject progId="Visio.Drawing.15" shapeId="28691" r:id="rId38"/>
      </mc:Fallback>
    </mc:AlternateContent>
    <mc:AlternateContent xmlns:mc="http://schemas.openxmlformats.org/markup-compatibility/2006">
      <mc:Choice Requires="x14">
        <oleObject progId="Visio.Drawing.15" shapeId="28692" r:id="rId40">
          <objectPr defaultSize="0" autoPict="0" r:id="rId41">
            <anchor moveWithCells="1">
              <from>
                <xdr:col>9</xdr:col>
                <xdr:colOff>0</xdr:colOff>
                <xdr:row>7</xdr:row>
                <xdr:rowOff>0</xdr:rowOff>
              </from>
              <to>
                <xdr:col>9</xdr:col>
                <xdr:colOff>5848350</xdr:colOff>
                <xdr:row>7</xdr:row>
                <xdr:rowOff>5153025</xdr:rowOff>
              </to>
            </anchor>
          </objectPr>
        </oleObject>
      </mc:Choice>
      <mc:Fallback>
        <oleObject progId="Visio.Drawing.15" shapeId="28692" r:id="rId40"/>
      </mc:Fallback>
    </mc:AlternateContent>
    <mc:AlternateContent xmlns:mc="http://schemas.openxmlformats.org/markup-compatibility/2006">
      <mc:Choice Requires="x14">
        <oleObject progId="Visio.Drawing.15" shapeId="28693" r:id="rId42">
          <objectPr defaultSize="0" autoPict="0" r:id="rId43">
            <anchor moveWithCells="1">
              <from>
                <xdr:col>5</xdr:col>
                <xdr:colOff>0</xdr:colOff>
                <xdr:row>7</xdr:row>
                <xdr:rowOff>0</xdr:rowOff>
              </from>
              <to>
                <xdr:col>5</xdr:col>
                <xdr:colOff>5895975</xdr:colOff>
                <xdr:row>8</xdr:row>
                <xdr:rowOff>9525</xdr:rowOff>
              </to>
            </anchor>
          </objectPr>
        </oleObject>
      </mc:Choice>
      <mc:Fallback>
        <oleObject progId="Visio.Drawing.15" shapeId="28693" r:id="rId42"/>
      </mc:Fallback>
    </mc:AlternateContent>
    <mc:AlternateContent xmlns:mc="http://schemas.openxmlformats.org/markup-compatibility/2006">
      <mc:Choice Requires="x14">
        <oleObject progId="Visio.Drawing.15" shapeId="28694" r:id="rId44">
          <objectPr defaultSize="0" autoPict="0" r:id="rId45">
            <anchor moveWithCells="1">
              <from>
                <xdr:col>13</xdr:col>
                <xdr:colOff>0</xdr:colOff>
                <xdr:row>7</xdr:row>
                <xdr:rowOff>0</xdr:rowOff>
              </from>
              <to>
                <xdr:col>13</xdr:col>
                <xdr:colOff>5848350</xdr:colOff>
                <xdr:row>7</xdr:row>
                <xdr:rowOff>5153025</xdr:rowOff>
              </to>
            </anchor>
          </objectPr>
        </oleObject>
      </mc:Choice>
      <mc:Fallback>
        <oleObject progId="Visio.Drawing.15" shapeId="28694" r:id="rId44"/>
      </mc:Fallback>
    </mc:AlternateContent>
    <mc:AlternateContent xmlns:mc="http://schemas.openxmlformats.org/markup-compatibility/2006">
      <mc:Choice Requires="x14">
        <oleObject progId="Visio.Drawing.15" shapeId="28695" r:id="rId46">
          <objectPr defaultSize="0" autoPict="0" r:id="rId47">
            <anchor moveWithCells="1">
              <from>
                <xdr:col>1</xdr:col>
                <xdr:colOff>0</xdr:colOff>
                <xdr:row>4</xdr:row>
                <xdr:rowOff>152400</xdr:rowOff>
              </from>
              <to>
                <xdr:col>1</xdr:col>
                <xdr:colOff>5895975</xdr:colOff>
                <xdr:row>5</xdr:row>
                <xdr:rowOff>5172075</xdr:rowOff>
              </to>
            </anchor>
          </objectPr>
        </oleObject>
      </mc:Choice>
      <mc:Fallback>
        <oleObject progId="Visio.Drawing.15" shapeId="28695" r:id="rId46"/>
      </mc:Fallback>
    </mc:AlternateContent>
    <mc:AlternateContent xmlns:mc="http://schemas.openxmlformats.org/markup-compatibility/2006">
      <mc:Choice Requires="x14">
        <oleObject progId="Visio.Drawing.15" shapeId="28696" r:id="rId48">
          <objectPr defaultSize="0" autoPict="0" r:id="rId49">
            <anchor moveWithCells="1">
              <from>
                <xdr:col>8</xdr:col>
                <xdr:colOff>581025</xdr:colOff>
                <xdr:row>4</xdr:row>
                <xdr:rowOff>152400</xdr:rowOff>
              </from>
              <to>
                <xdr:col>9</xdr:col>
                <xdr:colOff>5867400</xdr:colOff>
                <xdr:row>5</xdr:row>
                <xdr:rowOff>5162550</xdr:rowOff>
              </to>
            </anchor>
          </objectPr>
        </oleObject>
      </mc:Choice>
      <mc:Fallback>
        <oleObject progId="Visio.Drawing.15" shapeId="28696" r:id="rId48"/>
      </mc:Fallback>
    </mc:AlternateContent>
    <mc:AlternateContent xmlns:mc="http://schemas.openxmlformats.org/markup-compatibility/2006">
      <mc:Choice Requires="x14">
        <oleObject progId="Visio.Drawing.15" shapeId="28697" r:id="rId50">
          <objectPr defaultSize="0" autoPict="0" r:id="rId51">
            <anchor moveWithCells="1">
              <from>
                <xdr:col>10</xdr:col>
                <xdr:colOff>581025</xdr:colOff>
                <xdr:row>4</xdr:row>
                <xdr:rowOff>152400</xdr:rowOff>
              </from>
              <to>
                <xdr:col>11</xdr:col>
                <xdr:colOff>5867400</xdr:colOff>
                <xdr:row>5</xdr:row>
                <xdr:rowOff>5162550</xdr:rowOff>
              </to>
            </anchor>
          </objectPr>
        </oleObject>
      </mc:Choice>
      <mc:Fallback>
        <oleObject progId="Visio.Drawing.15" shapeId="28697" r:id="rId50"/>
      </mc:Fallback>
    </mc:AlternateContent>
    <mc:AlternateContent xmlns:mc="http://schemas.openxmlformats.org/markup-compatibility/2006">
      <mc:Choice Requires="x14">
        <oleObject progId="Visio.Drawing.15" shapeId="28698" r:id="rId52">
          <objectPr defaultSize="0" autoPict="0" r:id="rId53">
            <anchor moveWithCells="1">
              <from>
                <xdr:col>12</xdr:col>
                <xdr:colOff>581025</xdr:colOff>
                <xdr:row>4</xdr:row>
                <xdr:rowOff>152400</xdr:rowOff>
              </from>
              <to>
                <xdr:col>13</xdr:col>
                <xdr:colOff>5867400</xdr:colOff>
                <xdr:row>5</xdr:row>
                <xdr:rowOff>5162550</xdr:rowOff>
              </to>
            </anchor>
          </objectPr>
        </oleObject>
      </mc:Choice>
      <mc:Fallback>
        <oleObject progId="Visio.Drawing.15" shapeId="28698" r:id="rId52"/>
      </mc:Fallback>
    </mc:AlternateContent>
    <mc:AlternateContent xmlns:mc="http://schemas.openxmlformats.org/markup-compatibility/2006">
      <mc:Choice Requires="x14">
        <oleObject progId="Visio.Drawing.15" shapeId="28699" r:id="rId54">
          <objectPr defaultSize="0" autoPict="0" r:id="rId55">
            <anchor moveWithCells="1">
              <from>
                <xdr:col>3</xdr:col>
                <xdr:colOff>38100</xdr:colOff>
                <xdr:row>4</xdr:row>
                <xdr:rowOff>152400</xdr:rowOff>
              </from>
              <to>
                <xdr:col>3</xdr:col>
                <xdr:colOff>5934075</xdr:colOff>
                <xdr:row>5</xdr:row>
                <xdr:rowOff>5172075</xdr:rowOff>
              </to>
            </anchor>
          </objectPr>
        </oleObject>
      </mc:Choice>
      <mc:Fallback>
        <oleObject progId="Visio.Drawing.15" shapeId="28699" r:id="rId54"/>
      </mc:Fallback>
    </mc:AlternateContent>
    <mc:AlternateContent xmlns:mc="http://schemas.openxmlformats.org/markup-compatibility/2006">
      <mc:Choice Requires="x14">
        <oleObject progId="Visio.Drawing.15" shapeId="28700" r:id="rId56">
          <objectPr defaultSize="0" autoPict="0" r:id="rId57">
            <anchor moveWithCells="1">
              <from>
                <xdr:col>7</xdr:col>
                <xdr:colOff>0</xdr:colOff>
                <xdr:row>4</xdr:row>
                <xdr:rowOff>152400</xdr:rowOff>
              </from>
              <to>
                <xdr:col>7</xdr:col>
                <xdr:colOff>5895975</xdr:colOff>
                <xdr:row>5</xdr:row>
                <xdr:rowOff>5172075</xdr:rowOff>
              </to>
            </anchor>
          </objectPr>
        </oleObject>
      </mc:Choice>
      <mc:Fallback>
        <oleObject progId="Visio.Drawing.15" shapeId="28700" r:id="rId56"/>
      </mc:Fallback>
    </mc:AlternateContent>
    <mc:AlternateContent xmlns:mc="http://schemas.openxmlformats.org/markup-compatibility/2006">
      <mc:Choice Requires="x14">
        <oleObject progId="Visio.Drawing.15" shapeId="28701" r:id="rId58">
          <objectPr defaultSize="0" autoPict="0" r:id="rId59">
            <anchor moveWithCells="1">
              <from>
                <xdr:col>5</xdr:col>
                <xdr:colOff>19050</xdr:colOff>
                <xdr:row>4</xdr:row>
                <xdr:rowOff>152400</xdr:rowOff>
              </from>
              <to>
                <xdr:col>5</xdr:col>
                <xdr:colOff>5915025</xdr:colOff>
                <xdr:row>5</xdr:row>
                <xdr:rowOff>5172075</xdr:rowOff>
              </to>
            </anchor>
          </objectPr>
        </oleObject>
      </mc:Choice>
      <mc:Fallback>
        <oleObject progId="Visio.Drawing.15" shapeId="28701" r:id="rId5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269</vt:i4>
      </vt:variant>
    </vt:vector>
  </HeadingPairs>
  <TitlesOfParts>
    <vt:vector size="279" baseType="lpstr">
      <vt:lpstr>Design Converter</vt:lpstr>
      <vt:lpstr>Variable_Management</vt:lpstr>
      <vt:lpstr>Constants</vt:lpstr>
      <vt:lpstr>CCM_Loop_Modeling</vt:lpstr>
      <vt:lpstr>CCM_Loop_Modeling_non_isolated</vt:lpstr>
      <vt:lpstr>Eff_vs_IOUT</vt:lpstr>
      <vt:lpstr>Plot_Management_Eff</vt:lpstr>
      <vt:lpstr>Lists</vt:lpstr>
      <vt:lpstr>Plot Management_Sch</vt:lpstr>
      <vt:lpstr>Licenses</vt:lpstr>
      <vt:lpstr>Acs</vt:lpstr>
      <vt:lpstr>CCM_Loop_Modeling!Adc</vt:lpstr>
      <vt:lpstr>Adc</vt:lpstr>
      <vt:lpstr>Adc_ea</vt:lpstr>
      <vt:lpstr>CCM_Loop_Modeling!Adc_ea_iso</vt:lpstr>
      <vt:lpstr>ADC_VINmin</vt:lpstr>
      <vt:lpstr>CCOMP</vt:lpstr>
      <vt:lpstr>CComp_calc</vt:lpstr>
      <vt:lpstr>Ccomp_iso</vt:lpstr>
      <vt:lpstr>Ccomp_iso_calc</vt:lpstr>
      <vt:lpstr>CHF</vt:lpstr>
      <vt:lpstr>Comp_calc</vt:lpstr>
      <vt:lpstr>Copto</vt:lpstr>
      <vt:lpstr>Cout_total</vt:lpstr>
      <vt:lpstr>Cout1</vt:lpstr>
      <vt:lpstr>Cout1_min</vt:lpstr>
      <vt:lpstr>Cout2</vt:lpstr>
      <vt:lpstr>Cout2_min</vt:lpstr>
      <vt:lpstr>Cout3</vt:lpstr>
      <vt:lpstr>Cout3_min</vt:lpstr>
      <vt:lpstr>Cout4</vt:lpstr>
      <vt:lpstr>Cout4_min</vt:lpstr>
      <vt:lpstr>D_limit_max</vt:lpstr>
      <vt:lpstr>D_limit_min</vt:lpstr>
      <vt:lpstr>D_limit_nom</vt:lpstr>
      <vt:lpstr>CCM_Loop_Modeling!Dc_var_ccm</vt:lpstr>
      <vt:lpstr>Dc_var_ccm</vt:lpstr>
      <vt:lpstr>Dc_VIN_max</vt:lpstr>
      <vt:lpstr>Dc_VIN_min</vt:lpstr>
      <vt:lpstr>Dc_VIN_nom</vt:lpstr>
      <vt:lpstr>device_s</vt:lpstr>
      <vt:lpstr>Dmax_limit</vt:lpstr>
      <vt:lpstr>EFF_est</vt:lpstr>
      <vt:lpstr>Eff_OUT_1</vt:lpstr>
      <vt:lpstr>Eff_OUT_2</vt:lpstr>
      <vt:lpstr>Eff_OUT_3</vt:lpstr>
      <vt:lpstr>Eff_OUT_4</vt:lpstr>
      <vt:lpstr>Eff_vs_IOUT</vt:lpstr>
      <vt:lpstr>EN_OUT_2</vt:lpstr>
      <vt:lpstr>EN_OUT_3</vt:lpstr>
      <vt:lpstr>EN_OUT_4</vt:lpstr>
      <vt:lpstr>FB_type</vt:lpstr>
      <vt:lpstr>fcross</vt:lpstr>
      <vt:lpstr>fcross_est</vt:lpstr>
      <vt:lpstr>fcross_iso</vt:lpstr>
      <vt:lpstr>fcross_iso_est</vt:lpstr>
      <vt:lpstr>fopto</vt:lpstr>
      <vt:lpstr>fp_ea_est</vt:lpstr>
      <vt:lpstr>Fsw</vt:lpstr>
      <vt:lpstr>fz_ea_est</vt:lpstr>
      <vt:lpstr>fz_rhp</vt:lpstr>
      <vt:lpstr>Gcomp</vt:lpstr>
      <vt:lpstr>Gea_mid_calc</vt:lpstr>
      <vt:lpstr>gfs</vt:lpstr>
      <vt:lpstr>gm_ea</vt:lpstr>
      <vt:lpstr>CCM_Loop_Modeling!Gplant_fc_dB</vt:lpstr>
      <vt:lpstr>Gplant_fc_dB</vt:lpstr>
      <vt:lpstr>I_lim_r</vt:lpstr>
      <vt:lpstr>I_lim_s</vt:lpstr>
      <vt:lpstr>Icomp_sink_max</vt:lpstr>
      <vt:lpstr>IL_avg_VIN_max</vt:lpstr>
      <vt:lpstr>IL_avg_VIN_min</vt:lpstr>
      <vt:lpstr>IL_avg_VIN_nom</vt:lpstr>
      <vt:lpstr>IL_pk</vt:lpstr>
      <vt:lpstr>IL_pk_max</vt:lpstr>
      <vt:lpstr>ILp_VINmax</vt:lpstr>
      <vt:lpstr>ILp_VINmin</vt:lpstr>
      <vt:lpstr>ILp_VINnom</vt:lpstr>
      <vt:lpstr>ILpk</vt:lpstr>
      <vt:lpstr>ILrip</vt:lpstr>
      <vt:lpstr>ILrip_VINmax</vt:lpstr>
      <vt:lpstr>ILrip_VINmin</vt:lpstr>
      <vt:lpstr>ILrip_VINnom</vt:lpstr>
      <vt:lpstr>IOUT1</vt:lpstr>
      <vt:lpstr>IOUT2</vt:lpstr>
      <vt:lpstr>IOUT3</vt:lpstr>
      <vt:lpstr>IOUT4</vt:lpstr>
      <vt:lpstr>Ipk_lim_margin</vt:lpstr>
      <vt:lpstr>Ipk_margin</vt:lpstr>
      <vt:lpstr>Ipk_selected</vt:lpstr>
      <vt:lpstr>IQ</vt:lpstr>
      <vt:lpstr>IRMS_COUT</vt:lpstr>
      <vt:lpstr>Isl</vt:lpstr>
      <vt:lpstr>Iss</vt:lpstr>
      <vt:lpstr>Isw_lim_57</vt:lpstr>
      <vt:lpstr>Isw_lim_571</vt:lpstr>
      <vt:lpstr>Isw_lim_58</vt:lpstr>
      <vt:lpstr>Isw_lim_581</vt:lpstr>
      <vt:lpstr>kopto_max</vt:lpstr>
      <vt:lpstr>kopto_min</vt:lpstr>
      <vt:lpstr>Kslope</vt:lpstr>
      <vt:lpstr>Lm</vt:lpstr>
      <vt:lpstr>CCM_Loop_Modeling!Loop_f_esr_gain</vt:lpstr>
      <vt:lpstr>Loop_f_esr_gain</vt:lpstr>
      <vt:lpstr>CCM_Loop_Modeling!Loop_f_LP_gain</vt:lpstr>
      <vt:lpstr>Loop_f_LP_gain</vt:lpstr>
      <vt:lpstr>CCM_Loop_Modeling!Loop_fz_ea_gain</vt:lpstr>
      <vt:lpstr>Loop_fz_ea_gain</vt:lpstr>
      <vt:lpstr>CCM_Loop_Modeling!Loop_fz_rhp_gain</vt:lpstr>
      <vt:lpstr>Loop_fz_rhp_gain</vt:lpstr>
      <vt:lpstr>Loop_gain</vt:lpstr>
      <vt:lpstr>Loop_phase</vt:lpstr>
      <vt:lpstr>Loop_phaseMargin</vt:lpstr>
      <vt:lpstr>CCM_Loop_Modeling!mc</vt:lpstr>
      <vt:lpstr>mc</vt:lpstr>
      <vt:lpstr>Np</vt:lpstr>
      <vt:lpstr>NS1_</vt:lpstr>
      <vt:lpstr>NS2_</vt:lpstr>
      <vt:lpstr>NS3_</vt:lpstr>
      <vt:lpstr>NS4_</vt:lpstr>
      <vt:lpstr>num_VOUT</vt:lpstr>
      <vt:lpstr>POUT_Total</vt:lpstr>
      <vt:lpstr>CCM_Loop_Modeling!Pout_var</vt:lpstr>
      <vt:lpstr>Pout_var</vt:lpstr>
      <vt:lpstr>POUT1</vt:lpstr>
      <vt:lpstr>POUT2</vt:lpstr>
      <vt:lpstr>POUT3</vt:lpstr>
      <vt:lpstr>POUT4</vt:lpstr>
      <vt:lpstr>'Design Converter'!Print_Area</vt:lpstr>
      <vt:lpstr>CCM_Loop_Modeling!Q</vt:lpstr>
      <vt:lpstr>Q</vt:lpstr>
      <vt:lpstr>Q_VINmin</vt:lpstr>
      <vt:lpstr>Qg_tot</vt:lpstr>
      <vt:lpstr>Qgd</vt:lpstr>
      <vt:lpstr>Qgs</vt:lpstr>
      <vt:lpstr>QRR1_</vt:lpstr>
      <vt:lpstr>QRR2_</vt:lpstr>
      <vt:lpstr>QRR3_</vt:lpstr>
      <vt:lpstr>QRR4_</vt:lpstr>
      <vt:lpstr>R_cs</vt:lpstr>
      <vt:lpstr>R_sl</vt:lpstr>
      <vt:lpstr>RCOMP</vt:lpstr>
      <vt:lpstr>Rcomp_calc</vt:lpstr>
      <vt:lpstr>Rcomp_iso</vt:lpstr>
      <vt:lpstr>Rcs_max</vt:lpstr>
      <vt:lpstr>Rcs_w_sl</vt:lpstr>
      <vt:lpstr>Rcs_wo_sl</vt:lpstr>
      <vt:lpstr>Rdcr</vt:lpstr>
      <vt:lpstr>Rdcr1</vt:lpstr>
      <vt:lpstr>Rdcr2</vt:lpstr>
      <vt:lpstr>Rdcr3</vt:lpstr>
      <vt:lpstr>Rdcr4</vt:lpstr>
      <vt:lpstr>RDS_on</vt:lpstr>
      <vt:lpstr>Resr_total</vt:lpstr>
      <vt:lpstr>Resr1</vt:lpstr>
      <vt:lpstr>Resr2</vt:lpstr>
      <vt:lpstr>Resr2_Trans</vt:lpstr>
      <vt:lpstr>Resr3</vt:lpstr>
      <vt:lpstr>Resr3_Trans</vt:lpstr>
      <vt:lpstr>Resr4</vt:lpstr>
      <vt:lpstr>Resr4_Trans</vt:lpstr>
      <vt:lpstr>RFBB</vt:lpstr>
      <vt:lpstr>RFBB_calc</vt:lpstr>
      <vt:lpstr>RFBB_iso</vt:lpstr>
      <vt:lpstr>RFBB_iso_calc</vt:lpstr>
      <vt:lpstr>RFBT</vt:lpstr>
      <vt:lpstr>RFBT_iso</vt:lpstr>
      <vt:lpstr>Rgate</vt:lpstr>
      <vt:lpstr>RLED</vt:lpstr>
      <vt:lpstr>ROUT1</vt:lpstr>
      <vt:lpstr>ROUT2</vt:lpstr>
      <vt:lpstr>ROUT3</vt:lpstr>
      <vt:lpstr>ROUT4</vt:lpstr>
      <vt:lpstr>Rpullup</vt:lpstr>
      <vt:lpstr>Rpullup_min</vt:lpstr>
      <vt:lpstr>Rsl_int</vt:lpstr>
      <vt:lpstr>RT</vt:lpstr>
      <vt:lpstr>Ruvlo_bottom_calc</vt:lpstr>
      <vt:lpstr>Ruvlo_top</vt:lpstr>
      <vt:lpstr>Ruvlo_top_calc</vt:lpstr>
      <vt:lpstr>sch_ISO_1</vt:lpstr>
      <vt:lpstr>sch_ISO_2</vt:lpstr>
      <vt:lpstr>sch_ISO_2n1</vt:lpstr>
      <vt:lpstr>sch_ISO_3</vt:lpstr>
      <vt:lpstr>sch_ISO_3n1</vt:lpstr>
      <vt:lpstr>sch_ISO_3n2</vt:lpstr>
      <vt:lpstr>sch_ISO_3n3</vt:lpstr>
      <vt:lpstr>sch_nISO_1</vt:lpstr>
      <vt:lpstr>sch_nISO_2</vt:lpstr>
      <vt:lpstr>sch_nISO_2n1</vt:lpstr>
      <vt:lpstr>sch_nISO_3</vt:lpstr>
      <vt:lpstr>sch_nISO_3n1</vt:lpstr>
      <vt:lpstr>sch_nISO_3n2</vt:lpstr>
      <vt:lpstr>sch_nISO_3n3</vt:lpstr>
      <vt:lpstr>sch_PSR_1</vt:lpstr>
      <vt:lpstr>sch_PSR_1n</vt:lpstr>
      <vt:lpstr>sch_PSR_2</vt:lpstr>
      <vt:lpstr>sch_PSR_2n1</vt:lpstr>
      <vt:lpstr>sch_PSR_2n2</vt:lpstr>
      <vt:lpstr>sch_PSR_2n3</vt:lpstr>
      <vt:lpstr>sch_PSR_3</vt:lpstr>
      <vt:lpstr>sch_PSR_3n1</vt:lpstr>
      <vt:lpstr>sch_PSR_3n2</vt:lpstr>
      <vt:lpstr>sch_PSR_3n3</vt:lpstr>
      <vt:lpstr>sch_PSR_3n4</vt:lpstr>
      <vt:lpstr>sch_PSR_3n5</vt:lpstr>
      <vt:lpstr>sch_PSR_3n6</vt:lpstr>
      <vt:lpstr>sch_PSR_3n7</vt:lpstr>
      <vt:lpstr>Se</vt:lpstr>
      <vt:lpstr>Se_VINmin</vt:lpstr>
      <vt:lpstr>Sn</vt:lpstr>
      <vt:lpstr>Sn_half</vt:lpstr>
      <vt:lpstr>Sn_VINmin</vt:lpstr>
      <vt:lpstr>tf_sw</vt:lpstr>
      <vt:lpstr>tr_sw</vt:lpstr>
      <vt:lpstr>tss</vt:lpstr>
      <vt:lpstr>UV_fall</vt:lpstr>
      <vt:lpstr>UV_I_hyst</vt:lpstr>
      <vt:lpstr>UV_rise</vt:lpstr>
      <vt:lpstr>Vcc</vt:lpstr>
      <vt:lpstr>Vcc_real</vt:lpstr>
      <vt:lpstr>VCE_sat</vt:lpstr>
      <vt:lpstr>Vcl</vt:lpstr>
      <vt:lpstr>Vcomp_max</vt:lpstr>
      <vt:lpstr>VD</vt:lpstr>
      <vt:lpstr>Vd_opto</vt:lpstr>
      <vt:lpstr>VD1_</vt:lpstr>
      <vt:lpstr>VD2_</vt:lpstr>
      <vt:lpstr>VD3_</vt:lpstr>
      <vt:lpstr>VD4_</vt:lpstr>
      <vt:lpstr>VIN_max</vt:lpstr>
      <vt:lpstr>VIN_min</vt:lpstr>
      <vt:lpstr>VIN_nom</vt:lpstr>
      <vt:lpstr>VIN_op_max</vt:lpstr>
      <vt:lpstr>Vin_op_max_57</vt:lpstr>
      <vt:lpstr>Vin_op_max_58</vt:lpstr>
      <vt:lpstr>Vin_op_max_s</vt:lpstr>
      <vt:lpstr>VIN_op_min</vt:lpstr>
      <vt:lpstr>VIN_var</vt:lpstr>
      <vt:lpstr>Vo_op_max_s</vt:lpstr>
      <vt:lpstr>VOUT</vt:lpstr>
      <vt:lpstr>Vout_op_max_57</vt:lpstr>
      <vt:lpstr>Vout_op_max_58</vt:lpstr>
      <vt:lpstr>VOUT1</vt:lpstr>
      <vt:lpstr>Vout1_rip_sel</vt:lpstr>
      <vt:lpstr>VOUT2</vt:lpstr>
      <vt:lpstr>Vout2_rip_sel</vt:lpstr>
      <vt:lpstr>VOUT3</vt:lpstr>
      <vt:lpstr>Vout3_rip_sel</vt:lpstr>
      <vt:lpstr>VOUT4</vt:lpstr>
      <vt:lpstr>Vout4_rip_sel</vt:lpstr>
      <vt:lpstr>Vpullup</vt:lpstr>
      <vt:lpstr>Vref</vt:lpstr>
      <vt:lpstr>Vref_iso</vt:lpstr>
      <vt:lpstr>Vth</vt:lpstr>
      <vt:lpstr>Vuvlo_off</vt:lpstr>
      <vt:lpstr>Vuvlo_on</vt:lpstr>
      <vt:lpstr>CCM_Loop_Modeling!wp_lf</vt:lpstr>
      <vt:lpstr>wp_lf</vt:lpstr>
      <vt:lpstr>wp_lf_VINmin</vt:lpstr>
      <vt:lpstr>wp0_ea</vt:lpstr>
      <vt:lpstr>wp1_ea</vt:lpstr>
      <vt:lpstr>CCM_Loop_Modeling!wpA_ea_iso</vt:lpstr>
      <vt:lpstr>CCM_Loop_Modeling!wpB_ea_iso</vt:lpstr>
      <vt:lpstr>CCM_Loop_Modeling!wpC_ea_iso</vt:lpstr>
      <vt:lpstr>wpC_ea_iso</vt:lpstr>
      <vt:lpstr>CCM_Loop_Modeling!wsl</vt:lpstr>
      <vt:lpstr>wsl</vt:lpstr>
      <vt:lpstr>wsl_VINmin</vt:lpstr>
      <vt:lpstr>wz_ea</vt:lpstr>
      <vt:lpstr>CCM_Loop_Modeling!wz_esr</vt:lpstr>
      <vt:lpstr>wz_esr</vt:lpstr>
      <vt:lpstr>wz_esr_VINmin</vt:lpstr>
      <vt:lpstr>CCM_Loop_Modeling!wz_rhp</vt:lpstr>
      <vt:lpstr>wz_rhp</vt:lpstr>
      <vt:lpstr>wz_RHP_VINmin</vt:lpstr>
      <vt:lpstr>CCM_Loop_Modeling!wz1_ea_iso</vt:lpstr>
      <vt:lpstr>wz1_ea_iso</vt:lpstr>
      <vt:lpstr>CCM_Loop_Modeling!wz2_ea_iso</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BMC-BCS</dc:creator>
  <cp:lastModifiedBy>Steve Fenwick</cp:lastModifiedBy>
  <cp:lastPrinted>2018-08-09T07:13:51Z</cp:lastPrinted>
  <dcterms:created xsi:type="dcterms:W3CDTF">2018-06-26T09:13:29Z</dcterms:created>
  <dcterms:modified xsi:type="dcterms:W3CDTF">2022-05-17T20:19:19Z</dcterms:modified>
</cp:coreProperties>
</file>