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8433" lockStructure="1"/>
  <bookViews>
    <workbookView xWindow="0" yWindow="0" windowWidth="28800" windowHeight="12435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52511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<sst xmlns="http://schemas.openxmlformats.org/spreadsheetml/2006/main" count="540" uniqueCount="266">
  <si>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</si>
  <si>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</si>
  <si>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</si>
  <si>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</si>
  <si>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</si>
  <si>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</si>
  <si>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</si>
  <si>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</si>
  <si>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</si>
  <si>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</si>
  <si>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</si>
  <si>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</si>
  <si>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</si>
  <si>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</si>
  <si>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</si>
  <si>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</si>
  <si>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</si>
  <si>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</si>
  <si>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</si>
  <si>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</si>
  <si>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</si>
  <si>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</si>
  <si>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</si>
  <si>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</si>
  <si>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</si>
  <si>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</si>
  <si>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</si>
  <si>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</si>
  <si>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</si>
  <si>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</si>
  <si>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</si>
  <si>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</si>
  <si>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</si>
  <si>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</si>
  <si>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</si>
  <si>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</si>
  <si>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</si>
  <si>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</si>
  <si>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</si>
  <si>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</si>
  <si>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</si>
  <si>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</si>
  <si>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</si>
  <si>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</si>
  <si>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</si>
  <si>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</si>
  <si>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</si>
  <si>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</si>
  <si>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</si>
  <si>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</si>
  <si>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</si>
  <si>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</si>
  <si>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</si>
  <si>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</si>
  <si>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</si>
  <si>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</si>
  <si>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</si>
  <si>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</si>
  <si>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</si>
  <si>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</si>
  <si>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</si>
  <si>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</si>
  <si>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</si>
  <si>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</si>
  <si>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</si>
  <si>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</si>
  <si>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</si>
  <si>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</si>
  <si>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</si>
  <si>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</si>
  <si>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</si>
  <si>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</si>
  <si>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</si>
  <si>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</si>
  <si>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</si>
  <si>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</si>
  <si>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</si>
  <si>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</si>
  <si>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</si>
  <si>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</si>
  <si>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</si>
  <si>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</si>
  <si>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</si>
  <si>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</si>
  <si>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</si>
  <si>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</si>
  <si>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</si>
  <si>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</si>
  <si>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</si>
  <si>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</si>
  <si>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</si>
  <si>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</si>
  <si>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</si>
  <si>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</si>
  <si>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</si>
  <si>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</si>
  <si>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</si>
  <si>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</si>
  <si>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</si>
  <si>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</si>
  <si>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</si>
  <si>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</si>
  <si>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</si>
  <si>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</si>
  <si>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</si>
  <si>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</si>
  <si>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</si>
  <si>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</si>
  <si>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</si>
  <si>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</si>
  <si>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</si>
  <si>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</si>
  <si>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</si>
  <si>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</si>
  <si>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</si>
  <si>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</si>
  <si>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</si>
  <si>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</si>
  <si>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</si>
  <si>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</si>
  <si>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</si>
  <si>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</si>
  <si>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</si>
  <si>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</si>
  <si>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</si>
  <si>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</si>
  <si>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</si>
  <si>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</si>
  <si>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</si>
  <si>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</si>
  <si>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</si>
  <si>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</si>
  <si>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</si>
  <si>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</si>
  <si>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</si>
  <si>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</si>
  <si>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</si>
  <si>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</si>
  <si>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</si>
  <si>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</si>
  <si>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</si>
  <si>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</si>
  <si>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</si>
  <si>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</si>
  <si>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</si>
  <si>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</si>
  <si>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</si>
  <si>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</si>
  <si>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</si>
  <si>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</si>
  <si>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</si>
  <si>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</si>
  <si>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</si>
  <si>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</si>
  <si>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</si>
  <si>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</si>
  <si>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</si>
  <si>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</si>
  <si>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</si>
  <si>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</si>
  <si>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</si>
  <si>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</si>
  <si>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</si>
  <si>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</si>
  <si>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</si>
  <si>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</si>
  <si>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</si>
  <si>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</si>
  <si>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</si>
  <si>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</si>
  <si>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</si>
  <si>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</si>
  <si>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</si>
  <si>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</si>
  <si>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</si>
  <si>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</si>
  <si>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</si>
  <si>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</si>
  <si>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</si>
  <si>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</si>
  <si>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</si>
  <si>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</si>
  <si>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</si>
  <si>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</si>
  <si>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</si>
  <si>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</si>
  <si>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</si>
  <si>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</si>
  <si>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</si>
  <si>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</si>
  <si>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</si>
  <si>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</si>
  <si>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</si>
  <si>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</si>
  <si>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</si>
  <si>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</si>
  <si>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</si>
  <si>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</si>
  <si>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</si>
  <si>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</si>
  <si>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</si>
  <si>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</si>
  <si>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</si>
  <si>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</si>
  <si>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</si>
  <si>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</si>
  <si>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</si>
  <si>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</si>
  <si>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</si>
  <si>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</si>
  <si>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</si>
  <si>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</si>
  <si>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</si>
  <si>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</si>
  <si>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</si>
  <si>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</si>
  <si>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</si>
  <si>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</si>
  <si>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</si>
  <si>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</si>
  <si>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</si>
  <si>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</si>
  <si>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</si>
  <si>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</si>
  <si>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</si>
  <si>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</si>
  <si>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</si>
  <si>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</si>
  <si>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</si>
  <si>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</si>
  <si>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</si>
  <si>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</si>
  <si>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</si>
  <si>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</si>
  <si>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</si>
  <si>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</si>
  <si>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</si>
  <si>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</si>
  <si>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</si>
  <si>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</si>
  <si>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</si>
  <si>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</si>
  <si>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</si>
  <si>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</si>
  <si>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</si>
  <si>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</si>
  <si>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</si>
  <si>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</si>
  <si>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</si>
  <si>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</si>
  <si>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</si>
  <si>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</si>
  <si>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</si>
  <si>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</si>
  <si>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</si>
  <si>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</si>
  <si>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</si>
  <si>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</si>
  <si>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</si>
  <si>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</si>
  <si>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</si>
  <si>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</si>
  <si>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</si>
  <si>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</si>
  <si>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CSD19536KTT</t>
  </si>
  <si>
    <t>CSD19532Q5B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</si>
</sst>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13</c:v>
                </c:pt>
                <c:pt idx="1">
                  <c:v>4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4.4012103951584187</c:v>
                </c:pt>
                <c:pt idx="1">
                  <c:v>1.3542185831256672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1.1059204466541421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4.1801378079766955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1.1059204466541421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91376"/>
        <c:axId val="164990752"/>
      </c:scatterChart>
      <c:valAx>
        <c:axId val="12319137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990752"/>
        <c:crossesAt val="0.1"/>
        <c:crossBetween val="midCat"/>
      </c:valAx>
      <c:valAx>
        <c:axId val="16499075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319137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50080"/>
        <c:axId val="165552040"/>
      </c:scatterChart>
      <c:valAx>
        <c:axId val="1655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52040"/>
        <c:crosses val="autoZero"/>
        <c:crossBetween val="midCat"/>
      </c:valAx>
      <c:valAx>
        <c:axId val="165552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50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48904"/>
        <c:axId val="165548120"/>
      </c:scatterChart>
      <c:valAx>
        <c:axId val="165548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5548120"/>
        <c:crosses val="autoZero"/>
        <c:crossBetween val="midCat"/>
      </c:valAx>
      <c:valAx>
        <c:axId val="165548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5548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70</c:v>
                </c:pt>
                <c:pt idx="1">
                  <c:v>20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23.698825204699176</c:v>
                </c:pt>
                <c:pt idx="1">
                  <c:v>6.7710929156283362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22.227794085332373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96240"/>
        <c:axId val="164997024"/>
      </c:scatterChart>
      <c:valAx>
        <c:axId val="16499624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997024"/>
        <c:crossesAt val="0.1"/>
        <c:crossBetween val="midCat"/>
      </c:valAx>
      <c:valAx>
        <c:axId val="16499702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99624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0.3683720930232558</c:v>
                </c:pt>
                <c:pt idx="3">
                  <c:v>0.3683720930232558</c:v>
                </c:pt>
                <c:pt idx="4">
                  <c:v>0.3683720930232558</c:v>
                </c:pt>
                <c:pt idx="5">
                  <c:v>0.3683720930232558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94672"/>
        <c:axId val="164991928"/>
      </c:scatterChart>
      <c:valAx>
        <c:axId val="164994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991928"/>
        <c:crosses val="autoZero"/>
        <c:crossBetween val="midCat"/>
      </c:valAx>
      <c:valAx>
        <c:axId val="16499192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994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11.051162790697674</c:v>
                </c:pt>
                <c:pt idx="4">
                  <c:v>11.051162790697674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22.102325581395348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95064"/>
        <c:axId val="164992320"/>
      </c:scatterChart>
      <c:valAx>
        <c:axId val="164995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992320"/>
        <c:crosses val="autoZero"/>
        <c:crossBetween val="midCat"/>
      </c:valAx>
      <c:valAx>
        <c:axId val="164992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995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91536"/>
        <c:axId val="164992712"/>
      </c:scatterChart>
      <c:valAx>
        <c:axId val="1649915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992712"/>
        <c:crosses val="autoZero"/>
        <c:crossBetween val="midCat"/>
      </c:valAx>
      <c:valAx>
        <c:axId val="164992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991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1.3542185831256672</c:v>
                </c:pt>
                <c:pt idx="1">
                  <c:v>1.0156639373442504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1.0728608585546935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0.3683720930232558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93496"/>
        <c:axId val="164993888"/>
      </c:scatterChart>
      <c:valAx>
        <c:axId val="164993496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993888"/>
        <c:crossesAt val="0.1"/>
        <c:crossBetween val="midCat"/>
      </c:valAx>
      <c:valAx>
        <c:axId val="16499388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99349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46.377241022386023</c:v>
                </c:pt>
                <c:pt idx="4" formatCode="0.00">
                  <c:v>37.224950902546134</c:v>
                </c:pt>
                <c:pt idx="5" formatCode="0.00">
                  <c:v>24.910749778869665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52824"/>
        <c:axId val="165553608"/>
      </c:scatterChart>
      <c:valAx>
        <c:axId val="165552824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5553608"/>
        <c:crosses val="autoZero"/>
        <c:crossBetween val="midCat"/>
      </c:valAx>
      <c:valAx>
        <c:axId val="165553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5552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18.518518518518519</c:v>
                </c:pt>
                <c:pt idx="1">
                  <c:v>18.518518518518519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18.518518518518519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18.518518518518519</c:v>
                </c:pt>
                <c:pt idx="1">
                  <c:v>18.518518518518519</c:v>
                </c:pt>
                <c:pt idx="2">
                  <c:v>18.518518518518519</c:v>
                </c:pt>
                <c:pt idx="3">
                  <c:v>21.562300342905388</c:v>
                </c:pt>
                <c:pt idx="4">
                  <c:v>26.863702322078858</c:v>
                </c:pt>
                <c:pt idx="5">
                  <c:v>40.143311978840622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18.518518518518519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54000"/>
        <c:axId val="165554392"/>
      </c:scatterChart>
      <c:valAx>
        <c:axId val="16555400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5554392"/>
        <c:crosses val="autoZero"/>
        <c:crossBetween val="midCat"/>
      </c:valAx>
      <c:valAx>
        <c:axId val="165554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5554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51256"/>
        <c:axId val="165554784"/>
      </c:scatterChart>
      <c:valAx>
        <c:axId val="16555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54784"/>
        <c:crosses val="autoZero"/>
        <c:crossBetween val="midCat"/>
      </c:valAx>
      <c:valAx>
        <c:axId val="16555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51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85" zoomScale="118" zoomScaleNormal="118" workbookViewId="0">
      <selection activeCell="E91" sqref="E91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1000</v>
      </c>
      <c r="F14" s="131">
        <v>1000</v>
      </c>
      <c r="G14" s="23" t="s">
        <v>20</v>
      </c>
    </row>
    <row r="15" spans="2:40" ht="14.45" x14ac:dyDescent="0.3">
      <c r="C15" s="52" t="s">
        <v>19</v>
      </c>
      <c r="D15" s="129">
        <v>40</v>
      </c>
      <c r="E15" s="130">
        <v>48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85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40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20.833333333333332</v>
      </c>
      <c r="F20" s="139">
        <f>F14/D15</f>
        <v>25</v>
      </c>
      <c r="G20" s="23" t="s">
        <v>26</v>
      </c>
    </row>
    <row r="21" spans="3:21" ht="14.45" x14ac:dyDescent="0.3">
      <c r="C21" s="52" t="s">
        <v>28</v>
      </c>
      <c r="D21" s="30"/>
      <c r="E21" s="130">
        <v>20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2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2</v>
      </c>
      <c r="F23" s="32"/>
      <c r="G23" s="22" t="s">
        <v>30</v>
      </c>
    </row>
    <row r="24" spans="3:21" ht="14.45" x14ac:dyDescent="0.3">
      <c r="C24" s="52" t="s">
        <v>32</v>
      </c>
      <c r="D24" s="30"/>
      <c r="E24" s="138">
        <f>Error_Calculation!H2/E23</f>
        <v>20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1.5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0.75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v>3.4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7.2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40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16.981132075471699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0.98042007831968681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1.4433962264150944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124.21680313278748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41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40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60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59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1.1059204466541421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2.7184204466541422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60V</v>
      </c>
      <c r="D59" s="102"/>
      <c r="E59" s="146">
        <v>13</v>
      </c>
      <c r="F59" s="102"/>
      <c r="G59" s="101" t="s">
        <v>26</v>
      </c>
    </row>
    <row r="60" spans="1:7" x14ac:dyDescent="0.25">
      <c r="C60" s="52" t="str">
        <f>SOA_Checks!D48</f>
        <v>Q1 Current handling at 10ms and 60V</v>
      </c>
      <c r="D60" s="103"/>
      <c r="E60" s="146">
        <v>4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13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4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4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3</v>
      </c>
      <c r="F64" s="103"/>
      <c r="G64" s="101" t="s">
        <v>26</v>
      </c>
    </row>
    <row r="65" spans="3:21" x14ac:dyDescent="0.25">
      <c r="C65" s="52" t="str">
        <f>SOA_Checks!D53</f>
        <v>Q1 Current handling at 1ms and 20.2V</v>
      </c>
      <c r="D65" s="103"/>
      <c r="E65" s="146">
        <v>70</v>
      </c>
      <c r="F65" s="103"/>
      <c r="G65" s="101" t="s">
        <v>26</v>
      </c>
    </row>
    <row r="66" spans="3:21" x14ac:dyDescent="0.25">
      <c r="C66" s="50" t="str">
        <f>SOA_Checks!D54</f>
        <v>Q1 Current handling at 10ms and 20.2V</v>
      </c>
      <c r="D66" s="103"/>
      <c r="E66" s="146">
        <v>20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2.7867585386511302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1.7585771086935793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2.9124379367330695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1.1113897042666188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129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2.5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100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1.6949152542372881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22.727272727272727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1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2.7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100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1.5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24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38.350757749752937</v>
      </c>
      <c r="E95" s="46">
        <f>IF(Component_Selection!$D$94="Worst Case", Error_Calculation!E6, Error_Calculation!E20)</f>
        <v>40</v>
      </c>
      <c r="F95" s="46">
        <f>IF(Component_Selection!$D$94="Worst Case", Error_Calculation!F6, Error_Calculation!F20)</f>
        <v>41.649242250247063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1.9995501012044632</v>
      </c>
      <c r="E96" s="46">
        <f>IF(Component_Selection!$D$94="Worst Case", Error_Calculation!E7, Error_Calculation!E21)</f>
        <v>3</v>
      </c>
      <c r="F96" s="46">
        <f>IF(Component_Selection!$D$94="Worst Case", Error_Calculation!F7, Error_Calculation!F21)</f>
        <v>4.0004498987955373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37.463951289222265</v>
      </c>
      <c r="E97" s="46">
        <f>IF(Component_Selection!$D$94="Worst Case", Error_Calculation!E8, Error_Calculation!E22)</f>
        <v>38.037037037037038</v>
      </c>
      <c r="F97" s="46">
        <f>IF(Component_Selection!$D$94="Worst Case", Error_Calculation!F8, Error_Calculation!F22)</f>
        <v>38.610122784851811</v>
      </c>
      <c r="G97" s="143" t="s">
        <v>4</v>
      </c>
      <c r="H97" s="53">
        <f t="shared" si="0"/>
        <v>1.5066519173319241E-2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36.343947122627931</v>
      </c>
      <c r="E99" s="46">
        <f>IF(Component_Selection!$D$94="Worst Case", Error_Calculation!E10, Error_Calculation!E24)</f>
        <v>37.037037037037038</v>
      </c>
      <c r="F99" s="46">
        <f>IF(Component_Selection!$D$94="Worst Case", Error_Calculation!F10, Error_Calculation!F24)</f>
        <v>37.730126951446145</v>
      </c>
      <c r="G99" s="143" t="s">
        <v>4</v>
      </c>
      <c r="H99" s="53">
        <f t="shared" si="0"/>
        <v>1.8713427689045894E-2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66.309954218626672</v>
      </c>
      <c r="E100" s="46">
        <f>IF(Component_Selection!$D$94="Worst Case", Error_Calculation!E11, Error_Calculation!E25)</f>
        <v>67.666666666666671</v>
      </c>
      <c r="F100" s="46">
        <f>IF(Component_Selection!$D$94="Worst Case", Error_Calculation!F11, Error_Calculation!F25)</f>
        <v>69.023379114706671</v>
      </c>
      <c r="G100" s="143" t="s">
        <v>4</v>
      </c>
      <c r="H100" s="53">
        <f t="shared" si="0"/>
        <v>2.0049937655763541E-2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0.87999583340566889</v>
      </c>
      <c r="E101" s="46">
        <f>IF(Component_Selection!$D$94="Worst Case", Error_Calculation!E12, Error_Calculation!E26)</f>
        <v>1</v>
      </c>
      <c r="F101" s="46">
        <f>IF(Component_Selection!$D$94="Worst Case", Error_Calculation!F12, Error_Calculation!F26)</f>
        <v>1.1200041665943312</v>
      </c>
      <c r="G101" s="143" t="s">
        <v>4</v>
      </c>
      <c r="H101" s="53">
        <f t="shared" si="0"/>
        <v>0.12000416659433122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65.189950052032344</v>
      </c>
      <c r="E102" s="46">
        <f>IF(Component_Selection!$D$94="Worst Case", Error_Calculation!E13, Error_Calculation!E27)</f>
        <v>66.666666666666671</v>
      </c>
      <c r="F102" s="46">
        <f>IF(Component_Selection!$D$94="Worst Case", Error_Calculation!F13, Error_Calculation!F27)</f>
        <v>68.143383281300999</v>
      </c>
      <c r="G102" s="143" t="s">
        <v>4</v>
      </c>
      <c r="H102" s="53">
        <f t="shared" si="0"/>
        <v>2.2150749219514907E-2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0.22451819201585885</v>
      </c>
      <c r="E104" s="46">
        <f>IF(Component_Selection!$D$94="Worst Case", Error_Calculation!E15, Error_Calculation!E29)</f>
        <v>0.3683720930232558</v>
      </c>
      <c r="F104" s="46">
        <f>IF(Component_Selection!$D$94="Worst Case", Error_Calculation!F15, Error_Calculation!F29)</f>
        <v>0.51222599403065272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67</v>
      </c>
      <c r="F108" s="80">
        <f>F15*(F15-Error_Calculation!$N$26)/$E$92</f>
        <v>113.75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1000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20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ht="14.45" x14ac:dyDescent="0.3">
      <c r="B21" s="108" t="s">
        <v>144</v>
      </c>
      <c r="C21" s="109"/>
      <c r="D21" s="110"/>
    </row>
    <row r="22" spans="2:16" ht="14.45" x14ac:dyDescent="0.3">
      <c r="B22" s="75" t="s">
        <v>145</v>
      </c>
      <c r="C22" s="74" t="e">
        <f>C20*2*1.2</f>
        <v>#NUM!</v>
      </c>
      <c r="D22" s="106" t="s">
        <v>55</v>
      </c>
    </row>
    <row r="23" spans="2:16" ht="28.9" x14ac:dyDescent="0.3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20</v>
      </c>
      <c r="I5" s="46">
        <f>Component_Selection!E103</f>
        <v>20.2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0.3683720930232558</v>
      </c>
      <c r="F6" s="52" t="s">
        <v>26</v>
      </c>
      <c r="G6" s="52"/>
      <c r="H6" s="52">
        <f>Component_Selection!E51</f>
        <v>0.4</v>
      </c>
      <c r="I6" s="46">
        <f>Component_Selection!E104</f>
        <v>0.3683720930232558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39.6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150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20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1.5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ht="14.45" x14ac:dyDescent="0.3">
      <c r="O14" t="s">
        <v>159</v>
      </c>
      <c r="P14" s="28">
        <f>E8</f>
        <v>150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ht="14.45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0.88092044665414215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1.1059204466541421</v>
      </c>
      <c r="F22" s="52" t="s">
        <v>55</v>
      </c>
      <c r="H22" s="46">
        <f>SOA_Checks!P20+E19</f>
        <v>1.1059204466541421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2.7184204466541422</v>
      </c>
      <c r="F23" s="52" t="s">
        <v>55</v>
      </c>
      <c r="H23" s="46">
        <f>SOA_Checks!P26+E19</f>
        <v>2.7184204466541422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1.6125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2.4934204466541421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0.3683720930232558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0.22500000000000001</v>
      </c>
      <c r="D30" t="s">
        <v>198</v>
      </c>
    </row>
    <row r="31" spans="3:18" ht="14.45" x14ac:dyDescent="0.3">
      <c r="C31" s="28">
        <f>E22</f>
        <v>1.1059204466541421</v>
      </c>
      <c r="D31" t="s">
        <v>199</v>
      </c>
    </row>
    <row r="32" spans="3:18" ht="14.45" x14ac:dyDescent="0.3">
      <c r="C32" s="28">
        <f>E23</f>
        <v>2.7184204466541422</v>
      </c>
      <c r="D32" t="s">
        <v>200</v>
      </c>
    </row>
    <row r="33" spans="2:6" ht="14.45" x14ac:dyDescent="0.3">
      <c r="C33" s="28">
        <f>E20</f>
        <v>1.125</v>
      </c>
      <c r="D33" t="s">
        <v>114</v>
      </c>
    </row>
    <row r="34" spans="2:6" ht="14.45" x14ac:dyDescent="0.3">
      <c r="C34">
        <f>Component_Selection!F16*Component_Selection!F15/D27/1000</f>
        <v>129</v>
      </c>
      <c r="D34" t="s">
        <v>107</v>
      </c>
      <c r="E34" t="s">
        <v>225</v>
      </c>
    </row>
    <row r="35" spans="2:6" ht="14.45" x14ac:dyDescent="0.3">
      <c r="C35">
        <f>ROUND(SOA_Checks!C34/2,1)</f>
        <v>64.5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60V</v>
      </c>
      <c r="E47" s="52">
        <f>Component_Selection!E59</f>
        <v>13</v>
      </c>
      <c r="F47" s="52" t="s">
        <v>26</v>
      </c>
    </row>
    <row r="48" spans="2:6" ht="14.45" x14ac:dyDescent="0.3">
      <c r="C48" s="28">
        <f t="shared" ref="C48:C50" si="0">C38</f>
        <v>10</v>
      </c>
      <c r="D48" s="52" t="str">
        <f>"Q1 Current handling at "&amp;C38&amp;"ms and "&amp; E17 &amp;"V"</f>
        <v>Q1 Current handling at 10ms and 60V</v>
      </c>
      <c r="E48" s="52">
        <f>Component_Selection!E60</f>
        <v>4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13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4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4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3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70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20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=124C)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124.21680313278748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0.33855464578141681</v>
      </c>
      <c r="F60" s="52"/>
    </row>
    <row r="61" spans="3:6" ht="14.45" x14ac:dyDescent="0.3">
      <c r="C61" s="28">
        <f t="shared" ref="C61:D68" si="1">C47</f>
        <v>1</v>
      </c>
      <c r="D61" s="52" t="str">
        <f t="shared" si="1"/>
        <v>Q1 Current handling at 1ms and 60V</v>
      </c>
      <c r="E61" s="46">
        <f t="shared" ref="E61:E68" si="2">E47*$E$60</f>
        <v>4.4012103951584187</v>
      </c>
      <c r="F61" s="52" t="s">
        <v>26</v>
      </c>
    </row>
    <row r="62" spans="3:6" ht="14.45" x14ac:dyDescent="0.3">
      <c r="C62" s="28">
        <f t="shared" si="1"/>
        <v>10</v>
      </c>
      <c r="D62" s="52" t="str">
        <f t="shared" si="1"/>
        <v>Q1 Current handling at 10ms and 60V</v>
      </c>
      <c r="E62" s="46">
        <f t="shared" si="2"/>
        <v>1.3542185831256672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4.4012103951584187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1.3542185831256672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1.3542185831256672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1.0156639373442504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20.2V</v>
      </c>
      <c r="E67" s="46">
        <f t="shared" si="2"/>
        <v>23.698825204699176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20.2V</v>
      </c>
      <c r="E68" s="46">
        <f t="shared" si="2"/>
        <v>6.7710929156283362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=124C)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1.1059204466541421</v>
      </c>
      <c r="D73" s="52" t="str">
        <f>"Short Circuit; Vds = "&amp;E17&amp;"V, t= " &amp;C31 &amp; "ms"</f>
        <v>Short Circuit; Vds = 60V, t= 1.10592044665414ms</v>
      </c>
      <c r="E73" s="46">
        <f>H73*C31^G73*$E$60</f>
        <v>4.1801378079766955</v>
      </c>
      <c r="F73" s="52" t="s">
        <v>26</v>
      </c>
      <c r="G73">
        <f>LN(E47/E48)/LN(C37/C38)</f>
        <v>-0.51188336097887444</v>
      </c>
      <c r="H73">
        <f>E47/C37^G73</f>
        <v>13</v>
      </c>
    </row>
    <row r="74" spans="3:8" ht="14.45" x14ac:dyDescent="0.3">
      <c r="C74" s="28">
        <f>C32</f>
        <v>2.7184204466541422</v>
      </c>
      <c r="D74" s="52" t="str">
        <f>"Short Circuit with resistor; Vds = "&amp;E17&amp;"V, t= " &amp;C32 &amp; "ms"</f>
        <v>Short Circuit with resistor; Vds = 60V, t= 2.71842044665414ms</v>
      </c>
      <c r="E74" s="46">
        <f t="shared" ref="E74" si="3">H74*C32^G74*$E$60</f>
        <v>2.637865663040369</v>
      </c>
      <c r="F74" s="52" t="s">
        <v>26</v>
      </c>
      <c r="G74">
        <f>LN(E49/E50)/LN(C39/C40)</f>
        <v>-0.51188336097887444</v>
      </c>
      <c r="H74">
        <f>E49/C39^G74</f>
        <v>13</v>
      </c>
    </row>
    <row r="75" spans="3:8" ht="14.45" x14ac:dyDescent="0.3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1.0728608585546935</v>
      </c>
      <c r="F75" s="52" t="s">
        <v>26</v>
      </c>
      <c r="G75">
        <f>LN(E51/E52)/LN(C43/C44)</f>
        <v>-0.12493873660829993</v>
      </c>
      <c r="H75">
        <f>E51/C43^G75</f>
        <v>5.333333333333333</v>
      </c>
    </row>
    <row r="76" spans="3:8" ht="14.45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22.227794085332373</v>
      </c>
      <c r="F76" s="52" t="s">
        <v>26</v>
      </c>
      <c r="G76">
        <f>LN(E53/E54)/LN(C41/C42)</f>
        <v>-0.54406804435027567</v>
      </c>
      <c r="H76">
        <f>E53/C41^G76</f>
        <v>70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1.1059204466541421</v>
      </c>
      <c r="D80" s="52" t="str">
        <f>D73</f>
        <v>Short Circuit; Vds = 60V, t= 1.10592044665414ms</v>
      </c>
      <c r="E80" s="46">
        <f>E11</f>
        <v>1.5</v>
      </c>
      <c r="F80" s="52" t="s">
        <v>26</v>
      </c>
    </row>
    <row r="81" spans="3:6" ht="14.45" x14ac:dyDescent="0.3">
      <c r="C81" s="28">
        <f t="shared" ref="C81:D83" si="4">C74</f>
        <v>2.7184204466541422</v>
      </c>
      <c r="D81" s="52" t="str">
        <f t="shared" si="4"/>
        <v>Short Circuit with resistor; Vds = 60V, t= 2.71842044665414ms</v>
      </c>
      <c r="E81" s="46">
        <f>E11</f>
        <v>1.5</v>
      </c>
      <c r="F81" s="52" t="s">
        <v>26</v>
      </c>
    </row>
    <row r="82" spans="3:6" ht="14.45" x14ac:dyDescent="0.3">
      <c r="C82" s="28">
        <f t="shared" si="4"/>
        <v>64.5</v>
      </c>
      <c r="D82" s="52" t="str">
        <f t="shared" si="4"/>
        <v>Start-up ; Vds = 60V, t_eq= 64.5ms</v>
      </c>
      <c r="E82" s="46">
        <f>E6</f>
        <v>0.3683720930232558</v>
      </c>
      <c r="F82" s="52" t="s">
        <v>26</v>
      </c>
    </row>
    <row r="83" spans="3:6" ht="14.45" x14ac:dyDescent="0.3">
      <c r="C83" s="28">
        <f t="shared" si="4"/>
        <v>1.125</v>
      </c>
      <c r="D83" s="52" t="str">
        <f t="shared" si="4"/>
        <v>Vd = 1.5V; Vds = 20.2V, t_eq= 1.125ms</v>
      </c>
      <c r="E83" s="46">
        <f>E10</f>
        <v>20</v>
      </c>
      <c r="F83" s="52" t="s">
        <v>26</v>
      </c>
    </row>
    <row r="84" spans="3:6" ht="14.45" x14ac:dyDescent="0.3">
      <c r="C84" s="28"/>
      <c r="D84" s="52"/>
      <c r="E84" s="46"/>
      <c r="F84" s="52"/>
    </row>
    <row r="85" spans="3:6" ht="14.45" x14ac:dyDescent="0.3">
      <c r="D85" s="178" t="s">
        <v>116</v>
      </c>
      <c r="E85" s="178"/>
      <c r="F85" s="178"/>
    </row>
    <row r="86" spans="3:6" ht="14.45" x14ac:dyDescent="0.3">
      <c r="D86" s="52" t="str">
        <f>D80</f>
        <v>Short Circuit; Vds = 60V, t= 1.10592044665414ms</v>
      </c>
      <c r="E86" s="46">
        <f>E73/E80</f>
        <v>2.7867585386511302</v>
      </c>
      <c r="F86" s="52"/>
    </row>
    <row r="87" spans="3:6" ht="14.45" x14ac:dyDescent="0.3">
      <c r="D87" s="52" t="str">
        <f>D81</f>
        <v>Short Circuit with resistor; Vds = 60V, t= 2.71842044665414ms</v>
      </c>
      <c r="E87" s="46">
        <f>E74/E81</f>
        <v>1.7585771086935793</v>
      </c>
      <c r="F87" s="52"/>
    </row>
    <row r="88" spans="3:6" ht="14.45" x14ac:dyDescent="0.3">
      <c r="D88" s="52" t="str">
        <f>D82</f>
        <v>Start-up ; Vds = 60V, t_eq= 64.5ms</v>
      </c>
      <c r="E88" s="46">
        <f>E75/E82</f>
        <v>2.9124379367330695</v>
      </c>
      <c r="F88" s="52"/>
    </row>
    <row r="89" spans="3:6" x14ac:dyDescent="0.25">
      <c r="D89" s="52" t="str">
        <f>D83</f>
        <v>Vd = 1.5V; Vds = 20.2V, t_eq= 1.125ms</v>
      </c>
      <c r="E89" s="46">
        <f>E76/E83</f>
        <v>1.1113897042666188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40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38</v>
      </c>
      <c r="E6" s="28">
        <f>H2/Component_Selection!E83</f>
        <v>40</v>
      </c>
      <c r="F6" s="28">
        <f>E6*(1+H6)</f>
        <v>42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1.9700000000000002</v>
      </c>
      <c r="E7" s="28">
        <f>Error_Calculation!N19/Component_Selection!E83</f>
        <v>3</v>
      </c>
      <c r="F7" s="28">
        <f>E7*(1+H7)</f>
        <v>4.0299999999999994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37.390407407407409</v>
      </c>
      <c r="E8" s="28">
        <f>(Component_Selection!E84+Component_Selection!E85)/Component_Selection!E85*Error_Calculation!$N$7</f>
        <v>38.037037037037038</v>
      </c>
      <c r="F8" s="28">
        <f>E8*(1+H8)</f>
        <v>38.683666666666667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36.269407407407407</v>
      </c>
      <c r="E10" s="28">
        <f>E8-E9</f>
        <v>37.037037037037038</v>
      </c>
      <c r="F10" s="28">
        <f>F8-D9</f>
        <v>37.80466666666667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66.177999999999997</v>
      </c>
      <c r="E11" s="28">
        <f>(Component_Selection!E86+Component_Selection!E87)/Component_Selection!E87*Error_Calculation!$N$7</f>
        <v>67.666666666666671</v>
      </c>
      <c r="F11" s="28">
        <f>E11*(1+H11)</f>
        <v>69.155333333333346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0.87900000000000011</v>
      </c>
      <c r="E12" s="28">
        <f>Error_Calculation!$N$9*Component_Selection!E86*0.001</f>
        <v>1</v>
      </c>
      <c r="F12" s="28">
        <f>E12*(1+H12)</f>
        <v>1.121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65.057000000000002</v>
      </c>
      <c r="E13" s="28">
        <f>E11-E12</f>
        <v>66.666666666666671</v>
      </c>
      <c r="F13" s="28">
        <f>F11-D12</f>
        <v>68.276333333333341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0.1657674418604651</v>
      </c>
      <c r="E15" s="28">
        <f>Component_Selection!F16*Error_Calculation!N22/Component_Selection!E89*0.001</f>
        <v>0.3683720930232558</v>
      </c>
      <c r="F15" s="28">
        <f>E15*(1+H15)</f>
        <v>0.57097674418604649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38.350757749752937</v>
      </c>
      <c r="E20" s="28">
        <f>H2/Component_Selection!E83</f>
        <v>40</v>
      </c>
      <c r="F20" s="28">
        <f>E20*(1+H20)</f>
        <v>41.649242250247063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1.9995501012044632</v>
      </c>
      <c r="E21" s="28">
        <f>Error_Calculation!N19/Component_Selection!E83</f>
        <v>3</v>
      </c>
      <c r="F21" s="28">
        <f>E21*(1+H21)</f>
        <v>4.0004498987955373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37.463951289222265</v>
      </c>
      <c r="E22" s="28">
        <f>(Component_Selection!E84+Component_Selection!E85)/Component_Selection!E85*Error_Calculation!$N$7</f>
        <v>38.037037037037038</v>
      </c>
      <c r="F22" s="28">
        <f>E22*(1+H22)</f>
        <v>38.610122784851811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ht="14.45" x14ac:dyDescent="0.3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ht="14.45" x14ac:dyDescent="0.3">
      <c r="C24" s="29" t="s">
        <v>59</v>
      </c>
      <c r="D24" s="28">
        <f>D22-F23</f>
        <v>36.343947122627931</v>
      </c>
      <c r="E24" s="28">
        <f>E22-E23</f>
        <v>37.037037037037038</v>
      </c>
      <c r="F24" s="28">
        <f>F22-D23</f>
        <v>37.730126951446145</v>
      </c>
      <c r="G24" s="6" t="s">
        <v>4</v>
      </c>
      <c r="H24" s="41" t="s">
        <v>70</v>
      </c>
      <c r="L24" s="17"/>
      <c r="N24" s="10"/>
      <c r="P24" s="11"/>
      <c r="Q24" s="36"/>
    </row>
    <row r="25" spans="3:18" ht="14.45" x14ac:dyDescent="0.3">
      <c r="C25" s="29" t="s">
        <v>42</v>
      </c>
      <c r="D25" s="28">
        <f>E25*(1-H25)</f>
        <v>66.309954218626672</v>
      </c>
      <c r="E25" s="28">
        <f>(Component_Selection!E86+Component_Selection!E87)/Component_Selection!E87*Error_Calculation!$N$7</f>
        <v>67.666666666666671</v>
      </c>
      <c r="F25" s="28">
        <f>E25*(1+H25)</f>
        <v>69.023379114706671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ht="14.45" x14ac:dyDescent="0.3">
      <c r="C26" s="29" t="s">
        <v>72</v>
      </c>
      <c r="D26" s="28">
        <f>E26*(1-H26)</f>
        <v>0.87999583340566889</v>
      </c>
      <c r="E26" s="28">
        <f>Error_Calculation!$N$9*Component_Selection!E86*0.001</f>
        <v>1</v>
      </c>
      <c r="F26" s="28">
        <f>E26*(1+H26)</f>
        <v>1.1200041665943312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ht="14.45" x14ac:dyDescent="0.3">
      <c r="C27" s="29" t="s">
        <v>41</v>
      </c>
      <c r="D27" s="28">
        <f>D25-F26</f>
        <v>65.189950052032344</v>
      </c>
      <c r="E27" s="28">
        <f>E25-E26</f>
        <v>66.666666666666671</v>
      </c>
      <c r="F27" s="28">
        <f>F25-D26</f>
        <v>68.143383281300999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ht="14.45" x14ac:dyDescent="0.3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0.22451819201585885</v>
      </c>
      <c r="E29" s="28">
        <f>Component_Selection!F16*Error_Calculation!N22/Component_Selection!E89*0.001</f>
        <v>0.3683720930232558</v>
      </c>
      <c r="F29" s="28">
        <f>E29*(1+H29)</f>
        <v>0.51222599403065272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ht="14.45" x14ac:dyDescent="0.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ht="14.45" x14ac:dyDescent="0.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ht="14.45" x14ac:dyDescent="0.3">
      <c r="K37" t="s">
        <v>173</v>
      </c>
      <c r="L37">
        <f>SUM(L16:L35)</f>
        <v>164.73573026068942</v>
      </c>
      <c r="M37" t="s">
        <v>176</v>
      </c>
    </row>
    <row r="38" spans="2:13" ht="14.45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0.3683720930232558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0.3683720930232558</v>
      </c>
      <c r="G9">
        <f>G8</f>
        <v>60</v>
      </c>
      <c r="H9">
        <f t="shared" si="0"/>
        <v>22.102325581395348</v>
      </c>
      <c r="I9">
        <f>H9</f>
        <v>22.102325581395348</v>
      </c>
    </row>
    <row r="10" spans="5:9" x14ac:dyDescent="0.3">
      <c r="E10">
        <f>AVERAGE(E9,E12)</f>
        <v>74.509999999999991</v>
      </c>
      <c r="F10">
        <f>F9</f>
        <v>0.3683720930232558</v>
      </c>
      <c r="G10">
        <v>30</v>
      </c>
      <c r="H10">
        <f t="shared" si="0"/>
        <v>11.051162790697674</v>
      </c>
      <c r="I10">
        <f>I9</f>
        <v>22.102325581395348</v>
      </c>
    </row>
    <row r="11" spans="5:9" x14ac:dyDescent="0.3">
      <c r="E11">
        <f>E10+0.01</f>
        <v>74.52</v>
      </c>
      <c r="F11">
        <f>F10</f>
        <v>0.3683720930232558</v>
      </c>
      <c r="G11">
        <f>G10</f>
        <v>30</v>
      </c>
      <c r="H11">
        <f t="shared" si="0"/>
        <v>11.051162790697674</v>
      </c>
      <c r="I11">
        <v>0</v>
      </c>
    </row>
    <row r="12" spans="5:9" x14ac:dyDescent="0.3">
      <c r="E12">
        <f>E9+F3*F2/F12/1000</f>
        <v>139.01</v>
      </c>
      <c r="F12">
        <f>F10</f>
        <v>0.3683720930232558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139.01999999999998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149.01999999999998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20</v>
      </c>
    </row>
    <row r="20" spans="7:8" x14ac:dyDescent="0.3">
      <c r="G20" s="28">
        <f>SOA_Checks!E5</f>
        <v>20.2</v>
      </c>
      <c r="H20" s="28">
        <f>H19</f>
        <v>20</v>
      </c>
    </row>
    <row r="21" spans="7:8" x14ac:dyDescent="0.3">
      <c r="G21" s="28">
        <f>G20+0.01</f>
        <v>20.21</v>
      </c>
      <c r="H21" s="28">
        <f>SOA_Checks!E11</f>
        <v>1.5</v>
      </c>
    </row>
    <row r="22" spans="7:8" x14ac:dyDescent="0.3">
      <c r="G22">
        <v>100</v>
      </c>
      <c r="H22" s="28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3.3000000000000002E-2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50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18.518518518518519</v>
      </c>
      <c r="G11" s="28">
        <f>BrownOut!$C$11/E11</f>
        <v>18.518518518518519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18.518518518518519</v>
      </c>
      <c r="G12" s="28">
        <f>BrownOut!$C$11/E12</f>
        <v>18.518518518518519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18.518518518518519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46.377241022386023</v>
      </c>
      <c r="F14">
        <f>IF(D14=E14,G14,IF(E14&gt;D14,0,BrownOut!$C$15))</f>
        <v>0</v>
      </c>
      <c r="G14" s="28">
        <f>BrownOut!$C$11/E14</f>
        <v>21.562300342905388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37.224950902546134</v>
      </c>
      <c r="F15">
        <f>IF(D15=E15,G15,IF(E15&gt;D15,0,BrownOut!$C$15))</f>
        <v>0</v>
      </c>
      <c r="G15" s="28">
        <f>BrownOut!$C$11/E15</f>
        <v>26.863702322078858</v>
      </c>
    </row>
    <row r="16" spans="2:9" x14ac:dyDescent="0.3">
      <c r="C16">
        <f>C15+BrownOut!$C$5/4</f>
        <v>3.26</v>
      </c>
      <c r="D16" s="50">
        <f>BrownOut!$C$4</f>
        <v>10</v>
      </c>
      <c r="E16" s="71">
        <f>SQRT(E15^2-2*(C16-C15)*BrownOut!$C$11*(1+BrownOut!$C$12)/BrownOut!$C$14)</f>
        <v>24.910749778869665</v>
      </c>
      <c r="F16">
        <f>IF(D16=E16,G16,IF(E16&gt;D16,0,BrownOut!$C$15))</f>
        <v>0</v>
      </c>
      <c r="G16" s="28">
        <f>BrownOut!$C$11/E16</f>
        <v>40.143311978840622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3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3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3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3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18.518518518518519</v>
      </c>
      <c r="G23" s="28">
        <f>BrownOut!$C$11/E23</f>
        <v>18.518518518518519</v>
      </c>
    </row>
    <row r="24" spans="2:7" x14ac:dyDescent="0.2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18.518518518518519</v>
      </c>
      <c r="G24" s="28">
        <f>BrownOut!$C$11/E24</f>
        <v>18.518518518518519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2019-03-07T10:07:38Z</dcterms:modified>
</cp:coreProperties>
</file>