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https://lnttsgroup-my.sharepoint.com/personal/mohammed_khan2_ltts_com/Documents/New Transformer SPEcs/"/>
    </mc:Choice>
  </mc:AlternateContent>
  <xr:revisionPtr revIDLastSave="153" documentId="8_{F9045EA3-9972-4DB0-9D1A-2B1616EDA7A5}" xr6:coauthVersionLast="47" xr6:coauthVersionMax="47" xr10:uidLastSave="{BA0713AE-5750-4C06-A1E1-1DDB8A497EF8}"/>
  <bookViews>
    <workbookView xWindow="-120" yWindow="-120" windowWidth="20730" windowHeight="11040" tabRatio="806" firstSheet="2" activeTab="2" xr2:uid="{00000000-000D-0000-FFFF-FFFF00000000}"/>
  </bookViews>
  <sheets>
    <sheet name="Instructions" sheetId="2" r:id="rId1"/>
    <sheet name="Functional Schematic" sheetId="7" r:id="rId2"/>
    <sheet name="Design Information" sheetId="1" r:id="rId3"/>
    <sheet name="Figure of T1 Current" sheetId="8" r:id="rId4"/>
    <sheet name="TABSET Valley Switching" sheetId="9" r:id="rId5"/>
    <sheet name="TCDSET Valley Switching" sheetId="10" r:id="rId6"/>
    <sheet name="Notice and Disclaimer" sheetId="11" r:id="rId7"/>
    <sheet name="Voltage Loop" sheetId="6" state="hidden" r:id="rId8"/>
    <sheet name="Standard R and C Look Up Table" sheetId="3" state="hidden" r:id="rId9"/>
  </sheets>
  <externalReferences>
    <externalReference r:id="rId10"/>
  </externalReferences>
  <definedNames>
    <definedName name="_imp2">'Design Information'!$C$40</definedName>
    <definedName name="_ims2">'Design Information'!$C$32</definedName>
    <definedName name="_ipp1">'Design Information'!$C$112</definedName>
    <definedName name="_st1">'Design Information'!#REF!</definedName>
    <definedName name="_st10">'Standard R and C Look Up Table'!#REF!</definedName>
    <definedName name="_st11">'Standard R and C Look Up Table'!#REF!</definedName>
    <definedName name="_st12">'Standard R and C Look Up Table'!#REF!</definedName>
    <definedName name="_st13">'Standard R and C Look Up Table'!#REF!</definedName>
    <definedName name="_st14">'Standard R and C Look Up Table'!#REF!</definedName>
    <definedName name="_st15">'Standard R and C Look Up Table'!#REF!</definedName>
    <definedName name="_st16">'Standard R and C Look Up Table'!#REF!</definedName>
    <definedName name="_st17">'Standard R and C Look Up Table'!#REF!</definedName>
    <definedName name="_st18">'Standard R and C Look Up Table'!#REF!</definedName>
    <definedName name="_st2">'Design Information'!#REF!</definedName>
    <definedName name="_st3">'Standard R and C Look Up Table'!#REF!</definedName>
    <definedName name="_st4">'Standard R and C Look Up Table'!#REF!</definedName>
    <definedName name="_st5">'Standard R and C Look Up Table'!#REF!</definedName>
    <definedName name="_st6">'Standard R and C Look Up Table'!#REF!</definedName>
    <definedName name="_st7">'Standard R and C Look Up Table'!#REF!</definedName>
    <definedName name="_st8">'Standard R and C Look Up Table'!#REF!</definedName>
    <definedName name="_st9">'Standard R and C Look Up Table'!#REF!</definedName>
    <definedName name="_std2">'Design Information'!#REF!</definedName>
    <definedName name="_ta1">'Design Information'!$C$25</definedName>
    <definedName name="_ta11">'Design Information'!$C$25</definedName>
    <definedName name="_ta2">'Design Information'!$C$111</definedName>
    <definedName name="_taa1">'Design Information'!$C$26</definedName>
    <definedName name="_va1">'Design Information'!$C$120</definedName>
    <definedName name="C_enter">'Standard R and C Look Up Table'!$K$2</definedName>
    <definedName name="C_f1">'Standard R and C Look Up Table'!$K$17</definedName>
    <definedName name="C_f2">'Standard R and C Look Up Table'!$K$24</definedName>
    <definedName name="c_s1">'Standard R and C Look Up Table'!$J$6</definedName>
    <definedName name="C_s2">'Standard R and C Look Up Table'!$J$19</definedName>
    <definedName name="Center">'Standard R and C Look Up Table'!$K$2</definedName>
    <definedName name="constant">'Design Information'!$C$132</definedName>
    <definedName name="cossqaavg">'Design Information'!$C$56</definedName>
    <definedName name="cossqaspec">'Design Information'!$C$53</definedName>
    <definedName name="cossqeavg">'Design Information'!$C$90</definedName>
    <definedName name="cout">'Design Information'!$C$80</definedName>
    <definedName name="Cp">'Design Information'!$C$151</definedName>
    <definedName name="CPC">'[1]Design Information'!$C$87</definedName>
    <definedName name="Cstandard">'Standard R and C Look Up Table'!$K$3</definedName>
    <definedName name="Cz">'Design Information'!$C$146</definedName>
    <definedName name="CZC">'[1]Design Information'!$C$85</definedName>
    <definedName name="d2a">'Design Information'!$C$135</definedName>
    <definedName name="dclamp">'Design Information'!$C$102</definedName>
    <definedName name="dcrlout">'Design Information'!$C$69</definedName>
    <definedName name="dcrp">'Design Information'!$C$45</definedName>
    <definedName name="dcrs">'Design Information'!$C$46</definedName>
    <definedName name="dilmag">'Design Information'!$C$37</definedName>
    <definedName name="dilout">'Design Information'!$C$28</definedName>
    <definedName name="dmax">'Design Information'!$C$24</definedName>
    <definedName name="dtyp">'Design Information'!$C$27</definedName>
    <definedName name="E12_f">'Standard R and C Look Up Table'!$F$21</definedName>
    <definedName name="E12_s">'Standard R and C Look Up Table'!$E$10</definedName>
    <definedName name="E24_f">'Standard R and C Look Up Table'!$F$46</definedName>
    <definedName name="E24_s">'Standard R and C Look Up Table'!$E$23</definedName>
    <definedName name="E48_f">'Standard R and C Look Up Table'!$F$95</definedName>
    <definedName name="E48_s">'Standard R and C Look Up Table'!$E$48</definedName>
    <definedName name="E6_f">'Standard R and C Look Up Table'!$F$8</definedName>
    <definedName name="E6_s">'Standard R and C Look Up Table'!$E$3</definedName>
    <definedName name="E96_f">'Standard R and C Look Up Table'!$H$98</definedName>
    <definedName name="E96_s">'Standard R and C Look Up Table'!$G$3</definedName>
    <definedName name="Eff">'Design Information'!$B$17</definedName>
    <definedName name="esrcout">'Design Information'!$C$81</definedName>
    <definedName name="fc">'Design Information'!$C$130</definedName>
    <definedName name="fpp">'Design Information'!$C$129</definedName>
    <definedName name="fs">'Design Information'!$C$18</definedName>
    <definedName name="iloutrms">'Design Information'!$C$67</definedName>
    <definedName name="imp">'Design Information'!$C$39</definedName>
    <definedName name="ims">'Design Information'!$C$31</definedName>
    <definedName name="ipp">'Design Information'!$C$38</definedName>
    <definedName name="iprms">'Design Information'!$C$43</definedName>
    <definedName name="iprms1">'Design Information'!$C$41</definedName>
    <definedName name="iprms2">'Design Information'!$C$42</definedName>
    <definedName name="ips">'Design Information'!$C$30</definedName>
    <definedName name="isrms">'Design Information'!$C$36</definedName>
    <definedName name="isrms1">'Design Information'!$C$33</definedName>
    <definedName name="isrms2">'Design Information'!$C$34</definedName>
    <definedName name="isrms3">'Design Information'!$C$35</definedName>
    <definedName name="LAVG">'[1]Design Information'!$C$29</definedName>
    <definedName name="llk">'Design Information'!$C$47</definedName>
    <definedName name="lmag">'Design Information'!$C$29</definedName>
    <definedName name="lmag1">'Design Information'!$C$29</definedName>
    <definedName name="lmag2">'Design Information'!$C$44</definedName>
    <definedName name="lout">'Design Information'!$C$68</definedName>
    <definedName name="ls">'Design Information'!$C$61</definedName>
    <definedName name="n1divd1">'Design Information'!$C$134</definedName>
    <definedName name="NCT">'[1]Design Information'!$C$40</definedName>
    <definedName name="pbudget">'Design Information'!$C$22</definedName>
    <definedName name="pout">'Design Information'!$D$16</definedName>
    <definedName name="QAg">'Design Information'!$C$54</definedName>
    <definedName name="qeg">'Design Information'!$C$86</definedName>
    <definedName name="rdsonqa">'Design Information'!$C$52</definedName>
    <definedName name="rdsonqe">'Design Information'!$C$87</definedName>
    <definedName name="rf">'Design Information'!$C$141</definedName>
    <definedName name="RII">'Design Information'!$C$128</definedName>
    <definedName name="rload">'Design Information'!$C$131</definedName>
    <definedName name="RS">'Design Information'!$C$115</definedName>
    <definedName name="RZC">'[1]Design Information'!$C$83</definedName>
    <definedName name="sta">'Standard R and C Look Up Table'!$L$6</definedName>
    <definedName name="stb">'Standard R and C Look Up Table'!$L$19</definedName>
    <definedName name="std">'Design Information'!#REF!</definedName>
    <definedName name="tabset">'Design Information'!$C$182</definedName>
    <definedName name="tafset">'Design Information'!$C$200</definedName>
    <definedName name="tcdset">'Design Information'!$C$194</definedName>
    <definedName name="tdelay">'Design Information'!$C$100</definedName>
    <definedName name="temp">#REF!</definedName>
    <definedName name="thu">'Design Information'!$C$73</definedName>
    <definedName name="tr">'Design Information'!$C$95</definedName>
    <definedName name="vadel">'Design Information'!$C$188</definedName>
    <definedName name="vdsqe">'Design Information'!$C$85</definedName>
    <definedName name="vg">'Design Information'!$C$51</definedName>
    <definedName name="vin">'Design Information'!$C$13</definedName>
    <definedName name="vinerror">'Design Information'!#REF!</definedName>
    <definedName name="VINMAX">'Design Information'!$D$13</definedName>
    <definedName name="VINMIAX">'Design Information'!$D$13</definedName>
    <definedName name="VINMIN">'Design Information'!$B$13</definedName>
    <definedName name="VOUT">'Design Information'!$C$14</definedName>
    <definedName name="voutmin">'Design Information'!$B$14</definedName>
    <definedName name="vrdson">'Design Information'!$C$23</definedName>
    <definedName name="Vslope1">'Design Information'!$C$221</definedName>
    <definedName name="Vslope2">'Design Information'!$C$222</definedName>
    <definedName name="VTRAN">'Design Information'!$D$15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1" l="1"/>
  <c r="C27" i="1"/>
  <c r="D27" i="1" s="1"/>
  <c r="C85" i="1"/>
  <c r="C90" i="1" s="1"/>
  <c r="C74" i="1"/>
  <c r="C28" i="1"/>
  <c r="C112" i="1" s="1"/>
  <c r="C113" i="1" s="1"/>
  <c r="C114" i="1" s="1"/>
  <c r="C221" i="1"/>
  <c r="C206" i="1"/>
  <c r="C207" i="1" s="1"/>
  <c r="C208" i="1" s="1"/>
  <c r="C202" i="1"/>
  <c r="C203" i="1" s="1"/>
  <c r="C204" i="1" s="1"/>
  <c r="C184" i="1"/>
  <c r="C185" i="1" s="1"/>
  <c r="C186" i="1" s="1"/>
  <c r="C56" i="1"/>
  <c r="C99" i="1" s="1"/>
  <c r="C100" i="1" s="1"/>
  <c r="C181" i="1" s="1"/>
  <c r="C188" i="1"/>
  <c r="C195" i="1"/>
  <c r="C196" i="1" s="1"/>
  <c r="C189" i="1"/>
  <c r="C190" i="1" s="1"/>
  <c r="F18" i="1"/>
  <c r="F13" i="1"/>
  <c r="C22" i="1"/>
  <c r="C81" i="1"/>
  <c r="C95" i="1"/>
  <c r="F17" i="1"/>
  <c r="E121" i="1"/>
  <c r="E120" i="1"/>
  <c r="C199" i="1"/>
  <c r="F14" i="1"/>
  <c r="C101" i="1"/>
  <c r="E104" i="1"/>
  <c r="C4" i="3"/>
  <c r="C216" i="1"/>
  <c r="C217" i="1" s="1"/>
  <c r="C131" i="1"/>
  <c r="C80" i="1"/>
  <c r="C129" i="1"/>
  <c r="E3" i="6" s="1"/>
  <c r="I3" i="6"/>
  <c r="J3" i="6"/>
  <c r="I2" i="6"/>
  <c r="J2" i="6"/>
  <c r="R2" i="6"/>
  <c r="C130" i="1"/>
  <c r="C142" i="1" s="1"/>
  <c r="A2" i="6"/>
  <c r="A3" i="6"/>
  <c r="A4" i="6"/>
  <c r="B4" i="6" s="1"/>
  <c r="J4" i="6" s="1"/>
  <c r="C7" i="3"/>
  <c r="C212" i="1"/>
  <c r="C213" i="1" s="1"/>
  <c r="C175" i="1"/>
  <c r="C178" i="1" s="1"/>
  <c r="C147" i="1"/>
  <c r="C149" i="1" s="1"/>
  <c r="C148" i="1" s="1"/>
  <c r="L6" i="3"/>
  <c r="K3" i="3" s="1"/>
  <c r="L19" i="3"/>
  <c r="C5" i="3"/>
  <c r="C8" i="3"/>
  <c r="C126" i="1"/>
  <c r="C127" i="1" s="1"/>
  <c r="C122" i="1"/>
  <c r="C123" i="1" s="1"/>
  <c r="C118" i="1"/>
  <c r="C6" i="3"/>
  <c r="C73" i="1"/>
  <c r="C75" i="1" s="1"/>
  <c r="A5" i="6"/>
  <c r="I4" i="6" l="1"/>
  <c r="K4" i="6" s="1"/>
  <c r="E2" i="6"/>
  <c r="C133" i="1"/>
  <c r="E4" i="6"/>
  <c r="C135" i="1"/>
  <c r="C228" i="1"/>
  <c r="C230" i="1" s="1"/>
  <c r="C231" i="1" s="1"/>
  <c r="C35" i="1"/>
  <c r="C30" i="1"/>
  <c r="C32" i="1" s="1"/>
  <c r="C34" i="1" s="1"/>
  <c r="K3" i="6"/>
  <c r="C150" i="1"/>
  <c r="K2" i="6"/>
  <c r="C76" i="1"/>
  <c r="C82" i="1" s="1"/>
  <c r="C67" i="1"/>
  <c r="C70" i="1" s="1"/>
  <c r="C220" i="1"/>
  <c r="C222" i="1" s="1"/>
  <c r="C223" i="1" s="1"/>
  <c r="C224" i="1" s="1"/>
  <c r="C225" i="1" s="1"/>
  <c r="C29" i="1"/>
  <c r="E44" i="1" s="1"/>
  <c r="D2" i="6"/>
  <c r="C96" i="6"/>
  <c r="C56" i="6"/>
  <c r="C93" i="6"/>
  <c r="C89" i="6"/>
  <c r="C70" i="6"/>
  <c r="C100" i="6"/>
  <c r="C55" i="6"/>
  <c r="C72" i="6"/>
  <c r="C20" i="6"/>
  <c r="C4" i="6"/>
  <c r="C80" i="6"/>
  <c r="C57" i="6"/>
  <c r="C32" i="6"/>
  <c r="C65" i="6"/>
  <c r="C87" i="6"/>
  <c r="C46" i="6"/>
  <c r="C42" i="6"/>
  <c r="C37" i="6"/>
  <c r="C21" i="6"/>
  <c r="C71" i="6"/>
  <c r="C7" i="6"/>
  <c r="C91" i="6"/>
  <c r="C51" i="6"/>
  <c r="C49" i="6"/>
  <c r="C27" i="6"/>
  <c r="C83" i="6"/>
  <c r="C50" i="6"/>
  <c r="C6" i="6"/>
  <c r="C40" i="6"/>
  <c r="C22" i="6"/>
  <c r="C26" i="6"/>
  <c r="C86" i="6"/>
  <c r="C76" i="6"/>
  <c r="C134" i="1"/>
  <c r="C74" i="6"/>
  <c r="C9" i="6"/>
  <c r="C18" i="6"/>
  <c r="C29" i="6"/>
  <c r="C16" i="6"/>
  <c r="C5" i="6"/>
  <c r="C52" i="6"/>
  <c r="C98" i="6"/>
  <c r="C38" i="6"/>
  <c r="C45" i="6"/>
  <c r="C48" i="6"/>
  <c r="C35" i="6"/>
  <c r="C31" i="6"/>
  <c r="C81" i="6"/>
  <c r="C19" i="6"/>
  <c r="C15" i="6"/>
  <c r="C25" i="6"/>
  <c r="C53" i="6"/>
  <c r="C54" i="6"/>
  <c r="C77" i="6"/>
  <c r="C75" i="6"/>
  <c r="C11" i="6"/>
  <c r="C36" i="6"/>
  <c r="C132" i="1"/>
  <c r="C92" i="6"/>
  <c r="C99" i="6"/>
  <c r="C24" i="6"/>
  <c r="C60" i="6"/>
  <c r="C79" i="6"/>
  <c r="C88" i="6"/>
  <c r="C30" i="6"/>
  <c r="C33" i="6"/>
  <c r="C41" i="6"/>
  <c r="C14" i="6"/>
  <c r="C68" i="6"/>
  <c r="C12" i="6"/>
  <c r="D3" i="6"/>
  <c r="F3" i="6" s="1"/>
  <c r="C64" i="6"/>
  <c r="C17" i="6"/>
  <c r="C82" i="6"/>
  <c r="C59" i="6"/>
  <c r="D4" i="6"/>
  <c r="F4" i="6" s="1"/>
  <c r="C78" i="6"/>
  <c r="C28" i="6"/>
  <c r="C97" i="6"/>
  <c r="C10" i="6"/>
  <c r="C3" i="6"/>
  <c r="C69" i="6"/>
  <c r="B5" i="6"/>
  <c r="A6" i="6"/>
  <c r="C177" i="1"/>
  <c r="C176" i="1" s="1"/>
  <c r="C31" i="1"/>
  <c r="C66" i="1"/>
  <c r="E68" i="1" s="1"/>
  <c r="C102" i="1"/>
  <c r="C193" i="1"/>
  <c r="C144" i="1"/>
  <c r="C143" i="1" s="1"/>
  <c r="C145" i="1"/>
  <c r="C66" i="6"/>
  <c r="C73" i="6"/>
  <c r="C63" i="6"/>
  <c r="C44" i="6"/>
  <c r="C67" i="6"/>
  <c r="C95" i="6"/>
  <c r="C94" i="6"/>
  <c r="C23" i="6"/>
  <c r="C43" i="6"/>
  <c r="C85" i="6"/>
  <c r="C34" i="6"/>
  <c r="C84" i="6"/>
  <c r="C101" i="6"/>
  <c r="C39" i="6"/>
  <c r="C90" i="6"/>
  <c r="C13" i="6"/>
  <c r="C61" i="6"/>
  <c r="C2" i="6"/>
  <c r="C58" i="6"/>
  <c r="C62" i="6"/>
  <c r="C8" i="6"/>
  <c r="C47" i="6"/>
  <c r="F2" i="6" l="1"/>
  <c r="G2" i="6" s="1"/>
  <c r="H2" i="6" s="1"/>
  <c r="C136" i="1"/>
  <c r="C137" i="1" s="1"/>
  <c r="C138" i="1" s="1"/>
  <c r="C139" i="1" s="1"/>
  <c r="C140" i="1" s="1"/>
  <c r="C33" i="1"/>
  <c r="C36" i="1" s="1"/>
  <c r="C91" i="1" s="1"/>
  <c r="C37" i="1"/>
  <c r="C38" i="1" s="1"/>
  <c r="C117" i="1"/>
  <c r="C103" i="1"/>
  <c r="C104" i="1" s="1"/>
  <c r="I5" i="6"/>
  <c r="J5" i="6"/>
  <c r="E5" i="6"/>
  <c r="D5" i="6"/>
  <c r="G4" i="6"/>
  <c r="G3" i="6"/>
  <c r="B6" i="6"/>
  <c r="A7" i="6"/>
  <c r="C96" i="1" l="1"/>
  <c r="C39" i="1"/>
  <c r="C41" i="1" s="1"/>
  <c r="K5" i="6"/>
  <c r="L2" i="6"/>
  <c r="N2" i="6" s="1"/>
  <c r="O2" i="6" s="1"/>
  <c r="A8" i="6"/>
  <c r="B7" i="6"/>
  <c r="H4" i="6"/>
  <c r="L4" i="6"/>
  <c r="H3" i="6"/>
  <c r="L3" i="6"/>
  <c r="E6" i="6"/>
  <c r="D6" i="6"/>
  <c r="F6" i="6" s="1"/>
  <c r="G6" i="6" s="1"/>
  <c r="I6" i="6"/>
  <c r="J6" i="6"/>
  <c r="C40" i="1"/>
  <c r="C42" i="1" s="1"/>
  <c r="C60" i="1"/>
  <c r="E60" i="1" s="1"/>
  <c r="F5" i="6"/>
  <c r="G5" i="6" s="1"/>
  <c r="K6" i="6" l="1"/>
  <c r="L6" i="6" s="1"/>
  <c r="M2" i="6"/>
  <c r="C43" i="1"/>
  <c r="C63" i="1" s="1"/>
  <c r="M3" i="6"/>
  <c r="N3" i="6"/>
  <c r="O3" i="6" s="1"/>
  <c r="M4" i="6"/>
  <c r="N4" i="6"/>
  <c r="O4" i="6" s="1"/>
  <c r="H6" i="6"/>
  <c r="J7" i="6"/>
  <c r="I7" i="6"/>
  <c r="E7" i="6"/>
  <c r="D7" i="6"/>
  <c r="F7" i="6" s="1"/>
  <c r="G7" i="6" s="1"/>
  <c r="C116" i="1"/>
  <c r="C105" i="1"/>
  <c r="C108" i="1" s="1"/>
  <c r="L5" i="6"/>
  <c r="H5" i="6"/>
  <c r="A9" i="6"/>
  <c r="B8" i="6"/>
  <c r="C48" i="1" l="1"/>
  <c r="C49" i="1" s="1"/>
  <c r="E49" i="1" s="1"/>
  <c r="C57" i="1"/>
  <c r="N6" i="6"/>
  <c r="O6" i="6" s="1"/>
  <c r="M6" i="6"/>
  <c r="H7" i="6"/>
  <c r="K7" i="6"/>
  <c r="L7" i="6" s="1"/>
  <c r="M5" i="6"/>
  <c r="N5" i="6"/>
  <c r="O5" i="6" s="1"/>
  <c r="E8" i="6"/>
  <c r="J8" i="6"/>
  <c r="I8" i="6"/>
  <c r="D8" i="6"/>
  <c r="A10" i="6"/>
  <c r="B9" i="6"/>
  <c r="F8" i="6" l="1"/>
  <c r="G8" i="6" s="1"/>
  <c r="L8" i="6" s="1"/>
  <c r="K8" i="6"/>
  <c r="C58" i="1"/>
  <c r="C64" i="1" s="1"/>
  <c r="E9" i="6"/>
  <c r="D9" i="6"/>
  <c r="F9" i="6" s="1"/>
  <c r="G9" i="6" s="1"/>
  <c r="I9" i="6"/>
  <c r="J9" i="6"/>
  <c r="B10" i="6"/>
  <c r="A11" i="6"/>
  <c r="M7" i="6"/>
  <c r="N7" i="6"/>
  <c r="O7" i="6" s="1"/>
  <c r="H8" i="6" l="1"/>
  <c r="K9" i="6"/>
  <c r="L9" i="6" s="1"/>
  <c r="E58" i="1"/>
  <c r="E10" i="6"/>
  <c r="J10" i="6"/>
  <c r="I10" i="6"/>
  <c r="D10" i="6"/>
  <c r="C71" i="1"/>
  <c r="E64" i="1"/>
  <c r="M8" i="6"/>
  <c r="N8" i="6"/>
  <c r="O8" i="6" s="1"/>
  <c r="H9" i="6"/>
  <c r="A12" i="6"/>
  <c r="B11" i="6"/>
  <c r="K10" i="6" l="1"/>
  <c r="F10" i="6"/>
  <c r="G10" i="6" s="1"/>
  <c r="H10" i="6" s="1"/>
  <c r="M9" i="6"/>
  <c r="N9" i="6"/>
  <c r="O9" i="6" s="1"/>
  <c r="E71" i="1"/>
  <c r="C83" i="1"/>
  <c r="J11" i="6"/>
  <c r="E11" i="6"/>
  <c r="I11" i="6"/>
  <c r="D11" i="6"/>
  <c r="B12" i="6"/>
  <c r="A13" i="6"/>
  <c r="L10" i="6" l="1"/>
  <c r="M10" i="6" s="1"/>
  <c r="K11" i="6"/>
  <c r="A14" i="6"/>
  <c r="B13" i="6"/>
  <c r="C97" i="1"/>
  <c r="E83" i="1"/>
  <c r="D12" i="6"/>
  <c r="F12" i="6" s="1"/>
  <c r="G12" i="6" s="1"/>
  <c r="J12" i="6"/>
  <c r="I12" i="6"/>
  <c r="E12" i="6"/>
  <c r="F11" i="6"/>
  <c r="G11" i="6" s="1"/>
  <c r="N10" i="6" l="1"/>
  <c r="O10" i="6" s="1"/>
  <c r="H12" i="6"/>
  <c r="C109" i="1"/>
  <c r="E109" i="1" s="1"/>
  <c r="E97" i="1"/>
  <c r="I13" i="6"/>
  <c r="J13" i="6"/>
  <c r="D13" i="6"/>
  <c r="E13" i="6"/>
  <c r="H11" i="6"/>
  <c r="L11" i="6"/>
  <c r="B14" i="6"/>
  <c r="A15" i="6"/>
  <c r="K12" i="6"/>
  <c r="L12" i="6" s="1"/>
  <c r="K13" i="6" l="1"/>
  <c r="N12" i="6"/>
  <c r="O12" i="6" s="1"/>
  <c r="M12" i="6"/>
  <c r="F13" i="6"/>
  <c r="G13" i="6" s="1"/>
  <c r="A16" i="6"/>
  <c r="B15" i="6"/>
  <c r="D14" i="6"/>
  <c r="J14" i="6"/>
  <c r="E14" i="6"/>
  <c r="I14" i="6"/>
  <c r="N11" i="6"/>
  <c r="O11" i="6" s="1"/>
  <c r="M11" i="6"/>
  <c r="F14" i="6" l="1"/>
  <c r="G14" i="6" s="1"/>
  <c r="H14" i="6" s="1"/>
  <c r="K14" i="6"/>
  <c r="E15" i="6"/>
  <c r="J15" i="6"/>
  <c r="I15" i="6"/>
  <c r="D15" i="6"/>
  <c r="F15" i="6" s="1"/>
  <c r="G15" i="6" s="1"/>
  <c r="A17" i="6"/>
  <c r="B16" i="6"/>
  <c r="H13" i="6"/>
  <c r="L13" i="6"/>
  <c r="L14" i="6" l="1"/>
  <c r="N14" i="6" s="1"/>
  <c r="O14" i="6" s="1"/>
  <c r="K15" i="6"/>
  <c r="L15" i="6" s="1"/>
  <c r="I16" i="6"/>
  <c r="E16" i="6"/>
  <c r="J16" i="6"/>
  <c r="D16" i="6"/>
  <c r="F16" i="6" s="1"/>
  <c r="G16" i="6" s="1"/>
  <c r="M13" i="6"/>
  <c r="N13" i="6"/>
  <c r="O13" i="6" s="1"/>
  <c r="A18" i="6"/>
  <c r="B17" i="6"/>
  <c r="H15" i="6"/>
  <c r="M14" i="6"/>
  <c r="K16" i="6" l="1"/>
  <c r="L16" i="6" s="1"/>
  <c r="J17" i="6"/>
  <c r="E17" i="6"/>
  <c r="I17" i="6"/>
  <c r="D17" i="6"/>
  <c r="F17" i="6" s="1"/>
  <c r="G17" i="6" s="1"/>
  <c r="N15" i="6"/>
  <c r="O15" i="6" s="1"/>
  <c r="M15" i="6"/>
  <c r="A19" i="6"/>
  <c r="B18" i="6"/>
  <c r="H16" i="6"/>
  <c r="K17" i="6" l="1"/>
  <c r="L17" i="6" s="1"/>
  <c r="N16" i="6"/>
  <c r="O16" i="6" s="1"/>
  <c r="M16" i="6"/>
  <c r="E18" i="6"/>
  <c r="I18" i="6"/>
  <c r="J18" i="6"/>
  <c r="D18" i="6"/>
  <c r="F18" i="6" s="1"/>
  <c r="G18" i="6" s="1"/>
  <c r="B19" i="6"/>
  <c r="A20" i="6"/>
  <c r="H17" i="6"/>
  <c r="K18" i="6" l="1"/>
  <c r="L18" i="6" s="1"/>
  <c r="H18" i="6"/>
  <c r="A21" i="6"/>
  <c r="B20" i="6"/>
  <c r="J19" i="6"/>
  <c r="E19" i="6"/>
  <c r="I19" i="6"/>
  <c r="K19" i="6" s="1"/>
  <c r="D19" i="6"/>
  <c r="F19" i="6" s="1"/>
  <c r="G19" i="6" s="1"/>
  <c r="N17" i="6"/>
  <c r="O17" i="6" s="1"/>
  <c r="M17" i="6"/>
  <c r="H19" i="6" l="1"/>
  <c r="L19" i="6"/>
  <c r="I20" i="6"/>
  <c r="D20" i="6"/>
  <c r="J20" i="6"/>
  <c r="E20" i="6"/>
  <c r="A22" i="6"/>
  <c r="B21" i="6"/>
  <c r="M18" i="6"/>
  <c r="N18" i="6"/>
  <c r="O18" i="6" s="1"/>
  <c r="K20" i="6" l="1"/>
  <c r="J21" i="6"/>
  <c r="D21" i="6"/>
  <c r="F21" i="6" s="1"/>
  <c r="G21" i="6" s="1"/>
  <c r="I21" i="6"/>
  <c r="E21" i="6"/>
  <c r="A23" i="6"/>
  <c r="B22" i="6"/>
  <c r="F20" i="6"/>
  <c r="G20" i="6" s="1"/>
  <c r="N19" i="6"/>
  <c r="O19" i="6" s="1"/>
  <c r="M19" i="6"/>
  <c r="K21" i="6" l="1"/>
  <c r="L21" i="6" s="1"/>
  <c r="L20" i="6"/>
  <c r="H20" i="6"/>
  <c r="E22" i="6"/>
  <c r="D22" i="6"/>
  <c r="F22" i="6" s="1"/>
  <c r="G22" i="6" s="1"/>
  <c r="I22" i="6"/>
  <c r="J22" i="6"/>
  <c r="A24" i="6"/>
  <c r="B23" i="6"/>
  <c r="H21" i="6"/>
  <c r="K22" i="6" l="1"/>
  <c r="L22" i="6" s="1"/>
  <c r="J23" i="6"/>
  <c r="I23" i="6"/>
  <c r="E23" i="6"/>
  <c r="D23" i="6"/>
  <c r="F23" i="6" s="1"/>
  <c r="G23" i="6" s="1"/>
  <c r="B24" i="6"/>
  <c r="A25" i="6"/>
  <c r="H22" i="6"/>
  <c r="N21" i="6"/>
  <c r="O21" i="6" s="1"/>
  <c r="M21" i="6"/>
  <c r="N20" i="6"/>
  <c r="O20" i="6" s="1"/>
  <c r="M20" i="6"/>
  <c r="K23" i="6" l="1"/>
  <c r="L23" i="6" s="1"/>
  <c r="B25" i="6"/>
  <c r="A26" i="6"/>
  <c r="N22" i="6"/>
  <c r="O22" i="6" s="1"/>
  <c r="M22" i="6"/>
  <c r="J24" i="6"/>
  <c r="I24" i="6"/>
  <c r="E24" i="6"/>
  <c r="D24" i="6"/>
  <c r="F24" i="6" s="1"/>
  <c r="G24" i="6" s="1"/>
  <c r="H23" i="6"/>
  <c r="K24" i="6" l="1"/>
  <c r="L24" i="6" s="1"/>
  <c r="H24" i="6"/>
  <c r="A27" i="6"/>
  <c r="B26" i="6"/>
  <c r="M23" i="6"/>
  <c r="N23" i="6"/>
  <c r="O23" i="6" s="1"/>
  <c r="E25" i="6"/>
  <c r="R25" i="6"/>
  <c r="D25" i="6"/>
  <c r="J25" i="6"/>
  <c r="I25" i="6"/>
  <c r="K25" i="6" l="1"/>
  <c r="D26" i="6"/>
  <c r="E26" i="6"/>
  <c r="I26" i="6"/>
  <c r="J26" i="6"/>
  <c r="A28" i="6"/>
  <c r="B27" i="6"/>
  <c r="F25" i="6"/>
  <c r="G25" i="6" s="1"/>
  <c r="M24" i="6"/>
  <c r="N24" i="6"/>
  <c r="O24" i="6" s="1"/>
  <c r="K26" i="6" l="1"/>
  <c r="L25" i="6"/>
  <c r="H25" i="6"/>
  <c r="E27" i="6"/>
  <c r="I27" i="6"/>
  <c r="J27" i="6"/>
  <c r="D27" i="6"/>
  <c r="F27" i="6" s="1"/>
  <c r="G27" i="6" s="1"/>
  <c r="A29" i="6"/>
  <c r="B28" i="6"/>
  <c r="F26" i="6"/>
  <c r="G26" i="6" s="1"/>
  <c r="K27" i="6" l="1"/>
  <c r="L27" i="6" s="1"/>
  <c r="E28" i="6"/>
  <c r="D28" i="6"/>
  <c r="F28" i="6" s="1"/>
  <c r="G28" i="6" s="1"/>
  <c r="J28" i="6"/>
  <c r="I28" i="6"/>
  <c r="H27" i="6"/>
  <c r="B29" i="6"/>
  <c r="A30" i="6"/>
  <c r="H26" i="6"/>
  <c r="L26" i="6"/>
  <c r="N25" i="6"/>
  <c r="O25" i="6" s="1"/>
  <c r="M25" i="6"/>
  <c r="K28" i="6" l="1"/>
  <c r="L28" i="6" s="1"/>
  <c r="N27" i="6"/>
  <c r="O27" i="6" s="1"/>
  <c r="M27" i="6"/>
  <c r="N26" i="6"/>
  <c r="O26" i="6" s="1"/>
  <c r="M26" i="6"/>
  <c r="B30" i="6"/>
  <c r="A31" i="6"/>
  <c r="H28" i="6"/>
  <c r="J29" i="6"/>
  <c r="I29" i="6"/>
  <c r="E29" i="6"/>
  <c r="D29" i="6"/>
  <c r="F29" i="6" s="1"/>
  <c r="G29" i="6" s="1"/>
  <c r="K29" i="6" l="1"/>
  <c r="L29" i="6" s="1"/>
  <c r="M28" i="6"/>
  <c r="N28" i="6"/>
  <c r="O28" i="6" s="1"/>
  <c r="H29" i="6"/>
  <c r="B31" i="6"/>
  <c r="A32" i="6"/>
  <c r="J30" i="6"/>
  <c r="I30" i="6"/>
  <c r="D30" i="6"/>
  <c r="E30" i="6"/>
  <c r="K30" i="6" l="1"/>
  <c r="N29" i="6"/>
  <c r="O29" i="6" s="1"/>
  <c r="M29" i="6"/>
  <c r="F30" i="6"/>
  <c r="G30" i="6" s="1"/>
  <c r="A33" i="6"/>
  <c r="B32" i="6"/>
  <c r="I31" i="6"/>
  <c r="E31" i="6"/>
  <c r="J31" i="6"/>
  <c r="D31" i="6"/>
  <c r="F31" i="6" l="1"/>
  <c r="G31" i="6" s="1"/>
  <c r="H31" i="6" s="1"/>
  <c r="K31" i="6"/>
  <c r="E32" i="6"/>
  <c r="I32" i="6"/>
  <c r="D32" i="6"/>
  <c r="F32" i="6" s="1"/>
  <c r="G32" i="6" s="1"/>
  <c r="J32" i="6"/>
  <c r="A34" i="6"/>
  <c r="B33" i="6"/>
  <c r="L30" i="6"/>
  <c r="H30" i="6"/>
  <c r="L31" i="6" l="1"/>
  <c r="N31" i="6" s="1"/>
  <c r="O31" i="6" s="1"/>
  <c r="K32" i="6"/>
  <c r="L32" i="6" s="1"/>
  <c r="D33" i="6"/>
  <c r="J33" i="6"/>
  <c r="I33" i="6"/>
  <c r="E33" i="6"/>
  <c r="B34" i="6"/>
  <c r="A35" i="6"/>
  <c r="M30" i="6"/>
  <c r="N30" i="6"/>
  <c r="O30" i="6" s="1"/>
  <c r="H32" i="6"/>
  <c r="M31" i="6" l="1"/>
  <c r="F33" i="6"/>
  <c r="G33" i="6" s="1"/>
  <c r="H33" i="6" s="1"/>
  <c r="K33" i="6"/>
  <c r="B35" i="6"/>
  <c r="A36" i="6"/>
  <c r="M32" i="6"/>
  <c r="N32" i="6"/>
  <c r="O32" i="6" s="1"/>
  <c r="I34" i="6"/>
  <c r="J34" i="6"/>
  <c r="D34" i="6"/>
  <c r="F34" i="6" s="1"/>
  <c r="G34" i="6" s="1"/>
  <c r="E34" i="6"/>
  <c r="L33" i="6" l="1"/>
  <c r="M33" i="6" s="1"/>
  <c r="K34" i="6"/>
  <c r="L34" i="6" s="1"/>
  <c r="H34" i="6"/>
  <c r="A37" i="6"/>
  <c r="B36" i="6"/>
  <c r="D35" i="6"/>
  <c r="F35" i="6" s="1"/>
  <c r="G35" i="6" s="1"/>
  <c r="E35" i="6"/>
  <c r="I35" i="6"/>
  <c r="J35" i="6"/>
  <c r="N33" i="6" l="1"/>
  <c r="O33" i="6" s="1"/>
  <c r="K35" i="6"/>
  <c r="L35" i="6" s="1"/>
  <c r="H35" i="6"/>
  <c r="I36" i="6"/>
  <c r="E36" i="6"/>
  <c r="J36" i="6"/>
  <c r="D36" i="6"/>
  <c r="F36" i="6" s="1"/>
  <c r="G36" i="6" s="1"/>
  <c r="A38" i="6"/>
  <c r="B37" i="6"/>
  <c r="M34" i="6"/>
  <c r="N34" i="6"/>
  <c r="O34" i="6" s="1"/>
  <c r="H36" i="6" l="1"/>
  <c r="D37" i="6"/>
  <c r="I37" i="6"/>
  <c r="J37" i="6"/>
  <c r="E37" i="6"/>
  <c r="A39" i="6"/>
  <c r="B38" i="6"/>
  <c r="K36" i="6"/>
  <c r="L36" i="6" s="1"/>
  <c r="N35" i="6"/>
  <c r="O35" i="6" s="1"/>
  <c r="M35" i="6"/>
  <c r="M36" i="6" l="1"/>
  <c r="N36" i="6"/>
  <c r="O36" i="6" s="1"/>
  <c r="I38" i="6"/>
  <c r="D38" i="6"/>
  <c r="E38" i="6"/>
  <c r="J38" i="6"/>
  <c r="A40" i="6"/>
  <c r="B39" i="6"/>
  <c r="K37" i="6"/>
  <c r="F37" i="6"/>
  <c r="G37" i="6" s="1"/>
  <c r="F38" i="6" l="1"/>
  <c r="G38" i="6" s="1"/>
  <c r="H38" i="6" s="1"/>
  <c r="K38" i="6"/>
  <c r="J39" i="6"/>
  <c r="I39" i="6"/>
  <c r="E39" i="6"/>
  <c r="D39" i="6"/>
  <c r="F39" i="6" s="1"/>
  <c r="G39" i="6" s="1"/>
  <c r="B40" i="6"/>
  <c r="A41" i="6"/>
  <c r="H37" i="6"/>
  <c r="L37" i="6"/>
  <c r="L38" i="6" l="1"/>
  <c r="N38" i="6" s="1"/>
  <c r="O38" i="6" s="1"/>
  <c r="K39" i="6"/>
  <c r="L39" i="6" s="1"/>
  <c r="M37" i="6"/>
  <c r="N37" i="6"/>
  <c r="O37" i="6" s="1"/>
  <c r="A42" i="6"/>
  <c r="B41" i="6"/>
  <c r="H39" i="6"/>
  <c r="I40" i="6"/>
  <c r="E40" i="6"/>
  <c r="J40" i="6"/>
  <c r="D40" i="6"/>
  <c r="F40" i="6" s="1"/>
  <c r="G40" i="6" s="1"/>
  <c r="M38" i="6" l="1"/>
  <c r="K40" i="6"/>
  <c r="L40" i="6" s="1"/>
  <c r="N39" i="6"/>
  <c r="O39" i="6" s="1"/>
  <c r="M39" i="6"/>
  <c r="H40" i="6"/>
  <c r="I41" i="6"/>
  <c r="E41" i="6"/>
  <c r="D41" i="6"/>
  <c r="F41" i="6" s="1"/>
  <c r="G41" i="6" s="1"/>
  <c r="J41" i="6"/>
  <c r="A43" i="6"/>
  <c r="B42" i="6"/>
  <c r="K41" i="6" l="1"/>
  <c r="L41" i="6" s="1"/>
  <c r="M40" i="6"/>
  <c r="N40" i="6"/>
  <c r="O40" i="6" s="1"/>
  <c r="H41" i="6"/>
  <c r="I42" i="6"/>
  <c r="J42" i="6"/>
  <c r="E42" i="6"/>
  <c r="D42" i="6"/>
  <c r="F42" i="6" s="1"/>
  <c r="G42" i="6" s="1"/>
  <c r="B43" i="6"/>
  <c r="A44" i="6"/>
  <c r="H42" i="6" l="1"/>
  <c r="N41" i="6"/>
  <c r="O41" i="6" s="1"/>
  <c r="M41" i="6"/>
  <c r="K42" i="6"/>
  <c r="L42" i="6" s="1"/>
  <c r="A45" i="6"/>
  <c r="B44" i="6"/>
  <c r="I43" i="6"/>
  <c r="E43" i="6"/>
  <c r="J43" i="6"/>
  <c r="D43" i="6"/>
  <c r="F43" i="6" l="1"/>
  <c r="G43" i="6" s="1"/>
  <c r="H43" i="6" s="1"/>
  <c r="K43" i="6"/>
  <c r="N42" i="6"/>
  <c r="O42" i="6" s="1"/>
  <c r="M42" i="6"/>
  <c r="I44" i="6"/>
  <c r="E44" i="6"/>
  <c r="J44" i="6"/>
  <c r="D44" i="6"/>
  <c r="F44" i="6" s="1"/>
  <c r="G44" i="6" s="1"/>
  <c r="A46" i="6"/>
  <c r="B45" i="6"/>
  <c r="L43" i="6" l="1"/>
  <c r="N43" i="6" s="1"/>
  <c r="O43" i="6" s="1"/>
  <c r="K44" i="6"/>
  <c r="L44" i="6" s="1"/>
  <c r="H44" i="6"/>
  <c r="D45" i="6"/>
  <c r="F45" i="6" s="1"/>
  <c r="G45" i="6" s="1"/>
  <c r="J45" i="6"/>
  <c r="I45" i="6"/>
  <c r="K45" i="6" s="1"/>
  <c r="E45" i="6"/>
  <c r="R45" i="6"/>
  <c r="A47" i="6"/>
  <c r="B46" i="6"/>
  <c r="M43" i="6" l="1"/>
  <c r="L45" i="6"/>
  <c r="H45" i="6"/>
  <c r="E46" i="6"/>
  <c r="I46" i="6"/>
  <c r="D46" i="6"/>
  <c r="J46" i="6"/>
  <c r="N44" i="6"/>
  <c r="O44" i="6" s="1"/>
  <c r="M44" i="6"/>
  <c r="A48" i="6"/>
  <c r="B47" i="6"/>
  <c r="K46" i="6" l="1"/>
  <c r="F46" i="6"/>
  <c r="G46" i="6" s="1"/>
  <c r="E47" i="6"/>
  <c r="J47" i="6"/>
  <c r="I47" i="6"/>
  <c r="K47" i="6" s="1"/>
  <c r="D47" i="6"/>
  <c r="F47" i="6" s="1"/>
  <c r="G47" i="6" s="1"/>
  <c r="A49" i="6"/>
  <c r="B48" i="6"/>
  <c r="N45" i="6"/>
  <c r="O45" i="6" s="1"/>
  <c r="M45" i="6"/>
  <c r="B49" i="6" l="1"/>
  <c r="A50" i="6"/>
  <c r="D48" i="6"/>
  <c r="F48" i="6" s="1"/>
  <c r="G48" i="6" s="1"/>
  <c r="J48" i="6"/>
  <c r="E48" i="6"/>
  <c r="I48" i="6"/>
  <c r="H47" i="6"/>
  <c r="L47" i="6"/>
  <c r="H46" i="6"/>
  <c r="L46" i="6"/>
  <c r="K48" i="6" l="1"/>
  <c r="L48" i="6" s="1"/>
  <c r="M47" i="6"/>
  <c r="N47" i="6"/>
  <c r="O47" i="6" s="1"/>
  <c r="H48" i="6"/>
  <c r="M46" i="6"/>
  <c r="N46" i="6"/>
  <c r="O46" i="6" s="1"/>
  <c r="B50" i="6"/>
  <c r="A51" i="6"/>
  <c r="J49" i="6"/>
  <c r="E49" i="6"/>
  <c r="I49" i="6"/>
  <c r="D49" i="6"/>
  <c r="F49" i="6" s="1"/>
  <c r="G49" i="6" s="1"/>
  <c r="K49" i="6" l="1"/>
  <c r="L49" i="6" s="1"/>
  <c r="B51" i="6"/>
  <c r="A52" i="6"/>
  <c r="E50" i="6"/>
  <c r="D50" i="6"/>
  <c r="F50" i="6" s="1"/>
  <c r="G50" i="6" s="1"/>
  <c r="I50" i="6"/>
  <c r="J50" i="6"/>
  <c r="M48" i="6"/>
  <c r="N48" i="6"/>
  <c r="O48" i="6" s="1"/>
  <c r="H49" i="6"/>
  <c r="H50" i="6" l="1"/>
  <c r="M49" i="6"/>
  <c r="N49" i="6"/>
  <c r="O49" i="6" s="1"/>
  <c r="B52" i="6"/>
  <c r="A53" i="6"/>
  <c r="K50" i="6"/>
  <c r="L50" i="6" s="1"/>
  <c r="J51" i="6"/>
  <c r="E51" i="6"/>
  <c r="D51" i="6"/>
  <c r="I51" i="6"/>
  <c r="F51" i="6" l="1"/>
  <c r="G51" i="6" s="1"/>
  <c r="H51" i="6" s="1"/>
  <c r="K51" i="6"/>
  <c r="N50" i="6"/>
  <c r="O50" i="6" s="1"/>
  <c r="M50" i="6"/>
  <c r="B53" i="6"/>
  <c r="A54" i="6"/>
  <c r="J52" i="6"/>
  <c r="I52" i="6"/>
  <c r="D52" i="6"/>
  <c r="E52" i="6"/>
  <c r="F52" i="6" l="1"/>
  <c r="G52" i="6" s="1"/>
  <c r="H52" i="6" s="1"/>
  <c r="L51" i="6"/>
  <c r="M51" i="6" s="1"/>
  <c r="K52" i="6"/>
  <c r="A55" i="6"/>
  <c r="B54" i="6"/>
  <c r="N51" i="6"/>
  <c r="O51" i="6" s="1"/>
  <c r="J53" i="6"/>
  <c r="I53" i="6"/>
  <c r="E53" i="6"/>
  <c r="D53" i="6"/>
  <c r="F53" i="6" s="1"/>
  <c r="G53" i="6" s="1"/>
  <c r="L52" i="6" l="1"/>
  <c r="M52" i="6" s="1"/>
  <c r="K53" i="6"/>
  <c r="L53" i="6" s="1"/>
  <c r="H53" i="6"/>
  <c r="D54" i="6"/>
  <c r="F54" i="6" s="1"/>
  <c r="G54" i="6" s="1"/>
  <c r="E54" i="6"/>
  <c r="J54" i="6"/>
  <c r="I54" i="6"/>
  <c r="K54" i="6" s="1"/>
  <c r="A56" i="6"/>
  <c r="B55" i="6"/>
  <c r="N52" i="6" l="1"/>
  <c r="O52" i="6" s="1"/>
  <c r="H54" i="6"/>
  <c r="L54" i="6"/>
  <c r="N53" i="6"/>
  <c r="O53" i="6" s="1"/>
  <c r="M53" i="6"/>
  <c r="I55" i="6"/>
  <c r="J55" i="6"/>
  <c r="E55" i="6"/>
  <c r="D55" i="6"/>
  <c r="F55" i="6" s="1"/>
  <c r="G55" i="6" s="1"/>
  <c r="A57" i="6"/>
  <c r="B56" i="6"/>
  <c r="K55" i="6" l="1"/>
  <c r="L55" i="6" s="1"/>
  <c r="H55" i="6"/>
  <c r="N54" i="6"/>
  <c r="O54" i="6" s="1"/>
  <c r="M54" i="6"/>
  <c r="E56" i="6"/>
  <c r="I56" i="6"/>
  <c r="D56" i="6"/>
  <c r="F56" i="6" s="1"/>
  <c r="G56" i="6" s="1"/>
  <c r="J56" i="6"/>
  <c r="A58" i="6"/>
  <c r="B57" i="6"/>
  <c r="K56" i="6" l="1"/>
  <c r="L56" i="6" s="1"/>
  <c r="H56" i="6"/>
  <c r="A59" i="6"/>
  <c r="B58" i="6"/>
  <c r="D57" i="6"/>
  <c r="F57" i="6" s="1"/>
  <c r="G57" i="6" s="1"/>
  <c r="E57" i="6"/>
  <c r="J57" i="6"/>
  <c r="I57" i="6"/>
  <c r="M55" i="6"/>
  <c r="N55" i="6"/>
  <c r="O55" i="6" s="1"/>
  <c r="K57" i="6" l="1"/>
  <c r="L57" i="6" s="1"/>
  <c r="J58" i="6"/>
  <c r="E58" i="6"/>
  <c r="D58" i="6"/>
  <c r="F58" i="6" s="1"/>
  <c r="G58" i="6" s="1"/>
  <c r="I58" i="6"/>
  <c r="H57" i="6"/>
  <c r="B59" i="6"/>
  <c r="A60" i="6"/>
  <c r="M56" i="6"/>
  <c r="N56" i="6"/>
  <c r="O56" i="6" s="1"/>
  <c r="K58" i="6" l="1"/>
  <c r="L58" i="6" s="1"/>
  <c r="N57" i="6"/>
  <c r="O57" i="6" s="1"/>
  <c r="M57" i="6"/>
  <c r="B60" i="6"/>
  <c r="A61" i="6"/>
  <c r="J59" i="6"/>
  <c r="I59" i="6"/>
  <c r="E59" i="6"/>
  <c r="D59" i="6"/>
  <c r="F59" i="6" s="1"/>
  <c r="G59" i="6" s="1"/>
  <c r="H58" i="6"/>
  <c r="K59" i="6" l="1"/>
  <c r="L59" i="6" s="1"/>
  <c r="H59" i="6"/>
  <c r="A62" i="6"/>
  <c r="B61" i="6"/>
  <c r="J60" i="6"/>
  <c r="D60" i="6"/>
  <c r="E60" i="6"/>
  <c r="I60" i="6"/>
  <c r="N58" i="6"/>
  <c r="O58" i="6" s="1"/>
  <c r="M58" i="6"/>
  <c r="K60" i="6" l="1"/>
  <c r="F60" i="6"/>
  <c r="G60" i="6" s="1"/>
  <c r="I61" i="6"/>
  <c r="E61" i="6"/>
  <c r="J61" i="6"/>
  <c r="D61" i="6"/>
  <c r="F61" i="6" s="1"/>
  <c r="G61" i="6" s="1"/>
  <c r="A63" i="6"/>
  <c r="B62" i="6"/>
  <c r="M59" i="6"/>
  <c r="N59" i="6"/>
  <c r="O59" i="6" s="1"/>
  <c r="K61" i="6" l="1"/>
  <c r="L61" i="6" s="1"/>
  <c r="A64" i="6"/>
  <c r="B63" i="6"/>
  <c r="E62" i="6"/>
  <c r="I62" i="6"/>
  <c r="J62" i="6"/>
  <c r="D62" i="6"/>
  <c r="F62" i="6" s="1"/>
  <c r="G62" i="6" s="1"/>
  <c r="H61" i="6"/>
  <c r="L60" i="6"/>
  <c r="H60" i="6"/>
  <c r="K62" i="6" l="1"/>
  <c r="L62" i="6" s="1"/>
  <c r="M61" i="6"/>
  <c r="N61" i="6"/>
  <c r="O61" i="6" s="1"/>
  <c r="E63" i="6"/>
  <c r="D63" i="6"/>
  <c r="F63" i="6" s="1"/>
  <c r="G63" i="6" s="1"/>
  <c r="I63" i="6"/>
  <c r="J63" i="6"/>
  <c r="H62" i="6"/>
  <c r="M60" i="6"/>
  <c r="N60" i="6"/>
  <c r="O60" i="6" s="1"/>
  <c r="A65" i="6"/>
  <c r="B64" i="6"/>
  <c r="K63" i="6" l="1"/>
  <c r="L63" i="6" s="1"/>
  <c r="M62" i="6"/>
  <c r="N62" i="6"/>
  <c r="O62" i="6" s="1"/>
  <c r="H63" i="6"/>
  <c r="J64" i="6"/>
  <c r="I64" i="6"/>
  <c r="E64" i="6"/>
  <c r="D64" i="6"/>
  <c r="F64" i="6" s="1"/>
  <c r="G64" i="6" s="1"/>
  <c r="A66" i="6"/>
  <c r="B65" i="6"/>
  <c r="K64" i="6" l="1"/>
  <c r="L64" i="6" s="1"/>
  <c r="H64" i="6"/>
  <c r="M63" i="6"/>
  <c r="N63" i="6"/>
  <c r="O63" i="6" s="1"/>
  <c r="J65" i="6"/>
  <c r="I65" i="6"/>
  <c r="D65" i="6"/>
  <c r="F65" i="6" s="1"/>
  <c r="G65" i="6" s="1"/>
  <c r="E65" i="6"/>
  <c r="A67" i="6"/>
  <c r="B66" i="6"/>
  <c r="K65" i="6" l="1"/>
  <c r="L65" i="6" s="1"/>
  <c r="H65" i="6"/>
  <c r="E66" i="6"/>
  <c r="J66" i="6"/>
  <c r="D66" i="6"/>
  <c r="F66" i="6" s="1"/>
  <c r="G66" i="6" s="1"/>
  <c r="I66" i="6"/>
  <c r="K66" i="6" s="1"/>
  <c r="B67" i="6"/>
  <c r="A68" i="6"/>
  <c r="N64" i="6"/>
  <c r="O64" i="6" s="1"/>
  <c r="M64" i="6"/>
  <c r="B68" i="6" l="1"/>
  <c r="A69" i="6"/>
  <c r="E67" i="6"/>
  <c r="J67" i="6"/>
  <c r="I67" i="6"/>
  <c r="D67" i="6"/>
  <c r="F67" i="6" s="1"/>
  <c r="G67" i="6" s="1"/>
  <c r="H66" i="6"/>
  <c r="L66" i="6"/>
  <c r="M65" i="6"/>
  <c r="N65" i="6"/>
  <c r="O65" i="6" s="1"/>
  <c r="K67" i="6" l="1"/>
  <c r="L67" i="6" s="1"/>
  <c r="N66" i="6"/>
  <c r="O66" i="6" s="1"/>
  <c r="M66" i="6"/>
  <c r="H67" i="6"/>
  <c r="B69" i="6"/>
  <c r="A70" i="6"/>
  <c r="E68" i="6"/>
  <c r="D68" i="6"/>
  <c r="F68" i="6" s="1"/>
  <c r="G68" i="6" s="1"/>
  <c r="I68" i="6"/>
  <c r="J68" i="6"/>
  <c r="K68" i="6" l="1"/>
  <c r="L68" i="6" s="1"/>
  <c r="H68" i="6"/>
  <c r="I69" i="6"/>
  <c r="E69" i="6"/>
  <c r="J69" i="6"/>
  <c r="D69" i="6"/>
  <c r="F69" i="6" s="1"/>
  <c r="G69" i="6" s="1"/>
  <c r="A71" i="6"/>
  <c r="B70" i="6"/>
  <c r="M67" i="6"/>
  <c r="N67" i="6"/>
  <c r="O67" i="6" s="1"/>
  <c r="D70" i="6" l="1"/>
  <c r="F70" i="6" s="1"/>
  <c r="G70" i="6" s="1"/>
  <c r="E70" i="6"/>
  <c r="J70" i="6"/>
  <c r="I70" i="6"/>
  <c r="A72" i="6"/>
  <c r="B71" i="6"/>
  <c r="K69" i="6"/>
  <c r="L69" i="6" s="1"/>
  <c r="H69" i="6"/>
  <c r="M68" i="6"/>
  <c r="N68" i="6"/>
  <c r="O68" i="6" s="1"/>
  <c r="K70" i="6" l="1"/>
  <c r="L70" i="6" s="1"/>
  <c r="M69" i="6"/>
  <c r="N69" i="6"/>
  <c r="O69" i="6" s="1"/>
  <c r="J71" i="6"/>
  <c r="I71" i="6"/>
  <c r="E71" i="6"/>
  <c r="D71" i="6"/>
  <c r="F71" i="6" s="1"/>
  <c r="G71" i="6" s="1"/>
  <c r="A73" i="6"/>
  <c r="B72" i="6"/>
  <c r="H70" i="6"/>
  <c r="K71" i="6" l="1"/>
  <c r="L71" i="6" s="1"/>
  <c r="J72" i="6"/>
  <c r="I72" i="6"/>
  <c r="K72" i="6" s="1"/>
  <c r="D72" i="6"/>
  <c r="E72" i="6"/>
  <c r="A74" i="6"/>
  <c r="B73" i="6"/>
  <c r="H71" i="6"/>
  <c r="M70" i="6"/>
  <c r="N70" i="6"/>
  <c r="O70" i="6" s="1"/>
  <c r="F72" i="6" l="1"/>
  <c r="G72" i="6" s="1"/>
  <c r="L72" i="6" s="1"/>
  <c r="N71" i="6"/>
  <c r="O71" i="6" s="1"/>
  <c r="M71" i="6"/>
  <c r="I73" i="6"/>
  <c r="E73" i="6"/>
  <c r="J73" i="6"/>
  <c r="D73" i="6"/>
  <c r="F73" i="6" s="1"/>
  <c r="G73" i="6" s="1"/>
  <c r="A75" i="6"/>
  <c r="B74" i="6"/>
  <c r="H72" i="6" l="1"/>
  <c r="K73" i="6"/>
  <c r="L73" i="6" s="1"/>
  <c r="E74" i="6"/>
  <c r="D74" i="6"/>
  <c r="F74" i="6" s="1"/>
  <c r="G74" i="6" s="1"/>
  <c r="J74" i="6"/>
  <c r="I74" i="6"/>
  <c r="A76" i="6"/>
  <c r="B75" i="6"/>
  <c r="H73" i="6"/>
  <c r="M72" i="6"/>
  <c r="N72" i="6"/>
  <c r="O72" i="6" s="1"/>
  <c r="K74" i="6" l="1"/>
  <c r="L74" i="6" s="1"/>
  <c r="N73" i="6"/>
  <c r="O73" i="6" s="1"/>
  <c r="M73" i="6"/>
  <c r="E75" i="6"/>
  <c r="J75" i="6"/>
  <c r="I75" i="6"/>
  <c r="K75" i="6" s="1"/>
  <c r="D75" i="6"/>
  <c r="F75" i="6" s="1"/>
  <c r="G75" i="6" s="1"/>
  <c r="A77" i="6"/>
  <c r="B76" i="6"/>
  <c r="H74" i="6"/>
  <c r="D76" i="6" l="1"/>
  <c r="F76" i="6" s="1"/>
  <c r="G76" i="6" s="1"/>
  <c r="E76" i="6"/>
  <c r="I76" i="6"/>
  <c r="J76" i="6"/>
  <c r="A78" i="6"/>
  <c r="B77" i="6"/>
  <c r="M74" i="6"/>
  <c r="N74" i="6"/>
  <c r="O74" i="6" s="1"/>
  <c r="H75" i="6"/>
  <c r="L75" i="6"/>
  <c r="K76" i="6" l="1"/>
  <c r="L76" i="6" s="1"/>
  <c r="D77" i="6"/>
  <c r="J77" i="6"/>
  <c r="E77" i="6"/>
  <c r="I77" i="6"/>
  <c r="B78" i="6"/>
  <c r="A79" i="6"/>
  <c r="M75" i="6"/>
  <c r="N75" i="6"/>
  <c r="O75" i="6" s="1"/>
  <c r="H76" i="6"/>
  <c r="F77" i="6" l="1"/>
  <c r="G77" i="6" s="1"/>
  <c r="H77" i="6" s="1"/>
  <c r="K77" i="6"/>
  <c r="M76" i="6"/>
  <c r="N76" i="6"/>
  <c r="O76" i="6" s="1"/>
  <c r="B79" i="6"/>
  <c r="A80" i="6"/>
  <c r="I78" i="6"/>
  <c r="E78" i="6"/>
  <c r="D78" i="6"/>
  <c r="J78" i="6"/>
  <c r="L77" i="6" l="1"/>
  <c r="N77" i="6" s="1"/>
  <c r="O77" i="6" s="1"/>
  <c r="F78" i="6"/>
  <c r="G78" i="6" s="1"/>
  <c r="H78" i="6" s="1"/>
  <c r="K78" i="6"/>
  <c r="A81" i="6"/>
  <c r="B80" i="6"/>
  <c r="E79" i="6"/>
  <c r="D79" i="6"/>
  <c r="F79" i="6" s="1"/>
  <c r="G79" i="6" s="1"/>
  <c r="J79" i="6"/>
  <c r="I79" i="6"/>
  <c r="K79" i="6" s="1"/>
  <c r="M77" i="6" l="1"/>
  <c r="L78" i="6"/>
  <c r="M78" i="6" s="1"/>
  <c r="L79" i="6"/>
  <c r="H79" i="6"/>
  <c r="D80" i="6"/>
  <c r="F80" i="6" s="1"/>
  <c r="G80" i="6" s="1"/>
  <c r="J80" i="6"/>
  <c r="I80" i="6"/>
  <c r="K80" i="6" s="1"/>
  <c r="E80" i="6"/>
  <c r="B81" i="6"/>
  <c r="A82" i="6"/>
  <c r="N78" i="6" l="1"/>
  <c r="O78" i="6" s="1"/>
  <c r="A83" i="6"/>
  <c r="B82" i="6"/>
  <c r="D81" i="6"/>
  <c r="F81" i="6" s="1"/>
  <c r="G81" i="6" s="1"/>
  <c r="J81" i="6"/>
  <c r="I81" i="6"/>
  <c r="E81" i="6"/>
  <c r="L80" i="6"/>
  <c r="H80" i="6"/>
  <c r="M79" i="6"/>
  <c r="N79" i="6"/>
  <c r="O79" i="6" s="1"/>
  <c r="K81" i="6" l="1"/>
  <c r="L81" i="6" s="1"/>
  <c r="H81" i="6"/>
  <c r="N80" i="6"/>
  <c r="O80" i="6" s="1"/>
  <c r="M80" i="6"/>
  <c r="E82" i="6"/>
  <c r="J82" i="6"/>
  <c r="I82" i="6"/>
  <c r="D82" i="6"/>
  <c r="F82" i="6" s="1"/>
  <c r="G82" i="6" s="1"/>
  <c r="B83" i="6"/>
  <c r="A84" i="6"/>
  <c r="K82" i="6" l="1"/>
  <c r="L82" i="6" s="1"/>
  <c r="H82" i="6"/>
  <c r="A85" i="6"/>
  <c r="B84" i="6"/>
  <c r="D83" i="6"/>
  <c r="F83" i="6" s="1"/>
  <c r="G83" i="6" s="1"/>
  <c r="E83" i="6"/>
  <c r="I83" i="6"/>
  <c r="J83" i="6"/>
  <c r="M81" i="6"/>
  <c r="N81" i="6"/>
  <c r="O81" i="6" s="1"/>
  <c r="K83" i="6" l="1"/>
  <c r="L83" i="6" s="1"/>
  <c r="H83" i="6"/>
  <c r="J84" i="6"/>
  <c r="E84" i="6"/>
  <c r="D84" i="6"/>
  <c r="F84" i="6" s="1"/>
  <c r="G84" i="6" s="1"/>
  <c r="I84" i="6"/>
  <c r="K84" i="6" s="1"/>
  <c r="R84" i="6"/>
  <c r="B85" i="6"/>
  <c r="A86" i="6"/>
  <c r="M82" i="6"/>
  <c r="N82" i="6"/>
  <c r="O82" i="6" s="1"/>
  <c r="I85" i="6" l="1"/>
  <c r="E85" i="6"/>
  <c r="J85" i="6"/>
  <c r="D85" i="6"/>
  <c r="F85" i="6" s="1"/>
  <c r="G85" i="6" s="1"/>
  <c r="L84" i="6"/>
  <c r="H84" i="6"/>
  <c r="B86" i="6"/>
  <c r="A87" i="6"/>
  <c r="N83" i="6"/>
  <c r="O83" i="6" s="1"/>
  <c r="M83" i="6"/>
  <c r="K85" i="6" l="1"/>
  <c r="L85" i="6" s="1"/>
  <c r="A88" i="6"/>
  <c r="B87" i="6"/>
  <c r="I86" i="6"/>
  <c r="E86" i="6"/>
  <c r="D86" i="6"/>
  <c r="F86" i="6" s="1"/>
  <c r="G86" i="6" s="1"/>
  <c r="J86" i="6"/>
  <c r="N84" i="6"/>
  <c r="O84" i="6" s="1"/>
  <c r="M84" i="6"/>
  <c r="H85" i="6"/>
  <c r="K86" i="6" l="1"/>
  <c r="L86" i="6" s="1"/>
  <c r="N85" i="6"/>
  <c r="O85" i="6" s="1"/>
  <c r="M85" i="6"/>
  <c r="E87" i="6"/>
  <c r="J87" i="6"/>
  <c r="D87" i="6"/>
  <c r="F87" i="6" s="1"/>
  <c r="G87" i="6" s="1"/>
  <c r="I87" i="6"/>
  <c r="H86" i="6"/>
  <c r="B88" i="6"/>
  <c r="A89" i="6"/>
  <c r="K87" i="6" l="1"/>
  <c r="L87" i="6" s="1"/>
  <c r="M86" i="6"/>
  <c r="N86" i="6"/>
  <c r="O86" i="6" s="1"/>
  <c r="A90" i="6"/>
  <c r="B89" i="6"/>
  <c r="H87" i="6"/>
  <c r="E88" i="6"/>
  <c r="J88" i="6"/>
  <c r="I88" i="6"/>
  <c r="D88" i="6"/>
  <c r="F88" i="6" l="1"/>
  <c r="G88" i="6" s="1"/>
  <c r="H88" i="6" s="1"/>
  <c r="M87" i="6"/>
  <c r="N87" i="6"/>
  <c r="O87" i="6" s="1"/>
  <c r="E89" i="6"/>
  <c r="D89" i="6"/>
  <c r="F89" i="6" s="1"/>
  <c r="G89" i="6" s="1"/>
  <c r="J89" i="6"/>
  <c r="I89" i="6"/>
  <c r="K89" i="6" s="1"/>
  <c r="A91" i="6"/>
  <c r="B90" i="6"/>
  <c r="K88" i="6"/>
  <c r="L88" i="6" l="1"/>
  <c r="M88" i="6" s="1"/>
  <c r="E90" i="6"/>
  <c r="J90" i="6"/>
  <c r="D90" i="6"/>
  <c r="F90" i="6" s="1"/>
  <c r="G90" i="6" s="1"/>
  <c r="I90" i="6"/>
  <c r="A92" i="6"/>
  <c r="B91" i="6"/>
  <c r="L89" i="6"/>
  <c r="H89" i="6"/>
  <c r="N88" i="6" l="1"/>
  <c r="O88" i="6" s="1"/>
  <c r="K90" i="6"/>
  <c r="L90" i="6" s="1"/>
  <c r="D91" i="6"/>
  <c r="I91" i="6"/>
  <c r="J91" i="6"/>
  <c r="E91" i="6"/>
  <c r="B92" i="6"/>
  <c r="A93" i="6"/>
  <c r="H90" i="6"/>
  <c r="M89" i="6"/>
  <c r="N89" i="6"/>
  <c r="O89" i="6" s="1"/>
  <c r="M90" i="6" l="1"/>
  <c r="N90" i="6"/>
  <c r="O90" i="6" s="1"/>
  <c r="A94" i="6"/>
  <c r="B93" i="6"/>
  <c r="E92" i="6"/>
  <c r="D92" i="6"/>
  <c r="F92" i="6" s="1"/>
  <c r="G92" i="6" s="1"/>
  <c r="J92" i="6"/>
  <c r="I92" i="6"/>
  <c r="K92" i="6" s="1"/>
  <c r="K91" i="6"/>
  <c r="F91" i="6"/>
  <c r="G91" i="6" s="1"/>
  <c r="H92" i="6" l="1"/>
  <c r="L92" i="6"/>
  <c r="D93" i="6"/>
  <c r="F93" i="6" s="1"/>
  <c r="G93" i="6" s="1"/>
  <c r="E93" i="6"/>
  <c r="J93" i="6"/>
  <c r="I93" i="6"/>
  <c r="B94" i="6"/>
  <c r="A95" i="6"/>
  <c r="L91" i="6"/>
  <c r="H91" i="6"/>
  <c r="A96" i="6" l="1"/>
  <c r="B95" i="6"/>
  <c r="I94" i="6"/>
  <c r="E94" i="6"/>
  <c r="D94" i="6"/>
  <c r="F94" i="6" s="1"/>
  <c r="G94" i="6" s="1"/>
  <c r="J94" i="6"/>
  <c r="H93" i="6"/>
  <c r="M92" i="6"/>
  <c r="N92" i="6"/>
  <c r="O92" i="6" s="1"/>
  <c r="K93" i="6"/>
  <c r="L93" i="6" s="1"/>
  <c r="M91" i="6"/>
  <c r="N91" i="6"/>
  <c r="O91" i="6" s="1"/>
  <c r="M93" i="6" l="1"/>
  <c r="N93" i="6"/>
  <c r="O93" i="6" s="1"/>
  <c r="H94" i="6"/>
  <c r="K94" i="6"/>
  <c r="L94" i="6" s="1"/>
  <c r="I95" i="6"/>
  <c r="D95" i="6"/>
  <c r="F95" i="6" s="1"/>
  <c r="G95" i="6" s="1"/>
  <c r="E95" i="6"/>
  <c r="J95" i="6"/>
  <c r="B96" i="6"/>
  <c r="A97" i="6"/>
  <c r="K95" i="6" l="1"/>
  <c r="L95" i="6" s="1"/>
  <c r="N94" i="6"/>
  <c r="O94" i="6" s="1"/>
  <c r="M94" i="6"/>
  <c r="H95" i="6"/>
  <c r="B97" i="6"/>
  <c r="A98" i="6"/>
  <c r="D96" i="6"/>
  <c r="F96" i="6" s="1"/>
  <c r="G96" i="6" s="1"/>
  <c r="J96" i="6"/>
  <c r="I96" i="6"/>
  <c r="E96" i="6"/>
  <c r="H96" i="6" l="1"/>
  <c r="I97" i="6"/>
  <c r="E97" i="6"/>
  <c r="J97" i="6"/>
  <c r="D97" i="6"/>
  <c r="F97" i="6" s="1"/>
  <c r="G97" i="6" s="1"/>
  <c r="B98" i="6"/>
  <c r="A99" i="6"/>
  <c r="N95" i="6"/>
  <c r="O95" i="6" s="1"/>
  <c r="M95" i="6"/>
  <c r="K96" i="6"/>
  <c r="L96" i="6" s="1"/>
  <c r="K97" i="6" l="1"/>
  <c r="L97" i="6" s="1"/>
  <c r="M96" i="6"/>
  <c r="N96" i="6"/>
  <c r="O96" i="6" s="1"/>
  <c r="H97" i="6"/>
  <c r="A100" i="6"/>
  <c r="B99" i="6"/>
  <c r="E98" i="6"/>
  <c r="I98" i="6"/>
  <c r="D98" i="6"/>
  <c r="J98" i="6"/>
  <c r="K98" i="6" l="1"/>
  <c r="E99" i="6"/>
  <c r="J99" i="6"/>
  <c r="I99" i="6"/>
  <c r="D99" i="6"/>
  <c r="F99" i="6" s="1"/>
  <c r="G99" i="6" s="1"/>
  <c r="A101" i="6"/>
  <c r="B101" i="6" s="1"/>
  <c r="B100" i="6"/>
  <c r="N97" i="6"/>
  <c r="O97" i="6" s="1"/>
  <c r="M97" i="6"/>
  <c r="F98" i="6"/>
  <c r="G98" i="6" s="1"/>
  <c r="K99" i="6" l="1"/>
  <c r="L99" i="6" s="1"/>
  <c r="H98" i="6"/>
  <c r="L98" i="6"/>
  <c r="E100" i="6"/>
  <c r="D100" i="6"/>
  <c r="F100" i="6" s="1"/>
  <c r="G100" i="6" s="1"/>
  <c r="J100" i="6"/>
  <c r="I100" i="6"/>
  <c r="J101" i="6"/>
  <c r="R101" i="6"/>
  <c r="E101" i="6"/>
  <c r="I101" i="6"/>
  <c r="D101" i="6"/>
  <c r="F101" i="6" s="1"/>
  <c r="G101" i="6" s="1"/>
  <c r="H99" i="6"/>
  <c r="K100" i="6" l="1"/>
  <c r="L100" i="6" s="1"/>
  <c r="K101" i="6"/>
  <c r="L101" i="6" s="1"/>
  <c r="H100" i="6"/>
  <c r="H101" i="6"/>
  <c r="N98" i="6"/>
  <c r="O98" i="6" s="1"/>
  <c r="M98" i="6"/>
  <c r="M99" i="6"/>
  <c r="N99" i="6"/>
  <c r="O99" i="6" s="1"/>
  <c r="M100" i="6" l="1"/>
  <c r="N100" i="6"/>
  <c r="O100" i="6" s="1"/>
  <c r="M101" i="6"/>
  <c r="N101" i="6"/>
  <c r="O101" i="6" s="1"/>
</calcChain>
</file>

<file path=xl/sharedStrings.xml><?xml version="1.0" encoding="utf-8"?>
<sst xmlns="http://schemas.openxmlformats.org/spreadsheetml/2006/main" count="620" uniqueCount="342">
  <si>
    <t>This spreadsheet guides the User through the design process for a CONTINUOUS CONDUCTION MODE PFC BOOST converter using the UCC28019 controller.</t>
  </si>
  <si>
    <t>1. The Macros must be ENABLED.</t>
  </si>
  <si>
    <t>2. The Analysis ToolPak Add-In must be checked.</t>
  </si>
  <si>
    <t>• This feature can be found in the Tools Menu.</t>
  </si>
  <si>
    <t>• Select Add-Ins</t>
  </si>
  <si>
    <t>• Check the box next to Analysis ToolPak</t>
  </si>
  <si>
    <t>3. Enter the desired design parameters in the YELLOW shaded boxes</t>
  </si>
  <si>
    <t>5. Actual standard values must be entered for the spreadsheet to calculate the gain-phase plots.</t>
  </si>
  <si>
    <t>Design Specifications</t>
  </si>
  <si>
    <t>Description</t>
  </si>
  <si>
    <t xml:space="preserve">Minimum </t>
  </si>
  <si>
    <t>Maximum</t>
  </si>
  <si>
    <t xml:space="preserve">Typical </t>
  </si>
  <si>
    <t>Input Voltage</t>
  </si>
  <si>
    <t>Output Voltage</t>
  </si>
  <si>
    <t>Allowable Output Voltage
Transients (90% Load Step)</t>
  </si>
  <si>
    <t>Unit</t>
  </si>
  <si>
    <t>V</t>
  </si>
  <si>
    <t>W</t>
  </si>
  <si>
    <t xml:space="preserve"> </t>
  </si>
  <si>
    <t>kHz</t>
  </si>
  <si>
    <r>
      <t>Output Power (P</t>
    </r>
    <r>
      <rPr>
        <b/>
        <vertAlign val="subscript"/>
        <sz val="12"/>
        <rFont val="Arial"/>
        <family val="2"/>
      </rPr>
      <t>OUT</t>
    </r>
    <r>
      <rPr>
        <b/>
        <sz val="12"/>
        <rFont val="Arial"/>
        <family val="2"/>
      </rPr>
      <t>)</t>
    </r>
  </si>
  <si>
    <r>
      <t>Inductor (L</t>
    </r>
    <r>
      <rPr>
        <b/>
        <vertAlign val="subscript"/>
        <sz val="12"/>
        <rFont val="Arial"/>
        <family val="2"/>
      </rPr>
      <t>OUT</t>
    </r>
    <r>
      <rPr>
        <b/>
        <sz val="12"/>
        <rFont val="Arial"/>
        <family val="2"/>
      </rPr>
      <t>) Switching Frequency</t>
    </r>
  </si>
  <si>
    <t>Full Load Efficiency</t>
  </si>
  <si>
    <r>
      <t>P</t>
    </r>
    <r>
      <rPr>
        <b/>
        <vertAlign val="subscript"/>
        <sz val="12"/>
        <rFont val="Arial"/>
        <family val="2"/>
      </rPr>
      <t>BUDGET</t>
    </r>
  </si>
  <si>
    <r>
      <t>V</t>
    </r>
    <r>
      <rPr>
        <b/>
        <vertAlign val="subscript"/>
        <sz val="12"/>
        <rFont val="Arial"/>
        <family val="2"/>
      </rPr>
      <t>RDSON</t>
    </r>
  </si>
  <si>
    <t>a1</t>
  </si>
  <si>
    <t>Variable</t>
  </si>
  <si>
    <r>
      <t>T1 Transformer Turns Ratio=N</t>
    </r>
    <r>
      <rPr>
        <b/>
        <vertAlign val="subscript"/>
        <sz val="12"/>
        <rFont val="Arial"/>
        <family val="2"/>
      </rPr>
      <t>P</t>
    </r>
    <r>
      <rPr>
        <b/>
        <sz val="12"/>
        <rFont val="Arial"/>
        <family val="2"/>
      </rPr>
      <t>/N</t>
    </r>
    <r>
      <rPr>
        <b/>
        <vertAlign val="subscript"/>
        <sz val="12"/>
        <rFont val="Arial"/>
        <family val="2"/>
      </rPr>
      <t>S</t>
    </r>
  </si>
  <si>
    <t>Maximum Duty Cycle Nominal</t>
  </si>
  <si>
    <t>Typical Duty Cycle</t>
  </si>
  <si>
    <r>
      <t>D</t>
    </r>
    <r>
      <rPr>
        <b/>
        <vertAlign val="subscript"/>
        <sz val="12"/>
        <rFont val="Arial"/>
        <family val="2"/>
      </rPr>
      <t>MAX</t>
    </r>
  </si>
  <si>
    <r>
      <t>D</t>
    </r>
    <r>
      <rPr>
        <b/>
        <vertAlign val="subscript"/>
        <sz val="12"/>
        <rFont val="Arial"/>
        <family val="2"/>
      </rPr>
      <t>TYP</t>
    </r>
  </si>
  <si>
    <t>Inductor Ripple Current</t>
  </si>
  <si>
    <t>A</t>
  </si>
  <si>
    <r>
      <t>L</t>
    </r>
    <r>
      <rPr>
        <b/>
        <vertAlign val="subscript"/>
        <sz val="12"/>
        <rFont val="Arial"/>
        <family val="2"/>
      </rPr>
      <t>MAG</t>
    </r>
  </si>
  <si>
    <t>mH</t>
  </si>
  <si>
    <r>
      <t>I</t>
    </r>
    <r>
      <rPr>
        <b/>
        <vertAlign val="subscript"/>
        <sz val="12"/>
        <rFont val="Arial"/>
        <family val="2"/>
      </rPr>
      <t>PS</t>
    </r>
  </si>
  <si>
    <r>
      <t>I</t>
    </r>
    <r>
      <rPr>
        <b/>
        <vertAlign val="subscript"/>
        <sz val="12"/>
        <rFont val="Arial"/>
        <family val="2"/>
      </rPr>
      <t>MS</t>
    </r>
  </si>
  <si>
    <r>
      <t>I</t>
    </r>
    <r>
      <rPr>
        <b/>
        <vertAlign val="subscript"/>
        <sz val="12"/>
        <rFont val="Arial"/>
        <family val="2"/>
      </rPr>
      <t>SRMS1</t>
    </r>
  </si>
  <si>
    <r>
      <t>I</t>
    </r>
    <r>
      <rPr>
        <b/>
        <vertAlign val="subscript"/>
        <sz val="12"/>
        <rFont val="Arial"/>
        <family val="2"/>
      </rPr>
      <t>MS2</t>
    </r>
  </si>
  <si>
    <r>
      <t>I</t>
    </r>
    <r>
      <rPr>
        <b/>
        <vertAlign val="subscript"/>
        <sz val="12"/>
        <rFont val="Arial"/>
        <family val="2"/>
      </rPr>
      <t>SRMS2</t>
    </r>
  </si>
  <si>
    <r>
      <t>I</t>
    </r>
    <r>
      <rPr>
        <b/>
        <vertAlign val="subscript"/>
        <sz val="12"/>
        <rFont val="Arial"/>
        <family val="2"/>
      </rPr>
      <t>SRMS3</t>
    </r>
  </si>
  <si>
    <r>
      <t>I</t>
    </r>
    <r>
      <rPr>
        <b/>
        <vertAlign val="subscript"/>
        <sz val="12"/>
        <rFont val="Arial"/>
        <family val="2"/>
      </rPr>
      <t>SRMS</t>
    </r>
  </si>
  <si>
    <r>
      <t>dIL</t>
    </r>
    <r>
      <rPr>
        <b/>
        <vertAlign val="subscript"/>
        <sz val="12"/>
        <rFont val="Arial"/>
        <family val="2"/>
      </rPr>
      <t>MAG</t>
    </r>
  </si>
  <si>
    <r>
      <t>I</t>
    </r>
    <r>
      <rPr>
        <b/>
        <vertAlign val="subscript"/>
        <sz val="12"/>
        <rFont val="Arial"/>
        <family val="2"/>
      </rPr>
      <t>PP</t>
    </r>
  </si>
  <si>
    <r>
      <t>I</t>
    </r>
    <r>
      <rPr>
        <b/>
        <vertAlign val="subscript"/>
        <sz val="12"/>
        <rFont val="Arial"/>
        <family val="2"/>
      </rPr>
      <t>MP</t>
    </r>
  </si>
  <si>
    <r>
      <t>I</t>
    </r>
    <r>
      <rPr>
        <b/>
        <vertAlign val="subscript"/>
        <sz val="12"/>
        <rFont val="Arial"/>
        <family val="2"/>
      </rPr>
      <t>MP2</t>
    </r>
  </si>
  <si>
    <r>
      <t>I</t>
    </r>
    <r>
      <rPr>
        <b/>
        <vertAlign val="subscript"/>
        <sz val="12"/>
        <rFont val="Arial"/>
        <family val="2"/>
      </rPr>
      <t>PRMS1</t>
    </r>
  </si>
  <si>
    <r>
      <t>I</t>
    </r>
    <r>
      <rPr>
        <b/>
        <vertAlign val="subscript"/>
        <sz val="12"/>
        <rFont val="Arial"/>
        <family val="2"/>
      </rPr>
      <t>PRMS2</t>
    </r>
  </si>
  <si>
    <r>
      <t>DCR</t>
    </r>
    <r>
      <rPr>
        <b/>
        <vertAlign val="subscript"/>
        <sz val="12"/>
        <rFont val="Arial"/>
        <family val="2"/>
      </rPr>
      <t>P</t>
    </r>
  </si>
  <si>
    <r>
      <t>I</t>
    </r>
    <r>
      <rPr>
        <b/>
        <vertAlign val="subscript"/>
        <sz val="12"/>
        <rFont val="Arial"/>
        <family val="2"/>
      </rPr>
      <t>PRMS</t>
    </r>
  </si>
  <si>
    <r>
      <t>DCR</t>
    </r>
    <r>
      <rPr>
        <b/>
        <vertAlign val="subscript"/>
        <sz val="12"/>
        <rFont val="Arial"/>
        <family val="2"/>
      </rPr>
      <t>S</t>
    </r>
  </si>
  <si>
    <r>
      <t>P</t>
    </r>
    <r>
      <rPr>
        <b/>
        <vertAlign val="subscript"/>
        <sz val="12"/>
        <rFont val="Arial"/>
        <family val="2"/>
      </rPr>
      <t>T1</t>
    </r>
  </si>
  <si>
    <t>Transformer Primary DC Resistance</t>
  </si>
  <si>
    <t>Transformer Secondary DC Resistance</t>
  </si>
  <si>
    <t>Estimated transform loss, 2X Copper Losses</t>
  </si>
  <si>
    <t>Recalculate Power Budget</t>
  </si>
  <si>
    <t>QA, QB, QC, QD FET selection:</t>
  </si>
  <si>
    <r>
      <t>R</t>
    </r>
    <r>
      <rPr>
        <b/>
        <vertAlign val="subscript"/>
        <sz val="12"/>
        <rFont val="Arial"/>
        <family val="2"/>
      </rPr>
      <t>ds(on)QA</t>
    </r>
  </si>
  <si>
    <t>FET drain to source on resistance</t>
  </si>
  <si>
    <t>FET Specified Coss</t>
  </si>
  <si>
    <t>pF</t>
  </si>
  <si>
    <r>
      <t>C</t>
    </r>
    <r>
      <rPr>
        <b/>
        <vertAlign val="subscript"/>
        <sz val="12"/>
        <rFont val="Arial"/>
        <family val="2"/>
      </rPr>
      <t>OSS_QA_SPEC</t>
    </r>
  </si>
  <si>
    <r>
      <t>V</t>
    </r>
    <r>
      <rPr>
        <b/>
        <vertAlign val="subscript"/>
        <sz val="12"/>
        <rFont val="Arial"/>
        <family val="2"/>
      </rPr>
      <t>dsQA</t>
    </r>
  </si>
  <si>
    <r>
      <t>Calculate average C</t>
    </r>
    <r>
      <rPr>
        <b/>
        <vertAlign val="subscript"/>
        <sz val="12"/>
        <rFont val="Arial"/>
        <family val="2"/>
      </rPr>
      <t xml:space="preserve">OSS </t>
    </r>
  </si>
  <si>
    <r>
      <t>C</t>
    </r>
    <r>
      <rPr>
        <b/>
        <vertAlign val="subscript"/>
        <sz val="12"/>
        <rFont val="Arial"/>
        <family val="2"/>
      </rPr>
      <t>OSS_QA_AVG</t>
    </r>
  </si>
  <si>
    <r>
      <t>P</t>
    </r>
    <r>
      <rPr>
        <b/>
        <vertAlign val="subscript"/>
        <sz val="12"/>
        <rFont val="Arial"/>
        <family val="2"/>
      </rPr>
      <t>QA</t>
    </r>
  </si>
  <si>
    <t xml:space="preserve">Calculate QA losses </t>
  </si>
  <si>
    <r>
      <t>V</t>
    </r>
    <r>
      <rPr>
        <b/>
        <vertAlign val="subscript"/>
        <sz val="12"/>
        <rFont val="Arial"/>
        <family val="2"/>
      </rPr>
      <t>g</t>
    </r>
  </si>
  <si>
    <r>
      <t>QA</t>
    </r>
    <r>
      <rPr>
        <b/>
        <vertAlign val="subscript"/>
        <sz val="12"/>
        <rFont val="Arial"/>
        <family val="2"/>
      </rPr>
      <t>g</t>
    </r>
  </si>
  <si>
    <t>nC</t>
  </si>
  <si>
    <t>Primary Magnetizing Inductance</t>
  </si>
  <si>
    <r>
      <t>L</t>
    </r>
    <r>
      <rPr>
        <b/>
        <vertAlign val="subscript"/>
        <sz val="12"/>
        <rFont val="Arial"/>
        <family val="2"/>
      </rPr>
      <t>S</t>
    </r>
  </si>
  <si>
    <t>uH</t>
  </si>
  <si>
    <r>
      <t>DCR</t>
    </r>
    <r>
      <rPr>
        <b/>
        <vertAlign val="subscript"/>
        <sz val="12"/>
        <rFont val="Arial"/>
        <family val="2"/>
      </rPr>
      <t>LS</t>
    </r>
  </si>
  <si>
    <r>
      <t>L</t>
    </r>
    <r>
      <rPr>
        <b/>
        <vertAlign val="subscript"/>
        <sz val="12"/>
        <rFont val="Arial"/>
        <family val="2"/>
      </rPr>
      <t>S</t>
    </r>
    <r>
      <rPr>
        <b/>
        <sz val="12"/>
        <rFont val="Arial"/>
        <family val="2"/>
      </rPr>
      <t xml:space="preserve"> DC Resistance</t>
    </r>
  </si>
  <si>
    <r>
      <t>Estimate L</t>
    </r>
    <r>
      <rPr>
        <b/>
        <vertAlign val="subscript"/>
        <sz val="12"/>
        <rFont val="Arial"/>
        <family val="2"/>
      </rPr>
      <t xml:space="preserve">S </t>
    </r>
    <r>
      <rPr>
        <b/>
        <sz val="12"/>
        <rFont val="Arial"/>
        <family val="2"/>
      </rPr>
      <t>power loss (P</t>
    </r>
    <r>
      <rPr>
        <b/>
        <vertAlign val="subscript"/>
        <sz val="12"/>
        <rFont val="Arial"/>
        <family val="2"/>
      </rPr>
      <t>LS</t>
    </r>
    <r>
      <rPr>
        <b/>
        <sz val="12"/>
        <rFont val="Arial"/>
        <family val="2"/>
      </rPr>
      <t xml:space="preserve">) </t>
    </r>
  </si>
  <si>
    <r>
      <t>P</t>
    </r>
    <r>
      <rPr>
        <b/>
        <vertAlign val="subscript"/>
        <sz val="12"/>
        <rFont val="Arial"/>
        <family val="2"/>
      </rPr>
      <t>LS</t>
    </r>
  </si>
  <si>
    <r>
      <t>L</t>
    </r>
    <r>
      <rPr>
        <b/>
        <vertAlign val="subscript"/>
        <sz val="12"/>
        <rFont val="Arial"/>
        <family val="2"/>
      </rPr>
      <t>OUT</t>
    </r>
  </si>
  <si>
    <r>
      <t>DCR</t>
    </r>
    <r>
      <rPr>
        <b/>
        <vertAlign val="subscript"/>
        <sz val="12"/>
        <rFont val="Arial"/>
        <family val="2"/>
      </rPr>
      <t>LOUT</t>
    </r>
  </si>
  <si>
    <r>
      <t>Estimate L</t>
    </r>
    <r>
      <rPr>
        <b/>
        <vertAlign val="subscript"/>
        <sz val="12"/>
        <rFont val="Arial"/>
        <family val="2"/>
      </rPr>
      <t xml:space="preserve">OUT </t>
    </r>
    <r>
      <rPr>
        <b/>
        <sz val="12"/>
        <rFont val="Arial"/>
        <family val="2"/>
      </rPr>
      <t>power loss</t>
    </r>
  </si>
  <si>
    <r>
      <t>P</t>
    </r>
    <r>
      <rPr>
        <b/>
        <vertAlign val="subscript"/>
        <sz val="12"/>
        <rFont val="Arial"/>
        <family val="2"/>
      </rPr>
      <t>LOUT</t>
    </r>
  </si>
  <si>
    <r>
      <t>Calculate L</t>
    </r>
    <r>
      <rPr>
        <b/>
        <vertAlign val="subscript"/>
        <sz val="12"/>
        <rFont val="Arial"/>
        <family val="2"/>
      </rPr>
      <t>OUT</t>
    </r>
    <r>
      <rPr>
        <b/>
        <sz val="12"/>
        <rFont val="Arial"/>
        <family val="2"/>
      </rPr>
      <t xml:space="preserve"> RMS Current</t>
    </r>
  </si>
  <si>
    <r>
      <t>I</t>
    </r>
    <r>
      <rPr>
        <b/>
        <vertAlign val="subscript"/>
        <sz val="12"/>
        <rFont val="Arial"/>
        <family val="2"/>
      </rPr>
      <t>LOUT_RMS</t>
    </r>
  </si>
  <si>
    <t>Calculated Shim Inductance</t>
  </si>
  <si>
    <t>Calculate Output Inductance</t>
  </si>
  <si>
    <r>
      <t>t</t>
    </r>
    <r>
      <rPr>
        <b/>
        <vertAlign val="subscript"/>
        <sz val="12"/>
        <rFont val="Arial"/>
        <family val="2"/>
      </rPr>
      <t>HU</t>
    </r>
  </si>
  <si>
    <r>
      <t>Time it takes L</t>
    </r>
    <r>
      <rPr>
        <b/>
        <vertAlign val="subscript"/>
        <sz val="12"/>
        <rFont val="Arial"/>
        <family val="2"/>
      </rPr>
      <t xml:space="preserve">OUT </t>
    </r>
    <r>
      <rPr>
        <b/>
        <sz val="12"/>
        <rFont val="Arial"/>
        <family val="2"/>
      </rPr>
      <t>to change 90% of its full load current</t>
    </r>
  </si>
  <si>
    <t>us</t>
  </si>
  <si>
    <r>
      <t>ESR</t>
    </r>
    <r>
      <rPr>
        <b/>
        <vertAlign val="subscript"/>
        <sz val="12"/>
        <rFont val="Arial"/>
        <family val="2"/>
      </rPr>
      <t>COUT</t>
    </r>
  </si>
  <si>
    <r>
      <t>C</t>
    </r>
    <r>
      <rPr>
        <b/>
        <vertAlign val="subscript"/>
        <sz val="12"/>
        <rFont val="Arial"/>
        <family val="2"/>
      </rPr>
      <t>OUT</t>
    </r>
  </si>
  <si>
    <t>uF</t>
  </si>
  <si>
    <t>n</t>
  </si>
  <si>
    <t>Single Capacitor Capacitance</t>
  </si>
  <si>
    <t>Single Capacitor ESR</t>
  </si>
  <si>
    <t>Total Output Capacitance</t>
  </si>
  <si>
    <r>
      <t>I</t>
    </r>
    <r>
      <rPr>
        <b/>
        <vertAlign val="subscript"/>
        <sz val="12"/>
        <rFont val="Arial"/>
        <family val="2"/>
      </rPr>
      <t>COUT_RMS</t>
    </r>
  </si>
  <si>
    <t>Output Capacitance RMS Current</t>
  </si>
  <si>
    <t>Calculate Output Capacitance Loss</t>
  </si>
  <si>
    <r>
      <t>P</t>
    </r>
    <r>
      <rPr>
        <b/>
        <vertAlign val="subscript"/>
        <sz val="12"/>
        <rFont val="Arial"/>
        <family val="2"/>
      </rPr>
      <t>COUT</t>
    </r>
  </si>
  <si>
    <r>
      <t>V</t>
    </r>
    <r>
      <rPr>
        <b/>
        <vertAlign val="subscript"/>
        <sz val="12"/>
        <rFont val="Arial"/>
        <family val="2"/>
      </rPr>
      <t>DROP</t>
    </r>
  </si>
  <si>
    <t>Minimum Input During Line Dropout</t>
  </si>
  <si>
    <r>
      <t>C</t>
    </r>
    <r>
      <rPr>
        <b/>
        <vertAlign val="subscript"/>
        <sz val="12"/>
        <rFont val="Arial"/>
        <family val="2"/>
      </rPr>
      <t>IN</t>
    </r>
  </si>
  <si>
    <t>Calculate Minimum Input Capacitance</t>
  </si>
  <si>
    <r>
      <t>High Frequency C</t>
    </r>
    <r>
      <rPr>
        <b/>
        <vertAlign val="subscript"/>
        <sz val="12"/>
        <rFont val="Arial"/>
        <family val="2"/>
      </rPr>
      <t>IN</t>
    </r>
    <r>
      <rPr>
        <b/>
        <sz val="12"/>
        <rFont val="Arial"/>
        <family val="2"/>
      </rPr>
      <t xml:space="preserve"> RMS Current</t>
    </r>
  </si>
  <si>
    <r>
      <t>I</t>
    </r>
    <r>
      <rPr>
        <b/>
        <vertAlign val="subscript"/>
        <sz val="12"/>
        <rFont val="Arial"/>
        <family val="2"/>
      </rPr>
      <t>CINRMS</t>
    </r>
  </si>
  <si>
    <r>
      <t>ESR</t>
    </r>
    <r>
      <rPr>
        <b/>
        <vertAlign val="subscript"/>
        <sz val="12"/>
        <rFont val="Arial"/>
        <family val="2"/>
      </rPr>
      <t>CIN</t>
    </r>
  </si>
  <si>
    <r>
      <t>P</t>
    </r>
    <r>
      <rPr>
        <b/>
        <vertAlign val="subscript"/>
        <sz val="12"/>
        <rFont val="Arial"/>
        <family val="2"/>
      </rPr>
      <t>CIN</t>
    </r>
  </si>
  <si>
    <t>Select FETs QE and QF:</t>
  </si>
  <si>
    <r>
      <t>QE</t>
    </r>
    <r>
      <rPr>
        <b/>
        <vertAlign val="subscript"/>
        <sz val="12"/>
        <rFont val="Arial"/>
        <family val="2"/>
      </rPr>
      <t>g</t>
    </r>
  </si>
  <si>
    <r>
      <t>R</t>
    </r>
    <r>
      <rPr>
        <b/>
        <vertAlign val="subscript"/>
        <sz val="12"/>
        <rFont val="Arial"/>
        <family val="2"/>
      </rPr>
      <t>ds(on)QE</t>
    </r>
  </si>
  <si>
    <t>QE and QF Gate Charge</t>
  </si>
  <si>
    <t xml:space="preserve">Set Initial Power Budget </t>
  </si>
  <si>
    <t>Estimated FET Voltage Drop</t>
  </si>
  <si>
    <t>QA FET Gate Charge</t>
  </si>
  <si>
    <r>
      <t>Voltage Across Drain to Source Where C</t>
    </r>
    <r>
      <rPr>
        <b/>
        <vertAlign val="subscript"/>
        <sz val="12"/>
        <rFont val="Arial"/>
        <family val="2"/>
      </rPr>
      <t xml:space="preserve">OSS </t>
    </r>
    <r>
      <rPr>
        <b/>
        <sz val="12"/>
        <color indexed="8"/>
        <rFont val="Arial"/>
        <family val="2"/>
      </rPr>
      <t>was Measured, Data Sheet Parameter</t>
    </r>
  </si>
  <si>
    <r>
      <t>V</t>
    </r>
    <r>
      <rPr>
        <b/>
        <vertAlign val="subscript"/>
        <sz val="12"/>
        <rFont val="Arial"/>
        <family val="2"/>
      </rPr>
      <t>dsQE</t>
    </r>
  </si>
  <si>
    <r>
      <t>V</t>
    </r>
    <r>
      <rPr>
        <b/>
        <vertAlign val="subscript"/>
        <sz val="12"/>
        <rFont val="Arial"/>
        <family val="2"/>
      </rPr>
      <t>dsQE_SPEC</t>
    </r>
  </si>
  <si>
    <r>
      <t>Voltage Specified at C</t>
    </r>
    <r>
      <rPr>
        <b/>
        <vertAlign val="subscript"/>
        <sz val="12"/>
        <rFont val="Arial"/>
        <family val="2"/>
      </rPr>
      <t>OSS</t>
    </r>
    <r>
      <rPr>
        <b/>
        <sz val="12"/>
        <rFont val="Arial"/>
        <family val="2"/>
      </rPr>
      <t xml:space="preserve"> Specified in the Data Sheet</t>
    </r>
  </si>
  <si>
    <r>
      <t>C</t>
    </r>
    <r>
      <rPr>
        <b/>
        <vertAlign val="subscript"/>
        <sz val="12"/>
        <rFont val="Arial"/>
        <family val="2"/>
      </rPr>
      <t>OSS_SPEC</t>
    </r>
  </si>
  <si>
    <r>
      <t>Specified QE and QF C</t>
    </r>
    <r>
      <rPr>
        <b/>
        <vertAlign val="subscript"/>
        <sz val="12"/>
        <rFont val="Arial"/>
        <family val="2"/>
      </rPr>
      <t xml:space="preserve">OSS </t>
    </r>
    <r>
      <rPr>
        <b/>
        <sz val="12"/>
        <rFont val="Arial"/>
        <family val="2"/>
      </rPr>
      <t>From the Data Sheet</t>
    </r>
  </si>
  <si>
    <r>
      <t>C</t>
    </r>
    <r>
      <rPr>
        <b/>
        <vertAlign val="subscript"/>
        <sz val="12"/>
        <rFont val="Arial"/>
        <family val="2"/>
      </rPr>
      <t>OSS_QE_AVG</t>
    </r>
  </si>
  <si>
    <r>
      <t>Average QE and QF C</t>
    </r>
    <r>
      <rPr>
        <b/>
        <vertAlign val="subscript"/>
        <sz val="12"/>
        <rFont val="Arial"/>
        <family val="2"/>
      </rPr>
      <t>OSS</t>
    </r>
  </si>
  <si>
    <t>QE and QF RMS Current</t>
  </si>
  <si>
    <r>
      <t>I</t>
    </r>
    <r>
      <rPr>
        <b/>
        <vertAlign val="subscript"/>
        <sz val="12"/>
        <rFont val="Arial"/>
        <family val="2"/>
      </rPr>
      <t>QE_RMS</t>
    </r>
  </si>
  <si>
    <r>
      <t>QE</t>
    </r>
    <r>
      <rPr>
        <b/>
        <vertAlign val="subscript"/>
        <sz val="12"/>
        <rFont val="Arial"/>
        <family val="2"/>
      </rPr>
      <t>MILLER_MAX</t>
    </r>
  </si>
  <si>
    <r>
      <t>QE</t>
    </r>
    <r>
      <rPr>
        <b/>
        <vertAlign val="subscript"/>
        <sz val="12"/>
        <rFont val="Arial"/>
        <family val="2"/>
      </rPr>
      <t>MILLER_MIN</t>
    </r>
  </si>
  <si>
    <t>Maximum Gate Charge at the end of the Miller Plateau</t>
  </si>
  <si>
    <t>Peak Current Gate of QE and QF is Driven with</t>
  </si>
  <si>
    <r>
      <t>I</t>
    </r>
    <r>
      <rPr>
        <b/>
        <vertAlign val="subscript"/>
        <sz val="12"/>
        <rFont val="Arial"/>
        <family val="2"/>
      </rPr>
      <t>P</t>
    </r>
  </si>
  <si>
    <r>
      <t>t</t>
    </r>
    <r>
      <rPr>
        <b/>
        <vertAlign val="subscript"/>
        <sz val="12"/>
        <rFont val="Arial"/>
        <family val="2"/>
      </rPr>
      <t>r</t>
    </r>
    <r>
      <rPr>
        <b/>
        <sz val="12"/>
        <rFont val="Arial"/>
        <family val="2"/>
      </rPr>
      <t xml:space="preserve"> ≈ t</t>
    </r>
    <r>
      <rPr>
        <b/>
        <vertAlign val="subscript"/>
        <sz val="12"/>
        <rFont val="Arial"/>
        <family val="2"/>
      </rPr>
      <t>f</t>
    </r>
  </si>
  <si>
    <t>ns</t>
  </si>
  <si>
    <t>Estimate QE FET Losses</t>
  </si>
  <si>
    <r>
      <t>P</t>
    </r>
    <r>
      <rPr>
        <b/>
        <vertAlign val="subscript"/>
        <sz val="12"/>
        <rFont val="Arial"/>
        <family val="2"/>
      </rPr>
      <t>QE</t>
    </r>
  </si>
  <si>
    <t>Maximum Voltage Across QE and QF</t>
  </si>
  <si>
    <t>a2</t>
  </si>
  <si>
    <r>
      <t>Select CT and Enter Turns Ratio a2 = I</t>
    </r>
    <r>
      <rPr>
        <b/>
        <vertAlign val="subscript"/>
        <sz val="12"/>
        <rFont val="Arial"/>
        <family val="2"/>
      </rPr>
      <t>P</t>
    </r>
    <r>
      <rPr>
        <b/>
        <sz val="12"/>
        <rFont val="Arial"/>
        <family val="2"/>
      </rPr>
      <t>/I</t>
    </r>
    <r>
      <rPr>
        <b/>
        <vertAlign val="subscript"/>
        <sz val="12"/>
        <rFont val="Arial"/>
        <family val="2"/>
      </rPr>
      <t>S</t>
    </r>
  </si>
  <si>
    <t>Std. Resistors</t>
  </si>
  <si>
    <t>Capacitors</t>
  </si>
  <si>
    <t>Enter resistor value</t>
  </si>
  <si>
    <t>E6</t>
  </si>
  <si>
    <t>E96</t>
  </si>
  <si>
    <t>Cap value</t>
  </si>
  <si>
    <t>Closest E6 Value</t>
  </si>
  <si>
    <t>Closest E12 Value</t>
  </si>
  <si>
    <t>C values up to 10nF</t>
  </si>
  <si>
    <t>Closest E24 Value</t>
  </si>
  <si>
    <t>Closest E48 Value</t>
  </si>
  <si>
    <t>Closest E96 Value</t>
  </si>
  <si>
    <t>E12</t>
  </si>
  <si>
    <t>C values greater than 10nF</t>
  </si>
  <si>
    <t>E24</t>
  </si>
  <si>
    <t>E48</t>
  </si>
  <si>
    <r>
      <t>R</t>
    </r>
    <r>
      <rPr>
        <b/>
        <vertAlign val="subscript"/>
        <sz val="12"/>
        <rFont val="Arial"/>
        <family val="2"/>
      </rPr>
      <t>S</t>
    </r>
  </si>
  <si>
    <t>Calculate Current Sense Resistor</t>
  </si>
  <si>
    <t>Ω</t>
  </si>
  <si>
    <r>
      <t>I</t>
    </r>
    <r>
      <rPr>
        <b/>
        <vertAlign val="subscript"/>
        <sz val="12"/>
        <rFont val="Arial"/>
        <family val="2"/>
      </rPr>
      <t>P1</t>
    </r>
  </si>
  <si>
    <r>
      <t>Calculate nominal peak current (I</t>
    </r>
    <r>
      <rPr>
        <b/>
        <vertAlign val="subscript"/>
        <sz val="12"/>
        <rFont val="Arial"/>
        <family val="2"/>
      </rPr>
      <t>P1</t>
    </r>
    <r>
      <rPr>
        <b/>
        <sz val="12"/>
        <rFont val="Arial"/>
        <family val="2"/>
      </rPr>
      <t>) at V</t>
    </r>
    <r>
      <rPr>
        <b/>
        <vertAlign val="subscript"/>
        <sz val="12"/>
        <rFont val="Arial"/>
        <family val="2"/>
      </rPr>
      <t>INMIN</t>
    </r>
  </si>
  <si>
    <t>Select Current Sense Resistor for Your Design</t>
  </si>
  <si>
    <t>Estimate Rs Power Loss</t>
  </si>
  <si>
    <r>
      <t>P</t>
    </r>
    <r>
      <rPr>
        <b/>
        <vertAlign val="subscript"/>
        <sz val="12"/>
        <rFont val="Arial"/>
        <family val="2"/>
      </rPr>
      <t>RS</t>
    </r>
  </si>
  <si>
    <r>
      <t>V</t>
    </r>
    <r>
      <rPr>
        <b/>
        <vertAlign val="subscript"/>
        <sz val="12"/>
        <rFont val="Arial"/>
        <family val="2"/>
      </rPr>
      <t>DA</t>
    </r>
  </si>
  <si>
    <r>
      <t>Maximum Diode D</t>
    </r>
    <r>
      <rPr>
        <b/>
        <vertAlign val="subscript"/>
        <sz val="12"/>
        <rFont val="Arial"/>
        <family val="2"/>
      </rPr>
      <t>A</t>
    </r>
    <r>
      <rPr>
        <b/>
        <sz val="12"/>
        <rFont val="Arial"/>
        <family val="2"/>
      </rPr>
      <t xml:space="preserve"> Reverse Voltage</t>
    </r>
  </si>
  <si>
    <r>
      <t>t</t>
    </r>
    <r>
      <rPr>
        <b/>
        <vertAlign val="subscript"/>
        <sz val="12"/>
        <rFont val="Arial"/>
        <family val="2"/>
      </rPr>
      <t>DELAY</t>
    </r>
  </si>
  <si>
    <t>fr</t>
  </si>
  <si>
    <t>Calculate Resonant Tank Frequency</t>
  </si>
  <si>
    <t>Possible Delay That will Be Required for ZVS</t>
  </si>
  <si>
    <r>
      <t>D</t>
    </r>
    <r>
      <rPr>
        <b/>
        <vertAlign val="subscript"/>
        <sz val="12"/>
        <rFont val="Arial"/>
        <family val="2"/>
      </rPr>
      <t>CLAMP</t>
    </r>
  </si>
  <si>
    <r>
      <t>t</t>
    </r>
    <r>
      <rPr>
        <b/>
        <vertAlign val="subscript"/>
        <sz val="12"/>
        <rFont val="Arial"/>
        <family val="2"/>
      </rPr>
      <t>DELAY</t>
    </r>
    <r>
      <rPr>
        <b/>
        <sz val="12"/>
        <rFont val="Arial"/>
        <family val="2"/>
      </rPr>
      <t xml:space="preserve"> will act as a duty cycle clamp</t>
    </r>
  </si>
  <si>
    <t>Switching Cycle Period</t>
  </si>
  <si>
    <t>ts</t>
  </si>
  <si>
    <t>Shim Inductance Used</t>
  </si>
  <si>
    <t>Output Inductance Used</t>
  </si>
  <si>
    <t>Selecting Power Transformer (T1)</t>
  </si>
  <si>
    <t>Number of Output Capacitors Used</t>
  </si>
  <si>
    <t>Input Capacitance Used</t>
  </si>
  <si>
    <r>
      <t>Estimate D</t>
    </r>
    <r>
      <rPr>
        <b/>
        <vertAlign val="subscript"/>
        <sz val="12"/>
        <rFont val="Arial"/>
        <family val="2"/>
      </rPr>
      <t>A</t>
    </r>
    <r>
      <rPr>
        <b/>
        <sz val="12"/>
        <rFont val="Arial"/>
        <family val="2"/>
      </rPr>
      <t xml:space="preserve"> Losses</t>
    </r>
  </si>
  <si>
    <r>
      <t>P</t>
    </r>
    <r>
      <rPr>
        <b/>
        <vertAlign val="subscript"/>
        <sz val="12"/>
        <rFont val="Arial"/>
        <family val="2"/>
      </rPr>
      <t>DA</t>
    </r>
  </si>
  <si>
    <t>V1</t>
  </si>
  <si>
    <r>
      <t>R</t>
    </r>
    <r>
      <rPr>
        <b/>
        <vertAlign val="subscript"/>
        <sz val="12"/>
        <rFont val="Arial"/>
        <family val="2"/>
      </rPr>
      <t>B</t>
    </r>
  </si>
  <si>
    <t>Select Standard Resistor</t>
  </si>
  <si>
    <r>
      <t>R</t>
    </r>
    <r>
      <rPr>
        <b/>
        <vertAlign val="subscript"/>
        <sz val="12"/>
        <rFont val="Arial"/>
        <family val="2"/>
      </rPr>
      <t>A</t>
    </r>
  </si>
  <si>
    <t>Calculated Resistance</t>
  </si>
  <si>
    <r>
      <t>R</t>
    </r>
    <r>
      <rPr>
        <b/>
        <vertAlign val="subscript"/>
        <sz val="12"/>
        <rFont val="Arial"/>
        <family val="2"/>
      </rPr>
      <t>C</t>
    </r>
  </si>
  <si>
    <r>
      <t>R</t>
    </r>
    <r>
      <rPr>
        <b/>
        <vertAlign val="subscript"/>
        <sz val="12"/>
        <rFont val="Arial"/>
        <family val="2"/>
      </rPr>
      <t>I</t>
    </r>
  </si>
  <si>
    <r>
      <t>f</t>
    </r>
    <r>
      <rPr>
        <b/>
        <vertAlign val="subscript"/>
        <sz val="12"/>
        <rFont val="Arial"/>
        <family val="2"/>
      </rPr>
      <t>C</t>
    </r>
  </si>
  <si>
    <t>Voltage Loop Crossover Frequency</t>
  </si>
  <si>
    <r>
      <t>R</t>
    </r>
    <r>
      <rPr>
        <b/>
        <vertAlign val="subscript"/>
        <sz val="12"/>
        <rFont val="Arial"/>
        <family val="2"/>
      </rPr>
      <t>LOAD</t>
    </r>
  </si>
  <si>
    <t>a1*a2*rload/rs</t>
  </si>
  <si>
    <t>Constant</t>
  </si>
  <si>
    <t>n1/d1</t>
  </si>
  <si>
    <t>n1divd1</t>
  </si>
  <si>
    <t>1/d2</t>
  </si>
  <si>
    <t>n1/(d1*d2)</t>
  </si>
  <si>
    <t>a1*a2*rload/rs*(n1/(d1*d2))</t>
  </si>
  <si>
    <t>absolute maximum(a1*a2*rload/rs*(n1/(d1*d2)))</t>
  </si>
  <si>
    <t>n1</t>
  </si>
  <si>
    <t>|Gco(fc)|</t>
  </si>
  <si>
    <r>
      <t>R</t>
    </r>
    <r>
      <rPr>
        <b/>
        <vertAlign val="subscript"/>
        <sz val="12"/>
        <rFont val="Arial"/>
        <family val="2"/>
      </rPr>
      <t>F</t>
    </r>
  </si>
  <si>
    <t>Calculate Feedback Resistor</t>
  </si>
  <si>
    <r>
      <t>C</t>
    </r>
    <r>
      <rPr>
        <b/>
        <vertAlign val="subscript"/>
        <sz val="12"/>
        <rFont val="Arial"/>
        <family val="2"/>
      </rPr>
      <t>Z</t>
    </r>
  </si>
  <si>
    <t>nF</t>
  </si>
  <si>
    <t>Calculate Pole Capacitor</t>
  </si>
  <si>
    <t>Calculate Zero Capacitor</t>
  </si>
  <si>
    <t>mΩ</t>
  </si>
  <si>
    <t>Output Capacitance ESR  ≤</t>
  </si>
  <si>
    <t>Output Capacitance Cout  ≥</t>
  </si>
  <si>
    <t>kΩ</t>
  </si>
  <si>
    <r>
      <t>C</t>
    </r>
    <r>
      <rPr>
        <b/>
        <vertAlign val="subscript"/>
        <sz val="12"/>
        <rFont val="Arial"/>
        <family val="2"/>
      </rPr>
      <t>P</t>
    </r>
  </si>
  <si>
    <t>Cz</t>
  </si>
  <si>
    <t>values up to 10 nF</t>
  </si>
  <si>
    <t>values greater than 10nf</t>
  </si>
  <si>
    <r>
      <t>t</t>
    </r>
    <r>
      <rPr>
        <b/>
        <vertAlign val="subscript"/>
        <sz val="12"/>
        <rFont val="Arial"/>
        <family val="2"/>
      </rPr>
      <t>SS</t>
    </r>
  </si>
  <si>
    <t>Soft Start Time</t>
  </si>
  <si>
    <t>ms</t>
  </si>
  <si>
    <r>
      <t>C</t>
    </r>
    <r>
      <rPr>
        <b/>
        <vertAlign val="subscript"/>
        <sz val="12"/>
        <rFont val="Arial"/>
        <family val="2"/>
      </rPr>
      <t>SS</t>
    </r>
  </si>
  <si>
    <t>values greater than 10 nf</t>
  </si>
  <si>
    <r>
      <t>t</t>
    </r>
    <r>
      <rPr>
        <b/>
        <vertAlign val="subscript"/>
        <sz val="12"/>
        <rFont val="Arial"/>
        <family val="2"/>
      </rPr>
      <t>ABSET</t>
    </r>
  </si>
  <si>
    <r>
      <t>R</t>
    </r>
    <r>
      <rPr>
        <b/>
        <vertAlign val="subscript"/>
        <sz val="12"/>
        <rFont val="Arial"/>
        <family val="2"/>
      </rPr>
      <t>DELAB</t>
    </r>
  </si>
  <si>
    <r>
      <t>R</t>
    </r>
    <r>
      <rPr>
        <b/>
        <vertAlign val="subscript"/>
        <sz val="12"/>
        <rFont val="Arial"/>
        <family val="2"/>
      </rPr>
      <t>DELCD</t>
    </r>
  </si>
  <si>
    <r>
      <t>t</t>
    </r>
    <r>
      <rPr>
        <b/>
        <vertAlign val="subscript"/>
        <sz val="12"/>
        <rFont val="Arial"/>
        <family val="2"/>
      </rPr>
      <t>CDSET</t>
    </r>
  </si>
  <si>
    <r>
      <t>Set to half of t</t>
    </r>
    <r>
      <rPr>
        <b/>
        <vertAlign val="subscript"/>
        <sz val="12"/>
        <rFont val="Arial"/>
        <family val="2"/>
      </rPr>
      <t>ABSET</t>
    </r>
  </si>
  <si>
    <r>
      <t>R</t>
    </r>
    <r>
      <rPr>
        <b/>
        <vertAlign val="subscript"/>
        <sz val="12"/>
        <rFont val="Arial"/>
        <family val="2"/>
      </rPr>
      <t>DELEF</t>
    </r>
  </si>
  <si>
    <t>Setting Minimum on Time</t>
  </si>
  <si>
    <t>Minimum on Time</t>
  </si>
  <si>
    <r>
      <t>t</t>
    </r>
    <r>
      <rPr>
        <b/>
        <vertAlign val="subscript"/>
        <sz val="12"/>
        <rFont val="Arial"/>
        <family val="2"/>
      </rPr>
      <t>MIN</t>
    </r>
  </si>
  <si>
    <r>
      <t>R</t>
    </r>
    <r>
      <rPr>
        <b/>
        <vertAlign val="subscript"/>
        <sz val="12"/>
        <rFont val="Arial"/>
        <family val="2"/>
      </rPr>
      <t>TMIN</t>
    </r>
  </si>
  <si>
    <r>
      <t>Calculate R</t>
    </r>
    <r>
      <rPr>
        <b/>
        <vertAlign val="subscript"/>
        <sz val="12"/>
        <rFont val="Arial"/>
        <family val="2"/>
      </rPr>
      <t>TMIN</t>
    </r>
  </si>
  <si>
    <t>Setup PWM Switching Frequency</t>
  </si>
  <si>
    <r>
      <t>Calculate R</t>
    </r>
    <r>
      <rPr>
        <b/>
        <vertAlign val="subscript"/>
        <sz val="12"/>
        <rFont val="Arial"/>
        <family val="2"/>
      </rPr>
      <t>T</t>
    </r>
    <r>
      <rPr>
        <b/>
        <sz val="12"/>
        <rFont val="Arial"/>
        <family val="2"/>
      </rPr>
      <t xml:space="preserve"> Value</t>
    </r>
  </si>
  <si>
    <r>
      <t>R</t>
    </r>
    <r>
      <rPr>
        <b/>
        <vertAlign val="subscript"/>
        <sz val="12"/>
        <rFont val="Arial"/>
        <family val="2"/>
      </rPr>
      <t>T</t>
    </r>
  </si>
  <si>
    <t>Setup Slope Compensation</t>
  </si>
  <si>
    <t>V/us</t>
  </si>
  <si>
    <r>
      <t>Calculate V</t>
    </r>
    <r>
      <rPr>
        <b/>
        <vertAlign val="subscript"/>
        <sz val="12"/>
        <rFont val="Arial"/>
        <family val="2"/>
      </rPr>
      <t>SLOPE</t>
    </r>
  </si>
  <si>
    <r>
      <t>V</t>
    </r>
    <r>
      <rPr>
        <b/>
        <vertAlign val="subscript"/>
        <sz val="12"/>
        <rFont val="Arial"/>
        <family val="2"/>
      </rPr>
      <t>SLOPE</t>
    </r>
  </si>
  <si>
    <r>
      <t>Calculate R</t>
    </r>
    <r>
      <rPr>
        <b/>
        <vertAlign val="subscript"/>
        <sz val="12"/>
        <rFont val="Arial"/>
        <family val="2"/>
      </rPr>
      <t>SUM</t>
    </r>
  </si>
  <si>
    <r>
      <t>R</t>
    </r>
    <r>
      <rPr>
        <b/>
        <vertAlign val="subscript"/>
        <sz val="12"/>
        <rFont val="Arial"/>
        <family val="2"/>
      </rPr>
      <t>SUM</t>
    </r>
  </si>
  <si>
    <r>
      <t>Voltage across R</t>
    </r>
    <r>
      <rPr>
        <b/>
        <vertAlign val="subscript"/>
        <sz val="12"/>
        <rFont val="Arial"/>
        <family val="2"/>
      </rPr>
      <t>S</t>
    </r>
    <r>
      <rPr>
        <b/>
        <sz val="12"/>
        <rFont val="Arial"/>
        <family val="2"/>
      </rPr>
      <t xml:space="preserve"> at 15% load</t>
    </r>
  </si>
  <si>
    <r>
      <t>V</t>
    </r>
    <r>
      <rPr>
        <b/>
        <vertAlign val="subscript"/>
        <sz val="12"/>
        <rFont val="Arial"/>
        <family val="2"/>
      </rPr>
      <t>RS</t>
    </r>
  </si>
  <si>
    <r>
      <t>R</t>
    </r>
    <r>
      <rPr>
        <b/>
        <vertAlign val="subscript"/>
        <sz val="12"/>
        <rFont val="Arial"/>
        <family val="2"/>
      </rPr>
      <t>G</t>
    </r>
  </si>
  <si>
    <r>
      <t>R</t>
    </r>
    <r>
      <rPr>
        <b/>
        <vertAlign val="subscript"/>
        <sz val="12"/>
        <rFont val="Arial"/>
        <family val="2"/>
      </rPr>
      <t>E</t>
    </r>
  </si>
  <si>
    <r>
      <t>Calculate R</t>
    </r>
    <r>
      <rPr>
        <b/>
        <vertAlign val="subscript"/>
        <sz val="12"/>
        <rFont val="Arial"/>
        <family val="2"/>
      </rPr>
      <t xml:space="preserve">E </t>
    </r>
  </si>
  <si>
    <r>
      <t>Δ</t>
    </r>
    <r>
      <rPr>
        <b/>
        <sz val="12"/>
        <rFont val="Arial"/>
        <family val="2"/>
      </rPr>
      <t>I</t>
    </r>
    <r>
      <rPr>
        <b/>
        <vertAlign val="subscript"/>
        <sz val="12"/>
        <rFont val="Arial"/>
        <family val="2"/>
      </rPr>
      <t>LOUT</t>
    </r>
  </si>
  <si>
    <t>Partial RMS Current</t>
  </si>
  <si>
    <t>Counter</t>
  </si>
  <si>
    <t>Gco n1/d1</t>
  </si>
  <si>
    <t>Gco 1/d2</t>
  </si>
  <si>
    <t>Gco n1/(d1*d2)</t>
  </si>
  <si>
    <t>Gco(f)</t>
  </si>
  <si>
    <t>|Gco(f)|</t>
  </si>
  <si>
    <t>Gc n1/n1</t>
  </si>
  <si>
    <t>Gc 1/n2</t>
  </si>
  <si>
    <t>Gc(f)</t>
  </si>
  <si>
    <t>Gc(f)*Gco(f)</t>
  </si>
  <si>
    <t>TvdB(f)</t>
  </si>
  <si>
    <r>
      <t>ӨT</t>
    </r>
    <r>
      <rPr>
        <vertAlign val="subscript"/>
        <sz val="10"/>
        <rFont val="Arial"/>
        <family val="2"/>
      </rPr>
      <t>V</t>
    </r>
    <r>
      <rPr>
        <sz val="10"/>
        <rFont val="Arial"/>
      </rPr>
      <t>(f)</t>
    </r>
  </si>
  <si>
    <t>frequency</t>
  </si>
  <si>
    <t>TvdB(f)
MathCad Check</t>
  </si>
  <si>
    <r>
      <t>ӨT</t>
    </r>
    <r>
      <rPr>
        <vertAlign val="subscript"/>
        <sz val="10"/>
        <rFont val="Arial"/>
        <family val="2"/>
      </rPr>
      <t>V</t>
    </r>
    <r>
      <rPr>
        <sz val="10"/>
        <rFont val="Arial"/>
      </rPr>
      <t>(f)
MathCAD
Check</t>
    </r>
  </si>
  <si>
    <t>Frequency</t>
  </si>
  <si>
    <t>ӨTv(f)</t>
  </si>
  <si>
    <t>T1 Primary Magnetizing Inductance &gt; or =</t>
  </si>
  <si>
    <r>
      <t>Calculate T1 Secondary RMS Current (I</t>
    </r>
    <r>
      <rPr>
        <b/>
        <vertAlign val="subscript"/>
        <sz val="12"/>
        <rFont val="Arial"/>
        <family val="2"/>
      </rPr>
      <t>SRMS</t>
    </r>
    <r>
      <rPr>
        <b/>
        <sz val="12"/>
        <rFont val="Arial"/>
        <family val="2"/>
      </rPr>
      <t>)</t>
    </r>
  </si>
  <si>
    <r>
      <t>L</t>
    </r>
    <r>
      <rPr>
        <b/>
        <vertAlign val="subscript"/>
        <sz val="12"/>
        <rFont val="Arial"/>
        <family val="2"/>
      </rPr>
      <t>OUT</t>
    </r>
    <r>
      <rPr>
        <b/>
        <sz val="12"/>
        <rFont val="Arial"/>
        <family val="2"/>
      </rPr>
      <t xml:space="preserve"> equivalent series resistance</t>
    </r>
  </si>
  <si>
    <t>Total Equivalent Series Resistance</t>
  </si>
  <si>
    <t>QE and QF on Resistance</t>
  </si>
  <si>
    <t>Minimum Gate Charge at the beginning of the Miller Plateau</t>
  </si>
  <si>
    <r>
      <t>Approximate QE and QF V</t>
    </r>
    <r>
      <rPr>
        <b/>
        <vertAlign val="subscript"/>
        <sz val="12"/>
        <rFont val="Arial"/>
        <family val="2"/>
      </rPr>
      <t>ds</t>
    </r>
    <r>
      <rPr>
        <b/>
        <sz val="12"/>
        <rFont val="Arial"/>
        <family val="2"/>
      </rPr>
      <t xml:space="preserve"> Rise and Fall Times</t>
    </r>
  </si>
  <si>
    <t>Equivalent Series Resistance</t>
  </si>
  <si>
    <r>
      <t>Estimate C</t>
    </r>
    <r>
      <rPr>
        <b/>
        <vertAlign val="subscript"/>
        <sz val="12"/>
        <rFont val="Arial"/>
        <family val="2"/>
      </rPr>
      <t>IN</t>
    </r>
    <r>
      <rPr>
        <b/>
        <sz val="12"/>
        <rFont val="Arial"/>
        <family val="2"/>
      </rPr>
      <t xml:space="preserve"> Power Dissipation</t>
    </r>
  </si>
  <si>
    <t>Programmed Voltage Reference, Needs to be &lt; 5V</t>
  </si>
  <si>
    <t>Load Impedance at 10% Load</t>
  </si>
  <si>
    <t>Calculate Soft Start Capacitor</t>
  </si>
  <si>
    <t>Calculate 1/4 LC Tank Frequency and set AB Initial Delay</t>
  </si>
  <si>
    <t>Calculate AB timing resistor</t>
  </si>
  <si>
    <r>
      <t>Set Initial CD delay to AB Delay t</t>
    </r>
    <r>
      <rPr>
        <b/>
        <vertAlign val="subscript"/>
        <sz val="12"/>
        <rFont val="Arial"/>
        <family val="2"/>
      </rPr>
      <t>ABSET</t>
    </r>
    <r>
      <rPr>
        <b/>
        <sz val="12"/>
        <rFont val="Arial"/>
        <family val="2"/>
      </rPr>
      <t xml:space="preserve"> = t</t>
    </r>
    <r>
      <rPr>
        <b/>
        <vertAlign val="subscript"/>
        <sz val="12"/>
        <rFont val="Arial"/>
        <family val="2"/>
      </rPr>
      <t>CDSET</t>
    </r>
  </si>
  <si>
    <r>
      <t>Calculate Magnetizing Current during I</t>
    </r>
    <r>
      <rPr>
        <b/>
        <vertAlign val="subscript"/>
        <sz val="12"/>
        <rFont val="Arial"/>
        <family val="2"/>
      </rPr>
      <t>LOUT</t>
    </r>
    <r>
      <rPr>
        <b/>
        <sz val="12"/>
        <rFont val="Arial"/>
        <family val="2"/>
      </rPr>
      <t xml:space="preserve"> down slope</t>
    </r>
  </si>
  <si>
    <t>Setup DCM Comparator</t>
  </si>
  <si>
    <t>Voltage Applied to FET Gate ≈ VDD</t>
  </si>
  <si>
    <r>
      <t>Double pole of G</t>
    </r>
    <r>
      <rPr>
        <b/>
        <vertAlign val="subscript"/>
        <sz val="12"/>
        <rFont val="Arial"/>
        <family val="2"/>
      </rPr>
      <t>CO</t>
    </r>
    <r>
      <rPr>
        <b/>
        <sz val="12"/>
        <rFont val="Arial"/>
        <family val="2"/>
      </rPr>
      <t>(f)</t>
    </r>
  </si>
  <si>
    <r>
      <t>f</t>
    </r>
    <r>
      <rPr>
        <b/>
        <vertAlign val="subscript"/>
        <sz val="12"/>
        <rFont val="Arial"/>
        <family val="2"/>
      </rPr>
      <t>PP</t>
    </r>
  </si>
  <si>
    <r>
      <t>Select Shim Inductor (L</t>
    </r>
    <r>
      <rPr>
        <b/>
        <vertAlign val="subscript"/>
        <sz val="12"/>
        <color indexed="9"/>
        <rFont val="Arial"/>
        <family val="2"/>
      </rPr>
      <t>S</t>
    </r>
    <r>
      <rPr>
        <b/>
        <sz val="12"/>
        <color indexed="9"/>
        <rFont val="Arial"/>
        <family val="2"/>
      </rPr>
      <t>)</t>
    </r>
  </si>
  <si>
    <r>
      <t>Selecting Output Inductor (L</t>
    </r>
    <r>
      <rPr>
        <b/>
        <vertAlign val="subscript"/>
        <sz val="12"/>
        <color indexed="9"/>
        <rFont val="Arial"/>
        <family val="2"/>
      </rPr>
      <t>OUT</t>
    </r>
    <r>
      <rPr>
        <b/>
        <sz val="12"/>
        <color indexed="9"/>
        <rFont val="Arial"/>
        <family val="2"/>
      </rPr>
      <t>)</t>
    </r>
  </si>
  <si>
    <r>
      <t>Selecting Output Capacitance (C</t>
    </r>
    <r>
      <rPr>
        <b/>
        <vertAlign val="subscript"/>
        <sz val="12"/>
        <color indexed="9"/>
        <rFont val="Arial"/>
        <family val="2"/>
      </rPr>
      <t>OUT</t>
    </r>
    <r>
      <rPr>
        <b/>
        <sz val="12"/>
        <color indexed="9"/>
        <rFont val="Arial"/>
        <family val="2"/>
      </rPr>
      <t>)</t>
    </r>
  </si>
  <si>
    <r>
      <t>Input Capacitance Calculations (C</t>
    </r>
    <r>
      <rPr>
        <b/>
        <vertAlign val="subscript"/>
        <sz val="12"/>
        <color indexed="9"/>
        <rFont val="Arial"/>
        <family val="2"/>
      </rPr>
      <t>IN</t>
    </r>
    <r>
      <rPr>
        <b/>
        <sz val="12"/>
        <color indexed="9"/>
        <rFont val="Arial"/>
        <family val="2"/>
      </rPr>
      <t>)</t>
    </r>
  </si>
  <si>
    <t>Recalculate Power Budget 
This is the remaining power left for the CT network, IC and IC sensing resistors</t>
  </si>
  <si>
    <r>
      <t>Setting up Voltage Amplifier Reference G</t>
    </r>
    <r>
      <rPr>
        <b/>
        <vertAlign val="subscript"/>
        <sz val="12"/>
        <color indexed="9"/>
        <rFont val="Arial"/>
        <family val="2"/>
      </rPr>
      <t>C</t>
    </r>
    <r>
      <rPr>
        <b/>
        <sz val="12"/>
        <color indexed="9"/>
        <rFont val="Arial"/>
        <family val="2"/>
      </rPr>
      <t>(f)</t>
    </r>
  </si>
  <si>
    <r>
      <t>Select Soft Start Capacitor (C</t>
    </r>
    <r>
      <rPr>
        <b/>
        <vertAlign val="subscript"/>
        <sz val="12"/>
        <color indexed="9"/>
        <rFont val="Arial"/>
        <family val="2"/>
      </rPr>
      <t>SS</t>
    </r>
    <r>
      <rPr>
        <b/>
        <sz val="12"/>
        <color indexed="9"/>
        <rFont val="Arial"/>
        <family val="2"/>
      </rPr>
      <t>)</t>
    </r>
  </si>
  <si>
    <t>It is recommended that you read this application note before using this design tool</t>
  </si>
  <si>
    <t>Please Refer to Figure of T1 Current</t>
  </si>
  <si>
    <r>
      <t>Primary Magnetizing Current Based on L</t>
    </r>
    <r>
      <rPr>
        <b/>
        <vertAlign val="subscript"/>
        <sz val="12"/>
        <rFont val="Arial"/>
        <family val="2"/>
      </rPr>
      <t>MAG</t>
    </r>
  </si>
  <si>
    <r>
      <t>Calculate T1 Primary RMS Current (I</t>
    </r>
    <r>
      <rPr>
        <b/>
        <vertAlign val="subscript"/>
        <sz val="12"/>
        <rFont val="Arial"/>
        <family val="2"/>
      </rPr>
      <t>PRMS</t>
    </r>
    <r>
      <rPr>
        <b/>
        <sz val="12"/>
        <rFont val="Arial"/>
        <family val="2"/>
      </rPr>
      <t>)</t>
    </r>
  </si>
  <si>
    <r>
      <t>Setting up the current sense network (CT, R</t>
    </r>
    <r>
      <rPr>
        <b/>
        <vertAlign val="subscript"/>
        <sz val="12"/>
        <color indexed="9"/>
        <rFont val="Arial"/>
        <family val="2"/>
      </rPr>
      <t>S</t>
    </r>
    <r>
      <rPr>
        <b/>
        <sz val="12"/>
        <color indexed="9"/>
        <rFont val="Arial"/>
        <family val="2"/>
      </rPr>
      <t>, R</t>
    </r>
    <r>
      <rPr>
        <b/>
        <vertAlign val="subscript"/>
        <sz val="12"/>
        <color indexed="9"/>
        <rFont val="Arial"/>
        <family val="2"/>
      </rPr>
      <t xml:space="preserve">RE, </t>
    </r>
    <r>
      <rPr>
        <b/>
        <sz val="12"/>
        <color indexed="9"/>
        <rFont val="Arial"/>
        <family val="2"/>
      </rPr>
      <t>D</t>
    </r>
    <r>
      <rPr>
        <b/>
        <vertAlign val="subscript"/>
        <sz val="12"/>
        <color indexed="9"/>
        <rFont val="Arial"/>
        <family val="2"/>
      </rPr>
      <t>A</t>
    </r>
    <r>
      <rPr>
        <b/>
        <sz val="12"/>
        <color indexed="9"/>
        <rFont val="Arial"/>
        <family val="2"/>
      </rPr>
      <t>):</t>
    </r>
  </si>
  <si>
    <t>Closest Standard Capacitor Value</t>
  </si>
  <si>
    <t>Closest Standard Resistor Value (E48)</t>
  </si>
  <si>
    <t>4. The spreadsheet will calculate the ideal values and display the results in red type.</t>
  </si>
  <si>
    <r>
      <t>L</t>
    </r>
    <r>
      <rPr>
        <b/>
        <vertAlign val="subscript"/>
        <sz val="12"/>
        <rFont val="Arial"/>
        <family val="2"/>
      </rPr>
      <t>LK</t>
    </r>
  </si>
  <si>
    <t>Measured Transformer Primary Leakage Inductance</t>
  </si>
  <si>
    <t>&gt; Invalid parameters entered in yellow cells</t>
  </si>
  <si>
    <t>&gt; Design cannot calculate realistic values for your design parameters</t>
  </si>
  <si>
    <t>&gt; Efficiency goal with selected components may not be achievable</t>
  </si>
  <si>
    <t>Warning Negative Numbers in Calculated Values Could Indicate</t>
  </si>
  <si>
    <t>Select Transformer Turns Ratio</t>
  </si>
  <si>
    <r>
      <t>R</t>
    </r>
    <r>
      <rPr>
        <b/>
        <vertAlign val="subscript"/>
        <sz val="12"/>
        <rFont val="Arial"/>
        <family val="2"/>
      </rPr>
      <t>DA1</t>
    </r>
  </si>
  <si>
    <r>
      <t>V</t>
    </r>
    <r>
      <rPr>
        <b/>
        <vertAlign val="subscript"/>
        <sz val="12"/>
        <rFont val="Arial"/>
        <family val="2"/>
      </rPr>
      <t>ADEL</t>
    </r>
  </si>
  <si>
    <t>Calculate Voltage at ADEL pin to Meet Delay Range</t>
  </si>
  <si>
    <r>
      <t>Select Standard Resistor for R</t>
    </r>
    <r>
      <rPr>
        <b/>
        <vertAlign val="subscript"/>
        <sz val="12"/>
        <rFont val="Arial"/>
        <family val="2"/>
      </rPr>
      <t xml:space="preserve">DA1 </t>
    </r>
    <r>
      <rPr>
        <b/>
        <sz val="12"/>
        <rFont val="Arial"/>
        <family val="2"/>
      </rPr>
      <t>for t</t>
    </r>
    <r>
      <rPr>
        <b/>
        <vertAlign val="subscript"/>
        <sz val="12"/>
        <rFont val="Arial"/>
        <family val="2"/>
      </rPr>
      <t xml:space="preserve">ABSET </t>
    </r>
    <r>
      <rPr>
        <b/>
        <sz val="12"/>
        <rFont val="Arial"/>
        <family val="2"/>
      </rPr>
      <t>Delay Range</t>
    </r>
  </si>
  <si>
    <r>
      <t>Calculate R</t>
    </r>
    <r>
      <rPr>
        <b/>
        <vertAlign val="subscript"/>
        <sz val="12"/>
        <rFont val="Arial"/>
        <family val="2"/>
      </rPr>
      <t>DA2</t>
    </r>
  </si>
  <si>
    <r>
      <t>R</t>
    </r>
    <r>
      <rPr>
        <b/>
        <vertAlign val="subscript"/>
        <sz val="12"/>
        <rFont val="Arial"/>
        <family val="2"/>
      </rPr>
      <t>DA2</t>
    </r>
  </si>
  <si>
    <r>
      <t>Select Standard Resistor for R</t>
    </r>
    <r>
      <rPr>
        <b/>
        <vertAlign val="subscript"/>
        <sz val="12"/>
        <rFont val="Arial"/>
        <family val="2"/>
      </rPr>
      <t xml:space="preserve">DA2 </t>
    </r>
    <r>
      <rPr>
        <b/>
        <sz val="12"/>
        <rFont val="Arial"/>
        <family val="2"/>
      </rPr>
      <t>for t</t>
    </r>
    <r>
      <rPr>
        <b/>
        <vertAlign val="subscript"/>
        <sz val="12"/>
        <rFont val="Arial"/>
        <family val="2"/>
      </rPr>
      <t xml:space="preserve">ABSET </t>
    </r>
    <r>
      <rPr>
        <b/>
        <sz val="12"/>
        <rFont val="Arial"/>
        <family val="2"/>
      </rPr>
      <t>Delay Range</t>
    </r>
  </si>
  <si>
    <r>
      <t>Recalculate V</t>
    </r>
    <r>
      <rPr>
        <b/>
        <vertAlign val="subscript"/>
        <sz val="12"/>
        <rFont val="Arial"/>
        <family val="2"/>
      </rPr>
      <t>ADEL</t>
    </r>
    <r>
      <rPr>
        <b/>
        <sz val="12"/>
        <rFont val="Arial"/>
        <family val="2"/>
      </rPr>
      <t xml:space="preserve"> Based on R</t>
    </r>
    <r>
      <rPr>
        <b/>
        <vertAlign val="subscript"/>
        <sz val="12"/>
        <rFont val="Arial"/>
        <family val="2"/>
      </rPr>
      <t>DA1</t>
    </r>
    <r>
      <rPr>
        <b/>
        <sz val="12"/>
        <rFont val="Arial"/>
        <family val="2"/>
      </rPr>
      <t xml:space="preserve"> and R</t>
    </r>
    <r>
      <rPr>
        <b/>
        <vertAlign val="subscript"/>
        <sz val="12"/>
        <rFont val="Arial"/>
        <family val="2"/>
      </rPr>
      <t>DA2</t>
    </r>
    <r>
      <rPr>
        <b/>
        <sz val="12"/>
        <rFont val="Arial"/>
        <family val="2"/>
      </rPr>
      <t xml:space="preserve"> Selection</t>
    </r>
  </si>
  <si>
    <r>
      <t>Enter/Fine Tune t</t>
    </r>
    <r>
      <rPr>
        <b/>
        <vertAlign val="subscript"/>
        <sz val="12"/>
        <rFont val="Arial"/>
        <family val="2"/>
      </rPr>
      <t>ABSET</t>
    </r>
    <r>
      <rPr>
        <b/>
        <sz val="12"/>
        <rFont val="Arial"/>
        <family val="2"/>
      </rPr>
      <t xml:space="preserve"> Based on Valley Switching/ZVS</t>
    </r>
  </si>
  <si>
    <r>
      <t>Setting AB Initial Turn-on Delay (t</t>
    </r>
    <r>
      <rPr>
        <b/>
        <vertAlign val="subscript"/>
        <sz val="12"/>
        <color indexed="9"/>
        <rFont val="Arial"/>
        <family val="2"/>
      </rPr>
      <t>ABSET</t>
    </r>
    <r>
      <rPr>
        <b/>
        <sz val="12"/>
        <color indexed="9"/>
        <rFont val="Arial"/>
        <family val="2"/>
      </rPr>
      <t>)</t>
    </r>
  </si>
  <si>
    <r>
      <t>Setting CD Initial Turn-on Delay (t</t>
    </r>
    <r>
      <rPr>
        <b/>
        <vertAlign val="subscript"/>
        <sz val="12"/>
        <color indexed="9"/>
        <rFont val="Arial"/>
        <family val="2"/>
      </rPr>
      <t>CDSET</t>
    </r>
    <r>
      <rPr>
        <b/>
        <sz val="12"/>
        <color indexed="9"/>
        <rFont val="Arial"/>
        <family val="2"/>
      </rPr>
      <t>)</t>
    </r>
  </si>
  <si>
    <r>
      <t>R</t>
    </r>
    <r>
      <rPr>
        <b/>
        <vertAlign val="subscript"/>
        <sz val="12"/>
        <rFont val="Arial"/>
        <family val="2"/>
      </rPr>
      <t>CA1</t>
    </r>
  </si>
  <si>
    <r>
      <t>Select Standard Resistor for R</t>
    </r>
    <r>
      <rPr>
        <b/>
        <vertAlign val="subscript"/>
        <sz val="12"/>
        <rFont val="Arial"/>
        <family val="2"/>
      </rPr>
      <t xml:space="preserve">CA1 </t>
    </r>
    <r>
      <rPr>
        <b/>
        <sz val="12"/>
        <rFont val="Arial"/>
        <family val="2"/>
      </rPr>
      <t>for t</t>
    </r>
    <r>
      <rPr>
        <b/>
        <vertAlign val="subscript"/>
        <sz val="12"/>
        <rFont val="Arial"/>
        <family val="2"/>
      </rPr>
      <t xml:space="preserve">AFSET </t>
    </r>
    <r>
      <rPr>
        <b/>
        <sz val="12"/>
        <rFont val="Arial"/>
        <family val="2"/>
      </rPr>
      <t>Delay Range</t>
    </r>
  </si>
  <si>
    <r>
      <t>Calculate R</t>
    </r>
    <r>
      <rPr>
        <b/>
        <vertAlign val="subscript"/>
        <sz val="12"/>
        <rFont val="Arial"/>
        <family val="2"/>
      </rPr>
      <t>CA2</t>
    </r>
  </si>
  <si>
    <r>
      <t>R</t>
    </r>
    <r>
      <rPr>
        <b/>
        <vertAlign val="subscript"/>
        <sz val="12"/>
        <rFont val="Arial"/>
        <family val="2"/>
      </rPr>
      <t>CA2</t>
    </r>
  </si>
  <si>
    <t>Calculate Voltage at ADELEF pin to Meet Delay Range</t>
  </si>
  <si>
    <r>
      <t>V</t>
    </r>
    <r>
      <rPr>
        <b/>
        <vertAlign val="subscript"/>
        <sz val="12"/>
        <rFont val="Arial"/>
        <family val="2"/>
      </rPr>
      <t>ADELEF</t>
    </r>
  </si>
  <si>
    <r>
      <t>t</t>
    </r>
    <r>
      <rPr>
        <b/>
        <vertAlign val="subscript"/>
        <sz val="12"/>
        <rFont val="Arial"/>
        <family val="2"/>
      </rPr>
      <t xml:space="preserve">AFSET </t>
    </r>
    <r>
      <rPr>
        <b/>
        <sz val="12"/>
        <rFont val="Arial"/>
        <family val="2"/>
      </rPr>
      <t>= t</t>
    </r>
    <r>
      <rPr>
        <b/>
        <vertAlign val="subscript"/>
        <sz val="12"/>
        <rFont val="Arial"/>
        <family val="2"/>
      </rPr>
      <t>BESET</t>
    </r>
  </si>
  <si>
    <r>
      <t>Enter/Fine Tune t</t>
    </r>
    <r>
      <rPr>
        <b/>
        <vertAlign val="subscript"/>
        <sz val="12"/>
        <rFont val="Arial"/>
        <family val="2"/>
      </rPr>
      <t xml:space="preserve">AFSET </t>
    </r>
    <r>
      <rPr>
        <b/>
        <sz val="12"/>
        <rFont val="Arial"/>
        <family val="2"/>
      </rPr>
      <t>and t</t>
    </r>
    <r>
      <rPr>
        <b/>
        <vertAlign val="subscript"/>
        <sz val="12"/>
        <rFont val="Arial"/>
        <family val="2"/>
      </rPr>
      <t>AFSET</t>
    </r>
  </si>
  <si>
    <t>Select Standard Resistor Value</t>
  </si>
  <si>
    <r>
      <t>Setting AF and BE turnoff delay (t</t>
    </r>
    <r>
      <rPr>
        <b/>
        <vertAlign val="subscript"/>
        <sz val="12"/>
        <color indexed="9"/>
        <rFont val="Arial"/>
        <family val="2"/>
      </rPr>
      <t>AFSET</t>
    </r>
    <r>
      <rPr>
        <b/>
        <sz val="12"/>
        <color indexed="9"/>
        <rFont val="Arial"/>
        <family val="2"/>
      </rPr>
      <t>, t</t>
    </r>
    <r>
      <rPr>
        <b/>
        <vertAlign val="subscript"/>
        <sz val="12"/>
        <color indexed="9"/>
        <rFont val="Arial"/>
        <family val="2"/>
      </rPr>
      <t>BESET</t>
    </r>
    <r>
      <rPr>
        <b/>
        <sz val="12"/>
        <color indexed="9"/>
        <rFont val="Arial"/>
        <family val="2"/>
      </rPr>
      <t>)</t>
    </r>
  </si>
  <si>
    <t>Select Standard Capacitor Value</t>
  </si>
  <si>
    <t>Select Standard Resistor Value (Between 13K and 90K ohm)</t>
  </si>
  <si>
    <t>Select Standard Resistor Value(Between 13K and 90K ohm)</t>
  </si>
  <si>
    <t>This design tool was generated based on the information in application report SLUA560</t>
  </si>
  <si>
    <r>
      <t>Δ</t>
    </r>
    <r>
      <rPr>
        <b/>
        <sz val="12"/>
        <rFont val="Arial"/>
        <family val="2"/>
      </rPr>
      <t>I</t>
    </r>
    <r>
      <rPr>
        <b/>
        <vertAlign val="subscript"/>
        <sz val="12"/>
        <rFont val="Arial"/>
        <family val="2"/>
      </rPr>
      <t>LMAG</t>
    </r>
  </si>
  <si>
    <t>6. Note this design tool was generated to accompany application report     SLUA560</t>
  </si>
  <si>
    <t>Enter Design Parameters and Chosen Component Values in Yellow Cells</t>
  </si>
  <si>
    <r>
      <t>V</t>
    </r>
    <r>
      <rPr>
        <b/>
        <vertAlign val="subscript"/>
        <sz val="12"/>
        <rFont val="Arial"/>
        <family val="2"/>
      </rPr>
      <t>SLOPE1</t>
    </r>
  </si>
  <si>
    <r>
      <t>V</t>
    </r>
    <r>
      <rPr>
        <b/>
        <vertAlign val="subscript"/>
        <sz val="12"/>
        <rFont val="Arial"/>
        <family val="2"/>
      </rPr>
      <t>SLOPE2</t>
    </r>
  </si>
  <si>
    <r>
      <t>Calculate V</t>
    </r>
    <r>
      <rPr>
        <b/>
        <vertAlign val="subscript"/>
        <sz val="12"/>
        <rFont val="Arial"/>
        <family val="2"/>
      </rPr>
      <t>SLOPE1</t>
    </r>
  </si>
  <si>
    <r>
      <t>Calculate V</t>
    </r>
    <r>
      <rPr>
        <b/>
        <vertAlign val="subscript"/>
        <sz val="12"/>
        <rFont val="Arial"/>
        <family val="2"/>
      </rPr>
      <t>SLOPE2</t>
    </r>
  </si>
  <si>
    <t>Assumes the centre tapped secondary - as per Functional Schematic</t>
  </si>
  <si>
    <t>UCC28950 and UCC28951 Design Calculator</t>
  </si>
  <si>
    <t>Revision: E</t>
  </si>
  <si>
    <t>UCC28950 and UCC28951 Excel Design Tool: SLUC222E</t>
  </si>
  <si>
    <t>Important Notice and Disclaimer</t>
  </si>
  <si>
    <t xml:space="preserve">
TI PROVIDES TECHNICAL AND RELIABILITY DATA (INCLUDING DATASHEETS), DESIGN RESOURCES (INCLUDING REFERENCE DESIGNS), APPLICATION OR OTHER DESIGN ADVICE, WEB TOOLS, SAFETY INFORMATION, AND OTHER RESOURCES “AS IS” AND WITH ALL FAULTS, AND DISCLAIMS ALL WARRANTIES, EXPRESS AND IMPLIED, INCLUDING WITHOUT LIMITATION ANY IMPLIED WARRANTIES OF MERCHANTABILITY, FITNESS FOR A PARTICULAR PURPOSE OR NON-INFRINGEMENT OF THIRD PARTY INTELLECTUAL PROPERTY RIGHTS.
These resources are intended for skilled developers designing with TI products. You are solely responsible for (1) selecting the appropriate TI products for your application, (2) designing, validating and testing your application, and (3) ensuring your application meets applicable standards, and any other safety, security, regulatory or other requirements.
These resources are subject to change without notice. TI grants you permission to use these resources only for development of an application that uses the TI products described in the resource. Other reproduction and display of these resources is prohibited. No license is granted to any other TI intellectual property right or to any third party intellectual property right. TI disclaims responsibility for, and you will fully indemnify TI and its representatives against, any claims, damages, costs, losses, and liabilities arising out of your use of these resources.
TI’s products are provided subject to TI’s Terms of Sale or other applicable terms available either on ti.com or provided in conjunction with such TI products. TI’s provision of these resources does not expand or otherwise alter TI’s applicable warranties or warranty disclaimers for TI products.  
TI objects to and rejects any additional or different terms you may have proposed.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</si>
</sst>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35" x14ac:knownFonts="1">
    <font>
      <sz val="10"/>
      <name val="Arial"/>
    </font>
    <font>
      <sz val="10"/>
      <name val="Arial"/>
    </font>
    <font>
      <b/>
      <sz val="12"/>
      <name val="Arial"/>
      <family val="2"/>
    </font>
    <font>
      <b/>
      <sz val="26"/>
      <color indexed="10"/>
      <name val="Arial"/>
      <family val="2"/>
    </font>
    <font>
      <sz val="20"/>
      <name val="Arial"/>
      <family val="2"/>
    </font>
    <font>
      <b/>
      <vertAlign val="subscript"/>
      <sz val="12"/>
      <name val="Arial"/>
      <family val="2"/>
    </font>
    <font>
      <b/>
      <sz val="12"/>
      <color indexed="8"/>
      <name val="Arial"/>
      <family val="2"/>
    </font>
    <font>
      <sz val="10"/>
      <color indexed="10"/>
      <name val="Arial"/>
      <family val="2"/>
    </font>
    <font>
      <b/>
      <sz val="14"/>
      <color indexed="10"/>
      <name val="Arial"/>
      <family val="2"/>
    </font>
    <font>
      <b/>
      <sz val="10"/>
      <color indexed="12"/>
      <name val="Arial"/>
      <family val="2"/>
    </font>
    <font>
      <b/>
      <sz val="10"/>
      <color indexed="8"/>
      <name val="Arial"/>
      <family val="2"/>
    </font>
    <font>
      <b/>
      <sz val="10"/>
      <color indexed="17"/>
      <name val="Arial"/>
      <family val="2"/>
    </font>
    <font>
      <sz val="10"/>
      <color indexed="9"/>
      <name val="Arial"/>
      <family val="2"/>
    </font>
    <font>
      <b/>
      <sz val="10"/>
      <color indexed="9"/>
      <name val="Arial"/>
      <family val="2"/>
    </font>
    <font>
      <b/>
      <sz val="8"/>
      <name val="Arial"/>
      <family val="2"/>
    </font>
    <font>
      <sz val="8"/>
      <name val="Verdana"/>
      <family val="2"/>
    </font>
    <font>
      <sz val="10"/>
      <name val="Arial"/>
      <family val="2"/>
    </font>
    <font>
      <b/>
      <sz val="10"/>
      <color indexed="10"/>
      <name val="Arial"/>
      <family val="2"/>
    </font>
    <font>
      <sz val="10"/>
      <color indexed="22"/>
      <name val="Arial"/>
      <family val="2"/>
    </font>
    <font>
      <sz val="14"/>
      <name val="Arial"/>
      <family val="2"/>
    </font>
    <font>
      <sz val="12"/>
      <name val="Times New Roman"/>
      <family val="1"/>
    </font>
    <font>
      <sz val="8"/>
      <name val="Arial"/>
      <family val="2"/>
    </font>
    <font>
      <sz val="12"/>
      <name val="Arial"/>
      <family val="2"/>
    </font>
    <font>
      <b/>
      <sz val="12"/>
      <name val="Arial"/>
      <family val="2"/>
    </font>
    <font>
      <sz val="12"/>
      <name val="Arial"/>
      <family val="2"/>
    </font>
    <font>
      <vertAlign val="subscript"/>
      <sz val="10"/>
      <name val="Arial"/>
      <family val="2"/>
    </font>
    <font>
      <b/>
      <sz val="12"/>
      <color indexed="9"/>
      <name val="Arial"/>
      <family val="2"/>
    </font>
    <font>
      <b/>
      <vertAlign val="subscript"/>
      <sz val="12"/>
      <color indexed="9"/>
      <name val="Arial"/>
      <family val="2"/>
    </font>
    <font>
      <b/>
      <sz val="12"/>
      <color indexed="10"/>
      <name val="Arial"/>
      <family val="2"/>
    </font>
    <font>
      <b/>
      <sz val="12"/>
      <color indexed="53"/>
      <name val="Arial"/>
      <family val="2"/>
    </font>
    <font>
      <b/>
      <sz val="12"/>
      <color rgb="FFFF0000"/>
      <name val="Arial"/>
      <family val="2"/>
    </font>
    <font>
      <sz val="11"/>
      <color rgb="FF00B050"/>
      <name val="Calibri"/>
      <family val="2"/>
    </font>
    <font>
      <b/>
      <sz val="12"/>
      <color rgb="FF00B050"/>
      <name val="Arial"/>
      <family val="2"/>
    </font>
    <font>
      <sz val="26"/>
      <color rgb="FF000000"/>
      <name val="Arial Nova"/>
      <family val="2"/>
    </font>
    <font>
      <sz val="12"/>
      <color rgb="FF555555"/>
      <name val="Arial Nova"/>
      <family val="2"/>
    </font>
  </fonts>
  <fills count="15">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31"/>
        <bgColor indexed="64"/>
      </patternFill>
    </fill>
    <fill>
      <patternFill patternType="solid">
        <fgColor indexed="26"/>
        <bgColor indexed="64"/>
      </patternFill>
    </fill>
    <fill>
      <patternFill patternType="solid">
        <fgColor indexed="34"/>
        <bgColor indexed="64"/>
      </patternFill>
    </fill>
    <fill>
      <patternFill patternType="solid">
        <fgColor indexed="8"/>
        <bgColor indexed="64"/>
      </patternFill>
    </fill>
    <fill>
      <patternFill patternType="solid">
        <fgColor indexed="12"/>
        <bgColor indexed="64"/>
      </patternFill>
    </fill>
    <fill>
      <patternFill patternType="solid">
        <fgColor indexed="10"/>
        <bgColor indexed="64"/>
      </patternFill>
    </fill>
    <fill>
      <patternFill patternType="solid">
        <fgColor indexed="13"/>
        <bgColor indexed="64"/>
      </patternFill>
    </fill>
    <fill>
      <patternFill patternType="solid">
        <fgColor indexed="23"/>
        <bgColor indexed="64"/>
      </patternFill>
    </fill>
  </fills>
  <borders count="22">
    <border>
      <left/>
      <right/>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9"/>
      </left>
      <right style="medium">
        <color indexed="9"/>
      </right>
      <top style="medium">
        <color indexed="9"/>
      </top>
      <bottom/>
      <diagonal/>
    </border>
    <border>
      <left style="medium">
        <color indexed="9"/>
      </left>
      <right style="medium">
        <color indexed="9"/>
      </right>
      <top/>
      <bottom/>
      <diagonal/>
    </border>
    <border>
      <left style="medium">
        <color indexed="9"/>
      </left>
      <right style="medium">
        <color indexed="9"/>
      </right>
      <top/>
      <bottom style="medium">
        <color indexed="9"/>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9"/>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9"/>
      </left>
      <right/>
      <top/>
      <bottom/>
      <diagonal/>
    </border>
    <border>
      <left style="medium">
        <color indexed="9"/>
      </left>
      <right/>
      <top style="medium">
        <color indexed="9"/>
      </top>
      <bottom/>
      <diagonal/>
    </border>
    <border>
      <left/>
      <right style="medium">
        <color indexed="9"/>
      </right>
      <top style="medium">
        <color indexed="9"/>
      </top>
      <bottom/>
      <diagonal/>
    </border>
  </borders>
  <cellStyleXfs count="1">
    <xf numFmtId="0" fontId="0" fillId="0" borderId="0"/>
  </cellStyleXfs>
  <cellXfs count="119">
    <xf numFmtId="0" fontId="0" fillId="0" borderId="0" xfId="0"/>
    <xf numFmtId="0" fontId="4" fillId="2" borderId="0" xfId="0" applyFont="1" applyFill="1" applyAlignment="1">
      <alignment vertical="center"/>
    </xf>
    <xf numFmtId="0" fontId="7" fillId="3" borderId="0" xfId="0" applyFont="1" applyFill="1" applyProtection="1">
      <protection hidden="1"/>
    </xf>
    <xf numFmtId="0" fontId="1" fillId="3" borderId="0" xfId="0" applyFont="1" applyFill="1" applyProtection="1">
      <protection hidden="1"/>
    </xf>
    <xf numFmtId="0" fontId="8" fillId="3" borderId="0" xfId="0" applyFont="1" applyFill="1" applyProtection="1">
      <protection hidden="1"/>
    </xf>
    <xf numFmtId="49" fontId="1" fillId="3" borderId="0" xfId="0" applyNumberFormat="1" applyFont="1" applyFill="1" applyProtection="1">
      <protection hidden="1"/>
    </xf>
    <xf numFmtId="0" fontId="7" fillId="3" borderId="1" xfId="0" applyFont="1" applyFill="1" applyBorder="1" applyProtection="1">
      <protection hidden="1"/>
    </xf>
    <xf numFmtId="0" fontId="1" fillId="3" borderId="2" xfId="0" applyFont="1" applyFill="1" applyBorder="1" applyProtection="1">
      <protection hidden="1"/>
    </xf>
    <xf numFmtId="0" fontId="9" fillId="4" borderId="3" xfId="0" applyFont="1" applyFill="1" applyBorder="1" applyProtection="1">
      <protection hidden="1"/>
    </xf>
    <xf numFmtId="1" fontId="7" fillId="3" borderId="0" xfId="0" applyNumberFormat="1" applyFont="1" applyFill="1" applyProtection="1">
      <protection hidden="1"/>
    </xf>
    <xf numFmtId="1" fontId="11" fillId="5" borderId="4" xfId="0" applyNumberFormat="1" applyFont="1" applyFill="1" applyBorder="1" applyAlignment="1" applyProtection="1">
      <alignment horizontal="center"/>
      <protection hidden="1"/>
    </xf>
    <xf numFmtId="0" fontId="11" fillId="5" borderId="5" xfId="0" applyFont="1" applyFill="1" applyBorder="1" applyProtection="1">
      <protection hidden="1"/>
    </xf>
    <xf numFmtId="0" fontId="10" fillId="6" borderId="6" xfId="0" applyFont="1" applyFill="1" applyBorder="1" applyAlignment="1">
      <alignment horizontal="center" wrapText="1"/>
    </xf>
    <xf numFmtId="0" fontId="10" fillId="6" borderId="7" xfId="0" applyFont="1" applyFill="1" applyBorder="1" applyAlignment="1">
      <alignment horizontal="center" wrapText="1"/>
    </xf>
    <xf numFmtId="0" fontId="10" fillId="7" borderId="6" xfId="0" applyFont="1" applyFill="1" applyBorder="1" applyAlignment="1">
      <alignment horizontal="center" wrapText="1"/>
    </xf>
    <xf numFmtId="0" fontId="10" fillId="7" borderId="8" xfId="0" applyFont="1" applyFill="1" applyBorder="1" applyAlignment="1">
      <alignment horizontal="center" wrapText="1"/>
    </xf>
    <xf numFmtId="0" fontId="9" fillId="4" borderId="9" xfId="0" applyFont="1" applyFill="1" applyBorder="1" applyAlignment="1" applyProtection="1">
      <alignment horizontal="center"/>
      <protection hidden="1"/>
    </xf>
    <xf numFmtId="0" fontId="9" fillId="4" borderId="10" xfId="0" applyFont="1" applyFill="1" applyBorder="1" applyProtection="1">
      <protection hidden="1"/>
    </xf>
    <xf numFmtId="0" fontId="1" fillId="3" borderId="11" xfId="0" applyFont="1" applyFill="1" applyBorder="1" applyProtection="1">
      <protection hidden="1"/>
    </xf>
    <xf numFmtId="1" fontId="12" fillId="3" borderId="0" xfId="0" applyNumberFormat="1" applyFont="1" applyFill="1" applyProtection="1">
      <protection hidden="1"/>
    </xf>
    <xf numFmtId="165" fontId="13" fillId="3" borderId="0" xfId="0" applyNumberFormat="1" applyFont="1" applyFill="1" applyAlignment="1" applyProtection="1">
      <alignment horizontal="center"/>
      <protection hidden="1"/>
    </xf>
    <xf numFmtId="2" fontId="12" fillId="3" borderId="0" xfId="0" applyNumberFormat="1" applyFont="1" applyFill="1" applyAlignment="1" applyProtection="1">
      <alignment horizontal="center"/>
      <protection hidden="1"/>
    </xf>
    <xf numFmtId="0" fontId="1" fillId="3" borderId="12" xfId="0" applyFont="1" applyFill="1" applyBorder="1" applyProtection="1">
      <protection hidden="1"/>
    </xf>
    <xf numFmtId="0" fontId="14" fillId="3" borderId="0" xfId="0" applyFont="1" applyFill="1" applyProtection="1">
      <protection hidden="1"/>
    </xf>
    <xf numFmtId="0" fontId="15" fillId="3" borderId="0" xfId="0" applyFont="1" applyFill="1" applyAlignment="1" applyProtection="1">
      <alignment horizontal="center" wrapText="1"/>
      <protection hidden="1"/>
    </xf>
    <xf numFmtId="2" fontId="1" fillId="3" borderId="0" xfId="0" applyNumberFormat="1" applyFont="1" applyFill="1" applyAlignment="1" applyProtection="1">
      <alignment horizontal="center"/>
      <protection hidden="1"/>
    </xf>
    <xf numFmtId="1" fontId="16" fillId="3" borderId="0" xfId="0" applyNumberFormat="1" applyFont="1" applyFill="1"/>
    <xf numFmtId="0" fontId="1" fillId="3" borderId="13" xfId="0" applyFont="1" applyFill="1" applyBorder="1" applyProtection="1">
      <protection hidden="1"/>
    </xf>
    <xf numFmtId="0" fontId="10" fillId="8" borderId="14" xfId="0" applyFont="1" applyFill="1" applyBorder="1" applyAlignment="1">
      <alignment horizontal="center" wrapText="1"/>
    </xf>
    <xf numFmtId="0" fontId="16" fillId="3" borderId="0" xfId="0" applyFont="1" applyFill="1" applyProtection="1">
      <protection hidden="1"/>
    </xf>
    <xf numFmtId="0" fontId="10" fillId="8" borderId="6" xfId="0" applyFont="1" applyFill="1" applyBorder="1" applyAlignment="1">
      <alignment horizontal="center" wrapText="1"/>
    </xf>
    <xf numFmtId="0" fontId="10" fillId="8" borderId="7" xfId="0" applyFont="1" applyFill="1" applyBorder="1" applyAlignment="1">
      <alignment horizontal="center" wrapText="1"/>
    </xf>
    <xf numFmtId="0" fontId="1" fillId="3" borderId="0" xfId="0" applyFont="1" applyFill="1" applyAlignment="1" applyProtection="1">
      <alignment horizontal="center"/>
      <protection hidden="1"/>
    </xf>
    <xf numFmtId="0" fontId="0" fillId="3" borderId="0" xfId="0" applyFill="1" applyAlignment="1">
      <alignment horizontal="center"/>
    </xf>
    <xf numFmtId="0" fontId="11" fillId="3" borderId="0" xfId="0" applyFont="1" applyFill="1" applyProtection="1">
      <protection hidden="1"/>
    </xf>
    <xf numFmtId="0" fontId="1" fillId="3" borderId="0" xfId="0" applyFont="1" applyFill="1"/>
    <xf numFmtId="49" fontId="17" fillId="5" borderId="6" xfId="0" applyNumberFormat="1" applyFont="1" applyFill="1" applyBorder="1" applyAlignment="1">
      <alignment horizontal="center" wrapText="1"/>
    </xf>
    <xf numFmtId="49" fontId="17" fillId="5" borderId="7" xfId="0" applyNumberFormat="1" applyFont="1" applyFill="1" applyBorder="1" applyAlignment="1">
      <alignment horizontal="center" wrapText="1"/>
    </xf>
    <xf numFmtId="0" fontId="18" fillId="3" borderId="0" xfId="0" applyFont="1" applyFill="1"/>
    <xf numFmtId="49" fontId="0" fillId="3" borderId="0" xfId="0" applyNumberFormat="1" applyFill="1"/>
    <xf numFmtId="49" fontId="17" fillId="5" borderId="8" xfId="0" applyNumberFormat="1" applyFont="1" applyFill="1" applyBorder="1" applyAlignment="1">
      <alignment horizontal="center" wrapText="1"/>
    </xf>
    <xf numFmtId="49" fontId="12" fillId="3" borderId="0" xfId="0" applyNumberFormat="1" applyFont="1" applyFill="1" applyProtection="1">
      <protection hidden="1"/>
    </xf>
    <xf numFmtId="0" fontId="12" fillId="3" borderId="0" xfId="0" applyFont="1" applyFill="1" applyProtection="1">
      <protection hidden="1"/>
    </xf>
    <xf numFmtId="0" fontId="17" fillId="3" borderId="0" xfId="0" applyFont="1" applyFill="1" applyAlignment="1" applyProtection="1">
      <alignment horizontal="center" wrapText="1"/>
      <protection hidden="1"/>
    </xf>
    <xf numFmtId="0" fontId="12" fillId="3" borderId="0" xfId="0" applyFont="1" applyFill="1"/>
    <xf numFmtId="0" fontId="19" fillId="3" borderId="0" xfId="0" applyFont="1" applyFill="1" applyProtection="1">
      <protection hidden="1"/>
    </xf>
    <xf numFmtId="0" fontId="0" fillId="3" borderId="0" xfId="0" applyFill="1" applyAlignment="1">
      <alignment wrapText="1"/>
    </xf>
    <xf numFmtId="0" fontId="0" fillId="3" borderId="0" xfId="0" applyFill="1" applyProtection="1">
      <protection hidden="1"/>
    </xf>
    <xf numFmtId="0" fontId="2" fillId="3" borderId="15" xfId="0" applyFont="1" applyFill="1" applyBorder="1" applyAlignment="1">
      <alignment horizontal="left"/>
    </xf>
    <xf numFmtId="0" fontId="2" fillId="9" borderId="15" xfId="0" applyFont="1" applyFill="1" applyBorder="1" applyAlignment="1" applyProtection="1">
      <alignment horizontal="left"/>
      <protection locked="0"/>
    </xf>
    <xf numFmtId="9" fontId="2" fillId="9" borderId="15" xfId="0" applyNumberFormat="1" applyFont="1" applyFill="1" applyBorder="1" applyAlignment="1" applyProtection="1">
      <alignment horizontal="left"/>
      <protection locked="0"/>
    </xf>
    <xf numFmtId="0" fontId="22" fillId="0" borderId="15" xfId="0" applyFont="1" applyBorder="1" applyAlignment="1">
      <alignment horizontal="left"/>
    </xf>
    <xf numFmtId="0" fontId="2" fillId="0" borderId="15" xfId="0" applyFont="1" applyBorder="1" applyAlignment="1">
      <alignment horizontal="left"/>
    </xf>
    <xf numFmtId="14" fontId="2" fillId="0" borderId="15" xfId="0" applyNumberFormat="1" applyFont="1" applyBorder="1" applyAlignment="1">
      <alignment horizontal="left"/>
    </xf>
    <xf numFmtId="0" fontId="2" fillId="0" borderId="15" xfId="0" applyFont="1" applyBorder="1" applyAlignment="1">
      <alignment horizontal="left" wrapText="1"/>
    </xf>
    <xf numFmtId="0" fontId="2" fillId="10" borderId="15" xfId="0" applyFont="1" applyFill="1" applyBorder="1" applyAlignment="1">
      <alignment horizontal="left"/>
    </xf>
    <xf numFmtId="0" fontId="2" fillId="11" borderId="15" xfId="0" applyFont="1" applyFill="1" applyBorder="1" applyAlignment="1">
      <alignment horizontal="left"/>
    </xf>
    <xf numFmtId="164" fontId="2" fillId="0" borderId="15" xfId="0" applyNumberFormat="1" applyFont="1" applyBorder="1" applyAlignment="1">
      <alignment horizontal="left"/>
    </xf>
    <xf numFmtId="2" fontId="2" fillId="0" borderId="15" xfId="0" applyNumberFormat="1" applyFont="1" applyBorder="1" applyAlignment="1">
      <alignment horizontal="left"/>
    </xf>
    <xf numFmtId="0" fontId="6" fillId="0" borderId="15" xfId="0" applyFont="1" applyBorder="1" applyAlignment="1">
      <alignment horizontal="left"/>
    </xf>
    <xf numFmtId="0" fontId="6" fillId="3" borderId="15" xfId="0" applyFont="1" applyFill="1" applyBorder="1" applyAlignment="1">
      <alignment horizontal="left"/>
    </xf>
    <xf numFmtId="0" fontId="2" fillId="3" borderId="15" xfId="0" applyFont="1" applyFill="1" applyBorder="1" applyAlignment="1">
      <alignment horizontal="left" wrapText="1"/>
    </xf>
    <xf numFmtId="1" fontId="2" fillId="3" borderId="15" xfId="0" applyNumberFormat="1" applyFont="1" applyFill="1" applyBorder="1" applyAlignment="1">
      <alignment horizontal="left"/>
    </xf>
    <xf numFmtId="0" fontId="22" fillId="3" borderId="15" xfId="0" applyFont="1" applyFill="1" applyBorder="1" applyAlignment="1">
      <alignment horizontal="left" wrapText="1"/>
    </xf>
    <xf numFmtId="0" fontId="2" fillId="0" borderId="15" xfId="0" applyFont="1" applyBorder="1" applyAlignment="1" applyProtection="1">
      <alignment horizontal="left"/>
      <protection locked="0"/>
    </xf>
    <xf numFmtId="0" fontId="2" fillId="11" borderId="15" xfId="0" applyFont="1" applyFill="1" applyBorder="1" applyAlignment="1">
      <alignment horizontal="left" wrapText="1"/>
    </xf>
    <xf numFmtId="164" fontId="11" fillId="5" borderId="16" xfId="0" applyNumberFormat="1" applyFont="1" applyFill="1" applyBorder="1" applyProtection="1">
      <protection hidden="1"/>
    </xf>
    <xf numFmtId="164" fontId="11" fillId="5" borderId="17" xfId="0" applyNumberFormat="1" applyFont="1" applyFill="1" applyBorder="1" applyProtection="1">
      <protection hidden="1"/>
    </xf>
    <xf numFmtId="164" fontId="11" fillId="5" borderId="18" xfId="0" applyNumberFormat="1" applyFont="1" applyFill="1" applyBorder="1" applyProtection="1">
      <protection hidden="1"/>
    </xf>
    <xf numFmtId="0" fontId="23" fillId="0" borderId="15" xfId="0" applyFont="1" applyBorder="1" applyAlignment="1">
      <alignment horizontal="left"/>
    </xf>
    <xf numFmtId="0" fontId="0" fillId="0" borderId="15" xfId="0" applyBorder="1"/>
    <xf numFmtId="0" fontId="0" fillId="0" borderId="15" xfId="0" applyBorder="1" applyAlignment="1">
      <alignment horizontal="left"/>
    </xf>
    <xf numFmtId="165" fontId="0" fillId="0" borderId="15" xfId="0" applyNumberFormat="1" applyBorder="1"/>
    <xf numFmtId="0" fontId="24" fillId="0" borderId="15" xfId="0" applyFont="1" applyBorder="1"/>
    <xf numFmtId="0" fontId="0" fillId="0" borderId="15" xfId="0" applyBorder="1" applyAlignment="1">
      <alignment wrapText="1"/>
    </xf>
    <xf numFmtId="0" fontId="26" fillId="11" borderId="15" xfId="0" applyFont="1" applyFill="1" applyBorder="1" applyAlignment="1">
      <alignment horizontal="left"/>
    </xf>
    <xf numFmtId="0" fontId="26" fillId="12" borderId="15" xfId="0" applyFont="1" applyFill="1" applyBorder="1" applyAlignment="1">
      <alignment horizontal="left"/>
    </xf>
    <xf numFmtId="14" fontId="26" fillId="12" borderId="15" xfId="0" applyNumberFormat="1" applyFont="1" applyFill="1" applyBorder="1" applyAlignment="1">
      <alignment horizontal="left"/>
    </xf>
    <xf numFmtId="0" fontId="28" fillId="0" borderId="15" xfId="0" applyFont="1" applyBorder="1" applyAlignment="1">
      <alignment horizontal="left"/>
    </xf>
    <xf numFmtId="0" fontId="28" fillId="3" borderId="15" xfId="0" applyFont="1" applyFill="1" applyBorder="1" applyAlignment="1">
      <alignment horizontal="left"/>
    </xf>
    <xf numFmtId="0" fontId="4" fillId="2" borderId="0" xfId="0" applyFont="1" applyFill="1" applyAlignment="1">
      <alignment horizontal="left" vertical="center" wrapText="1"/>
    </xf>
    <xf numFmtId="0" fontId="6" fillId="13" borderId="15" xfId="0" applyFont="1" applyFill="1" applyBorder="1" applyAlignment="1">
      <alignment horizontal="left"/>
    </xf>
    <xf numFmtId="14" fontId="6" fillId="13" borderId="15" xfId="0" applyNumberFormat="1" applyFont="1" applyFill="1" applyBorder="1" applyAlignment="1">
      <alignment horizontal="left"/>
    </xf>
    <xf numFmtId="0" fontId="26" fillId="14" borderId="15" xfId="0" applyFont="1" applyFill="1" applyBorder="1" applyAlignment="1">
      <alignment horizontal="left"/>
    </xf>
    <xf numFmtId="14" fontId="26" fillId="14" borderId="15" xfId="0" applyNumberFormat="1" applyFont="1" applyFill="1" applyBorder="1" applyAlignment="1">
      <alignment horizontal="left"/>
    </xf>
    <xf numFmtId="0" fontId="29" fillId="0" borderId="15" xfId="0" applyFont="1" applyBorder="1" applyAlignment="1">
      <alignment horizontal="left"/>
    </xf>
    <xf numFmtId="2" fontId="28" fillId="0" borderId="15" xfId="0" applyNumberFormat="1" applyFont="1" applyBorder="1" applyAlignment="1">
      <alignment horizontal="left"/>
    </xf>
    <xf numFmtId="2" fontId="2" fillId="13" borderId="15" xfId="0" applyNumberFormat="1" applyFont="1" applyFill="1" applyBorder="1" applyAlignment="1" applyProtection="1">
      <alignment horizontal="left"/>
      <protection locked="0"/>
    </xf>
    <xf numFmtId="2" fontId="2" fillId="3" borderId="15" xfId="0" applyNumberFormat="1" applyFont="1" applyFill="1" applyBorder="1" applyAlignment="1">
      <alignment horizontal="left"/>
    </xf>
    <xf numFmtId="2" fontId="26" fillId="12" borderId="15" xfId="0" applyNumberFormat="1" applyFont="1" applyFill="1" applyBorder="1" applyAlignment="1">
      <alignment horizontal="left"/>
    </xf>
    <xf numFmtId="2" fontId="6" fillId="13" borderId="15" xfId="0" applyNumberFormat="1" applyFont="1" applyFill="1" applyBorder="1" applyAlignment="1">
      <alignment horizontal="left"/>
    </xf>
    <xf numFmtId="2" fontId="26" fillId="14" borderId="15" xfId="0" applyNumberFormat="1" applyFont="1" applyFill="1" applyBorder="1" applyAlignment="1">
      <alignment horizontal="left"/>
    </xf>
    <xf numFmtId="2" fontId="2" fillId="9" borderId="15" xfId="0" applyNumberFormat="1" applyFont="1" applyFill="1" applyBorder="1" applyAlignment="1" applyProtection="1">
      <alignment horizontal="left"/>
      <protection locked="0"/>
    </xf>
    <xf numFmtId="2" fontId="2" fillId="10" borderId="15" xfId="0" applyNumberFormat="1" applyFont="1" applyFill="1" applyBorder="1" applyAlignment="1">
      <alignment horizontal="left"/>
    </xf>
    <xf numFmtId="2" fontId="26" fillId="11" borderId="15" xfId="0" applyNumberFormat="1" applyFont="1" applyFill="1" applyBorder="1" applyAlignment="1">
      <alignment horizontal="left"/>
    </xf>
    <xf numFmtId="2" fontId="2" fillId="11" borderId="15" xfId="0" applyNumberFormat="1" applyFont="1" applyFill="1" applyBorder="1" applyAlignment="1">
      <alignment horizontal="left"/>
    </xf>
    <xf numFmtId="2" fontId="22" fillId="0" borderId="15" xfId="0" applyNumberFormat="1" applyFont="1" applyBorder="1" applyAlignment="1">
      <alignment horizontal="left"/>
    </xf>
    <xf numFmtId="2" fontId="6" fillId="3" borderId="15" xfId="0" applyNumberFormat="1" applyFont="1" applyFill="1" applyBorder="1" applyAlignment="1">
      <alignment horizontal="left"/>
    </xf>
    <xf numFmtId="2" fontId="20" fillId="0" borderId="15" xfId="0" applyNumberFormat="1" applyFont="1" applyBorder="1" applyAlignment="1">
      <alignment horizontal="left"/>
    </xf>
    <xf numFmtId="0" fontId="30" fillId="0" borderId="15" xfId="0" applyFont="1" applyBorder="1" applyAlignment="1">
      <alignment horizontal="left"/>
    </xf>
    <xf numFmtId="0" fontId="31" fillId="0" borderId="0" xfId="0" applyFont="1" applyAlignment="1">
      <alignment vertical="center"/>
    </xf>
    <xf numFmtId="0" fontId="32" fillId="0" borderId="15" xfId="0" applyFont="1" applyBorder="1" applyAlignment="1">
      <alignment horizontal="left"/>
    </xf>
    <xf numFmtId="165" fontId="2" fillId="13" borderId="15" xfId="0" applyNumberFormat="1" applyFont="1" applyFill="1" applyBorder="1" applyAlignment="1" applyProtection="1">
      <alignment horizontal="left"/>
      <protection locked="0"/>
    </xf>
    <xf numFmtId="0" fontId="3" fillId="2" borderId="0" xfId="0" applyFont="1" applyFill="1" applyAlignment="1">
      <alignment horizontal="center" vertical="center"/>
    </xf>
    <xf numFmtId="0" fontId="4" fillId="2" borderId="0" xfId="0" applyFont="1" applyFill="1" applyAlignment="1">
      <alignment vertical="center" wrapText="1"/>
    </xf>
    <xf numFmtId="0" fontId="0" fillId="2" borderId="0" xfId="0" applyFill="1" applyAlignment="1">
      <alignment horizontal="center"/>
    </xf>
    <xf numFmtId="0" fontId="4" fillId="2" borderId="0" xfId="0" applyFont="1" applyFill="1" applyAlignment="1">
      <alignment horizontal="left" vertical="center"/>
    </xf>
    <xf numFmtId="0" fontId="4" fillId="2" borderId="0" xfId="0" applyFont="1" applyFill="1" applyAlignment="1">
      <alignment horizontal="left" vertical="center" wrapText="1"/>
    </xf>
    <xf numFmtId="0" fontId="33" fillId="0" borderId="0" xfId="0" applyFont="1" applyAlignment="1">
      <alignment horizontal="left" vertical="center"/>
    </xf>
    <xf numFmtId="0" fontId="34" fillId="0" borderId="0" xfId="0" applyFont="1" applyAlignment="1">
      <alignment horizontal="left" vertical="top" wrapText="1"/>
    </xf>
    <xf numFmtId="0" fontId="17" fillId="3" borderId="0" xfId="0" applyFont="1" applyFill="1" applyAlignment="1" applyProtection="1">
      <alignment horizontal="center" wrapText="1"/>
      <protection hidden="1"/>
    </xf>
    <xf numFmtId="0" fontId="10" fillId="6" borderId="19" xfId="0" applyFont="1" applyFill="1" applyBorder="1" applyAlignment="1">
      <alignment horizontal="center" wrapText="1"/>
    </xf>
    <xf numFmtId="0" fontId="10" fillId="6" borderId="14" xfId="0" applyFont="1" applyFill="1" applyBorder="1" applyAlignment="1">
      <alignment horizontal="center" wrapText="1"/>
    </xf>
    <xf numFmtId="0" fontId="10" fillId="7" borderId="20" xfId="0" applyFont="1" applyFill="1" applyBorder="1" applyAlignment="1">
      <alignment horizontal="center" wrapText="1"/>
    </xf>
    <xf numFmtId="0" fontId="10" fillId="7" borderId="21" xfId="0" applyFont="1" applyFill="1" applyBorder="1" applyAlignment="1">
      <alignment horizontal="center" wrapText="1"/>
    </xf>
    <xf numFmtId="0" fontId="10" fillId="8" borderId="19" xfId="0" applyFont="1" applyFill="1" applyBorder="1" applyAlignment="1">
      <alignment horizontal="center" wrapText="1"/>
    </xf>
    <xf numFmtId="0" fontId="10" fillId="8" borderId="14" xfId="0" applyFont="1" applyFill="1" applyBorder="1" applyAlignment="1">
      <alignment horizontal="center" wrapText="1"/>
    </xf>
    <xf numFmtId="49" fontId="17" fillId="5" borderId="19" xfId="0" applyNumberFormat="1" applyFont="1" applyFill="1" applyBorder="1" applyAlignment="1">
      <alignment horizontal="center" wrapText="1"/>
    </xf>
    <xf numFmtId="49" fontId="17" fillId="5" borderId="0" xfId="0" applyNumberFormat="1" applyFont="1"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Tv(f) Frequency Response</a:t>
            </a:r>
          </a:p>
        </c:rich>
      </c:tx>
      <c:layout>
        <c:manualLayout>
          <c:xMode val="edge"/>
          <c:yMode val="edge"/>
          <c:x val="0.35753466278671686"/>
          <c:y val="3.0022812568989622E-2"/>
        </c:manualLayout>
      </c:layout>
      <c:overlay val="0"/>
      <c:spPr>
        <a:noFill/>
        <a:ln w="25400">
          <a:noFill/>
        </a:ln>
      </c:spPr>
    </c:title>
    <c:autoTitleDeleted val="0"/>
    <c:plotArea>
      <c:layout>
        <c:manualLayout>
          <c:layoutTarget val="inner"/>
          <c:xMode val="edge"/>
          <c:yMode val="edge"/>
          <c:x val="0.10273979474782932"/>
          <c:y val="0.11778304275115783"/>
          <c:w val="0.78630189580338705"/>
          <c:h val="0.72979297077187988"/>
        </c:manualLayout>
      </c:layout>
      <c:scatterChart>
        <c:scatterStyle val="smoothMarker"/>
        <c:varyColors val="0"/>
        <c:ser>
          <c:idx val="0"/>
          <c:order val="0"/>
          <c:tx>
            <c:strRef>
              <c:f>'Voltage Loop'!$M$1</c:f>
              <c:strCache>
                <c:ptCount val="1"/>
                <c:pt idx="0">
                  <c:v>TvdB(f)</c:v>
                </c:pt>
              </c:strCache>
            </c:strRef>
          </c:tx>
          <c:spPr>
            <a:ln w="25400">
              <a:solidFill>
                <a:srgbClr val="000000"/>
              </a:solidFill>
              <a:prstDash val="solid"/>
            </a:ln>
          </c:spPr>
          <c:marker>
            <c:symbol val="none"/>
          </c:marker>
          <c:xVal>
            <c:numRef>
              <c:f>'Voltage Loop'!$B$2:$B$101</c:f>
              <c:numCache>
                <c:formatCode>General</c:formatCode>
                <c:ptCount val="100"/>
                <c:pt idx="0">
                  <c:v>100</c:v>
                </c:pt>
                <c:pt idx="1">
                  <c:v>1000</c:v>
                </c:pt>
                <c:pt idx="2">
                  <c:v>4500</c:v>
                </c:pt>
                <c:pt idx="3">
                  <c:v>6000</c:v>
                </c:pt>
                <c:pt idx="4">
                  <c:v>7500</c:v>
                </c:pt>
                <c:pt idx="5">
                  <c:v>9000</c:v>
                </c:pt>
                <c:pt idx="6">
                  <c:v>10500.000000000002</c:v>
                </c:pt>
                <c:pt idx="7">
                  <c:v>12000</c:v>
                </c:pt>
                <c:pt idx="8">
                  <c:v>13500</c:v>
                </c:pt>
                <c:pt idx="9">
                  <c:v>15000</c:v>
                </c:pt>
                <c:pt idx="10">
                  <c:v>16500</c:v>
                </c:pt>
                <c:pt idx="11">
                  <c:v>18000</c:v>
                </c:pt>
                <c:pt idx="12">
                  <c:v>19500</c:v>
                </c:pt>
                <c:pt idx="13">
                  <c:v>21000.000000000004</c:v>
                </c:pt>
                <c:pt idx="14">
                  <c:v>22500</c:v>
                </c:pt>
                <c:pt idx="15">
                  <c:v>24000</c:v>
                </c:pt>
                <c:pt idx="16">
                  <c:v>25500.000000000004</c:v>
                </c:pt>
                <c:pt idx="17">
                  <c:v>27000</c:v>
                </c:pt>
                <c:pt idx="18">
                  <c:v>28500</c:v>
                </c:pt>
                <c:pt idx="19">
                  <c:v>30000</c:v>
                </c:pt>
                <c:pt idx="20">
                  <c:v>31500</c:v>
                </c:pt>
                <c:pt idx="21">
                  <c:v>33000</c:v>
                </c:pt>
                <c:pt idx="22">
                  <c:v>34500</c:v>
                </c:pt>
                <c:pt idx="23">
                  <c:v>36000</c:v>
                </c:pt>
                <c:pt idx="24">
                  <c:v>37500</c:v>
                </c:pt>
                <c:pt idx="25">
                  <c:v>39000</c:v>
                </c:pt>
                <c:pt idx="26">
                  <c:v>40500</c:v>
                </c:pt>
                <c:pt idx="27">
                  <c:v>42000.000000000007</c:v>
                </c:pt>
                <c:pt idx="28">
                  <c:v>43500</c:v>
                </c:pt>
                <c:pt idx="29">
                  <c:v>45000</c:v>
                </c:pt>
                <c:pt idx="30">
                  <c:v>46500</c:v>
                </c:pt>
                <c:pt idx="31">
                  <c:v>48000</c:v>
                </c:pt>
                <c:pt idx="32">
                  <c:v>49500</c:v>
                </c:pt>
                <c:pt idx="33">
                  <c:v>51000.000000000007</c:v>
                </c:pt>
                <c:pt idx="34">
                  <c:v>52500</c:v>
                </c:pt>
                <c:pt idx="35">
                  <c:v>54000</c:v>
                </c:pt>
                <c:pt idx="36">
                  <c:v>55500</c:v>
                </c:pt>
                <c:pt idx="37">
                  <c:v>57000</c:v>
                </c:pt>
                <c:pt idx="38">
                  <c:v>58500</c:v>
                </c:pt>
                <c:pt idx="39">
                  <c:v>60000</c:v>
                </c:pt>
                <c:pt idx="40">
                  <c:v>61499.999999999993</c:v>
                </c:pt>
                <c:pt idx="41">
                  <c:v>63000</c:v>
                </c:pt>
                <c:pt idx="42">
                  <c:v>64500</c:v>
                </c:pt>
                <c:pt idx="43">
                  <c:v>66000</c:v>
                </c:pt>
                <c:pt idx="44">
                  <c:v>67500</c:v>
                </c:pt>
                <c:pt idx="45">
                  <c:v>69000</c:v>
                </c:pt>
                <c:pt idx="46">
                  <c:v>70500</c:v>
                </c:pt>
                <c:pt idx="47">
                  <c:v>72000</c:v>
                </c:pt>
                <c:pt idx="48">
                  <c:v>73500</c:v>
                </c:pt>
                <c:pt idx="49">
                  <c:v>75000</c:v>
                </c:pt>
                <c:pt idx="50">
                  <c:v>76500</c:v>
                </c:pt>
                <c:pt idx="51">
                  <c:v>78000</c:v>
                </c:pt>
                <c:pt idx="52">
                  <c:v>79500</c:v>
                </c:pt>
                <c:pt idx="53">
                  <c:v>81000</c:v>
                </c:pt>
                <c:pt idx="54">
                  <c:v>82500</c:v>
                </c:pt>
                <c:pt idx="55">
                  <c:v>84000.000000000015</c:v>
                </c:pt>
                <c:pt idx="56">
                  <c:v>85499.999999999985</c:v>
                </c:pt>
                <c:pt idx="57">
                  <c:v>87000</c:v>
                </c:pt>
                <c:pt idx="58">
                  <c:v>88500</c:v>
                </c:pt>
                <c:pt idx="59">
                  <c:v>90000</c:v>
                </c:pt>
                <c:pt idx="60">
                  <c:v>91500</c:v>
                </c:pt>
                <c:pt idx="61">
                  <c:v>93000</c:v>
                </c:pt>
                <c:pt idx="62">
                  <c:v>94500</c:v>
                </c:pt>
                <c:pt idx="63">
                  <c:v>96000</c:v>
                </c:pt>
                <c:pt idx="64">
                  <c:v>97500</c:v>
                </c:pt>
                <c:pt idx="65">
                  <c:v>99000</c:v>
                </c:pt>
                <c:pt idx="66">
                  <c:v>100500</c:v>
                </c:pt>
                <c:pt idx="67">
                  <c:v>102000.00000000001</c:v>
                </c:pt>
                <c:pt idx="68">
                  <c:v>103499.99999999999</c:v>
                </c:pt>
                <c:pt idx="69">
                  <c:v>105000</c:v>
                </c:pt>
                <c:pt idx="70">
                  <c:v>106500</c:v>
                </c:pt>
                <c:pt idx="71">
                  <c:v>108000</c:v>
                </c:pt>
                <c:pt idx="72">
                  <c:v>109500</c:v>
                </c:pt>
                <c:pt idx="73">
                  <c:v>111000</c:v>
                </c:pt>
                <c:pt idx="74">
                  <c:v>112500</c:v>
                </c:pt>
                <c:pt idx="75">
                  <c:v>114000</c:v>
                </c:pt>
                <c:pt idx="76">
                  <c:v>115500</c:v>
                </c:pt>
                <c:pt idx="77">
                  <c:v>117000</c:v>
                </c:pt>
                <c:pt idx="78">
                  <c:v>118500</c:v>
                </c:pt>
                <c:pt idx="79">
                  <c:v>120000</c:v>
                </c:pt>
                <c:pt idx="80">
                  <c:v>121500.00000000001</c:v>
                </c:pt>
                <c:pt idx="81">
                  <c:v>122999.99999999999</c:v>
                </c:pt>
                <c:pt idx="82">
                  <c:v>124500</c:v>
                </c:pt>
                <c:pt idx="83">
                  <c:v>126000</c:v>
                </c:pt>
                <c:pt idx="84">
                  <c:v>127500</c:v>
                </c:pt>
                <c:pt idx="85">
                  <c:v>129000</c:v>
                </c:pt>
                <c:pt idx="86">
                  <c:v>130500</c:v>
                </c:pt>
                <c:pt idx="87">
                  <c:v>132000</c:v>
                </c:pt>
                <c:pt idx="88">
                  <c:v>133500</c:v>
                </c:pt>
                <c:pt idx="89">
                  <c:v>135000</c:v>
                </c:pt>
                <c:pt idx="90">
                  <c:v>136500</c:v>
                </c:pt>
                <c:pt idx="91">
                  <c:v>138000</c:v>
                </c:pt>
                <c:pt idx="92">
                  <c:v>139500</c:v>
                </c:pt>
                <c:pt idx="93">
                  <c:v>141000</c:v>
                </c:pt>
                <c:pt idx="94">
                  <c:v>142500</c:v>
                </c:pt>
                <c:pt idx="95">
                  <c:v>144000</c:v>
                </c:pt>
                <c:pt idx="96">
                  <c:v>145500</c:v>
                </c:pt>
                <c:pt idx="97">
                  <c:v>147000</c:v>
                </c:pt>
                <c:pt idx="98">
                  <c:v>148500</c:v>
                </c:pt>
                <c:pt idx="99">
                  <c:v>150000</c:v>
                </c:pt>
              </c:numCache>
            </c:numRef>
          </c:xVal>
          <c:yVal>
            <c:numRef>
              <c:f>'Voltage Loop'!$M$2:$M$101</c:f>
              <c:numCache>
                <c:formatCode>General</c:formatCode>
                <c:ptCount val="100"/>
                <c:pt idx="0">
                  <c:v>33.101074413605204</c:v>
                </c:pt>
                <c:pt idx="1">
                  <c:v>4.5924715731435448</c:v>
                </c:pt>
                <c:pt idx="2">
                  <c:v>-8.3109510727485763</c:v>
                </c:pt>
                <c:pt idx="3">
                  <c:v>-10.564865445764248</c:v>
                </c:pt>
                <c:pt idx="4">
                  <c:v>-12.261176005515136</c:v>
                </c:pt>
                <c:pt idx="5">
                  <c:v>-13.622718238647382</c:v>
                </c:pt>
                <c:pt idx="6">
                  <c:v>-14.764760087528739</c:v>
                </c:pt>
                <c:pt idx="7">
                  <c:v>-15.752333551648087</c:v>
                </c:pt>
                <c:pt idx="8">
                  <c:v>-16.624676796343568</c:v>
                </c:pt>
                <c:pt idx="9">
                  <c:v>-17.406935328692377</c:v>
                </c:pt>
                <c:pt idx="10">
                  <c:v>-18.116146059954737</c:v>
                </c:pt>
                <c:pt idx="11">
                  <c:v>-18.764447273020465</c:v>
                </c:pt>
                <c:pt idx="12">
                  <c:v>-19.360875368783521</c:v>
                </c:pt>
                <c:pt idx="13">
                  <c:v>-19.912413534333908</c:v>
                </c:pt>
                <c:pt idx="14">
                  <c:v>-20.424630029773656</c:v>
                </c:pt>
                <c:pt idx="15">
                  <c:v>-20.902083181330838</c:v>
                </c:pt>
                <c:pt idx="16">
                  <c:v>-21.34858888695706</c:v>
                </c:pt>
                <c:pt idx="17">
                  <c:v>-21.767404120797096</c:v>
                </c:pt>
                <c:pt idx="18">
                  <c:v>-22.161357260088632</c:v>
                </c:pt>
                <c:pt idx="19">
                  <c:v>-22.532943568216339</c:v>
                </c:pt>
                <c:pt idx="20">
                  <c:v>-22.884397078463369</c:v>
                </c:pt>
                <c:pt idx="21">
                  <c:v>-23.217745975925212</c:v>
                </c:pt>
                <c:pt idx="22">
                  <c:v>-23.534856073188195</c:v>
                </c:pt>
                <c:pt idx="23">
                  <c:v>-23.837465418070302</c:v>
                </c:pt>
                <c:pt idx="24">
                  <c:v>-24.127212071397857</c:v>
                </c:pt>
                <c:pt idx="25">
                  <c:v>-24.405656430156419</c:v>
                </c:pt>
                <c:pt idx="26">
                  <c:v>-24.674299019866911</c:v>
                </c:pt>
                <c:pt idx="27">
                  <c:v>-24.934594365632357</c:v>
                </c:pt>
                <c:pt idx="28">
                  <c:v>-25.187961330419341</c:v>
                </c:pt>
                <c:pt idx="29">
                  <c:v>-25.435790156485602</c:v>
                </c:pt>
                <c:pt idx="30">
                  <c:v>-25.679446347250092</c:v>
                </c:pt>
                <c:pt idx="31">
                  <c:v>-25.920271474873623</c:v>
                </c:pt>
                <c:pt idx="32">
                  <c:v>-26.1595809896818</c:v>
                </c:pt>
                <c:pt idx="33">
                  <c:v>-26.398659139123136</c:v>
                </c:pt>
                <c:pt idx="34">
                  <c:v>-26.63875117360293</c:v>
                </c:pt>
                <c:pt idx="35">
                  <c:v>-26.881053119613615</c:v>
                </c:pt>
                <c:pt idx="36">
                  <c:v>-27.126699529034688</c:v>
                </c:pt>
                <c:pt idx="37">
                  <c:v>-27.376749755107461</c:v>
                </c:pt>
                <c:pt idx="38">
                  <c:v>-27.632173444086384</c:v>
                </c:pt>
                <c:pt idx="39">
                  <c:v>-27.89383604758925</c:v>
                </c:pt>
                <c:pt idx="40">
                  <c:v>-28.162485234069482</c:v>
                </c:pt>
                <c:pt idx="41">
                  <c:v>-28.438739090748154</c:v>
                </c:pt>
                <c:pt idx="42">
                  <c:v>-28.723076947711945</c:v>
                </c:pt>
                <c:pt idx="43">
                  <c:v>-29.015833520515102</c:v>
                </c:pt>
                <c:pt idx="44">
                  <c:v>-29.31719686404595</c:v>
                </c:pt>
                <c:pt idx="45">
                  <c:v>-29.627210376688748</c:v>
                </c:pt>
                <c:pt idx="46">
                  <c:v>-29.945778816285742</c:v>
                </c:pt>
                <c:pt idx="47">
                  <c:v>-30.272678018450947</c:v>
                </c:pt>
                <c:pt idx="48">
                  <c:v>-30.607567772834614</c:v>
                </c:pt>
                <c:pt idx="49">
                  <c:v>-30.950007137485986</c:v>
                </c:pt>
                <c:pt idx="50">
                  <c:v>-31.299471369697137</c:v>
                </c:pt>
                <c:pt idx="51">
                  <c:v>-31.655369626951519</c:v>
                </c:pt>
                <c:pt idx="52">
                  <c:v>-32.017062637074993</c:v>
                </c:pt>
                <c:pt idx="53">
                  <c:v>-32.383879637977458</c:v>
                </c:pt>
                <c:pt idx="54">
                  <c:v>-32.755134025710298</c:v>
                </c:pt>
                <c:pt idx="55">
                  <c:v>-33.130137305463933</c:v>
                </c:pt>
                <c:pt idx="56">
                  <c:v>-33.508211096028269</c:v>
                </c:pt>
                <c:pt idx="57">
                  <c:v>-33.888697080578304</c:v>
                </c:pt>
                <c:pt idx="58">
                  <c:v>-34.270964916438714</c:v>
                </c:pt>
                <c:pt idx="59">
                  <c:v>-34.654418209352571</c:v>
                </c:pt>
                <c:pt idx="60">
                  <c:v>-35.038498723107161</c:v>
                </c:pt>
                <c:pt idx="61">
                  <c:v>-35.422689035316125</c:v>
                </c:pt>
                <c:pt idx="62">
                  <c:v>-35.806513868558675</c:v>
                </c:pt>
                <c:pt idx="63">
                  <c:v>-36.18954032752923</c:v>
                </c:pt>
                <c:pt idx="64">
                  <c:v>-36.571377261976082</c:v>
                </c:pt>
                <c:pt idx="65">
                  <c:v>-36.95167395620792</c:v>
                </c:pt>
                <c:pt idx="66">
                  <c:v>-37.330118322349783</c:v>
                </c:pt>
                <c:pt idx="67">
                  <c:v>-37.706434749056022</c:v>
                </c:pt>
                <c:pt idx="68">
                  <c:v>-38.080381732074287</c:v>
                </c:pt>
                <c:pt idx="69">
                  <c:v>-38.451749389201908</c:v>
                </c:pt>
                <c:pt idx="70">
                  <c:v>-38.820356940640643</c:v>
                </c:pt>
                <c:pt idx="71">
                  <c:v>-39.186050216899162</c:v>
                </c:pt>
                <c:pt idx="72">
                  <c:v>-39.548699240347879</c:v>
                </c:pt>
                <c:pt idx="73">
                  <c:v>-39.9081959131899</c:v>
                </c:pt>
                <c:pt idx="74">
                  <c:v>-40.264451833766046</c:v>
                </c:pt>
                <c:pt idx="75">
                  <c:v>-40.61739625448481</c:v>
                </c:pt>
                <c:pt idx="76">
                  <c:v>-40.966974187943279</c:v>
                </c:pt>
                <c:pt idx="77">
                  <c:v>-41.313144662702783</c:v>
                </c:pt>
                <c:pt idx="78">
                  <c:v>-41.65587912640126</c:v>
                </c:pt>
                <c:pt idx="79">
                  <c:v>-41.995159991185638</c:v>
                </c:pt>
                <c:pt idx="80">
                  <c:v>-42.330979314604264</c:v>
                </c:pt>
                <c:pt idx="81">
                  <c:v>-42.663337607933101</c:v>
                </c:pt>
                <c:pt idx="82">
                  <c:v>-42.992242763249422</c:v>
                </c:pt>
                <c:pt idx="83">
                  <c:v>-43.317709090309933</c:v>
                </c:pt>
                <c:pt idx="84">
                  <c:v>-43.639756454303587</c:v>
                </c:pt>
                <c:pt idx="85">
                  <c:v>-43.958409505781866</c:v>
                </c:pt>
                <c:pt idx="86">
                  <c:v>-44.273696994432569</c:v>
                </c:pt>
                <c:pt idx="87">
                  <c:v>-44.585651158821008</c:v>
                </c:pt>
                <c:pt idx="88">
                  <c:v>-44.894307184737194</c:v>
                </c:pt>
                <c:pt idx="89">
                  <c:v>-45.199702725319291</c:v>
                </c:pt>
                <c:pt idx="90">
                  <c:v>-45.501877476673258</c:v>
                </c:pt>
                <c:pt idx="91">
                  <c:v>-45.800872803231755</c:v>
                </c:pt>
                <c:pt idx="92">
                  <c:v>-46.096731407618492</c:v>
                </c:pt>
                <c:pt idx="93">
                  <c:v>-46.389497040260949</c:v>
                </c:pt>
                <c:pt idx="94">
                  <c:v>-46.679214244456887</c:v>
                </c:pt>
                <c:pt idx="95">
                  <c:v>-46.965928133019773</c:v>
                </c:pt>
                <c:pt idx="96">
                  <c:v>-47.249684193020023</c:v>
                </c:pt>
                <c:pt idx="97">
                  <c:v>-47.530528115495486</c:v>
                </c:pt>
                <c:pt idx="98">
                  <c:v>-47.808505647331721</c:v>
                </c:pt>
                <c:pt idx="99">
                  <c:v>-48.08366246280535</c:v>
                </c:pt>
              </c:numCache>
            </c:numRef>
          </c:yVal>
          <c:smooth val="1"/>
          <c:extLst>
            <c:ext xmlns:c16="http://schemas.microsoft.com/office/drawing/2014/chart" uri="{C3380CC4-5D6E-409C-BE32-E72D297353CC}">
              <c16:uniqueId val="{00000000-DD8C-4A46-9E2F-53DC836CF80D}"/>
            </c:ext>
          </c:extLst>
        </c:ser>
        <c:dLbls>
          <c:showLegendKey val="0"/>
          <c:showVal val="0"/>
          <c:showCatName val="0"/>
          <c:showSerName val="0"/>
          <c:showPercent val="0"/>
          <c:showBubbleSize val="0"/>
        </c:dLbls>
        <c:axId val="507584992"/>
        <c:axId val="1"/>
      </c:scatterChart>
      <c:scatterChart>
        <c:scatterStyle val="lineMarker"/>
        <c:varyColors val="0"/>
        <c:ser>
          <c:idx val="2"/>
          <c:order val="1"/>
          <c:tx>
            <c:strRef>
              <c:f>'Voltage Loop'!$O$1</c:f>
              <c:strCache>
                <c:ptCount val="1"/>
                <c:pt idx="0">
                  <c:v>ӨTv(f)</c:v>
                </c:pt>
              </c:strCache>
            </c:strRef>
          </c:tx>
          <c:spPr>
            <a:ln w="25400">
              <a:solidFill>
                <a:srgbClr val="FF0000"/>
              </a:solidFill>
              <a:prstDash val="solid"/>
            </a:ln>
          </c:spPr>
          <c:marker>
            <c:symbol val="none"/>
          </c:marker>
          <c:xVal>
            <c:numRef>
              <c:f>'Voltage Loop'!$B$2:$B$101</c:f>
              <c:numCache>
                <c:formatCode>General</c:formatCode>
                <c:ptCount val="100"/>
                <c:pt idx="0">
                  <c:v>100</c:v>
                </c:pt>
                <c:pt idx="1">
                  <c:v>1000</c:v>
                </c:pt>
                <c:pt idx="2">
                  <c:v>4500</c:v>
                </c:pt>
                <c:pt idx="3">
                  <c:v>6000</c:v>
                </c:pt>
                <c:pt idx="4">
                  <c:v>7500</c:v>
                </c:pt>
                <c:pt idx="5">
                  <c:v>9000</c:v>
                </c:pt>
                <c:pt idx="6">
                  <c:v>10500.000000000002</c:v>
                </c:pt>
                <c:pt idx="7">
                  <c:v>12000</c:v>
                </c:pt>
                <c:pt idx="8">
                  <c:v>13500</c:v>
                </c:pt>
                <c:pt idx="9">
                  <c:v>15000</c:v>
                </c:pt>
                <c:pt idx="10">
                  <c:v>16500</c:v>
                </c:pt>
                <c:pt idx="11">
                  <c:v>18000</c:v>
                </c:pt>
                <c:pt idx="12">
                  <c:v>19500</c:v>
                </c:pt>
                <c:pt idx="13">
                  <c:v>21000.000000000004</c:v>
                </c:pt>
                <c:pt idx="14">
                  <c:v>22500</c:v>
                </c:pt>
                <c:pt idx="15">
                  <c:v>24000</c:v>
                </c:pt>
                <c:pt idx="16">
                  <c:v>25500.000000000004</c:v>
                </c:pt>
                <c:pt idx="17">
                  <c:v>27000</c:v>
                </c:pt>
                <c:pt idx="18">
                  <c:v>28500</c:v>
                </c:pt>
                <c:pt idx="19">
                  <c:v>30000</c:v>
                </c:pt>
                <c:pt idx="20">
                  <c:v>31500</c:v>
                </c:pt>
                <c:pt idx="21">
                  <c:v>33000</c:v>
                </c:pt>
                <c:pt idx="22">
                  <c:v>34500</c:v>
                </c:pt>
                <c:pt idx="23">
                  <c:v>36000</c:v>
                </c:pt>
                <c:pt idx="24">
                  <c:v>37500</c:v>
                </c:pt>
                <c:pt idx="25">
                  <c:v>39000</c:v>
                </c:pt>
                <c:pt idx="26">
                  <c:v>40500</c:v>
                </c:pt>
                <c:pt idx="27">
                  <c:v>42000.000000000007</c:v>
                </c:pt>
                <c:pt idx="28">
                  <c:v>43500</c:v>
                </c:pt>
                <c:pt idx="29">
                  <c:v>45000</c:v>
                </c:pt>
                <c:pt idx="30">
                  <c:v>46500</c:v>
                </c:pt>
                <c:pt idx="31">
                  <c:v>48000</c:v>
                </c:pt>
                <c:pt idx="32">
                  <c:v>49500</c:v>
                </c:pt>
                <c:pt idx="33">
                  <c:v>51000.000000000007</c:v>
                </c:pt>
                <c:pt idx="34">
                  <c:v>52500</c:v>
                </c:pt>
                <c:pt idx="35">
                  <c:v>54000</c:v>
                </c:pt>
                <c:pt idx="36">
                  <c:v>55500</c:v>
                </c:pt>
                <c:pt idx="37">
                  <c:v>57000</c:v>
                </c:pt>
                <c:pt idx="38">
                  <c:v>58500</c:v>
                </c:pt>
                <c:pt idx="39">
                  <c:v>60000</c:v>
                </c:pt>
                <c:pt idx="40">
                  <c:v>61499.999999999993</c:v>
                </c:pt>
                <c:pt idx="41">
                  <c:v>63000</c:v>
                </c:pt>
                <c:pt idx="42">
                  <c:v>64500</c:v>
                </c:pt>
                <c:pt idx="43">
                  <c:v>66000</c:v>
                </c:pt>
                <c:pt idx="44">
                  <c:v>67500</c:v>
                </c:pt>
                <c:pt idx="45">
                  <c:v>69000</c:v>
                </c:pt>
                <c:pt idx="46">
                  <c:v>70500</c:v>
                </c:pt>
                <c:pt idx="47">
                  <c:v>72000</c:v>
                </c:pt>
                <c:pt idx="48">
                  <c:v>73500</c:v>
                </c:pt>
                <c:pt idx="49">
                  <c:v>75000</c:v>
                </c:pt>
                <c:pt idx="50">
                  <c:v>76500</c:v>
                </c:pt>
                <c:pt idx="51">
                  <c:v>78000</c:v>
                </c:pt>
                <c:pt idx="52">
                  <c:v>79500</c:v>
                </c:pt>
                <c:pt idx="53">
                  <c:v>81000</c:v>
                </c:pt>
                <c:pt idx="54">
                  <c:v>82500</c:v>
                </c:pt>
                <c:pt idx="55">
                  <c:v>84000.000000000015</c:v>
                </c:pt>
                <c:pt idx="56">
                  <c:v>85499.999999999985</c:v>
                </c:pt>
                <c:pt idx="57">
                  <c:v>87000</c:v>
                </c:pt>
                <c:pt idx="58">
                  <c:v>88500</c:v>
                </c:pt>
                <c:pt idx="59">
                  <c:v>90000</c:v>
                </c:pt>
                <c:pt idx="60">
                  <c:v>91500</c:v>
                </c:pt>
                <c:pt idx="61">
                  <c:v>93000</c:v>
                </c:pt>
                <c:pt idx="62">
                  <c:v>94500</c:v>
                </c:pt>
                <c:pt idx="63">
                  <c:v>96000</c:v>
                </c:pt>
                <c:pt idx="64">
                  <c:v>97500</c:v>
                </c:pt>
                <c:pt idx="65">
                  <c:v>99000</c:v>
                </c:pt>
                <c:pt idx="66">
                  <c:v>100500</c:v>
                </c:pt>
                <c:pt idx="67">
                  <c:v>102000.00000000001</c:v>
                </c:pt>
                <c:pt idx="68">
                  <c:v>103499.99999999999</c:v>
                </c:pt>
                <c:pt idx="69">
                  <c:v>105000</c:v>
                </c:pt>
                <c:pt idx="70">
                  <c:v>106500</c:v>
                </c:pt>
                <c:pt idx="71">
                  <c:v>108000</c:v>
                </c:pt>
                <c:pt idx="72">
                  <c:v>109500</c:v>
                </c:pt>
                <c:pt idx="73">
                  <c:v>111000</c:v>
                </c:pt>
                <c:pt idx="74">
                  <c:v>112500</c:v>
                </c:pt>
                <c:pt idx="75">
                  <c:v>114000</c:v>
                </c:pt>
                <c:pt idx="76">
                  <c:v>115500</c:v>
                </c:pt>
                <c:pt idx="77">
                  <c:v>117000</c:v>
                </c:pt>
                <c:pt idx="78">
                  <c:v>118500</c:v>
                </c:pt>
                <c:pt idx="79">
                  <c:v>120000</c:v>
                </c:pt>
                <c:pt idx="80">
                  <c:v>121500.00000000001</c:v>
                </c:pt>
                <c:pt idx="81">
                  <c:v>122999.99999999999</c:v>
                </c:pt>
                <c:pt idx="82">
                  <c:v>124500</c:v>
                </c:pt>
                <c:pt idx="83">
                  <c:v>126000</c:v>
                </c:pt>
                <c:pt idx="84">
                  <c:v>127500</c:v>
                </c:pt>
                <c:pt idx="85">
                  <c:v>129000</c:v>
                </c:pt>
                <c:pt idx="86">
                  <c:v>130500</c:v>
                </c:pt>
                <c:pt idx="87">
                  <c:v>132000</c:v>
                </c:pt>
                <c:pt idx="88">
                  <c:v>133500</c:v>
                </c:pt>
                <c:pt idx="89">
                  <c:v>135000</c:v>
                </c:pt>
                <c:pt idx="90">
                  <c:v>136500</c:v>
                </c:pt>
                <c:pt idx="91">
                  <c:v>138000</c:v>
                </c:pt>
                <c:pt idx="92">
                  <c:v>139500</c:v>
                </c:pt>
                <c:pt idx="93">
                  <c:v>141000</c:v>
                </c:pt>
                <c:pt idx="94">
                  <c:v>142500</c:v>
                </c:pt>
                <c:pt idx="95">
                  <c:v>144000</c:v>
                </c:pt>
                <c:pt idx="96">
                  <c:v>145500</c:v>
                </c:pt>
                <c:pt idx="97">
                  <c:v>147000</c:v>
                </c:pt>
                <c:pt idx="98">
                  <c:v>148500</c:v>
                </c:pt>
                <c:pt idx="99">
                  <c:v>150000</c:v>
                </c:pt>
              </c:numCache>
            </c:numRef>
          </c:xVal>
          <c:yVal>
            <c:numRef>
              <c:f>'Voltage Loop'!$O$2:$O$101</c:f>
              <c:numCache>
                <c:formatCode>General</c:formatCode>
                <c:ptCount val="100"/>
                <c:pt idx="0">
                  <c:v>25.402610356589918</c:v>
                </c:pt>
                <c:pt idx="1">
                  <c:v>76.801625937493952</c:v>
                </c:pt>
                <c:pt idx="2">
                  <c:v>89.305067041286492</c:v>
                </c:pt>
                <c:pt idx="3">
                  <c:v>89.899372908768086</c:v>
                </c:pt>
                <c:pt idx="4">
                  <c:v>89.711267511294025</c:v>
                </c:pt>
                <c:pt idx="5">
                  <c:v>89.02452191785936</c:v>
                </c:pt>
                <c:pt idx="6">
                  <c:v>88.018741824158937</c:v>
                </c:pt>
                <c:pt idx="7">
                  <c:v>86.811326771666415</c:v>
                </c:pt>
                <c:pt idx="8">
                  <c:v>85.477632873001156</c:v>
                </c:pt>
                <c:pt idx="9">
                  <c:v>84.06477854917398</c:v>
                </c:pt>
                <c:pt idx="10">
                  <c:v>82.60139285069387</c:v>
                </c:pt>
                <c:pt idx="11">
                  <c:v>81.104237998772319</c:v>
                </c:pt>
                <c:pt idx="12">
                  <c:v>79.582555083362564</c:v>
                </c:pt>
                <c:pt idx="13">
                  <c:v>78.04085420989486</c:v>
                </c:pt>
                <c:pt idx="14">
                  <c:v>76.480685508425111</c:v>
                </c:pt>
                <c:pt idx="15">
                  <c:v>74.901758388715052</c:v>
                </c:pt>
                <c:pt idx="16">
                  <c:v>73.302649326150686</c:v>
                </c:pt>
                <c:pt idx="17">
                  <c:v>71.681251558265458</c:v>
                </c:pt>
                <c:pt idx="18">
                  <c:v>70.035063503850679</c:v>
                </c:pt>
                <c:pt idx="19">
                  <c:v>68.36137681866478</c:v>
                </c:pt>
                <c:pt idx="20">
                  <c:v>66.657402488820168</c:v>
                </c:pt>
                <c:pt idx="21">
                  <c:v>64.920359293830842</c:v>
                </c:pt>
                <c:pt idx="22">
                  <c:v>63.147540159022171</c:v>
                </c:pt>
                <c:pt idx="23">
                  <c:v>61.336366355888075</c:v>
                </c:pt>
                <c:pt idx="24">
                  <c:v>59.484435950017399</c:v>
                </c:pt>
                <c:pt idx="25">
                  <c:v>57.589570563165339</c:v>
                </c:pt>
                <c:pt idx="26">
                  <c:v>55.649862925129682</c:v>
                </c:pt>
                <c:pt idx="27">
                  <c:v>53.663726539709771</c:v>
                </c:pt>
                <c:pt idx="28">
                  <c:v>51.629947888267424</c:v>
                </c:pt>
                <c:pt idx="29">
                  <c:v>49.547740829104271</c:v>
                </c:pt>
                <c:pt idx="30">
                  <c:v>47.416802156246064</c:v>
                </c:pt>
                <c:pt idx="31">
                  <c:v>45.237366629845582</c:v>
                </c:pt>
                <c:pt idx="32">
                  <c:v>43.010259184701795</c:v>
                </c:pt>
                <c:pt idx="33">
                  <c:v>40.736941490754447</c:v>
                </c:pt>
                <c:pt idx="34">
                  <c:v>38.419549627551447</c:v>
                </c:pt>
                <c:pt idx="35">
                  <c:v>36.060919405339206</c:v>
                </c:pt>
                <c:pt idx="36">
                  <c:v>33.664595885322115</c:v>
                </c:pt>
                <c:pt idx="37">
                  <c:v>31.234823980232164</c:v>
                </c:pt>
                <c:pt idx="38">
                  <c:v>28.776517691522287</c:v>
                </c:pt>
                <c:pt idx="39">
                  <c:v>26.295206562812069</c:v>
                </c:pt>
                <c:pt idx="40">
                  <c:v>23.796959254592707</c:v>
                </c:pt>
                <c:pt idx="41">
                  <c:v>21.288285674225534</c:v>
                </c:pt>
                <c:pt idx="42">
                  <c:v>18.776020682727392</c:v>
                </c:pt>
                <c:pt idx="43">
                  <c:v>16.267193870136936</c:v>
                </c:pt>
                <c:pt idx="44">
                  <c:v>13.768891064648415</c:v>
                </c:pt>
                <c:pt idx="45">
                  <c:v>11.288113963864248</c:v>
                </c:pt>
                <c:pt idx="46">
                  <c:v>8.8316444512358316</c:v>
                </c:pt>
                <c:pt idx="47">
                  <c:v>6.4059197629239577</c:v>
                </c:pt>
                <c:pt idx="48">
                  <c:v>4.0169237548760748</c:v>
                </c:pt>
                <c:pt idx="49">
                  <c:v>1.6700982098438431</c:v>
                </c:pt>
                <c:pt idx="50">
                  <c:v>-0.62972341326155856</c:v>
                </c:pt>
                <c:pt idx="51">
                  <c:v>-2.8783589684338153</c:v>
                </c:pt>
                <c:pt idx="52">
                  <c:v>-5.0722979939657762</c:v>
                </c:pt>
                <c:pt idx="53">
                  <c:v>-7.2087013257561807</c:v>
                </c:pt>
                <c:pt idx="54">
                  <c:v>-9.2853827034757614</c:v>
                </c:pt>
                <c:pt idx="55">
                  <c:v>-11.300775662634919</c:v>
                </c:pt>
                <c:pt idx="56">
                  <c:v>-13.253889217893175</c:v>
                </c:pt>
                <c:pt idx="57">
                  <c:v>-15.144255776411228</c:v>
                </c:pt>
                <c:pt idx="58">
                  <c:v>-16.971874442848957</c:v>
                </c:pt>
                <c:pt idx="59">
                  <c:v>-18.737152462063023</c:v>
                </c:pt>
                <c:pt idx="60">
                  <c:v>-20.440847058402142</c:v>
                </c:pt>
                <c:pt idx="61">
                  <c:v>-22.084009426803107</c:v>
                </c:pt>
                <c:pt idx="62">
                  <c:v>-23.667932151512559</c:v>
                </c:pt>
                <c:pt idx="63">
                  <c:v>-25.194100899947614</c:v>
                </c:pt>
                <c:pt idx="64">
                  <c:v>-26.664150876380177</c:v>
                </c:pt>
                <c:pt idx="65">
                  <c:v>-28.079828227488065</c:v>
                </c:pt>
                <c:pt idx="66">
                  <c:v>-29.44295636719653</c:v>
                </c:pt>
                <c:pt idx="67">
                  <c:v>-30.755407025059526</c:v>
                </c:pt>
                <c:pt idx="68">
                  <c:v>-32.01907571189804</c:v>
                </c:pt>
                <c:pt idx="69">
                  <c:v>-33.235861228881447</c:v>
                </c:pt>
                <c:pt idx="70">
                  <c:v>-34.40764881244985</c:v>
                </c:pt>
                <c:pt idx="71">
                  <c:v>-35.536296498961974</c:v>
                </c:pt>
                <c:pt idx="72">
                  <c:v>-36.623624302571102</c:v>
                </c:pt>
                <c:pt idx="73">
                  <c:v>-37.671405821642111</c:v>
                </c:pt>
                <c:pt idx="74">
                  <c:v>-38.681361918394714</c:v>
                </c:pt>
                <c:pt idx="75">
                  <c:v>-39.655156149841218</c:v>
                </c:pt>
                <c:pt idx="76">
                  <c:v>-40.594391662894907</c:v>
                </c:pt>
                <c:pt idx="77">
                  <c:v>-41.500609300932297</c:v>
                </c:pt>
                <c:pt idx="78">
                  <c:v>-42.375286701881691</c:v>
                </c:pt>
                <c:pt idx="79">
                  <c:v>-43.219838198356456</c:v>
                </c:pt>
                <c:pt idx="80">
                  <c:v>-44.035615358019754</c:v>
                </c:pt>
                <c:pt idx="81">
                  <c:v>-44.823908027142693</c:v>
                </c:pt>
                <c:pt idx="82">
                  <c:v>-45.585945762178881</c:v>
                </c:pt>
                <c:pt idx="83">
                  <c:v>-46.322899553279512</c:v>
                </c:pt>
                <c:pt idx="84">
                  <c:v>-47.0358837602015</c:v>
                </c:pt>
                <c:pt idx="85">
                  <c:v>-47.725958195237695</c:v>
                </c:pt>
                <c:pt idx="86">
                  <c:v>-48.394130299878839</c:v>
                </c:pt>
                <c:pt idx="87">
                  <c:v>-49.041357372157222</c:v>
                </c:pt>
                <c:pt idx="88">
                  <c:v>-49.66854881021311</c:v>
                </c:pt>
                <c:pt idx="89">
                  <c:v>-50.276568344839461</c:v>
                </c:pt>
                <c:pt idx="90">
                  <c:v>-50.866236239742818</c:v>
                </c:pt>
                <c:pt idx="91">
                  <c:v>-51.438331443231959</c:v>
                </c:pt>
                <c:pt idx="92">
                  <c:v>-51.993593679111882</c:v>
                </c:pt>
                <c:pt idx="93">
                  <c:v>-52.532725467917658</c:v>
                </c:pt>
                <c:pt idx="94">
                  <c:v>-53.056394072331159</c:v>
                </c:pt>
                <c:pt idx="95">
                  <c:v>-53.565233362824131</c:v>
                </c:pt>
                <c:pt idx="96">
                  <c:v>-54.059845601329982</c:v>
                </c:pt>
                <c:pt idx="97">
                  <c:v>-54.540803142144227</c:v>
                </c:pt>
                <c:pt idx="98">
                  <c:v>-55.008650050353367</c:v>
                </c:pt>
                <c:pt idx="99">
                  <c:v>-55.463903638945681</c:v>
                </c:pt>
              </c:numCache>
            </c:numRef>
          </c:yVal>
          <c:smooth val="0"/>
          <c:extLst>
            <c:ext xmlns:c16="http://schemas.microsoft.com/office/drawing/2014/chart" uri="{C3380CC4-5D6E-409C-BE32-E72D297353CC}">
              <c16:uniqueId val="{00000001-DD8C-4A46-9E2F-53DC836CF80D}"/>
            </c:ext>
          </c:extLst>
        </c:ser>
        <c:dLbls>
          <c:showLegendKey val="0"/>
          <c:showVal val="0"/>
          <c:showCatName val="0"/>
          <c:showSerName val="0"/>
          <c:showPercent val="0"/>
          <c:showBubbleSize val="0"/>
        </c:dLbls>
        <c:axId val="3"/>
        <c:axId val="4"/>
      </c:scatterChart>
      <c:valAx>
        <c:axId val="507584992"/>
        <c:scaling>
          <c:logBase val="10"/>
          <c:orientation val="minMax"/>
          <c:min val="100"/>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00" b="1" i="0" u="none" strike="noStrike" baseline="0">
                    <a:solidFill>
                      <a:srgbClr val="000000"/>
                    </a:solidFill>
                    <a:latin typeface="Arial"/>
                    <a:ea typeface="Arial"/>
                    <a:cs typeface="Arial"/>
                  </a:defRPr>
                </a:pPr>
                <a:r>
                  <a:rPr lang="en-US"/>
                  <a:t>Frequency in Hz</a:t>
                </a:r>
              </a:p>
            </c:rich>
          </c:tx>
          <c:layout>
            <c:manualLayout>
              <c:xMode val="edge"/>
              <c:yMode val="edge"/>
              <c:x val="0.41506875499258244"/>
              <c:y val="0.9260978242205705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en-US"/>
          </a:p>
        </c:txPr>
        <c:crossAx val="1"/>
        <c:crossesAt val="-80"/>
        <c:crossBetween val="midCat"/>
      </c:valAx>
      <c:valAx>
        <c:axId val="1"/>
        <c:scaling>
          <c:orientation val="minMax"/>
          <c:max val="80"/>
          <c:min val="-80"/>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en-US"/>
                  <a:t>Gain in dB</a:t>
                </a:r>
              </a:p>
            </c:rich>
          </c:tx>
          <c:layout>
            <c:manualLayout>
              <c:xMode val="edge"/>
              <c:yMode val="edge"/>
              <c:x val="1.6438434326144013E-2"/>
              <c:y val="0.3926101994260063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en-US"/>
          </a:p>
        </c:txPr>
        <c:crossAx val="507584992"/>
        <c:crosses val="autoZero"/>
        <c:crossBetween val="midCat"/>
      </c:valAx>
      <c:valAx>
        <c:axId val="3"/>
        <c:scaling>
          <c:logBase val="10"/>
          <c:orientation val="minMax"/>
        </c:scaling>
        <c:delete val="1"/>
        <c:axPos val="b"/>
        <c:numFmt formatCode="General" sourceLinked="1"/>
        <c:majorTickMark val="out"/>
        <c:minorTickMark val="none"/>
        <c:tickLblPos val="nextTo"/>
        <c:crossAx val="4"/>
        <c:crosses val="autoZero"/>
        <c:crossBetween val="midCat"/>
      </c:valAx>
      <c:valAx>
        <c:axId val="4"/>
        <c:scaling>
          <c:orientation val="minMax"/>
          <c:max val="180"/>
          <c:min val="-180"/>
        </c:scaling>
        <c:delete val="0"/>
        <c:axPos val="r"/>
        <c:title>
          <c:tx>
            <c:rich>
              <a:bodyPr/>
              <a:lstStyle/>
              <a:p>
                <a:pPr>
                  <a:defRPr sz="1050" b="1" i="0" u="none" strike="noStrike" baseline="0">
                    <a:solidFill>
                      <a:srgbClr val="000000"/>
                    </a:solidFill>
                    <a:latin typeface="Arial"/>
                    <a:ea typeface="Arial"/>
                    <a:cs typeface="Arial"/>
                  </a:defRPr>
                </a:pPr>
                <a:r>
                  <a:rPr lang="en-US"/>
                  <a:t>Phase in Degrees</a:t>
                </a:r>
              </a:p>
            </c:rich>
          </c:tx>
          <c:layout>
            <c:manualLayout>
              <c:xMode val="edge"/>
              <c:yMode val="edge"/>
              <c:x val="0.94794576629008331"/>
              <c:y val="0.3348735496847941"/>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en-US"/>
          </a:p>
        </c:txPr>
        <c:crossAx val="3"/>
        <c:crosses val="max"/>
        <c:crossBetween val="midCat"/>
        <c:majorUnit val="45"/>
      </c:valAx>
      <c:spPr>
        <a:solidFill>
          <a:srgbClr val="FFFFFF"/>
        </a:solidFill>
        <a:ln w="12700">
          <a:solidFill>
            <a:srgbClr val="808080"/>
          </a:solidFill>
          <a:prstDash val="solid"/>
        </a:ln>
      </c:spPr>
    </c:plotArea>
    <c:legend>
      <c:legendPos val="r"/>
      <c:layout>
        <c:manualLayout>
          <c:xMode val="edge"/>
          <c:yMode val="edge"/>
          <c:x val="0.13547914881563894"/>
          <c:y val="0.70303894083732177"/>
          <c:w val="0.13408245655980763"/>
          <c:h val="0.11137250547917968"/>
        </c:manualLayout>
      </c:layout>
      <c:overlay val="0"/>
      <c:spPr>
        <a:solidFill>
          <a:srgbClr val="FFFFFF"/>
        </a:solidFill>
        <a:ln w="3175">
          <a:solidFill>
            <a:srgbClr val="000000"/>
          </a:solidFill>
          <a:prstDash val="solid"/>
        </a:ln>
      </c:spPr>
      <c:txPr>
        <a:bodyPr/>
        <a:lstStyle/>
        <a:p>
          <a:pPr>
            <a:defRPr sz="101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20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Tv(f) Frequency Response</a:t>
            </a:r>
          </a:p>
        </c:rich>
      </c:tx>
      <c:layout>
        <c:manualLayout>
          <c:xMode val="edge"/>
          <c:yMode val="edge"/>
          <c:x val="0.32948960997709681"/>
          <c:y val="3.3163501621120889E-2"/>
        </c:manualLayout>
      </c:layout>
      <c:overlay val="0"/>
      <c:spPr>
        <a:noFill/>
        <a:ln w="25400">
          <a:noFill/>
        </a:ln>
      </c:spPr>
    </c:title>
    <c:autoTitleDeleted val="0"/>
    <c:plotArea>
      <c:layout>
        <c:manualLayout>
          <c:layoutTarget val="inner"/>
          <c:xMode val="edge"/>
          <c:yMode val="edge"/>
          <c:x val="0.10708410590965584"/>
          <c:y val="0.11734693877551021"/>
          <c:w val="0.79406983151467858"/>
          <c:h val="0.73979591836734693"/>
        </c:manualLayout>
      </c:layout>
      <c:scatterChart>
        <c:scatterStyle val="smoothMarker"/>
        <c:varyColors val="0"/>
        <c:ser>
          <c:idx val="0"/>
          <c:order val="0"/>
          <c:tx>
            <c:strRef>
              <c:f>'Voltage Loop'!$M$1</c:f>
              <c:strCache>
                <c:ptCount val="1"/>
                <c:pt idx="0">
                  <c:v>TvdB(f)</c:v>
                </c:pt>
              </c:strCache>
            </c:strRef>
          </c:tx>
          <c:spPr>
            <a:ln w="25400">
              <a:solidFill>
                <a:srgbClr val="000000"/>
              </a:solidFill>
              <a:prstDash val="solid"/>
            </a:ln>
          </c:spPr>
          <c:marker>
            <c:symbol val="none"/>
          </c:marker>
          <c:xVal>
            <c:numRef>
              <c:f>'Voltage Loop'!$B$2:$B$101</c:f>
              <c:numCache>
                <c:formatCode>General</c:formatCode>
                <c:ptCount val="100"/>
                <c:pt idx="0">
                  <c:v>100</c:v>
                </c:pt>
                <c:pt idx="1">
                  <c:v>1000</c:v>
                </c:pt>
                <c:pt idx="2">
                  <c:v>4500</c:v>
                </c:pt>
                <c:pt idx="3">
                  <c:v>6000</c:v>
                </c:pt>
                <c:pt idx="4">
                  <c:v>7500</c:v>
                </c:pt>
                <c:pt idx="5">
                  <c:v>9000</c:v>
                </c:pt>
                <c:pt idx="6">
                  <c:v>10500.000000000002</c:v>
                </c:pt>
                <c:pt idx="7">
                  <c:v>12000</c:v>
                </c:pt>
                <c:pt idx="8">
                  <c:v>13500</c:v>
                </c:pt>
                <c:pt idx="9">
                  <c:v>15000</c:v>
                </c:pt>
                <c:pt idx="10">
                  <c:v>16500</c:v>
                </c:pt>
                <c:pt idx="11">
                  <c:v>18000</c:v>
                </c:pt>
                <c:pt idx="12">
                  <c:v>19500</c:v>
                </c:pt>
                <c:pt idx="13">
                  <c:v>21000.000000000004</c:v>
                </c:pt>
                <c:pt idx="14">
                  <c:v>22500</c:v>
                </c:pt>
                <c:pt idx="15">
                  <c:v>24000</c:v>
                </c:pt>
                <c:pt idx="16">
                  <c:v>25500.000000000004</c:v>
                </c:pt>
                <c:pt idx="17">
                  <c:v>27000</c:v>
                </c:pt>
                <c:pt idx="18">
                  <c:v>28500</c:v>
                </c:pt>
                <c:pt idx="19">
                  <c:v>30000</c:v>
                </c:pt>
                <c:pt idx="20">
                  <c:v>31500</c:v>
                </c:pt>
                <c:pt idx="21">
                  <c:v>33000</c:v>
                </c:pt>
                <c:pt idx="22">
                  <c:v>34500</c:v>
                </c:pt>
                <c:pt idx="23">
                  <c:v>36000</c:v>
                </c:pt>
                <c:pt idx="24">
                  <c:v>37500</c:v>
                </c:pt>
                <c:pt idx="25">
                  <c:v>39000</c:v>
                </c:pt>
                <c:pt idx="26">
                  <c:v>40500</c:v>
                </c:pt>
                <c:pt idx="27">
                  <c:v>42000.000000000007</c:v>
                </c:pt>
                <c:pt idx="28">
                  <c:v>43500</c:v>
                </c:pt>
                <c:pt idx="29">
                  <c:v>45000</c:v>
                </c:pt>
                <c:pt idx="30">
                  <c:v>46500</c:v>
                </c:pt>
                <c:pt idx="31">
                  <c:v>48000</c:v>
                </c:pt>
                <c:pt idx="32">
                  <c:v>49500</c:v>
                </c:pt>
                <c:pt idx="33">
                  <c:v>51000.000000000007</c:v>
                </c:pt>
                <c:pt idx="34">
                  <c:v>52500</c:v>
                </c:pt>
                <c:pt idx="35">
                  <c:v>54000</c:v>
                </c:pt>
                <c:pt idx="36">
                  <c:v>55500</c:v>
                </c:pt>
                <c:pt idx="37">
                  <c:v>57000</c:v>
                </c:pt>
                <c:pt idx="38">
                  <c:v>58500</c:v>
                </c:pt>
                <c:pt idx="39">
                  <c:v>60000</c:v>
                </c:pt>
                <c:pt idx="40">
                  <c:v>61499.999999999993</c:v>
                </c:pt>
                <c:pt idx="41">
                  <c:v>63000</c:v>
                </c:pt>
                <c:pt idx="42">
                  <c:v>64500</c:v>
                </c:pt>
                <c:pt idx="43">
                  <c:v>66000</c:v>
                </c:pt>
                <c:pt idx="44">
                  <c:v>67500</c:v>
                </c:pt>
                <c:pt idx="45">
                  <c:v>69000</c:v>
                </c:pt>
                <c:pt idx="46">
                  <c:v>70500</c:v>
                </c:pt>
                <c:pt idx="47">
                  <c:v>72000</c:v>
                </c:pt>
                <c:pt idx="48">
                  <c:v>73500</c:v>
                </c:pt>
                <c:pt idx="49">
                  <c:v>75000</c:v>
                </c:pt>
                <c:pt idx="50">
                  <c:v>76500</c:v>
                </c:pt>
                <c:pt idx="51">
                  <c:v>78000</c:v>
                </c:pt>
                <c:pt idx="52">
                  <c:v>79500</c:v>
                </c:pt>
                <c:pt idx="53">
                  <c:v>81000</c:v>
                </c:pt>
                <c:pt idx="54">
                  <c:v>82500</c:v>
                </c:pt>
                <c:pt idx="55">
                  <c:v>84000.000000000015</c:v>
                </c:pt>
                <c:pt idx="56">
                  <c:v>85499.999999999985</c:v>
                </c:pt>
                <c:pt idx="57">
                  <c:v>87000</c:v>
                </c:pt>
                <c:pt idx="58">
                  <c:v>88500</c:v>
                </c:pt>
                <c:pt idx="59">
                  <c:v>90000</c:v>
                </c:pt>
                <c:pt idx="60">
                  <c:v>91500</c:v>
                </c:pt>
                <c:pt idx="61">
                  <c:v>93000</c:v>
                </c:pt>
                <c:pt idx="62">
                  <c:v>94500</c:v>
                </c:pt>
                <c:pt idx="63">
                  <c:v>96000</c:v>
                </c:pt>
                <c:pt idx="64">
                  <c:v>97500</c:v>
                </c:pt>
                <c:pt idx="65">
                  <c:v>99000</c:v>
                </c:pt>
                <c:pt idx="66">
                  <c:v>100500</c:v>
                </c:pt>
                <c:pt idx="67">
                  <c:v>102000.00000000001</c:v>
                </c:pt>
                <c:pt idx="68">
                  <c:v>103499.99999999999</c:v>
                </c:pt>
                <c:pt idx="69">
                  <c:v>105000</c:v>
                </c:pt>
                <c:pt idx="70">
                  <c:v>106500</c:v>
                </c:pt>
                <c:pt idx="71">
                  <c:v>108000</c:v>
                </c:pt>
                <c:pt idx="72">
                  <c:v>109500</c:v>
                </c:pt>
                <c:pt idx="73">
                  <c:v>111000</c:v>
                </c:pt>
                <c:pt idx="74">
                  <c:v>112500</c:v>
                </c:pt>
                <c:pt idx="75">
                  <c:v>114000</c:v>
                </c:pt>
                <c:pt idx="76">
                  <c:v>115500</c:v>
                </c:pt>
                <c:pt idx="77">
                  <c:v>117000</c:v>
                </c:pt>
                <c:pt idx="78">
                  <c:v>118500</c:v>
                </c:pt>
                <c:pt idx="79">
                  <c:v>120000</c:v>
                </c:pt>
                <c:pt idx="80">
                  <c:v>121500.00000000001</c:v>
                </c:pt>
                <c:pt idx="81">
                  <c:v>122999.99999999999</c:v>
                </c:pt>
                <c:pt idx="82">
                  <c:v>124500</c:v>
                </c:pt>
                <c:pt idx="83">
                  <c:v>126000</c:v>
                </c:pt>
                <c:pt idx="84">
                  <c:v>127500</c:v>
                </c:pt>
                <c:pt idx="85">
                  <c:v>129000</c:v>
                </c:pt>
                <c:pt idx="86">
                  <c:v>130500</c:v>
                </c:pt>
                <c:pt idx="87">
                  <c:v>132000</c:v>
                </c:pt>
                <c:pt idx="88">
                  <c:v>133500</c:v>
                </c:pt>
                <c:pt idx="89">
                  <c:v>135000</c:v>
                </c:pt>
                <c:pt idx="90">
                  <c:v>136500</c:v>
                </c:pt>
                <c:pt idx="91">
                  <c:v>138000</c:v>
                </c:pt>
                <c:pt idx="92">
                  <c:v>139500</c:v>
                </c:pt>
                <c:pt idx="93">
                  <c:v>141000</c:v>
                </c:pt>
                <c:pt idx="94">
                  <c:v>142500</c:v>
                </c:pt>
                <c:pt idx="95">
                  <c:v>144000</c:v>
                </c:pt>
                <c:pt idx="96">
                  <c:v>145500</c:v>
                </c:pt>
                <c:pt idx="97">
                  <c:v>147000</c:v>
                </c:pt>
                <c:pt idx="98">
                  <c:v>148500</c:v>
                </c:pt>
                <c:pt idx="99">
                  <c:v>150000</c:v>
                </c:pt>
              </c:numCache>
            </c:numRef>
          </c:xVal>
          <c:yVal>
            <c:numRef>
              <c:f>'Voltage Loop'!$M$2:$M$101</c:f>
              <c:numCache>
                <c:formatCode>General</c:formatCode>
                <c:ptCount val="100"/>
                <c:pt idx="0">
                  <c:v>33.101074413605204</c:v>
                </c:pt>
                <c:pt idx="1">
                  <c:v>4.5924715731435448</c:v>
                </c:pt>
                <c:pt idx="2">
                  <c:v>-8.3109510727485763</c:v>
                </c:pt>
                <c:pt idx="3">
                  <c:v>-10.564865445764248</c:v>
                </c:pt>
                <c:pt idx="4">
                  <c:v>-12.261176005515136</c:v>
                </c:pt>
                <c:pt idx="5">
                  <c:v>-13.622718238647382</c:v>
                </c:pt>
                <c:pt idx="6">
                  <c:v>-14.764760087528739</c:v>
                </c:pt>
                <c:pt idx="7">
                  <c:v>-15.752333551648087</c:v>
                </c:pt>
                <c:pt idx="8">
                  <c:v>-16.624676796343568</c:v>
                </c:pt>
                <c:pt idx="9">
                  <c:v>-17.406935328692377</c:v>
                </c:pt>
                <c:pt idx="10">
                  <c:v>-18.116146059954737</c:v>
                </c:pt>
                <c:pt idx="11">
                  <c:v>-18.764447273020465</c:v>
                </c:pt>
                <c:pt idx="12">
                  <c:v>-19.360875368783521</c:v>
                </c:pt>
                <c:pt idx="13">
                  <c:v>-19.912413534333908</c:v>
                </c:pt>
                <c:pt idx="14">
                  <c:v>-20.424630029773656</c:v>
                </c:pt>
                <c:pt idx="15">
                  <c:v>-20.902083181330838</c:v>
                </c:pt>
                <c:pt idx="16">
                  <c:v>-21.34858888695706</c:v>
                </c:pt>
                <c:pt idx="17">
                  <c:v>-21.767404120797096</c:v>
                </c:pt>
                <c:pt idx="18">
                  <c:v>-22.161357260088632</c:v>
                </c:pt>
                <c:pt idx="19">
                  <c:v>-22.532943568216339</c:v>
                </c:pt>
                <c:pt idx="20">
                  <c:v>-22.884397078463369</c:v>
                </c:pt>
                <c:pt idx="21">
                  <c:v>-23.217745975925212</c:v>
                </c:pt>
                <c:pt idx="22">
                  <c:v>-23.534856073188195</c:v>
                </c:pt>
                <c:pt idx="23">
                  <c:v>-23.837465418070302</c:v>
                </c:pt>
                <c:pt idx="24">
                  <c:v>-24.127212071397857</c:v>
                </c:pt>
                <c:pt idx="25">
                  <c:v>-24.405656430156419</c:v>
                </c:pt>
                <c:pt idx="26">
                  <c:v>-24.674299019866911</c:v>
                </c:pt>
                <c:pt idx="27">
                  <c:v>-24.934594365632357</c:v>
                </c:pt>
                <c:pt idx="28">
                  <c:v>-25.187961330419341</c:v>
                </c:pt>
                <c:pt idx="29">
                  <c:v>-25.435790156485602</c:v>
                </c:pt>
                <c:pt idx="30">
                  <c:v>-25.679446347250092</c:v>
                </c:pt>
                <c:pt idx="31">
                  <c:v>-25.920271474873623</c:v>
                </c:pt>
                <c:pt idx="32">
                  <c:v>-26.1595809896818</c:v>
                </c:pt>
                <c:pt idx="33">
                  <c:v>-26.398659139123136</c:v>
                </c:pt>
                <c:pt idx="34">
                  <c:v>-26.63875117360293</c:v>
                </c:pt>
                <c:pt idx="35">
                  <c:v>-26.881053119613615</c:v>
                </c:pt>
                <c:pt idx="36">
                  <c:v>-27.126699529034688</c:v>
                </c:pt>
                <c:pt idx="37">
                  <c:v>-27.376749755107461</c:v>
                </c:pt>
                <c:pt idx="38">
                  <c:v>-27.632173444086384</c:v>
                </c:pt>
                <c:pt idx="39">
                  <c:v>-27.89383604758925</c:v>
                </c:pt>
                <c:pt idx="40">
                  <c:v>-28.162485234069482</c:v>
                </c:pt>
                <c:pt idx="41">
                  <c:v>-28.438739090748154</c:v>
                </c:pt>
                <c:pt idx="42">
                  <c:v>-28.723076947711945</c:v>
                </c:pt>
                <c:pt idx="43">
                  <c:v>-29.015833520515102</c:v>
                </c:pt>
                <c:pt idx="44">
                  <c:v>-29.31719686404595</c:v>
                </c:pt>
                <c:pt idx="45">
                  <c:v>-29.627210376688748</c:v>
                </c:pt>
                <c:pt idx="46">
                  <c:v>-29.945778816285742</c:v>
                </c:pt>
                <c:pt idx="47">
                  <c:v>-30.272678018450947</c:v>
                </c:pt>
                <c:pt idx="48">
                  <c:v>-30.607567772834614</c:v>
                </c:pt>
                <c:pt idx="49">
                  <c:v>-30.950007137485986</c:v>
                </c:pt>
                <c:pt idx="50">
                  <c:v>-31.299471369697137</c:v>
                </c:pt>
                <c:pt idx="51">
                  <c:v>-31.655369626951519</c:v>
                </c:pt>
                <c:pt idx="52">
                  <c:v>-32.017062637074993</c:v>
                </c:pt>
                <c:pt idx="53">
                  <c:v>-32.383879637977458</c:v>
                </c:pt>
                <c:pt idx="54">
                  <c:v>-32.755134025710298</c:v>
                </c:pt>
                <c:pt idx="55">
                  <c:v>-33.130137305463933</c:v>
                </c:pt>
                <c:pt idx="56">
                  <c:v>-33.508211096028269</c:v>
                </c:pt>
                <c:pt idx="57">
                  <c:v>-33.888697080578304</c:v>
                </c:pt>
                <c:pt idx="58">
                  <c:v>-34.270964916438714</c:v>
                </c:pt>
                <c:pt idx="59">
                  <c:v>-34.654418209352571</c:v>
                </c:pt>
                <c:pt idx="60">
                  <c:v>-35.038498723107161</c:v>
                </c:pt>
                <c:pt idx="61">
                  <c:v>-35.422689035316125</c:v>
                </c:pt>
                <c:pt idx="62">
                  <c:v>-35.806513868558675</c:v>
                </c:pt>
                <c:pt idx="63">
                  <c:v>-36.18954032752923</c:v>
                </c:pt>
                <c:pt idx="64">
                  <c:v>-36.571377261976082</c:v>
                </c:pt>
                <c:pt idx="65">
                  <c:v>-36.95167395620792</c:v>
                </c:pt>
                <c:pt idx="66">
                  <c:v>-37.330118322349783</c:v>
                </c:pt>
                <c:pt idx="67">
                  <c:v>-37.706434749056022</c:v>
                </c:pt>
                <c:pt idx="68">
                  <c:v>-38.080381732074287</c:v>
                </c:pt>
                <c:pt idx="69">
                  <c:v>-38.451749389201908</c:v>
                </c:pt>
                <c:pt idx="70">
                  <c:v>-38.820356940640643</c:v>
                </c:pt>
                <c:pt idx="71">
                  <c:v>-39.186050216899162</c:v>
                </c:pt>
                <c:pt idx="72">
                  <c:v>-39.548699240347879</c:v>
                </c:pt>
                <c:pt idx="73">
                  <c:v>-39.9081959131899</c:v>
                </c:pt>
                <c:pt idx="74">
                  <c:v>-40.264451833766046</c:v>
                </c:pt>
                <c:pt idx="75">
                  <c:v>-40.61739625448481</c:v>
                </c:pt>
                <c:pt idx="76">
                  <c:v>-40.966974187943279</c:v>
                </c:pt>
                <c:pt idx="77">
                  <c:v>-41.313144662702783</c:v>
                </c:pt>
                <c:pt idx="78">
                  <c:v>-41.65587912640126</c:v>
                </c:pt>
                <c:pt idx="79">
                  <c:v>-41.995159991185638</c:v>
                </c:pt>
                <c:pt idx="80">
                  <c:v>-42.330979314604264</c:v>
                </c:pt>
                <c:pt idx="81">
                  <c:v>-42.663337607933101</c:v>
                </c:pt>
                <c:pt idx="82">
                  <c:v>-42.992242763249422</c:v>
                </c:pt>
                <c:pt idx="83">
                  <c:v>-43.317709090309933</c:v>
                </c:pt>
                <c:pt idx="84">
                  <c:v>-43.639756454303587</c:v>
                </c:pt>
                <c:pt idx="85">
                  <c:v>-43.958409505781866</c:v>
                </c:pt>
                <c:pt idx="86">
                  <c:v>-44.273696994432569</c:v>
                </c:pt>
                <c:pt idx="87">
                  <c:v>-44.585651158821008</c:v>
                </c:pt>
                <c:pt idx="88">
                  <c:v>-44.894307184737194</c:v>
                </c:pt>
                <c:pt idx="89">
                  <c:v>-45.199702725319291</c:v>
                </c:pt>
                <c:pt idx="90">
                  <c:v>-45.501877476673258</c:v>
                </c:pt>
                <c:pt idx="91">
                  <c:v>-45.800872803231755</c:v>
                </c:pt>
                <c:pt idx="92">
                  <c:v>-46.096731407618492</c:v>
                </c:pt>
                <c:pt idx="93">
                  <c:v>-46.389497040260949</c:v>
                </c:pt>
                <c:pt idx="94">
                  <c:v>-46.679214244456887</c:v>
                </c:pt>
                <c:pt idx="95">
                  <c:v>-46.965928133019773</c:v>
                </c:pt>
                <c:pt idx="96">
                  <c:v>-47.249684193020023</c:v>
                </c:pt>
                <c:pt idx="97">
                  <c:v>-47.530528115495486</c:v>
                </c:pt>
                <c:pt idx="98">
                  <c:v>-47.808505647331721</c:v>
                </c:pt>
                <c:pt idx="99">
                  <c:v>-48.08366246280535</c:v>
                </c:pt>
              </c:numCache>
            </c:numRef>
          </c:yVal>
          <c:smooth val="1"/>
          <c:extLst>
            <c:ext xmlns:c16="http://schemas.microsoft.com/office/drawing/2014/chart" uri="{C3380CC4-5D6E-409C-BE32-E72D297353CC}">
              <c16:uniqueId val="{00000000-8A5E-4502-B1A0-DC91060BAB8A}"/>
            </c:ext>
          </c:extLst>
        </c:ser>
        <c:dLbls>
          <c:showLegendKey val="0"/>
          <c:showVal val="0"/>
          <c:showCatName val="0"/>
          <c:showSerName val="0"/>
          <c:showPercent val="0"/>
          <c:showBubbleSize val="0"/>
        </c:dLbls>
        <c:axId val="507661520"/>
        <c:axId val="1"/>
      </c:scatterChart>
      <c:scatterChart>
        <c:scatterStyle val="lineMarker"/>
        <c:varyColors val="0"/>
        <c:ser>
          <c:idx val="2"/>
          <c:order val="1"/>
          <c:tx>
            <c:strRef>
              <c:f>'Voltage Loop'!$O$1</c:f>
              <c:strCache>
                <c:ptCount val="1"/>
                <c:pt idx="0">
                  <c:v>ӨTv(f)</c:v>
                </c:pt>
              </c:strCache>
            </c:strRef>
          </c:tx>
          <c:spPr>
            <a:ln w="25400">
              <a:solidFill>
                <a:srgbClr val="FF0000"/>
              </a:solidFill>
              <a:prstDash val="solid"/>
            </a:ln>
          </c:spPr>
          <c:marker>
            <c:symbol val="none"/>
          </c:marker>
          <c:xVal>
            <c:numRef>
              <c:f>'Voltage Loop'!$B$2:$B$101</c:f>
              <c:numCache>
                <c:formatCode>General</c:formatCode>
                <c:ptCount val="100"/>
                <c:pt idx="0">
                  <c:v>100</c:v>
                </c:pt>
                <c:pt idx="1">
                  <c:v>1000</c:v>
                </c:pt>
                <c:pt idx="2">
                  <c:v>4500</c:v>
                </c:pt>
                <c:pt idx="3">
                  <c:v>6000</c:v>
                </c:pt>
                <c:pt idx="4">
                  <c:v>7500</c:v>
                </c:pt>
                <c:pt idx="5">
                  <c:v>9000</c:v>
                </c:pt>
                <c:pt idx="6">
                  <c:v>10500.000000000002</c:v>
                </c:pt>
                <c:pt idx="7">
                  <c:v>12000</c:v>
                </c:pt>
                <c:pt idx="8">
                  <c:v>13500</c:v>
                </c:pt>
                <c:pt idx="9">
                  <c:v>15000</c:v>
                </c:pt>
                <c:pt idx="10">
                  <c:v>16500</c:v>
                </c:pt>
                <c:pt idx="11">
                  <c:v>18000</c:v>
                </c:pt>
                <c:pt idx="12">
                  <c:v>19500</c:v>
                </c:pt>
                <c:pt idx="13">
                  <c:v>21000.000000000004</c:v>
                </c:pt>
                <c:pt idx="14">
                  <c:v>22500</c:v>
                </c:pt>
                <c:pt idx="15">
                  <c:v>24000</c:v>
                </c:pt>
                <c:pt idx="16">
                  <c:v>25500.000000000004</c:v>
                </c:pt>
                <c:pt idx="17">
                  <c:v>27000</c:v>
                </c:pt>
                <c:pt idx="18">
                  <c:v>28500</c:v>
                </c:pt>
                <c:pt idx="19">
                  <c:v>30000</c:v>
                </c:pt>
                <c:pt idx="20">
                  <c:v>31500</c:v>
                </c:pt>
                <c:pt idx="21">
                  <c:v>33000</c:v>
                </c:pt>
                <c:pt idx="22">
                  <c:v>34500</c:v>
                </c:pt>
                <c:pt idx="23">
                  <c:v>36000</c:v>
                </c:pt>
                <c:pt idx="24">
                  <c:v>37500</c:v>
                </c:pt>
                <c:pt idx="25">
                  <c:v>39000</c:v>
                </c:pt>
                <c:pt idx="26">
                  <c:v>40500</c:v>
                </c:pt>
                <c:pt idx="27">
                  <c:v>42000.000000000007</c:v>
                </c:pt>
                <c:pt idx="28">
                  <c:v>43500</c:v>
                </c:pt>
                <c:pt idx="29">
                  <c:v>45000</c:v>
                </c:pt>
                <c:pt idx="30">
                  <c:v>46500</c:v>
                </c:pt>
                <c:pt idx="31">
                  <c:v>48000</c:v>
                </c:pt>
                <c:pt idx="32">
                  <c:v>49500</c:v>
                </c:pt>
                <c:pt idx="33">
                  <c:v>51000.000000000007</c:v>
                </c:pt>
                <c:pt idx="34">
                  <c:v>52500</c:v>
                </c:pt>
                <c:pt idx="35">
                  <c:v>54000</c:v>
                </c:pt>
                <c:pt idx="36">
                  <c:v>55500</c:v>
                </c:pt>
                <c:pt idx="37">
                  <c:v>57000</c:v>
                </c:pt>
                <c:pt idx="38">
                  <c:v>58500</c:v>
                </c:pt>
                <c:pt idx="39">
                  <c:v>60000</c:v>
                </c:pt>
                <c:pt idx="40">
                  <c:v>61499.999999999993</c:v>
                </c:pt>
                <c:pt idx="41">
                  <c:v>63000</c:v>
                </c:pt>
                <c:pt idx="42">
                  <c:v>64500</c:v>
                </c:pt>
                <c:pt idx="43">
                  <c:v>66000</c:v>
                </c:pt>
                <c:pt idx="44">
                  <c:v>67500</c:v>
                </c:pt>
                <c:pt idx="45">
                  <c:v>69000</c:v>
                </c:pt>
                <c:pt idx="46">
                  <c:v>70500</c:v>
                </c:pt>
                <c:pt idx="47">
                  <c:v>72000</c:v>
                </c:pt>
                <c:pt idx="48">
                  <c:v>73500</c:v>
                </c:pt>
                <c:pt idx="49">
                  <c:v>75000</c:v>
                </c:pt>
                <c:pt idx="50">
                  <c:v>76500</c:v>
                </c:pt>
                <c:pt idx="51">
                  <c:v>78000</c:v>
                </c:pt>
                <c:pt idx="52">
                  <c:v>79500</c:v>
                </c:pt>
                <c:pt idx="53">
                  <c:v>81000</c:v>
                </c:pt>
                <c:pt idx="54">
                  <c:v>82500</c:v>
                </c:pt>
                <c:pt idx="55">
                  <c:v>84000.000000000015</c:v>
                </c:pt>
                <c:pt idx="56">
                  <c:v>85499.999999999985</c:v>
                </c:pt>
                <c:pt idx="57">
                  <c:v>87000</c:v>
                </c:pt>
                <c:pt idx="58">
                  <c:v>88500</c:v>
                </c:pt>
                <c:pt idx="59">
                  <c:v>90000</c:v>
                </c:pt>
                <c:pt idx="60">
                  <c:v>91500</c:v>
                </c:pt>
                <c:pt idx="61">
                  <c:v>93000</c:v>
                </c:pt>
                <c:pt idx="62">
                  <c:v>94500</c:v>
                </c:pt>
                <c:pt idx="63">
                  <c:v>96000</c:v>
                </c:pt>
                <c:pt idx="64">
                  <c:v>97500</c:v>
                </c:pt>
                <c:pt idx="65">
                  <c:v>99000</c:v>
                </c:pt>
                <c:pt idx="66">
                  <c:v>100500</c:v>
                </c:pt>
                <c:pt idx="67">
                  <c:v>102000.00000000001</c:v>
                </c:pt>
                <c:pt idx="68">
                  <c:v>103499.99999999999</c:v>
                </c:pt>
                <c:pt idx="69">
                  <c:v>105000</c:v>
                </c:pt>
                <c:pt idx="70">
                  <c:v>106500</c:v>
                </c:pt>
                <c:pt idx="71">
                  <c:v>108000</c:v>
                </c:pt>
                <c:pt idx="72">
                  <c:v>109500</c:v>
                </c:pt>
                <c:pt idx="73">
                  <c:v>111000</c:v>
                </c:pt>
                <c:pt idx="74">
                  <c:v>112500</c:v>
                </c:pt>
                <c:pt idx="75">
                  <c:v>114000</c:v>
                </c:pt>
                <c:pt idx="76">
                  <c:v>115500</c:v>
                </c:pt>
                <c:pt idx="77">
                  <c:v>117000</c:v>
                </c:pt>
                <c:pt idx="78">
                  <c:v>118500</c:v>
                </c:pt>
                <c:pt idx="79">
                  <c:v>120000</c:v>
                </c:pt>
                <c:pt idx="80">
                  <c:v>121500.00000000001</c:v>
                </c:pt>
                <c:pt idx="81">
                  <c:v>122999.99999999999</c:v>
                </c:pt>
                <c:pt idx="82">
                  <c:v>124500</c:v>
                </c:pt>
                <c:pt idx="83">
                  <c:v>126000</c:v>
                </c:pt>
                <c:pt idx="84">
                  <c:v>127500</c:v>
                </c:pt>
                <c:pt idx="85">
                  <c:v>129000</c:v>
                </c:pt>
                <c:pt idx="86">
                  <c:v>130500</c:v>
                </c:pt>
                <c:pt idx="87">
                  <c:v>132000</c:v>
                </c:pt>
                <c:pt idx="88">
                  <c:v>133500</c:v>
                </c:pt>
                <c:pt idx="89">
                  <c:v>135000</c:v>
                </c:pt>
                <c:pt idx="90">
                  <c:v>136500</c:v>
                </c:pt>
                <c:pt idx="91">
                  <c:v>138000</c:v>
                </c:pt>
                <c:pt idx="92">
                  <c:v>139500</c:v>
                </c:pt>
                <c:pt idx="93">
                  <c:v>141000</c:v>
                </c:pt>
                <c:pt idx="94">
                  <c:v>142500</c:v>
                </c:pt>
                <c:pt idx="95">
                  <c:v>144000</c:v>
                </c:pt>
                <c:pt idx="96">
                  <c:v>145500</c:v>
                </c:pt>
                <c:pt idx="97">
                  <c:v>147000</c:v>
                </c:pt>
                <c:pt idx="98">
                  <c:v>148500</c:v>
                </c:pt>
                <c:pt idx="99">
                  <c:v>150000</c:v>
                </c:pt>
              </c:numCache>
            </c:numRef>
          </c:xVal>
          <c:yVal>
            <c:numRef>
              <c:f>'Voltage Loop'!$O$2:$O$101</c:f>
              <c:numCache>
                <c:formatCode>General</c:formatCode>
                <c:ptCount val="100"/>
                <c:pt idx="0">
                  <c:v>25.402610356589918</c:v>
                </c:pt>
                <c:pt idx="1">
                  <c:v>76.801625937493952</c:v>
                </c:pt>
                <c:pt idx="2">
                  <c:v>89.305067041286492</c:v>
                </c:pt>
                <c:pt idx="3">
                  <c:v>89.899372908768086</c:v>
                </c:pt>
                <c:pt idx="4">
                  <c:v>89.711267511294025</c:v>
                </c:pt>
                <c:pt idx="5">
                  <c:v>89.02452191785936</c:v>
                </c:pt>
                <c:pt idx="6">
                  <c:v>88.018741824158937</c:v>
                </c:pt>
                <c:pt idx="7">
                  <c:v>86.811326771666415</c:v>
                </c:pt>
                <c:pt idx="8">
                  <c:v>85.477632873001156</c:v>
                </c:pt>
                <c:pt idx="9">
                  <c:v>84.06477854917398</c:v>
                </c:pt>
                <c:pt idx="10">
                  <c:v>82.60139285069387</c:v>
                </c:pt>
                <c:pt idx="11">
                  <c:v>81.104237998772319</c:v>
                </c:pt>
                <c:pt idx="12">
                  <c:v>79.582555083362564</c:v>
                </c:pt>
                <c:pt idx="13">
                  <c:v>78.04085420989486</c:v>
                </c:pt>
                <c:pt idx="14">
                  <c:v>76.480685508425111</c:v>
                </c:pt>
                <c:pt idx="15">
                  <c:v>74.901758388715052</c:v>
                </c:pt>
                <c:pt idx="16">
                  <c:v>73.302649326150686</c:v>
                </c:pt>
                <c:pt idx="17">
                  <c:v>71.681251558265458</c:v>
                </c:pt>
                <c:pt idx="18">
                  <c:v>70.035063503850679</c:v>
                </c:pt>
                <c:pt idx="19">
                  <c:v>68.36137681866478</c:v>
                </c:pt>
                <c:pt idx="20">
                  <c:v>66.657402488820168</c:v>
                </c:pt>
                <c:pt idx="21">
                  <c:v>64.920359293830842</c:v>
                </c:pt>
                <c:pt idx="22">
                  <c:v>63.147540159022171</c:v>
                </c:pt>
                <c:pt idx="23">
                  <c:v>61.336366355888075</c:v>
                </c:pt>
                <c:pt idx="24">
                  <c:v>59.484435950017399</c:v>
                </c:pt>
                <c:pt idx="25">
                  <c:v>57.589570563165339</c:v>
                </c:pt>
                <c:pt idx="26">
                  <c:v>55.649862925129682</c:v>
                </c:pt>
                <c:pt idx="27">
                  <c:v>53.663726539709771</c:v>
                </c:pt>
                <c:pt idx="28">
                  <c:v>51.629947888267424</c:v>
                </c:pt>
                <c:pt idx="29">
                  <c:v>49.547740829104271</c:v>
                </c:pt>
                <c:pt idx="30">
                  <c:v>47.416802156246064</c:v>
                </c:pt>
                <c:pt idx="31">
                  <c:v>45.237366629845582</c:v>
                </c:pt>
                <c:pt idx="32">
                  <c:v>43.010259184701795</c:v>
                </c:pt>
                <c:pt idx="33">
                  <c:v>40.736941490754447</c:v>
                </c:pt>
                <c:pt idx="34">
                  <c:v>38.419549627551447</c:v>
                </c:pt>
                <c:pt idx="35">
                  <c:v>36.060919405339206</c:v>
                </c:pt>
                <c:pt idx="36">
                  <c:v>33.664595885322115</c:v>
                </c:pt>
                <c:pt idx="37">
                  <c:v>31.234823980232164</c:v>
                </c:pt>
                <c:pt idx="38">
                  <c:v>28.776517691522287</c:v>
                </c:pt>
                <c:pt idx="39">
                  <c:v>26.295206562812069</c:v>
                </c:pt>
                <c:pt idx="40">
                  <c:v>23.796959254592707</c:v>
                </c:pt>
                <c:pt idx="41">
                  <c:v>21.288285674225534</c:v>
                </c:pt>
                <c:pt idx="42">
                  <c:v>18.776020682727392</c:v>
                </c:pt>
                <c:pt idx="43">
                  <c:v>16.267193870136936</c:v>
                </c:pt>
                <c:pt idx="44">
                  <c:v>13.768891064648415</c:v>
                </c:pt>
                <c:pt idx="45">
                  <c:v>11.288113963864248</c:v>
                </c:pt>
                <c:pt idx="46">
                  <c:v>8.8316444512358316</c:v>
                </c:pt>
                <c:pt idx="47">
                  <c:v>6.4059197629239577</c:v>
                </c:pt>
                <c:pt idx="48">
                  <c:v>4.0169237548760748</c:v>
                </c:pt>
                <c:pt idx="49">
                  <c:v>1.6700982098438431</c:v>
                </c:pt>
                <c:pt idx="50">
                  <c:v>-0.62972341326155856</c:v>
                </c:pt>
                <c:pt idx="51">
                  <c:v>-2.8783589684338153</c:v>
                </c:pt>
                <c:pt idx="52">
                  <c:v>-5.0722979939657762</c:v>
                </c:pt>
                <c:pt idx="53">
                  <c:v>-7.2087013257561807</c:v>
                </c:pt>
                <c:pt idx="54">
                  <c:v>-9.2853827034757614</c:v>
                </c:pt>
                <c:pt idx="55">
                  <c:v>-11.300775662634919</c:v>
                </c:pt>
                <c:pt idx="56">
                  <c:v>-13.253889217893175</c:v>
                </c:pt>
                <c:pt idx="57">
                  <c:v>-15.144255776411228</c:v>
                </c:pt>
                <c:pt idx="58">
                  <c:v>-16.971874442848957</c:v>
                </c:pt>
                <c:pt idx="59">
                  <c:v>-18.737152462063023</c:v>
                </c:pt>
                <c:pt idx="60">
                  <c:v>-20.440847058402142</c:v>
                </c:pt>
                <c:pt idx="61">
                  <c:v>-22.084009426803107</c:v>
                </c:pt>
                <c:pt idx="62">
                  <c:v>-23.667932151512559</c:v>
                </c:pt>
                <c:pt idx="63">
                  <c:v>-25.194100899947614</c:v>
                </c:pt>
                <c:pt idx="64">
                  <c:v>-26.664150876380177</c:v>
                </c:pt>
                <c:pt idx="65">
                  <c:v>-28.079828227488065</c:v>
                </c:pt>
                <c:pt idx="66">
                  <c:v>-29.44295636719653</c:v>
                </c:pt>
                <c:pt idx="67">
                  <c:v>-30.755407025059526</c:v>
                </c:pt>
                <c:pt idx="68">
                  <c:v>-32.01907571189804</c:v>
                </c:pt>
                <c:pt idx="69">
                  <c:v>-33.235861228881447</c:v>
                </c:pt>
                <c:pt idx="70">
                  <c:v>-34.40764881244985</c:v>
                </c:pt>
                <c:pt idx="71">
                  <c:v>-35.536296498961974</c:v>
                </c:pt>
                <c:pt idx="72">
                  <c:v>-36.623624302571102</c:v>
                </c:pt>
                <c:pt idx="73">
                  <c:v>-37.671405821642111</c:v>
                </c:pt>
                <c:pt idx="74">
                  <c:v>-38.681361918394714</c:v>
                </c:pt>
                <c:pt idx="75">
                  <c:v>-39.655156149841218</c:v>
                </c:pt>
                <c:pt idx="76">
                  <c:v>-40.594391662894907</c:v>
                </c:pt>
                <c:pt idx="77">
                  <c:v>-41.500609300932297</c:v>
                </c:pt>
                <c:pt idx="78">
                  <c:v>-42.375286701881691</c:v>
                </c:pt>
                <c:pt idx="79">
                  <c:v>-43.219838198356456</c:v>
                </c:pt>
                <c:pt idx="80">
                  <c:v>-44.035615358019754</c:v>
                </c:pt>
                <c:pt idx="81">
                  <c:v>-44.823908027142693</c:v>
                </c:pt>
                <c:pt idx="82">
                  <c:v>-45.585945762178881</c:v>
                </c:pt>
                <c:pt idx="83">
                  <c:v>-46.322899553279512</c:v>
                </c:pt>
                <c:pt idx="84">
                  <c:v>-47.0358837602015</c:v>
                </c:pt>
                <c:pt idx="85">
                  <c:v>-47.725958195237695</c:v>
                </c:pt>
                <c:pt idx="86">
                  <c:v>-48.394130299878839</c:v>
                </c:pt>
                <c:pt idx="87">
                  <c:v>-49.041357372157222</c:v>
                </c:pt>
                <c:pt idx="88">
                  <c:v>-49.66854881021311</c:v>
                </c:pt>
                <c:pt idx="89">
                  <c:v>-50.276568344839461</c:v>
                </c:pt>
                <c:pt idx="90">
                  <c:v>-50.866236239742818</c:v>
                </c:pt>
                <c:pt idx="91">
                  <c:v>-51.438331443231959</c:v>
                </c:pt>
                <c:pt idx="92">
                  <c:v>-51.993593679111882</c:v>
                </c:pt>
                <c:pt idx="93">
                  <c:v>-52.532725467917658</c:v>
                </c:pt>
                <c:pt idx="94">
                  <c:v>-53.056394072331159</c:v>
                </c:pt>
                <c:pt idx="95">
                  <c:v>-53.565233362824131</c:v>
                </c:pt>
                <c:pt idx="96">
                  <c:v>-54.059845601329982</c:v>
                </c:pt>
                <c:pt idx="97">
                  <c:v>-54.540803142144227</c:v>
                </c:pt>
                <c:pt idx="98">
                  <c:v>-55.008650050353367</c:v>
                </c:pt>
                <c:pt idx="99">
                  <c:v>-55.463903638945681</c:v>
                </c:pt>
              </c:numCache>
            </c:numRef>
          </c:yVal>
          <c:smooth val="0"/>
          <c:extLst>
            <c:ext xmlns:c16="http://schemas.microsoft.com/office/drawing/2014/chart" uri="{C3380CC4-5D6E-409C-BE32-E72D297353CC}">
              <c16:uniqueId val="{00000001-8A5E-4502-B1A0-DC91060BAB8A}"/>
            </c:ext>
          </c:extLst>
        </c:ser>
        <c:dLbls>
          <c:showLegendKey val="0"/>
          <c:showVal val="0"/>
          <c:showCatName val="0"/>
          <c:showSerName val="0"/>
          <c:showPercent val="0"/>
          <c:showBubbleSize val="0"/>
        </c:dLbls>
        <c:axId val="3"/>
        <c:axId val="4"/>
      </c:scatterChart>
      <c:valAx>
        <c:axId val="507661520"/>
        <c:scaling>
          <c:logBase val="10"/>
          <c:orientation val="minMax"/>
          <c:min val="100"/>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975" b="1" i="0" u="none" strike="noStrike" baseline="0">
                    <a:solidFill>
                      <a:srgbClr val="000000"/>
                    </a:solidFill>
                    <a:latin typeface="Arial"/>
                    <a:ea typeface="Arial"/>
                    <a:cs typeface="Arial"/>
                  </a:defRPr>
                </a:pPr>
                <a:r>
                  <a:rPr lang="en-US"/>
                  <a:t>Frequency in Hz</a:t>
                </a:r>
              </a:p>
            </c:rich>
          </c:tx>
          <c:layout>
            <c:manualLayout>
              <c:xMode val="edge"/>
              <c:yMode val="edge"/>
              <c:x val="0.41680425297156326"/>
              <c:y val="0.9311225929416023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75" b="1" i="0" u="none" strike="noStrike" baseline="0">
                <a:solidFill>
                  <a:srgbClr val="000000"/>
                </a:solidFill>
                <a:latin typeface="Arial"/>
                <a:ea typeface="Arial"/>
                <a:cs typeface="Arial"/>
              </a:defRPr>
            </a:pPr>
            <a:endParaRPr lang="en-US"/>
          </a:p>
        </c:txPr>
        <c:crossAx val="1"/>
        <c:crossesAt val="-80"/>
        <c:crossBetween val="midCat"/>
      </c:valAx>
      <c:valAx>
        <c:axId val="1"/>
        <c:scaling>
          <c:orientation val="minMax"/>
          <c:max val="80"/>
          <c:min val="-80"/>
        </c:scaling>
        <c:delete val="0"/>
        <c:axPos val="l"/>
        <c:majorGridlines>
          <c:spPr>
            <a:ln w="3175">
              <a:solidFill>
                <a:srgbClr val="000000"/>
              </a:solidFill>
              <a:prstDash val="solid"/>
            </a:ln>
          </c:spPr>
        </c:majorGridlines>
        <c:title>
          <c:tx>
            <c:rich>
              <a:bodyPr/>
              <a:lstStyle/>
              <a:p>
                <a:pPr>
                  <a:defRPr sz="975" b="1" i="0" u="none" strike="noStrike" baseline="0">
                    <a:solidFill>
                      <a:srgbClr val="000000"/>
                    </a:solidFill>
                    <a:latin typeface="Arial"/>
                    <a:ea typeface="Arial"/>
                    <a:cs typeface="Arial"/>
                  </a:defRPr>
                </a:pPr>
                <a:r>
                  <a:rPr lang="en-US"/>
                  <a:t>Gain in dB</a:t>
                </a:r>
              </a:p>
            </c:rich>
          </c:tx>
          <c:layout>
            <c:manualLayout>
              <c:xMode val="edge"/>
              <c:yMode val="edge"/>
              <c:x val="1.9769296353879334E-2"/>
              <c:y val="0.3979590913204814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75" b="1" i="0" u="none" strike="noStrike" baseline="0">
                <a:solidFill>
                  <a:srgbClr val="000000"/>
                </a:solidFill>
                <a:latin typeface="Arial"/>
                <a:ea typeface="Arial"/>
                <a:cs typeface="Arial"/>
              </a:defRPr>
            </a:pPr>
            <a:endParaRPr lang="en-US"/>
          </a:p>
        </c:txPr>
        <c:crossAx val="507661520"/>
        <c:crosses val="autoZero"/>
        <c:crossBetween val="midCat"/>
      </c:valAx>
      <c:valAx>
        <c:axId val="3"/>
        <c:scaling>
          <c:logBase val="10"/>
          <c:orientation val="minMax"/>
        </c:scaling>
        <c:delete val="1"/>
        <c:axPos val="b"/>
        <c:numFmt formatCode="General" sourceLinked="1"/>
        <c:majorTickMark val="out"/>
        <c:minorTickMark val="none"/>
        <c:tickLblPos val="nextTo"/>
        <c:crossAx val="4"/>
        <c:crosses val="autoZero"/>
        <c:crossBetween val="midCat"/>
      </c:valAx>
      <c:valAx>
        <c:axId val="4"/>
        <c:scaling>
          <c:orientation val="minMax"/>
          <c:max val="180"/>
          <c:min val="-18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975" b="1" i="0" u="none" strike="noStrike" baseline="0">
                <a:solidFill>
                  <a:srgbClr val="000000"/>
                </a:solidFill>
                <a:latin typeface="Arial"/>
                <a:ea typeface="Arial"/>
                <a:cs typeface="Arial"/>
              </a:defRPr>
            </a:pPr>
            <a:endParaRPr lang="en-US"/>
          </a:p>
        </c:txPr>
        <c:crossAx val="3"/>
        <c:crosses val="max"/>
        <c:crossBetween val="midCat"/>
        <c:majorUnit val="45"/>
      </c:valAx>
      <c:spPr>
        <a:solidFill>
          <a:srgbClr val="FFFFFF"/>
        </a:solidFill>
        <a:ln w="12700">
          <a:solidFill>
            <a:srgbClr val="808080"/>
          </a:solidFill>
          <a:prstDash val="solid"/>
        </a:ln>
      </c:spPr>
    </c:plotArea>
    <c:legend>
      <c:legendPos val="r"/>
      <c:layout>
        <c:manualLayout>
          <c:xMode val="edge"/>
          <c:yMode val="edge"/>
          <c:x val="0.12275352704108956"/>
          <c:y val="0.70078936087776"/>
          <c:w val="0.16203465569423822"/>
          <c:h val="0.12276601942384117"/>
        </c:manualLayout>
      </c:layout>
      <c:overlay val="0"/>
      <c:spPr>
        <a:solidFill>
          <a:srgbClr val="FFFFFF"/>
        </a:solidFill>
        <a:ln w="3175">
          <a:solidFill>
            <a:srgbClr val="000000"/>
          </a:solidFill>
          <a:prstDash val="solid"/>
        </a:ln>
      </c:spPr>
      <c:txPr>
        <a:bodyPr/>
        <a:lstStyle/>
        <a:p>
          <a:pPr>
            <a:defRPr sz="101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20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9525</xdr:rowOff>
    </xdr:from>
    <xdr:to>
      <xdr:col>14</xdr:col>
      <xdr:colOff>466725</xdr:colOff>
      <xdr:row>38</xdr:row>
      <xdr:rowOff>19050</xdr:rowOff>
    </xdr:to>
    <xdr:pic>
      <xdr:nvPicPr>
        <xdr:cNvPr id="4149" name="Picture 2">
          <a:extLst>
            <a:ext uri="{FF2B5EF4-FFF2-40B4-BE49-F238E27FC236}">
              <a16:creationId xmlns:a16="http://schemas.microsoft.com/office/drawing/2014/main" id="{7A47A581-D9A2-4F09-A4D6-3C564BEBF9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71450"/>
          <a:ext cx="8382000" cy="600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151</xdr:row>
      <xdr:rowOff>28575</xdr:rowOff>
    </xdr:from>
    <xdr:to>
      <xdr:col>3</xdr:col>
      <xdr:colOff>552450</xdr:colOff>
      <xdr:row>171</xdr:row>
      <xdr:rowOff>133350</xdr:rowOff>
    </xdr:to>
    <xdr:graphicFrame macro="">
      <xdr:nvGraphicFramePr>
        <xdr:cNvPr id="1088" name="Chart 12">
          <a:extLst>
            <a:ext uri="{FF2B5EF4-FFF2-40B4-BE49-F238E27FC236}">
              <a16:creationId xmlns:a16="http://schemas.microsoft.com/office/drawing/2014/main" id="{8F061212-D095-47E7-B34B-038C551337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fPrintsWithSheet="0"/>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8</xdr:col>
      <xdr:colOff>419100</xdr:colOff>
      <xdr:row>4</xdr:row>
      <xdr:rowOff>76200</xdr:rowOff>
    </xdr:to>
    <xdr:pic>
      <xdr:nvPicPr>
        <xdr:cNvPr id="5176" name="Picture 2">
          <a:extLst>
            <a:ext uri="{FF2B5EF4-FFF2-40B4-BE49-F238E27FC236}">
              <a16:creationId xmlns:a16="http://schemas.microsoft.com/office/drawing/2014/main" id="{19012F2F-12DE-46D8-913B-847B5B27369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5295900" cy="704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pic>
    <xdr:clientData fLocksWithSheet="0"/>
  </xdr:twoCellAnchor>
  <mc:AlternateContent xmlns:mc="http://schemas.openxmlformats.org/markup-compatibility/2006">
    <mc:Choice xmlns:a14="http://schemas.microsoft.com/office/drawing/2010/main" Requires="a14">
      <xdr:twoCellAnchor editAs="oneCell">
        <xdr:from>
          <xdr:col>0</xdr:col>
          <xdr:colOff>38100</xdr:colOff>
          <xdr:row>5</xdr:row>
          <xdr:rowOff>47625</xdr:rowOff>
        </xdr:from>
        <xdr:to>
          <xdr:col>8</xdr:col>
          <xdr:colOff>428625</xdr:colOff>
          <xdr:row>46</xdr:row>
          <xdr:rowOff>47625</xdr:rowOff>
        </xdr:to>
        <xdr:sp macro="" textlink="">
          <xdr:nvSpPr>
            <xdr:cNvPr id="5125" name="Object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285750</xdr:colOff>
      <xdr:row>34</xdr:row>
      <xdr:rowOff>104775</xdr:rowOff>
    </xdr:to>
    <xdr:pic>
      <xdr:nvPicPr>
        <xdr:cNvPr id="6198" name="Picture 3">
          <a:extLst>
            <a:ext uri="{FF2B5EF4-FFF2-40B4-BE49-F238E27FC236}">
              <a16:creationId xmlns:a16="http://schemas.microsoft.com/office/drawing/2014/main" id="{CFDE352D-37CD-4AD8-8BDE-770E3C27CF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552950" cy="5610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314325</xdr:colOff>
      <xdr:row>34</xdr:row>
      <xdr:rowOff>104775</xdr:rowOff>
    </xdr:to>
    <xdr:pic>
      <xdr:nvPicPr>
        <xdr:cNvPr id="7222" name="Picture 3">
          <a:extLst>
            <a:ext uri="{FF2B5EF4-FFF2-40B4-BE49-F238E27FC236}">
              <a16:creationId xmlns:a16="http://schemas.microsoft.com/office/drawing/2014/main" id="{FD865A7B-6D2A-42F3-B3CF-DD7EA92F7F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581525" cy="5610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219075</xdr:colOff>
      <xdr:row>85</xdr:row>
      <xdr:rowOff>95250</xdr:rowOff>
    </xdr:from>
    <xdr:to>
      <xdr:col>7</xdr:col>
      <xdr:colOff>47625</xdr:colOff>
      <xdr:row>105</xdr:row>
      <xdr:rowOff>123825</xdr:rowOff>
    </xdr:to>
    <xdr:graphicFrame macro="">
      <xdr:nvGraphicFramePr>
        <xdr:cNvPr id="3127" name="Chart 4">
          <a:extLst>
            <a:ext uri="{FF2B5EF4-FFF2-40B4-BE49-F238E27FC236}">
              <a16:creationId xmlns:a16="http://schemas.microsoft.com/office/drawing/2014/main" id="{E1810966-47A1-472B-BA5C-8A0FC84913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0799388\My%20Documents\Applications%20Information\UCC28070\Design%20Tool\UCC28070%20Design%20Tool%208%2015%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ign Information"/>
      <sheetName val="Current Loop Calaculations"/>
      <sheetName val="Voltage Loop Calaclations"/>
    </sheetNames>
    <sheetDataSet>
      <sheetData sheetId="0">
        <row r="29">
          <cell r="C29">
            <v>2.4499999999999999E-4</v>
          </cell>
        </row>
        <row r="40">
          <cell r="C40">
            <v>50</v>
          </cell>
        </row>
        <row r="83">
          <cell r="C83">
            <v>4020</v>
          </cell>
        </row>
        <row r="85">
          <cell r="C85">
            <v>2.1999999999999998E-9</v>
          </cell>
        </row>
        <row r="87">
          <cell r="C87">
            <v>3.3E-10</v>
          </cell>
        </row>
      </sheetData>
      <sheetData sheetId="1"/>
      <sheetData sheetId="2"/>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workbookViewId="0">
      <selection activeCell="A14" sqref="A14:N14"/>
    </sheetView>
  </sheetViews>
  <sheetFormatPr defaultRowHeight="12.75" x14ac:dyDescent="0.2"/>
  <sheetData>
    <row r="1" spans="1:14" ht="33.75" x14ac:dyDescent="0.2">
      <c r="A1" s="103" t="s">
        <v>337</v>
      </c>
      <c r="B1" s="103"/>
      <c r="C1" s="103"/>
      <c r="D1" s="103"/>
      <c r="E1" s="103"/>
      <c r="F1" s="103"/>
      <c r="G1" s="103"/>
      <c r="H1" s="103"/>
      <c r="I1" s="103"/>
      <c r="J1" s="103"/>
      <c r="K1" s="103"/>
      <c r="L1" s="103"/>
      <c r="M1" s="103"/>
      <c r="N1" s="103"/>
    </row>
    <row r="2" spans="1:14" ht="25.5" x14ac:dyDescent="0.2">
      <c r="A2" s="104" t="s">
        <v>0</v>
      </c>
      <c r="B2" s="104"/>
      <c r="C2" s="104"/>
      <c r="D2" s="104"/>
      <c r="E2" s="104"/>
      <c r="F2" s="104"/>
      <c r="G2" s="104"/>
      <c r="H2" s="104"/>
      <c r="I2" s="104"/>
      <c r="J2" s="104"/>
      <c r="K2" s="104"/>
      <c r="L2" s="104"/>
      <c r="M2" s="104"/>
      <c r="N2" s="104"/>
    </row>
    <row r="3" spans="1:14" x14ac:dyDescent="0.2">
      <c r="A3" s="105"/>
      <c r="B3" s="105"/>
      <c r="C3" s="105"/>
      <c r="D3" s="105"/>
      <c r="E3" s="105"/>
      <c r="F3" s="105"/>
      <c r="G3" s="105"/>
      <c r="H3" s="105"/>
      <c r="I3" s="105"/>
      <c r="J3" s="105"/>
      <c r="K3" s="105"/>
      <c r="L3" s="105"/>
      <c r="M3" s="105"/>
      <c r="N3" s="105"/>
    </row>
    <row r="4" spans="1:14" ht="25.5" x14ac:dyDescent="0.2">
      <c r="A4" s="106" t="s">
        <v>1</v>
      </c>
      <c r="B4" s="106"/>
      <c r="C4" s="106"/>
      <c r="D4" s="106"/>
      <c r="E4" s="106"/>
      <c r="F4" s="106"/>
      <c r="G4" s="106"/>
      <c r="H4" s="106"/>
      <c r="I4" s="106"/>
      <c r="J4" s="106"/>
      <c r="K4" s="106"/>
      <c r="L4" s="106"/>
      <c r="M4" s="106"/>
      <c r="N4" s="106"/>
    </row>
    <row r="5" spans="1:14" x14ac:dyDescent="0.2">
      <c r="A5" s="105"/>
      <c r="B5" s="105"/>
      <c r="C5" s="105"/>
      <c r="D5" s="105"/>
      <c r="E5" s="105"/>
      <c r="F5" s="105"/>
      <c r="G5" s="105"/>
      <c r="H5" s="105"/>
      <c r="I5" s="105"/>
      <c r="J5" s="105"/>
      <c r="K5" s="105"/>
      <c r="L5" s="105"/>
      <c r="M5" s="105"/>
      <c r="N5" s="105"/>
    </row>
    <row r="6" spans="1:14" ht="25.5" x14ac:dyDescent="0.2">
      <c r="A6" s="1" t="s">
        <v>2</v>
      </c>
      <c r="B6" s="1"/>
      <c r="C6" s="1"/>
      <c r="D6" s="1"/>
      <c r="E6" s="1"/>
      <c r="F6" s="1"/>
      <c r="G6" s="1"/>
      <c r="H6" s="1"/>
      <c r="I6" s="1"/>
      <c r="J6" s="1"/>
      <c r="K6" s="1"/>
      <c r="L6" s="1"/>
      <c r="M6" s="1"/>
      <c r="N6" s="1"/>
    </row>
    <row r="7" spans="1:14" ht="25.5" x14ac:dyDescent="0.2">
      <c r="A7" s="1"/>
      <c r="B7" s="106" t="s">
        <v>3</v>
      </c>
      <c r="C7" s="106"/>
      <c r="D7" s="106"/>
      <c r="E7" s="106"/>
      <c r="F7" s="106"/>
      <c r="G7" s="106"/>
      <c r="H7" s="106"/>
      <c r="I7" s="106"/>
      <c r="J7" s="106"/>
      <c r="K7" s="106"/>
      <c r="L7" s="106"/>
      <c r="M7" s="106"/>
      <c r="N7" s="106"/>
    </row>
    <row r="8" spans="1:14" ht="25.5" x14ac:dyDescent="0.2">
      <c r="A8" s="1"/>
      <c r="B8" s="106" t="s">
        <v>4</v>
      </c>
      <c r="C8" s="106"/>
      <c r="D8" s="106"/>
      <c r="E8" s="106"/>
      <c r="F8" s="106"/>
      <c r="G8" s="106"/>
      <c r="H8" s="106"/>
      <c r="I8" s="106"/>
      <c r="J8" s="106"/>
      <c r="K8" s="106"/>
      <c r="L8" s="106"/>
      <c r="M8" s="106"/>
      <c r="N8" s="106"/>
    </row>
    <row r="9" spans="1:14" ht="25.5" x14ac:dyDescent="0.2">
      <c r="A9" s="1"/>
      <c r="B9" s="106" t="s">
        <v>5</v>
      </c>
      <c r="C9" s="106"/>
      <c r="D9" s="106"/>
      <c r="E9" s="106"/>
      <c r="F9" s="106"/>
      <c r="G9" s="106"/>
      <c r="H9" s="106"/>
      <c r="I9" s="106"/>
      <c r="J9" s="106"/>
      <c r="K9" s="106"/>
      <c r="L9" s="106"/>
      <c r="M9" s="106"/>
      <c r="N9" s="106"/>
    </row>
    <row r="10" spans="1:14" ht="25.5" x14ac:dyDescent="0.2">
      <c r="A10" s="1" t="s">
        <v>6</v>
      </c>
      <c r="B10" s="1"/>
      <c r="C10" s="1"/>
      <c r="D10" s="1"/>
      <c r="E10" s="1"/>
      <c r="F10" s="1"/>
      <c r="G10" s="1"/>
      <c r="H10" s="1"/>
      <c r="I10" s="1"/>
      <c r="J10" s="1"/>
      <c r="K10" s="1"/>
      <c r="L10" s="1"/>
      <c r="M10" s="1"/>
      <c r="N10" s="1"/>
    </row>
    <row r="11" spans="1:14" ht="25.5" x14ac:dyDescent="0.2">
      <c r="A11" s="1"/>
      <c r="B11" s="1"/>
      <c r="C11" s="1"/>
      <c r="D11" s="1"/>
      <c r="E11" s="1"/>
      <c r="F11" s="1"/>
      <c r="G11" s="1"/>
      <c r="H11" s="1"/>
      <c r="I11" s="1"/>
      <c r="J11" s="1"/>
      <c r="K11" s="1"/>
      <c r="L11" s="1"/>
      <c r="M11" s="1"/>
      <c r="N11" s="1"/>
    </row>
    <row r="12" spans="1:14" ht="25.5" x14ac:dyDescent="0.2">
      <c r="A12" s="107" t="s">
        <v>296</v>
      </c>
      <c r="B12" s="107"/>
      <c r="C12" s="107"/>
      <c r="D12" s="107"/>
      <c r="E12" s="107"/>
      <c r="F12" s="107"/>
      <c r="G12" s="107"/>
      <c r="H12" s="107"/>
      <c r="I12" s="107"/>
      <c r="J12" s="107"/>
      <c r="K12" s="107"/>
      <c r="L12" s="107"/>
      <c r="M12" s="107"/>
      <c r="N12" s="107"/>
    </row>
    <row r="13" spans="1:14" ht="25.5" x14ac:dyDescent="0.2">
      <c r="A13" s="80"/>
      <c r="B13" s="80"/>
      <c r="C13" s="80"/>
      <c r="D13" s="80"/>
      <c r="E13" s="80"/>
      <c r="F13" s="80"/>
      <c r="G13" s="80"/>
      <c r="H13" s="80"/>
      <c r="I13" s="80"/>
      <c r="J13" s="80"/>
      <c r="K13" s="80"/>
      <c r="L13" s="80"/>
      <c r="M13" s="80"/>
      <c r="N13" s="80"/>
    </row>
    <row r="14" spans="1:14" ht="25.5" x14ac:dyDescent="0.2">
      <c r="A14" s="107" t="s">
        <v>7</v>
      </c>
      <c r="B14" s="107"/>
      <c r="C14" s="107"/>
      <c r="D14" s="107"/>
      <c r="E14" s="107"/>
      <c r="F14" s="107"/>
      <c r="G14" s="107"/>
      <c r="H14" s="107"/>
      <c r="I14" s="107"/>
      <c r="J14" s="107"/>
      <c r="K14" s="107"/>
      <c r="L14" s="107"/>
      <c r="M14" s="107"/>
      <c r="N14" s="107"/>
    </row>
    <row r="15" spans="1:14" ht="25.5" x14ac:dyDescent="0.2">
      <c r="A15" s="80"/>
      <c r="B15" s="80"/>
      <c r="C15" s="80"/>
      <c r="D15" s="80"/>
      <c r="E15" s="80"/>
      <c r="F15" s="80"/>
      <c r="G15" s="80"/>
      <c r="H15" s="80"/>
      <c r="I15" s="80"/>
      <c r="J15" s="80"/>
      <c r="K15" s="80"/>
      <c r="L15" s="80"/>
      <c r="M15" s="80"/>
      <c r="N15" s="80"/>
    </row>
    <row r="16" spans="1:14" ht="45.75" customHeight="1" x14ac:dyDescent="0.2">
      <c r="A16" s="107" t="s">
        <v>330</v>
      </c>
      <c r="B16" s="107"/>
      <c r="C16" s="107"/>
      <c r="D16" s="107"/>
      <c r="E16" s="107"/>
      <c r="F16" s="107"/>
      <c r="G16" s="107"/>
      <c r="H16" s="107"/>
      <c r="I16" s="107"/>
      <c r="J16" s="107"/>
      <c r="K16" s="107"/>
      <c r="L16" s="107"/>
      <c r="M16" s="107"/>
      <c r="N16" s="107"/>
    </row>
    <row r="17" spans="1:1" x14ac:dyDescent="0.2">
      <c r="A17" t="s">
        <v>19</v>
      </c>
    </row>
  </sheetData>
  <sheetProtection password="ECDD" sheet="1"/>
  <mergeCells count="11">
    <mergeCell ref="A16:N16"/>
    <mergeCell ref="A5:N5"/>
    <mergeCell ref="B7:N7"/>
    <mergeCell ref="B8:N8"/>
    <mergeCell ref="B9:N9"/>
    <mergeCell ref="A14:N14"/>
    <mergeCell ref="A1:N1"/>
    <mergeCell ref="A2:N2"/>
    <mergeCell ref="A3:N3"/>
    <mergeCell ref="A4:N4"/>
    <mergeCell ref="A12:N12"/>
  </mergeCells>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43"/>
  <sheetViews>
    <sheetView workbookViewId="0">
      <selection activeCell="S21" sqref="S21"/>
    </sheetView>
  </sheetViews>
  <sheetFormatPr defaultRowHeight="12.75" x14ac:dyDescent="0.2"/>
  <sheetData>
    <row r="43" spans="4:4" x14ac:dyDescent="0.2">
      <c r="D43" t="s">
        <v>19</v>
      </c>
    </row>
  </sheetData>
  <sheetProtection password="ECDD" sheet="1"/>
  <phoneticPr fontId="21" type="noConversion"/>
  <pageMargins left="0.75" right="0.75" top="1" bottom="1" header="0.5" footer="0.5"/>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32"/>
  <sheetViews>
    <sheetView tabSelected="1" topLeftCell="A49" zoomScale="85" zoomScaleNormal="85" workbookViewId="0">
      <selection activeCell="C45" sqref="C45"/>
    </sheetView>
  </sheetViews>
  <sheetFormatPr defaultRowHeight="15.75" x14ac:dyDescent="0.25"/>
  <cols>
    <col min="1" max="1" width="66.140625" style="52" customWidth="1"/>
    <col min="2" max="2" width="15" style="52" customWidth="1"/>
    <col min="3" max="3" width="13.42578125" style="58" customWidth="1"/>
    <col min="4" max="5" width="11.5703125" style="52" customWidth="1"/>
    <col min="6" max="16384" width="9.140625" style="52"/>
  </cols>
  <sheetData>
    <row r="1" spans="1:8" x14ac:dyDescent="0.25">
      <c r="A1" s="52" t="s">
        <v>339</v>
      </c>
    </row>
    <row r="2" spans="1:8" x14ac:dyDescent="0.25">
      <c r="A2" s="52" t="s">
        <v>338</v>
      </c>
      <c r="B2" s="53">
        <v>45723</v>
      </c>
      <c r="H2" s="100"/>
    </row>
    <row r="3" spans="1:8" x14ac:dyDescent="0.25">
      <c r="B3" s="53"/>
      <c r="H3" s="100"/>
    </row>
    <row r="4" spans="1:8" x14ac:dyDescent="0.25">
      <c r="A4" s="76" t="s">
        <v>328</v>
      </c>
      <c r="B4" s="77"/>
      <c r="C4" s="89"/>
      <c r="D4" s="76"/>
      <c r="E4" s="76"/>
      <c r="F4" s="76"/>
    </row>
    <row r="5" spans="1:8" x14ac:dyDescent="0.25">
      <c r="A5" s="76" t="s">
        <v>289</v>
      </c>
      <c r="B5" s="77"/>
      <c r="C5" s="89"/>
      <c r="D5" s="76"/>
      <c r="E5" s="76"/>
      <c r="F5" s="76"/>
    </row>
    <row r="6" spans="1:8" x14ac:dyDescent="0.25">
      <c r="A6" s="81" t="s">
        <v>331</v>
      </c>
      <c r="B6" s="82"/>
      <c r="C6" s="90"/>
      <c r="D6" s="81"/>
      <c r="E6" s="81"/>
      <c r="F6" s="81"/>
    </row>
    <row r="7" spans="1:8" x14ac:dyDescent="0.25">
      <c r="A7" s="83" t="s">
        <v>302</v>
      </c>
      <c r="B7" s="84"/>
      <c r="C7" s="91"/>
      <c r="D7" s="83"/>
      <c r="E7" s="83"/>
      <c r="F7" s="83"/>
    </row>
    <row r="8" spans="1:8" s="48" customFormat="1" x14ac:dyDescent="0.25">
      <c r="A8" s="83" t="s">
        <v>301</v>
      </c>
      <c r="B8" s="84"/>
      <c r="C8" s="91"/>
      <c r="D8" s="83"/>
      <c r="E8" s="83"/>
      <c r="F8" s="83"/>
    </row>
    <row r="9" spans="1:8" s="48" customFormat="1" x14ac:dyDescent="0.25">
      <c r="A9" s="83" t="s">
        <v>299</v>
      </c>
      <c r="B9" s="84"/>
      <c r="C9" s="91"/>
      <c r="D9" s="83"/>
      <c r="E9" s="83"/>
      <c r="F9" s="83"/>
    </row>
    <row r="10" spans="1:8" s="48" customFormat="1" x14ac:dyDescent="0.25">
      <c r="A10" s="83" t="s">
        <v>300</v>
      </c>
      <c r="B10" s="84"/>
      <c r="C10" s="91"/>
      <c r="D10" s="83"/>
      <c r="E10" s="83"/>
      <c r="F10" s="83"/>
    </row>
    <row r="11" spans="1:8" x14ac:dyDescent="0.25">
      <c r="A11" s="52" t="s">
        <v>8</v>
      </c>
    </row>
    <row r="12" spans="1:8" x14ac:dyDescent="0.25">
      <c r="A12" s="52" t="s">
        <v>9</v>
      </c>
      <c r="B12" s="52" t="s">
        <v>10</v>
      </c>
      <c r="C12" s="58" t="s">
        <v>12</v>
      </c>
      <c r="D12" s="52" t="s">
        <v>11</v>
      </c>
      <c r="E12" s="52" t="s">
        <v>16</v>
      </c>
    </row>
    <row r="13" spans="1:8" x14ac:dyDescent="0.25">
      <c r="A13" s="52" t="s">
        <v>13</v>
      </c>
      <c r="B13" s="49">
        <v>400</v>
      </c>
      <c r="C13" s="92">
        <v>400</v>
      </c>
      <c r="D13" s="49">
        <v>950</v>
      </c>
      <c r="E13" s="52" t="s">
        <v>17</v>
      </c>
      <c r="F13" s="85" t="str">
        <f>IF(VINMAX/VINMIN&gt;3,"Please Keep Input Voltage &lt; 3:1","")</f>
        <v/>
      </c>
    </row>
    <row r="14" spans="1:8" x14ac:dyDescent="0.25">
      <c r="A14" s="52" t="s">
        <v>14</v>
      </c>
      <c r="B14" s="49">
        <v>12</v>
      </c>
      <c r="C14" s="92">
        <v>13.7</v>
      </c>
      <c r="D14" s="49">
        <v>14</v>
      </c>
      <c r="E14" s="52" t="s">
        <v>17</v>
      </c>
      <c r="F14" s="79" t="str">
        <f>IF(VOUT&lt;1.5,"The Minimum Output Voltage &gt; 1.5 V","")</f>
        <v/>
      </c>
      <c r="G14" s="48"/>
      <c r="H14" s="48"/>
    </row>
    <row r="15" spans="1:8" ht="31.5" x14ac:dyDescent="0.25">
      <c r="A15" s="54" t="s">
        <v>15</v>
      </c>
      <c r="D15" s="49">
        <v>1.7</v>
      </c>
      <c r="E15" s="52" t="s">
        <v>17</v>
      </c>
      <c r="F15" s="79"/>
    </row>
    <row r="16" spans="1:8" ht="18.75" x14ac:dyDescent="0.35">
      <c r="A16" s="54" t="s">
        <v>21</v>
      </c>
      <c r="D16" s="49">
        <v>1020</v>
      </c>
      <c r="E16" s="52" t="s">
        <v>18</v>
      </c>
    </row>
    <row r="17" spans="1:6" x14ac:dyDescent="0.25">
      <c r="A17" s="52" t="s">
        <v>23</v>
      </c>
      <c r="B17" s="50">
        <v>0.85</v>
      </c>
      <c r="D17" s="52" t="s">
        <v>19</v>
      </c>
      <c r="F17" s="79" t="str">
        <f>IF(Eff&gt;96%,"Please be Realistic with Efficiency Goal","")</f>
        <v/>
      </c>
    </row>
    <row r="18" spans="1:6" ht="18.75" x14ac:dyDescent="0.35">
      <c r="A18" s="52" t="s">
        <v>22</v>
      </c>
      <c r="C18" s="92">
        <v>300</v>
      </c>
      <c r="E18" s="52" t="s">
        <v>20</v>
      </c>
      <c r="F18" s="78" t="str">
        <f>IF(fs&gt;1000,"UCC28950 Can Only Achieve 1MHz Switching Frequency","")</f>
        <v/>
      </c>
    </row>
    <row r="19" spans="1:6" x14ac:dyDescent="0.25">
      <c r="A19" s="55"/>
      <c r="B19" s="55"/>
      <c r="C19" s="93"/>
      <c r="D19" s="55"/>
      <c r="E19" s="55"/>
      <c r="F19" s="55"/>
    </row>
    <row r="20" spans="1:6" x14ac:dyDescent="0.25">
      <c r="A20" s="75" t="s">
        <v>174</v>
      </c>
      <c r="B20" s="75"/>
      <c r="C20" s="94"/>
      <c r="D20" s="75"/>
      <c r="E20" s="75"/>
      <c r="F20" s="75"/>
    </row>
    <row r="21" spans="1:6" x14ac:dyDescent="0.25">
      <c r="A21" s="52" t="s">
        <v>9</v>
      </c>
      <c r="B21" s="52" t="s">
        <v>27</v>
      </c>
      <c r="D21" s="52" t="s">
        <v>16</v>
      </c>
    </row>
    <row r="22" spans="1:6" ht="18.75" x14ac:dyDescent="0.35">
      <c r="A22" s="52" t="s">
        <v>113</v>
      </c>
      <c r="B22" s="57" t="s">
        <v>24</v>
      </c>
      <c r="C22" s="58">
        <f>pout*(1-Eff)/Eff</f>
        <v>180.00000000000003</v>
      </c>
      <c r="D22" s="52" t="s">
        <v>18</v>
      </c>
    </row>
    <row r="23" spans="1:6" ht="18.75" x14ac:dyDescent="0.35">
      <c r="A23" s="52" t="s">
        <v>114</v>
      </c>
      <c r="B23" s="52" t="s">
        <v>25</v>
      </c>
      <c r="C23" s="58">
        <v>0.3</v>
      </c>
      <c r="D23" s="52" t="s">
        <v>17</v>
      </c>
    </row>
    <row r="24" spans="1:6" ht="18.75" x14ac:dyDescent="0.35">
      <c r="A24" s="52" t="s">
        <v>29</v>
      </c>
      <c r="B24" s="52" t="s">
        <v>31</v>
      </c>
      <c r="C24" s="58">
        <v>0.66</v>
      </c>
    </row>
    <row r="25" spans="1:6" ht="18.75" x14ac:dyDescent="0.35">
      <c r="A25" s="52" t="s">
        <v>28</v>
      </c>
      <c r="B25" s="52" t="s">
        <v>26</v>
      </c>
      <c r="C25" s="58">
        <f>((VINMIN-2*vrdson)*dmax)/(VOUT+vrdson)</f>
        <v>18.828857142857142</v>
      </c>
      <c r="D25" s="52" t="s">
        <v>19</v>
      </c>
      <c r="E25" s="52" t="s">
        <v>19</v>
      </c>
    </row>
    <row r="26" spans="1:6" x14ac:dyDescent="0.25">
      <c r="A26" s="52" t="s">
        <v>303</v>
      </c>
      <c r="B26" s="52" t="s">
        <v>26</v>
      </c>
      <c r="C26" s="102">
        <v>20</v>
      </c>
    </row>
    <row r="27" spans="1:6" s="58" customFormat="1" ht="18.75" x14ac:dyDescent="0.35">
      <c r="A27" s="58" t="s">
        <v>30</v>
      </c>
      <c r="B27" s="58" t="s">
        <v>32</v>
      </c>
      <c r="C27" s="58">
        <f>((VOUT+vrdson)*_taa1)/((vin-2*vrdson))</f>
        <v>0.70105157736604906</v>
      </c>
      <c r="D27" s="86" t="str">
        <f>IF(dtyp&gt;1,"Turns Ratio a1 in Error, Pleast Adjust","")</f>
        <v/>
      </c>
    </row>
    <row r="28" spans="1:6" ht="18.75" x14ac:dyDescent="0.35">
      <c r="A28" s="52" t="s">
        <v>33</v>
      </c>
      <c r="B28" s="69" t="s">
        <v>243</v>
      </c>
      <c r="C28" s="58">
        <f>pout*0.2/VOUT</f>
        <v>14.89051094890511</v>
      </c>
      <c r="D28" s="52" t="s">
        <v>34</v>
      </c>
    </row>
    <row r="29" spans="1:6" ht="18.75" x14ac:dyDescent="0.35">
      <c r="A29" s="52" t="s">
        <v>262</v>
      </c>
      <c r="B29" s="52" t="s">
        <v>35</v>
      </c>
      <c r="C29" s="58">
        <f>(vin*(1-dtyp)*_taa1)/(dilout*0.5*fs)</f>
        <v>1.0707433699568962</v>
      </c>
      <c r="D29" s="52" t="s">
        <v>36</v>
      </c>
      <c r="E29" s="101"/>
    </row>
    <row r="30" spans="1:6" ht="18.75" x14ac:dyDescent="0.35">
      <c r="A30" s="52" t="s">
        <v>290</v>
      </c>
      <c r="B30" s="52" t="s">
        <v>37</v>
      </c>
      <c r="C30" s="58">
        <f>(pout/VOUT)+(dilout/2)</f>
        <v>81.897810218978108</v>
      </c>
      <c r="D30" s="52" t="s">
        <v>34</v>
      </c>
      <c r="E30" s="52" t="s">
        <v>19</v>
      </c>
    </row>
    <row r="31" spans="1:6" ht="18.75" x14ac:dyDescent="0.35">
      <c r="A31" s="52" t="s">
        <v>290</v>
      </c>
      <c r="B31" s="52" t="s">
        <v>38</v>
      </c>
      <c r="C31" s="58">
        <f>(pout/VOUT)-(dilout/2)</f>
        <v>67.007299270073005</v>
      </c>
      <c r="D31" s="52" t="s">
        <v>34</v>
      </c>
      <c r="E31" s="64"/>
    </row>
    <row r="32" spans="1:6" ht="18.75" x14ac:dyDescent="0.35">
      <c r="A32" s="52" t="s">
        <v>290</v>
      </c>
      <c r="B32" s="52" t="s">
        <v>40</v>
      </c>
      <c r="C32" s="58">
        <f>ips-(dilout/2)</f>
        <v>74.452554744525557</v>
      </c>
      <c r="D32" s="52" t="s">
        <v>34</v>
      </c>
      <c r="E32" s="58" t="s">
        <v>19</v>
      </c>
    </row>
    <row r="33" spans="1:5" ht="18.75" x14ac:dyDescent="0.35">
      <c r="A33" s="52" t="s">
        <v>244</v>
      </c>
      <c r="B33" s="52" t="s">
        <v>39</v>
      </c>
      <c r="C33" s="58">
        <f>((dmax/2)*(ips*ims+(((ips-ims)^2)/3)))^0.5</f>
        <v>42.840960083013485</v>
      </c>
      <c r="D33" s="52" t="s">
        <v>34</v>
      </c>
      <c r="E33" s="57" t="s">
        <v>19</v>
      </c>
    </row>
    <row r="34" spans="1:5" ht="18.75" x14ac:dyDescent="0.35">
      <c r="A34" s="52" t="s">
        <v>244</v>
      </c>
      <c r="B34" s="52" t="s">
        <v>41</v>
      </c>
      <c r="C34" s="58">
        <f>(((1-dmax)/2)*(ips*_ims2+(((ips-_ims2)^2)/3)))^0.5</f>
        <v>32.24463274367816</v>
      </c>
      <c r="D34" s="52" t="s">
        <v>34</v>
      </c>
      <c r="E34" s="52" t="s">
        <v>19</v>
      </c>
    </row>
    <row r="35" spans="1:5" ht="18.75" x14ac:dyDescent="0.35">
      <c r="A35" s="52" t="s">
        <v>244</v>
      </c>
      <c r="B35" s="52" t="s">
        <v>42</v>
      </c>
      <c r="C35" s="58">
        <f>(dilout/2)*((1-dmax)/6)^0.5</f>
        <v>1.7723253034339919</v>
      </c>
      <c r="D35" s="52" t="s">
        <v>34</v>
      </c>
      <c r="E35" s="52" t="s">
        <v>19</v>
      </c>
    </row>
    <row r="36" spans="1:5" ht="18.75" x14ac:dyDescent="0.35">
      <c r="A36" s="52" t="s">
        <v>263</v>
      </c>
      <c r="B36" s="52" t="s">
        <v>43</v>
      </c>
      <c r="C36" s="58">
        <f>(isrms1^2+isrms2^2+isrms3^2)^0.5</f>
        <v>53.648908083857862</v>
      </c>
      <c r="D36" s="52" t="s">
        <v>34</v>
      </c>
    </row>
    <row r="37" spans="1:5" ht="18.75" x14ac:dyDescent="0.35">
      <c r="A37" s="52" t="s">
        <v>291</v>
      </c>
      <c r="B37" s="69" t="s">
        <v>329</v>
      </c>
      <c r="C37" s="58">
        <f>(VINMIN*dmax)/(lmag*fs)</f>
        <v>0.82185892968492091</v>
      </c>
      <c r="D37" s="52" t="s">
        <v>34</v>
      </c>
    </row>
    <row r="38" spans="1:5" ht="18.75" x14ac:dyDescent="0.35">
      <c r="A38" s="52" t="s">
        <v>290</v>
      </c>
      <c r="B38" s="52" t="s">
        <v>45</v>
      </c>
      <c r="C38" s="58">
        <f>(((pout/(VOUT*Eff))+dilout/2)/_taa1)+dilmag</f>
        <v>5.5736837472031695</v>
      </c>
      <c r="D38" s="52" t="s">
        <v>34</v>
      </c>
    </row>
    <row r="39" spans="1:5" ht="18.75" x14ac:dyDescent="0.35">
      <c r="A39" s="52" t="s">
        <v>290</v>
      </c>
      <c r="B39" s="52" t="s">
        <v>46</v>
      </c>
      <c r="C39" s="58">
        <f>(((pout/(VOUT*Eff))-dilout/2)/_taa1)+dilmag</f>
        <v>4.8291581997579138</v>
      </c>
      <c r="D39" s="52" t="s">
        <v>34</v>
      </c>
    </row>
    <row r="40" spans="1:5" ht="18.75" x14ac:dyDescent="0.35">
      <c r="A40" s="52" t="s">
        <v>290</v>
      </c>
      <c r="B40" s="52" t="s">
        <v>47</v>
      </c>
      <c r="C40" s="58">
        <f>ipp-((dilout/2)/_ta1)</f>
        <v>5.178266467335126</v>
      </c>
      <c r="D40" s="52" t="s">
        <v>34</v>
      </c>
    </row>
    <row r="41" spans="1:5" ht="18.75" x14ac:dyDescent="0.35">
      <c r="A41" s="52" t="s">
        <v>244</v>
      </c>
      <c r="B41" s="52" t="s">
        <v>48</v>
      </c>
      <c r="C41" s="58">
        <f>((dmax)*(ipp*imp+(((ipp-imp)^2)/3)))^0.5</f>
        <v>4.2292602663602636</v>
      </c>
      <c r="D41" s="52" t="s">
        <v>34</v>
      </c>
    </row>
    <row r="42" spans="1:5" ht="18.75" x14ac:dyDescent="0.35">
      <c r="A42" s="52" t="s">
        <v>244</v>
      </c>
      <c r="B42" s="52" t="s">
        <v>49</v>
      </c>
      <c r="C42" s="58">
        <f>(((1-dmax))*(ipp*_imp2+(((ipp-_imp2)^2)/3)))^0.5</f>
        <v>3.1354117582438099</v>
      </c>
      <c r="D42" s="52" t="s">
        <v>34</v>
      </c>
    </row>
    <row r="43" spans="1:5" ht="18.75" x14ac:dyDescent="0.35">
      <c r="A43" s="52" t="s">
        <v>292</v>
      </c>
      <c r="B43" s="52" t="s">
        <v>51</v>
      </c>
      <c r="C43" s="58">
        <f>((iprms1)^2+(iprms2)^2)^0.5</f>
        <v>5.2647363936238278</v>
      </c>
      <c r="D43" s="52" t="s">
        <v>34</v>
      </c>
    </row>
    <row r="44" spans="1:5" ht="18.75" x14ac:dyDescent="0.35">
      <c r="A44" s="52" t="s">
        <v>72</v>
      </c>
      <c r="B44" s="52" t="s">
        <v>35</v>
      </c>
      <c r="C44" s="87">
        <v>1.2</v>
      </c>
      <c r="D44" s="52" t="s">
        <v>36</v>
      </c>
      <c r="E44" s="78" t="str">
        <f>IF(lmag2&lt;lmag,"Please make Lmag &gt; or = Calculated Lmag","")</f>
        <v/>
      </c>
    </row>
    <row r="45" spans="1:5" ht="18.75" x14ac:dyDescent="0.35">
      <c r="A45" s="52" t="s">
        <v>54</v>
      </c>
      <c r="B45" s="52" t="s">
        <v>50</v>
      </c>
      <c r="C45" s="87">
        <v>31</v>
      </c>
      <c r="D45" s="52" t="s">
        <v>205</v>
      </c>
    </row>
    <row r="46" spans="1:5" ht="18.75" x14ac:dyDescent="0.35">
      <c r="A46" s="52" t="s">
        <v>55</v>
      </c>
      <c r="B46" s="52" t="s">
        <v>52</v>
      </c>
      <c r="C46" s="87">
        <v>3.6</v>
      </c>
      <c r="D46" s="52" t="s">
        <v>205</v>
      </c>
    </row>
    <row r="47" spans="1:5" ht="18.75" x14ac:dyDescent="0.35">
      <c r="A47" s="52" t="s">
        <v>298</v>
      </c>
      <c r="B47" s="52" t="s">
        <v>297</v>
      </c>
      <c r="C47" s="87">
        <v>0.01</v>
      </c>
      <c r="D47" s="52" t="s">
        <v>74</v>
      </c>
    </row>
    <row r="48" spans="1:5" ht="18.75" x14ac:dyDescent="0.35">
      <c r="A48" s="59" t="s">
        <v>56</v>
      </c>
      <c r="B48" s="52" t="s">
        <v>53</v>
      </c>
      <c r="C48" s="58">
        <f>2*((iprms^2*(dcrp/1000))+2*(isrms^2*(dcrs/1000)))</f>
        <v>43.164638731948827</v>
      </c>
      <c r="D48" s="52" t="s">
        <v>18</v>
      </c>
    </row>
    <row r="49" spans="1:6" ht="18.75" x14ac:dyDescent="0.35">
      <c r="A49" s="52" t="s">
        <v>57</v>
      </c>
      <c r="B49" s="52" t="s">
        <v>24</v>
      </c>
      <c r="C49" s="58">
        <f>pbudget-C48</f>
        <v>136.8353612680512</v>
      </c>
      <c r="D49" s="52" t="s">
        <v>18</v>
      </c>
      <c r="E49" s="78" t="str">
        <f>IF(C49&lt;0,"PBudget Cannot be Made with Selected Components","")</f>
        <v/>
      </c>
    </row>
    <row r="50" spans="1:6" x14ac:dyDescent="0.25">
      <c r="A50" s="75" t="s">
        <v>58</v>
      </c>
      <c r="B50" s="75"/>
      <c r="C50" s="94" t="s">
        <v>19</v>
      </c>
      <c r="D50" s="75"/>
      <c r="E50" s="75"/>
      <c r="F50" s="75"/>
    </row>
    <row r="51" spans="1:6" ht="18.75" x14ac:dyDescent="0.35">
      <c r="A51" s="59" t="s">
        <v>279</v>
      </c>
      <c r="B51" s="52" t="s">
        <v>69</v>
      </c>
      <c r="C51" s="87">
        <v>18</v>
      </c>
      <c r="D51" s="52" t="s">
        <v>17</v>
      </c>
    </row>
    <row r="52" spans="1:6" ht="18.75" x14ac:dyDescent="0.35">
      <c r="A52" s="52" t="s">
        <v>60</v>
      </c>
      <c r="B52" s="52" t="s">
        <v>59</v>
      </c>
      <c r="C52" s="87">
        <v>75</v>
      </c>
      <c r="D52" s="52" t="s">
        <v>205</v>
      </c>
    </row>
    <row r="53" spans="1:6" ht="18.75" x14ac:dyDescent="0.35">
      <c r="A53" s="52" t="s">
        <v>61</v>
      </c>
      <c r="B53" s="52" t="s">
        <v>63</v>
      </c>
      <c r="C53" s="87">
        <v>120</v>
      </c>
      <c r="D53" s="52" t="s">
        <v>62</v>
      </c>
    </row>
    <row r="54" spans="1:6" ht="18.75" x14ac:dyDescent="0.35">
      <c r="A54" s="52" t="s">
        <v>115</v>
      </c>
      <c r="B54" s="52" t="s">
        <v>70</v>
      </c>
      <c r="C54" s="87">
        <v>53</v>
      </c>
      <c r="D54" s="52" t="s">
        <v>71</v>
      </c>
    </row>
    <row r="55" spans="1:6" ht="36" x14ac:dyDescent="0.35">
      <c r="A55" s="54" t="s">
        <v>116</v>
      </c>
      <c r="B55" s="52" t="s">
        <v>64</v>
      </c>
      <c r="C55" s="87">
        <v>800</v>
      </c>
      <c r="D55" s="52" t="s">
        <v>17</v>
      </c>
    </row>
    <row r="56" spans="1:6" ht="18.75" x14ac:dyDescent="0.35">
      <c r="A56" s="52" t="s">
        <v>65</v>
      </c>
      <c r="B56" s="52" t="s">
        <v>66</v>
      </c>
      <c r="C56" s="58">
        <f>C53*((C55/VINMAX)^0.5)</f>
        <v>110.11955225786966</v>
      </c>
      <c r="D56" s="52" t="s">
        <v>62</v>
      </c>
    </row>
    <row r="57" spans="1:6" ht="18.75" x14ac:dyDescent="0.35">
      <c r="A57" s="52" t="s">
        <v>68</v>
      </c>
      <c r="B57" s="52" t="s">
        <v>67</v>
      </c>
      <c r="C57" s="58">
        <f>((iprms^2)*(rdsonqa/1000))+(2*(QAg*0.000000001)*vg*(fs*1000/2))</f>
        <v>2.3650086970760422</v>
      </c>
      <c r="D57" s="52" t="s">
        <v>18</v>
      </c>
    </row>
    <row r="58" spans="1:6" ht="18.75" x14ac:dyDescent="0.35">
      <c r="A58" s="52" t="s">
        <v>57</v>
      </c>
      <c r="B58" s="52" t="s">
        <v>24</v>
      </c>
      <c r="C58" s="58">
        <f>C49-4*C57</f>
        <v>127.37532647974703</v>
      </c>
      <c r="D58" s="52" t="s">
        <v>18</v>
      </c>
      <c r="E58" s="78" t="str">
        <f>IF(C58&lt;0,"PBudget Cannot be Made with Selected Components","")</f>
        <v/>
      </c>
    </row>
    <row r="59" spans="1:6" ht="18.75" x14ac:dyDescent="0.35">
      <c r="A59" s="75" t="s">
        <v>282</v>
      </c>
      <c r="B59" s="56"/>
      <c r="C59" s="95"/>
      <c r="D59" s="56"/>
      <c r="E59" s="75"/>
      <c r="F59" s="75"/>
    </row>
    <row r="60" spans="1:6" ht="18.75" x14ac:dyDescent="0.35">
      <c r="A60" s="52" t="s">
        <v>85</v>
      </c>
      <c r="B60" s="52" t="s">
        <v>73</v>
      </c>
      <c r="C60" s="58">
        <f>(((2*cossqaavg*0.000000000001)*((vin)^2)/((ipp/2)-(dilout/(2*_ta1)))^2)*1000000)-llk</f>
        <v>6.1517068533557371</v>
      </c>
      <c r="D60" s="52" t="s">
        <v>74</v>
      </c>
      <c r="E60" s="78" t="str">
        <f>IF(C60&lt;0,"Calculated Ls is Negative and Ls Might Not be Needed, However, Leave a Place Holder for Ls Just in Case","")</f>
        <v/>
      </c>
    </row>
    <row r="61" spans="1:6" ht="18.75" x14ac:dyDescent="0.35">
      <c r="A61" s="52" t="s">
        <v>172</v>
      </c>
      <c r="B61" s="52" t="s">
        <v>73</v>
      </c>
      <c r="C61" s="87">
        <v>5</v>
      </c>
      <c r="D61" s="52" t="s">
        <v>74</v>
      </c>
    </row>
    <row r="62" spans="1:6" ht="18.75" x14ac:dyDescent="0.35">
      <c r="A62" s="52" t="s">
        <v>76</v>
      </c>
      <c r="B62" s="52" t="s">
        <v>75</v>
      </c>
      <c r="C62" s="87">
        <v>2.6</v>
      </c>
      <c r="D62" s="52" t="s">
        <v>205</v>
      </c>
    </row>
    <row r="63" spans="1:6" ht="18.75" x14ac:dyDescent="0.35">
      <c r="A63" s="52" t="s">
        <v>77</v>
      </c>
      <c r="B63" s="52" t="s">
        <v>78</v>
      </c>
      <c r="C63" s="58">
        <f>2*iprms^2*(C62*0.001)</f>
        <v>0.14413073633060561</v>
      </c>
      <c r="D63" s="52" t="s">
        <v>18</v>
      </c>
    </row>
    <row r="64" spans="1:6" ht="18.75" x14ac:dyDescent="0.35">
      <c r="A64" s="52" t="s">
        <v>57</v>
      </c>
      <c r="B64" s="52" t="s">
        <v>24</v>
      </c>
      <c r="C64" s="58">
        <f>C58-C63</f>
        <v>127.23119574341642</v>
      </c>
      <c r="D64" s="52" t="s">
        <v>18</v>
      </c>
      <c r="E64" s="78" t="str">
        <f>IF(C64&lt;0,"PBudget Cannot be Made with Selected Components","")</f>
        <v/>
      </c>
    </row>
    <row r="65" spans="1:6" ht="18.75" x14ac:dyDescent="0.35">
      <c r="A65" s="75" t="s">
        <v>283</v>
      </c>
      <c r="B65" s="56"/>
      <c r="C65" s="95"/>
      <c r="D65" s="56"/>
      <c r="E65" s="75"/>
      <c r="F65" s="75"/>
    </row>
    <row r="66" spans="1:6" ht="18.75" x14ac:dyDescent="0.35">
      <c r="A66" s="52" t="s">
        <v>86</v>
      </c>
      <c r="B66" s="52" t="s">
        <v>79</v>
      </c>
      <c r="C66" s="58">
        <f>((VOUT*(1-dtyp))/(dilout*fs))*1000</f>
        <v>0.91682401052559237</v>
      </c>
      <c r="D66" s="52" t="s">
        <v>74</v>
      </c>
    </row>
    <row r="67" spans="1:6" ht="18.75" x14ac:dyDescent="0.35">
      <c r="A67" s="52" t="s">
        <v>83</v>
      </c>
      <c r="B67" s="52" t="s">
        <v>84</v>
      </c>
      <c r="C67" s="58">
        <f>((pout/VOUT)^2+(dilout/(3^0.5))^2)^0.5</f>
        <v>74.947261547213287</v>
      </c>
      <c r="D67" s="52" t="s">
        <v>34</v>
      </c>
    </row>
    <row r="68" spans="1:6" ht="18.75" x14ac:dyDescent="0.35">
      <c r="A68" s="52" t="s">
        <v>173</v>
      </c>
      <c r="B68" s="52" t="s">
        <v>79</v>
      </c>
      <c r="C68" s="87">
        <v>1.5</v>
      </c>
      <c r="D68" s="52" t="s">
        <v>74</v>
      </c>
      <c r="E68" s="52" t="str">
        <f>IF(lout&lt;(C66*0.9),"Lout needs to be &gt; or = Lout Calculated","")</f>
        <v/>
      </c>
    </row>
    <row r="69" spans="1:6" ht="18.75" x14ac:dyDescent="0.35">
      <c r="A69" s="52" t="s">
        <v>264</v>
      </c>
      <c r="B69" s="52" t="s">
        <v>80</v>
      </c>
      <c r="C69" s="87">
        <v>0.54</v>
      </c>
      <c r="D69" s="52" t="s">
        <v>205</v>
      </c>
    </row>
    <row r="70" spans="1:6" ht="18.75" x14ac:dyDescent="0.35">
      <c r="A70" s="52" t="s">
        <v>81</v>
      </c>
      <c r="B70" s="52" t="s">
        <v>82</v>
      </c>
      <c r="C70" s="58">
        <f>2*iloutrms^2*dcrlout*0.001</f>
        <v>6.0664593745005071</v>
      </c>
      <c r="D70" s="52" t="s">
        <v>18</v>
      </c>
    </row>
    <row r="71" spans="1:6" ht="18.75" x14ac:dyDescent="0.35">
      <c r="A71" s="52" t="s">
        <v>57</v>
      </c>
      <c r="B71" s="52" t="s">
        <v>24</v>
      </c>
      <c r="C71" s="58">
        <f>C64-C70</f>
        <v>121.16473636891591</v>
      </c>
      <c r="D71" s="52" t="s">
        <v>18</v>
      </c>
      <c r="E71" s="78" t="str">
        <f>IF(C71&lt;0,"PBudget Cannot be Made with Selected Components","")</f>
        <v/>
      </c>
    </row>
    <row r="72" spans="1:6" ht="18.75" x14ac:dyDescent="0.35">
      <c r="A72" s="75" t="s">
        <v>284</v>
      </c>
      <c r="B72" s="56"/>
      <c r="C72" s="95"/>
      <c r="D72" s="56"/>
      <c r="E72" s="75"/>
      <c r="F72" s="75"/>
    </row>
    <row r="73" spans="1:6" ht="18.75" x14ac:dyDescent="0.35">
      <c r="A73" s="52" t="s">
        <v>88</v>
      </c>
      <c r="B73" s="52" t="s">
        <v>87</v>
      </c>
      <c r="C73" s="58">
        <f>((lout*pout*0.9)/VOUT)/VOUT</f>
        <v>7.3365656135116426</v>
      </c>
      <c r="D73" s="52" t="s">
        <v>89</v>
      </c>
    </row>
    <row r="74" spans="1:6" ht="18.75" x14ac:dyDescent="0.35">
      <c r="A74" s="52" t="s">
        <v>206</v>
      </c>
      <c r="B74" s="52" t="s">
        <v>90</v>
      </c>
      <c r="C74" s="58">
        <f>((VTRAN*0.9)/((pout*0.9)/VOUT))*10^3</f>
        <v>22.833333333333336</v>
      </c>
      <c r="D74" s="52" t="s">
        <v>205</v>
      </c>
    </row>
    <row r="75" spans="1:6" ht="18.75" x14ac:dyDescent="0.35">
      <c r="A75" s="52" t="s">
        <v>207</v>
      </c>
      <c r="B75" s="52" t="s">
        <v>91</v>
      </c>
      <c r="C75" s="58">
        <f>(pout*0.9*thu)/(VOUT*VTRAN*0.1)</f>
        <v>2891.7849863476545</v>
      </c>
      <c r="D75" s="52" t="s">
        <v>92</v>
      </c>
    </row>
    <row r="76" spans="1:6" ht="18.75" x14ac:dyDescent="0.35">
      <c r="A76" s="52" t="s">
        <v>98</v>
      </c>
      <c r="B76" s="52" t="s">
        <v>97</v>
      </c>
      <c r="C76" s="58">
        <f>dilout/(3^0.5)</f>
        <v>8.597040504721436</v>
      </c>
      <c r="D76" s="52" t="s">
        <v>34</v>
      </c>
    </row>
    <row r="77" spans="1:6" x14ac:dyDescent="0.25">
      <c r="A77" s="52" t="s">
        <v>175</v>
      </c>
      <c r="B77" s="52" t="s">
        <v>93</v>
      </c>
      <c r="C77" s="87">
        <v>8</v>
      </c>
    </row>
    <row r="78" spans="1:6" x14ac:dyDescent="0.25">
      <c r="A78" s="52" t="s">
        <v>94</v>
      </c>
      <c r="C78" s="87">
        <v>1500</v>
      </c>
      <c r="D78" s="52" t="s">
        <v>92</v>
      </c>
    </row>
    <row r="79" spans="1:6" x14ac:dyDescent="0.25">
      <c r="A79" s="52" t="s">
        <v>95</v>
      </c>
      <c r="C79" s="87">
        <v>13</v>
      </c>
      <c r="D79" s="52" t="s">
        <v>205</v>
      </c>
    </row>
    <row r="80" spans="1:6" ht="18.75" x14ac:dyDescent="0.35">
      <c r="A80" s="52" t="s">
        <v>96</v>
      </c>
      <c r="B80" s="52" t="s">
        <v>91</v>
      </c>
      <c r="C80" s="58">
        <f>C77*C78</f>
        <v>12000</v>
      </c>
      <c r="D80" s="52" t="s">
        <v>92</v>
      </c>
    </row>
    <row r="81" spans="1:7" ht="18.75" x14ac:dyDescent="0.35">
      <c r="A81" s="52" t="s">
        <v>265</v>
      </c>
      <c r="B81" s="52" t="s">
        <v>90</v>
      </c>
      <c r="C81" s="58">
        <f>C79/C77</f>
        <v>1.625</v>
      </c>
      <c r="D81" s="52" t="s">
        <v>205</v>
      </c>
    </row>
    <row r="82" spans="1:7" ht="18.75" x14ac:dyDescent="0.35">
      <c r="A82" s="52" t="s">
        <v>99</v>
      </c>
      <c r="B82" s="52" t="s">
        <v>100</v>
      </c>
      <c r="C82" s="58">
        <f>(C76^2)*C81*0.001</f>
        <v>0.12010229633970913</v>
      </c>
      <c r="D82" s="52" t="s">
        <v>18</v>
      </c>
    </row>
    <row r="83" spans="1:7" ht="18.75" x14ac:dyDescent="0.35">
      <c r="A83" s="52" t="s">
        <v>57</v>
      </c>
      <c r="B83" s="52" t="s">
        <v>24</v>
      </c>
      <c r="C83" s="58">
        <f>C71-C82</f>
        <v>121.0446340725762</v>
      </c>
      <c r="D83" s="52" t="s">
        <v>18</v>
      </c>
      <c r="E83" s="78" t="str">
        <f>IF(C83&lt;0,"PBudget Cannot be Made with Selected Components","")</f>
        <v/>
      </c>
    </row>
    <row r="84" spans="1:7" x14ac:dyDescent="0.25">
      <c r="A84" s="75" t="s">
        <v>109</v>
      </c>
      <c r="B84" s="56"/>
      <c r="C84" s="95"/>
      <c r="D84" s="56"/>
      <c r="E84" s="75"/>
      <c r="F84" s="75"/>
    </row>
    <row r="85" spans="1:7" ht="18.75" x14ac:dyDescent="0.35">
      <c r="A85" s="52" t="s">
        <v>135</v>
      </c>
      <c r="B85" s="52" t="s">
        <v>117</v>
      </c>
      <c r="C85" s="88">
        <f>2*VINMAX/_taa1</f>
        <v>95</v>
      </c>
      <c r="D85" s="52" t="s">
        <v>17</v>
      </c>
      <c r="E85" s="99" t="s">
        <v>336</v>
      </c>
    </row>
    <row r="86" spans="1:7" ht="18.75" x14ac:dyDescent="0.35">
      <c r="A86" s="52" t="s">
        <v>112</v>
      </c>
      <c r="B86" s="52" t="s">
        <v>110</v>
      </c>
      <c r="C86" s="87">
        <v>99</v>
      </c>
      <c r="D86" s="52" t="s">
        <v>71</v>
      </c>
    </row>
    <row r="87" spans="1:7" ht="18.75" x14ac:dyDescent="0.35">
      <c r="A87" s="52" t="s">
        <v>266</v>
      </c>
      <c r="B87" s="52" t="s">
        <v>111</v>
      </c>
      <c r="C87" s="87">
        <v>7.5</v>
      </c>
      <c r="D87" s="52" t="s">
        <v>205</v>
      </c>
    </row>
    <row r="88" spans="1:7" ht="18.75" x14ac:dyDescent="0.35">
      <c r="A88" s="52" t="s">
        <v>119</v>
      </c>
      <c r="B88" s="52" t="s">
        <v>118</v>
      </c>
      <c r="C88" s="87">
        <v>400</v>
      </c>
      <c r="D88" s="52" t="s">
        <v>17</v>
      </c>
    </row>
    <row r="89" spans="1:7" ht="18.75" x14ac:dyDescent="0.35">
      <c r="A89" s="52" t="s">
        <v>121</v>
      </c>
      <c r="B89" s="52" t="s">
        <v>120</v>
      </c>
      <c r="C89" s="87">
        <v>260.18</v>
      </c>
      <c r="D89" s="52" t="s">
        <v>62</v>
      </c>
    </row>
    <row r="90" spans="1:7" ht="18.75" x14ac:dyDescent="0.35">
      <c r="A90" s="52" t="s">
        <v>123</v>
      </c>
      <c r="B90" s="52" t="s">
        <v>122</v>
      </c>
      <c r="C90" s="58">
        <f>C89*((C85/C88)^0.5)</f>
        <v>126.79604763161981</v>
      </c>
      <c r="D90" s="52" t="s">
        <v>62</v>
      </c>
    </row>
    <row r="91" spans="1:7" ht="18.75" x14ac:dyDescent="0.35">
      <c r="A91" s="52" t="s">
        <v>124</v>
      </c>
      <c r="B91" s="52" t="s">
        <v>125</v>
      </c>
      <c r="C91" s="58">
        <f>isrms</f>
        <v>53.648908083857862</v>
      </c>
      <c r="D91" s="52" t="s">
        <v>34</v>
      </c>
    </row>
    <row r="92" spans="1:7" ht="18.75" x14ac:dyDescent="0.35">
      <c r="A92" s="52" t="s">
        <v>128</v>
      </c>
      <c r="B92" s="52" t="s">
        <v>126</v>
      </c>
      <c r="C92" s="87">
        <v>63</v>
      </c>
      <c r="D92" s="52" t="s">
        <v>71</v>
      </c>
    </row>
    <row r="93" spans="1:7" ht="18.75" x14ac:dyDescent="0.35">
      <c r="A93" s="52" t="s">
        <v>267</v>
      </c>
      <c r="B93" s="52" t="s">
        <v>127</v>
      </c>
      <c r="C93" s="87">
        <v>29</v>
      </c>
      <c r="D93" s="52" t="s">
        <v>71</v>
      </c>
    </row>
    <row r="94" spans="1:7" ht="18.75" x14ac:dyDescent="0.35">
      <c r="A94" s="52" t="s">
        <v>129</v>
      </c>
      <c r="B94" s="52" t="s">
        <v>130</v>
      </c>
      <c r="C94" s="87">
        <v>4</v>
      </c>
      <c r="D94" s="52" t="s">
        <v>34</v>
      </c>
    </row>
    <row r="95" spans="1:7" ht="18.75" x14ac:dyDescent="0.35">
      <c r="A95" s="52" t="s">
        <v>268</v>
      </c>
      <c r="B95" s="52" t="s">
        <v>131</v>
      </c>
      <c r="C95" s="58">
        <f>(C92-C93)/(C94/2)</f>
        <v>17</v>
      </c>
      <c r="D95" s="52" t="s">
        <v>132</v>
      </c>
    </row>
    <row r="96" spans="1:7" ht="18.75" x14ac:dyDescent="0.35">
      <c r="A96" s="52" t="s">
        <v>133</v>
      </c>
      <c r="B96" s="52" t="s">
        <v>134</v>
      </c>
      <c r="C96" s="58">
        <f>((isrms^2)*(rdsonqe*0.001))+(pout/VOUT)*vdsqe*(2*tr*0.000000001)*((fs*1000)/2)+(2*(cossqeavg*0.000000000001)*(vdsqe^2)*((fs*1000)/2))+(2*(qeg*0.000000001)*vg*((fs*1000)/2))</f>
        <v>58.536703112111958</v>
      </c>
      <c r="D96" s="52" t="s">
        <v>18</v>
      </c>
      <c r="G96" s="52">
        <v>7.66</v>
      </c>
    </row>
    <row r="97" spans="1:6" ht="18.75" x14ac:dyDescent="0.35">
      <c r="A97" s="54" t="s">
        <v>57</v>
      </c>
      <c r="B97" s="52" t="s">
        <v>24</v>
      </c>
      <c r="C97" s="58">
        <f>C83-2*C96</f>
        <v>3.9712278483522852</v>
      </c>
      <c r="D97" s="52" t="s">
        <v>18</v>
      </c>
      <c r="E97" s="78" t="str">
        <f>IF(C97&lt;0,"PBudget Cannot be Made with Selected Components","")</f>
        <v/>
      </c>
    </row>
    <row r="98" spans="1:6" ht="18.75" x14ac:dyDescent="0.35">
      <c r="A98" s="75" t="s">
        <v>285</v>
      </c>
      <c r="B98" s="56"/>
      <c r="C98" s="95"/>
      <c r="D98" s="56"/>
      <c r="E98" s="75"/>
      <c r="F98" s="75"/>
    </row>
    <row r="99" spans="1:6" hidden="1" x14ac:dyDescent="0.25">
      <c r="A99" s="54" t="s">
        <v>166</v>
      </c>
      <c r="B99" s="52" t="s">
        <v>165</v>
      </c>
      <c r="C99" s="58">
        <f>1/(2*PI()*(ls*0.000001*2*cossqaavg*0.000000000001)^0.5)</f>
        <v>4796096.5048894016</v>
      </c>
      <c r="D99" s="52" t="s">
        <v>19</v>
      </c>
    </row>
    <row r="100" spans="1:6" ht="18.75" x14ac:dyDescent="0.35">
      <c r="A100" s="54" t="s">
        <v>167</v>
      </c>
      <c r="B100" s="52" t="s">
        <v>164</v>
      </c>
      <c r="C100" s="58">
        <f>2.2*1000000000/(C99*4)</f>
        <v>114.67659156551585</v>
      </c>
      <c r="D100" s="52" t="s">
        <v>132</v>
      </c>
    </row>
    <row r="101" spans="1:6" hidden="1" x14ac:dyDescent="0.25">
      <c r="A101" s="54" t="s">
        <v>170</v>
      </c>
      <c r="B101" s="52" t="s">
        <v>171</v>
      </c>
      <c r="C101" s="58">
        <f>1/(fs*1000)</f>
        <v>3.3333333333333333E-6</v>
      </c>
      <c r="E101" s="52" t="s">
        <v>19</v>
      </c>
    </row>
    <row r="102" spans="1:6" ht="18.75" x14ac:dyDescent="0.35">
      <c r="A102" s="54" t="s">
        <v>169</v>
      </c>
      <c r="B102" s="52" t="s">
        <v>168</v>
      </c>
      <c r="C102" s="58">
        <f>(C101-C100*0.000000001)/C101</f>
        <v>0.96559702253034518</v>
      </c>
    </row>
    <row r="103" spans="1:6" ht="18.75" x14ac:dyDescent="0.35">
      <c r="A103" s="52" t="s">
        <v>102</v>
      </c>
      <c r="B103" s="52" t="s">
        <v>101</v>
      </c>
      <c r="C103" s="58">
        <f>((2*dclamp*vrdson)+(_taa1*(VOUT+vrdson)))/dclamp</f>
        <v>290.57603914131852</v>
      </c>
      <c r="D103" s="52" t="s">
        <v>17</v>
      </c>
    </row>
    <row r="104" spans="1:6" ht="18.75" x14ac:dyDescent="0.35">
      <c r="A104" s="52" t="s">
        <v>104</v>
      </c>
      <c r="B104" s="52" t="s">
        <v>103</v>
      </c>
      <c r="C104" s="58">
        <f>((2*pout*(1/60))/(vin^2-C103^2))*1000000</f>
        <v>449.94038998324322</v>
      </c>
      <c r="D104" s="52" t="s">
        <v>92</v>
      </c>
      <c r="E104" s="78" t="str">
        <f>IF(VINMIN&lt;200,"Non-PFC Cin Capacitance Cannot Be Calculated, Use Other Method","")</f>
        <v/>
      </c>
    </row>
    <row r="105" spans="1:6" ht="18.75" x14ac:dyDescent="0.35">
      <c r="A105" s="52" t="s">
        <v>105</v>
      </c>
      <c r="B105" s="52" t="s">
        <v>106</v>
      </c>
      <c r="C105" s="58">
        <f>(    (iprms1^2)    -(        ( pout/(VINMIN*Eff)       )   ^2)           )^0.5</f>
        <v>2.981047198655816</v>
      </c>
      <c r="D105" s="52" t="s">
        <v>34</v>
      </c>
    </row>
    <row r="106" spans="1:6" ht="18.75" x14ac:dyDescent="0.35">
      <c r="A106" s="52" t="s">
        <v>176</v>
      </c>
      <c r="B106" s="52" t="s">
        <v>103</v>
      </c>
      <c r="C106" s="87">
        <v>770</v>
      </c>
      <c r="D106" s="52" t="s">
        <v>92</v>
      </c>
    </row>
    <row r="107" spans="1:6" ht="18.75" x14ac:dyDescent="0.35">
      <c r="A107" s="52" t="s">
        <v>269</v>
      </c>
      <c r="B107" s="52" t="s">
        <v>107</v>
      </c>
      <c r="C107" s="87">
        <v>100</v>
      </c>
      <c r="D107" s="52" t="s">
        <v>205</v>
      </c>
    </row>
    <row r="108" spans="1:6" ht="18.75" x14ac:dyDescent="0.35">
      <c r="A108" s="52" t="s">
        <v>270</v>
      </c>
      <c r="B108" s="52" t="s">
        <v>108</v>
      </c>
      <c r="C108" s="58">
        <f>(C105^2)*(C107*0.001)</f>
        <v>0.8886642400613689</v>
      </c>
      <c r="D108" s="52" t="s">
        <v>18</v>
      </c>
    </row>
    <row r="109" spans="1:6" ht="54.75" customHeight="1" x14ac:dyDescent="0.35">
      <c r="A109" s="54" t="s">
        <v>286</v>
      </c>
      <c r="B109" s="52" t="s">
        <v>24</v>
      </c>
      <c r="C109" s="58">
        <f>C97-C108</f>
        <v>3.0825636082909162</v>
      </c>
      <c r="D109" s="52" t="s">
        <v>18</v>
      </c>
      <c r="E109" s="78" t="str">
        <f>IF(C109&lt;0,"PBudget Cannot be Made with Selected Components","")</f>
        <v/>
      </c>
    </row>
    <row r="110" spans="1:6" ht="18.75" x14ac:dyDescent="0.35">
      <c r="A110" s="75" t="s">
        <v>293</v>
      </c>
      <c r="B110" s="75"/>
      <c r="C110" s="94" t="s">
        <v>19</v>
      </c>
      <c r="D110" s="75" t="s">
        <v>19</v>
      </c>
      <c r="E110" s="75" t="s">
        <v>19</v>
      </c>
      <c r="F110" s="75"/>
    </row>
    <row r="111" spans="1:6" ht="18.75" x14ac:dyDescent="0.35">
      <c r="A111" s="52" t="s">
        <v>137</v>
      </c>
      <c r="B111" s="52" t="s">
        <v>136</v>
      </c>
      <c r="C111" s="87">
        <v>100</v>
      </c>
    </row>
    <row r="112" spans="1:6" ht="18.75" x14ac:dyDescent="0.35">
      <c r="A112" s="52" t="s">
        <v>158</v>
      </c>
      <c r="B112" s="52" t="s">
        <v>157</v>
      </c>
      <c r="C112" s="88">
        <f>((pout/(VOUT)+(dilout/2))/(Eff*_taa1))+((VINMIN*dmax)/(lmag2*fs))</f>
        <v>5.5508515815085167</v>
      </c>
      <c r="D112" s="52" t="s">
        <v>34</v>
      </c>
      <c r="E112" s="52" t="s">
        <v>19</v>
      </c>
    </row>
    <row r="113" spans="1:6" ht="18.75" x14ac:dyDescent="0.35">
      <c r="A113" s="52" t="s">
        <v>155</v>
      </c>
      <c r="B113" s="52" t="s">
        <v>154</v>
      </c>
      <c r="C113" s="58">
        <f>(2-0.2)/((_ipp1/_ta2)*1.1)</f>
        <v>29.479506204324291</v>
      </c>
      <c r="D113" s="52" t="s">
        <v>156</v>
      </c>
    </row>
    <row r="114" spans="1:6" ht="18.75" x14ac:dyDescent="0.35">
      <c r="A114" s="52" t="s">
        <v>295</v>
      </c>
      <c r="B114" s="52" t="s">
        <v>154</v>
      </c>
      <c r="C114" s="58">
        <f>(IF((10^(LOG(C113)-INT(LOG(C113)))*100)-VLOOKUP((10^(LOG(C113)-INT(LOG(C113)))*100),E48_s:E48_f,1)&lt;VLOOKUP((10^(LOG(C113)-INT(LOG(C113)))*100),E48_s:E48_f,2)-(10^(LOG(C113)-INT(LOG(C113)))*100),VLOOKUP((10^(LOG(C113)-INT(LOG(C113)))*100),E48_s:E48_f,1),VLOOKUP((10^(LOG(C113)-INT(LOG(C113)))*100),E48_s:E48_f,2)))*10^INT(LOG(C113))/100</f>
        <v>30.1</v>
      </c>
      <c r="D114" s="52" t="s">
        <v>156</v>
      </c>
    </row>
    <row r="115" spans="1:6" ht="18.75" x14ac:dyDescent="0.35">
      <c r="A115" s="52" t="s">
        <v>159</v>
      </c>
      <c r="B115" s="52" t="s">
        <v>154</v>
      </c>
      <c r="C115" s="87">
        <v>26</v>
      </c>
      <c r="D115" s="52" t="s">
        <v>156</v>
      </c>
      <c r="E115" s="52" t="s">
        <v>19</v>
      </c>
    </row>
    <row r="116" spans="1:6" ht="18.75" x14ac:dyDescent="0.35">
      <c r="A116" s="52" t="s">
        <v>160</v>
      </c>
      <c r="B116" s="52" t="s">
        <v>161</v>
      </c>
      <c r="C116" s="58">
        <f>((iprms1/_ta2)^2)*C115</f>
        <v>4.6505270241595592E-2</v>
      </c>
      <c r="D116" s="52" t="s">
        <v>18</v>
      </c>
    </row>
    <row r="117" spans="1:6" ht="18.75" x14ac:dyDescent="0.35">
      <c r="A117" s="52" t="s">
        <v>163</v>
      </c>
      <c r="B117" s="52" t="s">
        <v>162</v>
      </c>
      <c r="C117" s="58">
        <f>(2*(dclamp))/(1-dclamp)</f>
        <v>56.134503089568398</v>
      </c>
      <c r="D117" s="52" t="s">
        <v>17</v>
      </c>
    </row>
    <row r="118" spans="1:6" ht="18.75" x14ac:dyDescent="0.35">
      <c r="A118" s="52" t="s">
        <v>177</v>
      </c>
      <c r="B118" s="52" t="s">
        <v>178</v>
      </c>
      <c r="C118" s="58">
        <f>(pout*0.6)/(VINMIN*Eff*_ta2)</f>
        <v>1.7999999999999999E-2</v>
      </c>
      <c r="D118" s="52" t="s">
        <v>18</v>
      </c>
    </row>
    <row r="119" spans="1:6" ht="18.75" x14ac:dyDescent="0.35">
      <c r="A119" s="75" t="s">
        <v>287</v>
      </c>
      <c r="B119" s="56"/>
      <c r="C119" s="95"/>
      <c r="D119" s="56"/>
      <c r="E119" s="75" t="s">
        <v>19</v>
      </c>
      <c r="F119" s="75"/>
    </row>
    <row r="120" spans="1:6" x14ac:dyDescent="0.25">
      <c r="A120" s="52" t="s">
        <v>271</v>
      </c>
      <c r="B120" s="52" t="s">
        <v>179</v>
      </c>
      <c r="C120" s="87">
        <v>2.5</v>
      </c>
      <c r="D120" s="52" t="s">
        <v>17</v>
      </c>
      <c r="E120" s="78" t="str">
        <f>IF(_va1&gt;VOUT,"V1 Needs to be &lt; VOUT",IF(_va1=VOUT,"V1 Needs to be &lt; VOUT",""))</f>
        <v/>
      </c>
      <c r="F120" s="78"/>
    </row>
    <row r="121" spans="1:6" ht="18.75" x14ac:dyDescent="0.35">
      <c r="A121" s="52" t="s">
        <v>181</v>
      </c>
      <c r="B121" s="52" t="s">
        <v>180</v>
      </c>
      <c r="C121" s="87">
        <v>2.37</v>
      </c>
      <c r="D121" s="52" t="s">
        <v>208</v>
      </c>
      <c r="E121" s="78" t="str">
        <f>IF(_va1&lt;0.5,"V1 Needs to be Greater than 0.5","")</f>
        <v/>
      </c>
    </row>
    <row r="122" spans="1:6" ht="18.75" x14ac:dyDescent="0.35">
      <c r="A122" s="52" t="s">
        <v>183</v>
      </c>
      <c r="B122" s="52" t="s">
        <v>182</v>
      </c>
      <c r="C122" s="58">
        <f>C121*(5-C120)/C120</f>
        <v>2.37</v>
      </c>
      <c r="D122" s="52" t="s">
        <v>208</v>
      </c>
    </row>
    <row r="123" spans="1:6" ht="18.75" x14ac:dyDescent="0.35">
      <c r="A123" s="52" t="s">
        <v>295</v>
      </c>
      <c r="B123" s="52" t="s">
        <v>182</v>
      </c>
      <c r="C123" s="58">
        <f>(IF((10^(LOG(C122)-INT(LOG(C122)))*100)-VLOOKUP((10^(LOG(C122)-INT(LOG(C122)))*100),E48_s:E48_f,1)&lt;VLOOKUP((10^(LOG(C122)-INT(LOG(C122)))*100),E48_s:E48_f,2)-(10^(LOG(C122)-INT(LOG(C122)))*100),VLOOKUP((10^(LOG(C122)-INT(LOG(C122)))*100),E48_s:E48_f,1),VLOOKUP((10^(LOG(C122)-INT(LOG(C122)))*100),E48_s:E48_f,2)))*10^INT(LOG(C122))/100</f>
        <v>2.37</v>
      </c>
      <c r="D123" s="52" t="s">
        <v>208</v>
      </c>
    </row>
    <row r="124" spans="1:6" ht="18.75" x14ac:dyDescent="0.35">
      <c r="A124" s="52" t="s">
        <v>323</v>
      </c>
      <c r="B124" s="52" t="s">
        <v>182</v>
      </c>
      <c r="C124" s="87">
        <v>2.37</v>
      </c>
      <c r="D124" s="52" t="s">
        <v>208</v>
      </c>
    </row>
    <row r="125" spans="1:6" ht="18.75" x14ac:dyDescent="0.35">
      <c r="A125" s="52" t="s">
        <v>181</v>
      </c>
      <c r="B125" s="52" t="s">
        <v>184</v>
      </c>
      <c r="C125" s="87">
        <v>2.37</v>
      </c>
      <c r="D125" s="52" t="s">
        <v>208</v>
      </c>
    </row>
    <row r="126" spans="1:6" ht="18.75" x14ac:dyDescent="0.35">
      <c r="A126" s="52" t="s">
        <v>183</v>
      </c>
      <c r="B126" s="52" t="s">
        <v>185</v>
      </c>
      <c r="C126" s="58">
        <f>C125*(VOUT-_va1)/_va1</f>
        <v>10.617599999999999</v>
      </c>
      <c r="D126" s="52" t="s">
        <v>208</v>
      </c>
    </row>
    <row r="127" spans="1:6" ht="18.75" x14ac:dyDescent="0.35">
      <c r="A127" s="52" t="s">
        <v>295</v>
      </c>
      <c r="B127" s="52" t="s">
        <v>185</v>
      </c>
      <c r="C127" s="58">
        <f>(IF((10^(LOG(C126)-INT(LOG(C126)))*100)-VLOOKUP((10^(LOG(C126)-INT(LOG(C126)))*100),E48_s:E48_f,1)&lt;VLOOKUP((10^(LOG(C126)-INT(LOG(C126)))*100),E48_s:E48_f,2)-(10^(LOG(C126)-INT(LOG(C126)))*100),VLOOKUP((10^(LOG(C126)-INT(LOG(C126)))*100),E48_s:E48_f,1),VLOOKUP((10^(LOG(C126)-INT(LOG(C126)))*100),E48_s:E48_f,2)))*10^INT(LOG(C126))/100</f>
        <v>10.5</v>
      </c>
      <c r="D127" s="52" t="s">
        <v>208</v>
      </c>
    </row>
    <row r="128" spans="1:6" ht="18.75" x14ac:dyDescent="0.35">
      <c r="A128" s="52" t="s">
        <v>323</v>
      </c>
      <c r="B128" s="52" t="s">
        <v>185</v>
      </c>
      <c r="C128" s="87">
        <v>10.7</v>
      </c>
      <c r="D128" s="52" t="s">
        <v>208</v>
      </c>
    </row>
    <row r="129" spans="1:5" ht="18.75" x14ac:dyDescent="0.35">
      <c r="A129" s="52" t="s">
        <v>280</v>
      </c>
      <c r="B129" s="52" t="s">
        <v>281</v>
      </c>
      <c r="C129" s="58">
        <f>fs/4</f>
        <v>75</v>
      </c>
      <c r="D129" s="52" t="s">
        <v>20</v>
      </c>
    </row>
    <row r="130" spans="1:5" ht="18.75" x14ac:dyDescent="0.35">
      <c r="A130" s="52" t="s">
        <v>187</v>
      </c>
      <c r="B130" s="52" t="s">
        <v>186</v>
      </c>
      <c r="C130" s="58">
        <f>fs/40</f>
        <v>7.5</v>
      </c>
      <c r="D130" s="52" t="s">
        <v>20</v>
      </c>
    </row>
    <row r="131" spans="1:5" ht="18.75" x14ac:dyDescent="0.35">
      <c r="A131" s="52" t="s">
        <v>272</v>
      </c>
      <c r="B131" s="52" t="s">
        <v>188</v>
      </c>
      <c r="C131" s="58">
        <f>(VOUT^2)/(pout*0.1)</f>
        <v>1.840098039215686</v>
      </c>
      <c r="D131" s="52" t="s">
        <v>156</v>
      </c>
    </row>
    <row r="132" spans="1:5" hidden="1" x14ac:dyDescent="0.25">
      <c r="A132" s="51" t="s">
        <v>189</v>
      </c>
      <c r="B132" s="51" t="s">
        <v>190</v>
      </c>
      <c r="C132" s="96">
        <f>_ta1*_ta2*(rload/RS)</f>
        <v>133.25747349709113</v>
      </c>
      <c r="D132" s="52" t="s">
        <v>19</v>
      </c>
    </row>
    <row r="133" spans="1:5" hidden="1" x14ac:dyDescent="0.25">
      <c r="A133" s="51" t="s">
        <v>197</v>
      </c>
      <c r="B133" s="51"/>
      <c r="C133" s="96" t="str">
        <f>(COMPLEX(1,2*PI()*fc*1000*esrcout*0.001*cout*0.000001))</f>
        <v>1+0.918915851175014i</v>
      </c>
    </row>
    <row r="134" spans="1:5" hidden="1" x14ac:dyDescent="0.25">
      <c r="A134" s="51" t="s">
        <v>191</v>
      </c>
      <c r="B134" s="51" t="s">
        <v>192</v>
      </c>
      <c r="C134" s="96" t="str">
        <f>IMDIV((COMPLEX(1,2*PI()*fc*1000*esrcout*0.001*cout*0.000001)),(COMPLEX(1,2*PI()*fc*1000*rload*cout*0.000001)))</f>
        <v>0.000884027881123793-0.000960179791727959i</v>
      </c>
    </row>
    <row r="135" spans="1:5" hidden="1" x14ac:dyDescent="0.25">
      <c r="A135" s="51" t="s">
        <v>193</v>
      </c>
      <c r="B135" s="51" t="s">
        <v>193</v>
      </c>
      <c r="C135" s="96" t="str">
        <f>IMDIV(1,(COMPLEX((1-(fc/fpp)^2),(fc/fpp))))</f>
        <v>0.999899000101-0.100999899000101i</v>
      </c>
    </row>
    <row r="136" spans="1:5" hidden="1" x14ac:dyDescent="0.25">
      <c r="A136" s="51" t="s">
        <v>194</v>
      </c>
      <c r="C136" s="96" t="str">
        <f>IMPRODUCT(n1divd1,d2a)</f>
        <v>0.000786960532410624-0.00104936954037275i</v>
      </c>
      <c r="E136" s="51"/>
    </row>
    <row r="137" spans="1:5" hidden="1" x14ac:dyDescent="0.25">
      <c r="A137" s="51" t="s">
        <v>195</v>
      </c>
      <c r="C137" s="96" t="str">
        <f>IMPRODUCT(constant,C136)</f>
        <v>0.104868372290965-0.139836333714876i</v>
      </c>
    </row>
    <row r="138" spans="1:5" hidden="1" x14ac:dyDescent="0.25">
      <c r="A138" s="51" t="s">
        <v>196</v>
      </c>
      <c r="B138" s="51" t="s">
        <v>198</v>
      </c>
      <c r="C138" s="96">
        <f>IMABS(C137)</f>
        <v>0.1747900904907787</v>
      </c>
    </row>
    <row r="139" spans="1:5" ht="18.75" x14ac:dyDescent="0.35">
      <c r="A139" s="52" t="s">
        <v>200</v>
      </c>
      <c r="B139" s="52" t="s">
        <v>199</v>
      </c>
      <c r="C139" s="58">
        <f>RII/C138</f>
        <v>61.216285030554936</v>
      </c>
      <c r="D139" s="52" t="s">
        <v>208</v>
      </c>
    </row>
    <row r="140" spans="1:5" ht="18.75" x14ac:dyDescent="0.35">
      <c r="A140" s="52" t="s">
        <v>295</v>
      </c>
      <c r="B140" s="52" t="s">
        <v>199</v>
      </c>
      <c r="C140" s="58">
        <f>(IF((10^(LOG(C139)-INT(LOG(C139)))*100)-VLOOKUP((10^(LOG(C139)-INT(LOG(C139)))*100),E48_s:E48_f,1)&lt;VLOOKUP((10^(LOG(C139)-INT(LOG(C139)))*100),E48_s:E48_f,2)-(10^(LOG(C139)-INT(LOG(C139)))*100),VLOOKUP((10^(LOG(C139)-INT(LOG(C139)))*100),E48_s:E48_f,1),VLOOKUP((10^(LOG(C139)-INT(LOG(C139)))*100),E48_s:E48_f,2)))*10^INT(LOG(C139))/100</f>
        <v>61.9</v>
      </c>
      <c r="D140" s="52" t="s">
        <v>208</v>
      </c>
    </row>
    <row r="141" spans="1:5" ht="18.75" x14ac:dyDescent="0.35">
      <c r="A141" s="52" t="s">
        <v>323</v>
      </c>
      <c r="B141" s="52" t="s">
        <v>199</v>
      </c>
      <c r="C141" s="87">
        <v>18.7</v>
      </c>
      <c r="D141" s="52" t="s">
        <v>208</v>
      </c>
    </row>
    <row r="142" spans="1:5" ht="18.75" x14ac:dyDescent="0.35">
      <c r="A142" s="52" t="s">
        <v>204</v>
      </c>
      <c r="B142" s="52" t="s">
        <v>201</v>
      </c>
      <c r="C142" s="58">
        <f>(1/(2*PI()*C141*(fc/5)))*10^3</f>
        <v>5.6739730157538446</v>
      </c>
      <c r="D142" s="52" t="s">
        <v>202</v>
      </c>
      <c r="E142" s="57"/>
    </row>
    <row r="143" spans="1:5" ht="18" customHeight="1" x14ac:dyDescent="0.25">
      <c r="A143" s="52" t="s">
        <v>294</v>
      </c>
      <c r="B143" s="52" t="s">
        <v>210</v>
      </c>
      <c r="C143" s="97">
        <f>IF(C142&lt;10000,C144*10^INT(LOG(C142)),C145*10^INT(LOG(C142)))</f>
        <v>5.6</v>
      </c>
      <c r="D143" s="52" t="s">
        <v>202</v>
      </c>
    </row>
    <row r="144" spans="1:5" ht="18" hidden="1" customHeight="1" x14ac:dyDescent="0.25">
      <c r="A144" s="51" t="s">
        <v>211</v>
      </c>
      <c r="C144" s="98">
        <f>IF((10^(LOG(C142)-INT(LOG(C142))))-VLOOKUP((10^(LOG(C142)-INT(LOG(C142)))),c_s1:C_f1,1)&lt;VLOOKUP((10^(LOG(C142)-INT(LOG(C142)))),c_s1:C_f1,2)-(10^(LOG(C142)-INT(LOG(C142)))),VLOOKUP((10^(LOG(C142)-INT(LOG(C142)))),c_s1:C_f1,1),VLOOKUP((10^(LOG(C142)-INT(LOG(C142)))),c_s1:C_f1,2))</f>
        <v>5.6</v>
      </c>
    </row>
    <row r="145" spans="1:5" ht="18" hidden="1" customHeight="1" x14ac:dyDescent="0.25">
      <c r="A145" s="51" t="s">
        <v>212</v>
      </c>
      <c r="C145" s="98">
        <f>IF((10^(LOG(C142)-INT(LOG(C142))))-VLOOKUP((10^(LOG(C142)-INT(LOG(C142)))),C_s2:C_f2,1)&lt;VLOOKUP((10^(LOG(C142)-INT(LOG(C142)))),C_s2:C_f2,2)-(10^(LOG(C142)-INT(LOG(C142)))),VLOOKUP((10^(LOG(C142)-INT(LOG(C142)))),C_s2:C_f2,1),VLOOKUP((10^(LOG(C142)-INT(LOG(C142)))),C_s2:C_f2,2))</f>
        <v>4.7</v>
      </c>
    </row>
    <row r="146" spans="1:5" ht="18.75" x14ac:dyDescent="0.35">
      <c r="A146" s="52" t="s">
        <v>325</v>
      </c>
      <c r="B146" s="52" t="s">
        <v>201</v>
      </c>
      <c r="C146" s="87">
        <v>33</v>
      </c>
      <c r="D146" s="52" t="s">
        <v>202</v>
      </c>
    </row>
    <row r="147" spans="1:5" ht="18.75" x14ac:dyDescent="0.35">
      <c r="A147" s="61" t="s">
        <v>203</v>
      </c>
      <c r="B147" s="61" t="s">
        <v>209</v>
      </c>
      <c r="C147" s="88">
        <f>1000000/(2*PI()*rf*fc*2)</f>
        <v>567.3973015753844</v>
      </c>
      <c r="D147" s="52" t="s">
        <v>62</v>
      </c>
      <c r="E147" s="62" t="s">
        <v>19</v>
      </c>
    </row>
    <row r="148" spans="1:5" ht="18.75" x14ac:dyDescent="0.35">
      <c r="A148" s="52" t="s">
        <v>294</v>
      </c>
      <c r="B148" s="61" t="s">
        <v>209</v>
      </c>
      <c r="C148" s="97">
        <f>IF(C147&lt;10000,C149*10^INT(LOG(C147)),C150*10^INT(LOG(C147)))</f>
        <v>560</v>
      </c>
      <c r="D148" s="52" t="s">
        <v>62</v>
      </c>
      <c r="E148" s="60"/>
    </row>
    <row r="149" spans="1:5" hidden="1" x14ac:dyDescent="0.25">
      <c r="A149" s="51" t="s">
        <v>211</v>
      </c>
      <c r="B149" s="63"/>
      <c r="C149" s="98">
        <f>IF((10^(LOG(C147)-INT(LOG(C147))))-VLOOKUP((10^(LOG(C147)-INT(LOG(C147)))),c_s1:C_f1,1)&lt;VLOOKUP((10^(LOG(C147)-INT(LOG(C147)))),c_s1:C_f1,2)-(10^(LOG(C147)-INT(LOG(C147)))),VLOOKUP((10^(LOG(C147)-INT(LOG(C147)))),c_s1:C_f1,1),VLOOKUP((10^(LOG(C147)-INT(LOG(C147)))),c_s1:C_f1,2))</f>
        <v>5.6</v>
      </c>
    </row>
    <row r="150" spans="1:5" hidden="1" x14ac:dyDescent="0.25">
      <c r="A150" s="51" t="s">
        <v>212</v>
      </c>
      <c r="B150" s="63"/>
      <c r="C150" s="98">
        <f>IF((10^(LOG(C147)-INT(LOG(C147))))-VLOOKUP((10^(LOG(C147)-INT(LOG(C147)))),C_s2:C_f2,1)&lt;VLOOKUP((10^(LOG(C147)-INT(LOG(C147)))),C_s2:C_f2,2)-(10^(LOG(C147)-INT(LOG(C147)))),VLOOKUP((10^(LOG(C147)-INT(LOG(C147)))),C_s2:C_f2,1),VLOOKUP((10^(LOG(C147)-INT(LOG(C147)))),C_s2:C_f2,2))</f>
        <v>4.7</v>
      </c>
    </row>
    <row r="151" spans="1:5" ht="18.75" x14ac:dyDescent="0.35">
      <c r="A151" s="52" t="s">
        <v>325</v>
      </c>
      <c r="B151" s="52" t="s">
        <v>209</v>
      </c>
      <c r="C151" s="87">
        <v>820</v>
      </c>
      <c r="D151" s="52" t="s">
        <v>62</v>
      </c>
    </row>
    <row r="152" spans="1:5" x14ac:dyDescent="0.25">
      <c r="C152" s="87"/>
    </row>
    <row r="153" spans="1:5" x14ac:dyDescent="0.25">
      <c r="C153" s="87"/>
    </row>
    <row r="154" spans="1:5" x14ac:dyDescent="0.25">
      <c r="C154" s="87"/>
    </row>
    <row r="155" spans="1:5" x14ac:dyDescent="0.25">
      <c r="C155" s="87"/>
    </row>
    <row r="156" spans="1:5" x14ac:dyDescent="0.25">
      <c r="C156" s="87"/>
    </row>
    <row r="157" spans="1:5" x14ac:dyDescent="0.25">
      <c r="C157" s="87"/>
    </row>
    <row r="158" spans="1:5" x14ac:dyDescent="0.25">
      <c r="C158" s="87"/>
    </row>
    <row r="159" spans="1:5" x14ac:dyDescent="0.25">
      <c r="C159" s="87"/>
    </row>
    <row r="160" spans="1:5" x14ac:dyDescent="0.25">
      <c r="C160" s="87"/>
    </row>
    <row r="161" spans="1:6" x14ac:dyDescent="0.25">
      <c r="C161" s="87"/>
    </row>
    <row r="162" spans="1:6" x14ac:dyDescent="0.25">
      <c r="C162" s="87"/>
    </row>
    <row r="163" spans="1:6" x14ac:dyDescent="0.25">
      <c r="C163" s="87"/>
    </row>
    <row r="164" spans="1:6" x14ac:dyDescent="0.25">
      <c r="C164" s="87"/>
    </row>
    <row r="165" spans="1:6" x14ac:dyDescent="0.25">
      <c r="C165" s="87"/>
    </row>
    <row r="166" spans="1:6" x14ac:dyDescent="0.25">
      <c r="C166" s="87"/>
    </row>
    <row r="167" spans="1:6" x14ac:dyDescent="0.25">
      <c r="C167" s="87"/>
    </row>
    <row r="168" spans="1:6" x14ac:dyDescent="0.25">
      <c r="C168" s="87"/>
    </row>
    <row r="169" spans="1:6" x14ac:dyDescent="0.25">
      <c r="C169" s="87"/>
    </row>
    <row r="170" spans="1:6" x14ac:dyDescent="0.25">
      <c r="C170" s="87"/>
    </row>
    <row r="171" spans="1:6" x14ac:dyDescent="0.25">
      <c r="C171" s="87"/>
    </row>
    <row r="172" spans="1:6" x14ac:dyDescent="0.25">
      <c r="C172" s="87"/>
    </row>
    <row r="173" spans="1:6" ht="18.75" x14ac:dyDescent="0.35">
      <c r="A173" s="75" t="s">
        <v>288</v>
      </c>
      <c r="B173" s="56"/>
      <c r="C173" s="95"/>
      <c r="D173" s="56"/>
      <c r="E173" s="75" t="s">
        <v>19</v>
      </c>
      <c r="F173" s="75"/>
    </row>
    <row r="174" spans="1:6" ht="18.75" x14ac:dyDescent="0.35">
      <c r="A174" s="61" t="s">
        <v>214</v>
      </c>
      <c r="B174" s="61" t="s">
        <v>213</v>
      </c>
      <c r="C174" s="87">
        <v>57</v>
      </c>
      <c r="D174" s="52" t="s">
        <v>215</v>
      </c>
    </row>
    <row r="175" spans="1:6" ht="18.75" x14ac:dyDescent="0.35">
      <c r="A175" s="61" t="s">
        <v>273</v>
      </c>
      <c r="B175" s="61" t="s">
        <v>216</v>
      </c>
      <c r="C175" s="88">
        <f>(C174)*(25)/(_va1+0.55)</f>
        <v>467.2131147540984</v>
      </c>
      <c r="D175" s="52" t="s">
        <v>202</v>
      </c>
    </row>
    <row r="176" spans="1:6" ht="18.75" x14ac:dyDescent="0.35">
      <c r="A176" s="52" t="s">
        <v>294</v>
      </c>
      <c r="B176" s="61" t="s">
        <v>216</v>
      </c>
      <c r="C176" s="97">
        <f>IF(C175&lt;10000,C177*10^INT(LOG(C175)),C178*10^INT(LOG(C175)))</f>
        <v>470</v>
      </c>
      <c r="D176" s="52" t="s">
        <v>202</v>
      </c>
    </row>
    <row r="177" spans="1:6" hidden="1" x14ac:dyDescent="0.25">
      <c r="A177" s="51" t="s">
        <v>211</v>
      </c>
      <c r="B177" s="63"/>
      <c r="C177" s="98">
        <f>IF((10^(LOG(C175)-INT(LOG(C175))))-VLOOKUP((10^(LOG(C175)-INT(LOG(C175)))),c_s1:C_f1,1)&lt;VLOOKUP((10^(LOG(C175)-INT(LOG(C175)))),c_s1:C_f1,2)-(10^(LOG(C175)-INT(LOG(C175)))),VLOOKUP((10^(LOG(C175)-INT(LOG(C175)))),c_s1:C_f1,1),VLOOKUP((10^(LOG(C175)-INT(LOG(C175)))),c_s1:C_f1,2))</f>
        <v>4.7</v>
      </c>
    </row>
    <row r="178" spans="1:6" hidden="1" x14ac:dyDescent="0.25">
      <c r="A178" s="51" t="s">
        <v>217</v>
      </c>
      <c r="B178" s="63"/>
      <c r="C178" s="98">
        <f>IF((10^(LOG(C175)-INT(LOG(C175))))-VLOOKUP((10^(LOG(C175)-INT(LOG(C175)))),C_s2:C_f2,1)&lt;VLOOKUP((10^(LOG(C175)-INT(LOG(C175)))),C_s2:C_f2,2)-(10^(LOG(C175)-INT(LOG(C175)))),VLOOKUP((10^(LOG(C175)-INT(LOG(C175)))),C_s2:C_f2,1),VLOOKUP((10^(LOG(C175)-INT(LOG(C175)))),C_s2:C_f2,2))</f>
        <v>4.7</v>
      </c>
    </row>
    <row r="179" spans="1:6" ht="18.75" x14ac:dyDescent="0.35">
      <c r="A179" s="52" t="s">
        <v>325</v>
      </c>
      <c r="B179" s="52" t="s">
        <v>216</v>
      </c>
      <c r="C179" s="87">
        <v>470</v>
      </c>
      <c r="D179" s="52" t="s">
        <v>202</v>
      </c>
    </row>
    <row r="180" spans="1:6" ht="18.75" x14ac:dyDescent="0.35">
      <c r="A180" s="75" t="s">
        <v>313</v>
      </c>
      <c r="B180" s="56"/>
      <c r="C180" s="95"/>
      <c r="D180" s="56"/>
      <c r="E180" s="75" t="s">
        <v>19</v>
      </c>
      <c r="F180" s="75"/>
    </row>
    <row r="181" spans="1:6" ht="18.75" x14ac:dyDescent="0.35">
      <c r="A181" s="61" t="s">
        <v>274</v>
      </c>
      <c r="B181" s="61" t="s">
        <v>218</v>
      </c>
      <c r="C181" s="88">
        <f>tdelay</f>
        <v>114.67659156551585</v>
      </c>
      <c r="D181" s="52" t="s">
        <v>132</v>
      </c>
    </row>
    <row r="182" spans="1:6" ht="18.75" x14ac:dyDescent="0.35">
      <c r="A182" s="61" t="s">
        <v>312</v>
      </c>
      <c r="B182" s="61" t="s">
        <v>218</v>
      </c>
      <c r="C182" s="87">
        <v>200</v>
      </c>
      <c r="D182" s="52" t="s">
        <v>132</v>
      </c>
    </row>
    <row r="183" spans="1:6" ht="18.75" x14ac:dyDescent="0.35">
      <c r="A183" s="61" t="s">
        <v>307</v>
      </c>
      <c r="B183" s="61" t="s">
        <v>304</v>
      </c>
      <c r="C183" s="87">
        <v>8.25</v>
      </c>
      <c r="D183" s="52" t="s">
        <v>208</v>
      </c>
    </row>
    <row r="184" spans="1:6" ht="18.75" x14ac:dyDescent="0.35">
      <c r="A184" s="61" t="s">
        <v>306</v>
      </c>
      <c r="B184" s="61" t="s">
        <v>305</v>
      </c>
      <c r="C184" s="88">
        <f>IF(tabset&gt;155, 0.2, 1.8)</f>
        <v>0.2</v>
      </c>
      <c r="D184" s="52" t="s">
        <v>17</v>
      </c>
    </row>
    <row r="185" spans="1:6" ht="18.75" x14ac:dyDescent="0.35">
      <c r="A185" s="61" t="s">
        <v>308</v>
      </c>
      <c r="B185" s="61" t="s">
        <v>309</v>
      </c>
      <c r="C185" s="88">
        <f>C183*C184/(5-C184)</f>
        <v>0.34375000000000006</v>
      </c>
      <c r="D185" s="52" t="s">
        <v>208</v>
      </c>
    </row>
    <row r="186" spans="1:6" ht="18.75" x14ac:dyDescent="0.35">
      <c r="A186" s="52" t="s">
        <v>295</v>
      </c>
      <c r="B186" s="61" t="s">
        <v>309</v>
      </c>
      <c r="C186" s="58">
        <f>(IF((10^(LOG(C185)-INT(LOG(C185)))*100)-VLOOKUP((10^(LOG(C185)-INT(LOG(C185)))*100),E48_s:E48_f,1)&lt;VLOOKUP((10^(LOG(C185)-INT(LOG(C185)))*100),E48_s:E48_f,2)-(10^(LOG(C185)-INT(LOG(C185)))*100),VLOOKUP((10^(LOG(C185)-INT(LOG(C185)))*100),E48_s:E48_f,1),VLOOKUP((10^(LOG(C185)-INT(LOG(C185)))*100),E48_s:E48_f,2)))*10^INT(LOG(C185))/100</f>
        <v>0.34800000000000003</v>
      </c>
      <c r="D186" s="52" t="s">
        <v>208</v>
      </c>
    </row>
    <row r="187" spans="1:6" ht="18.75" x14ac:dyDescent="0.35">
      <c r="A187" s="61" t="s">
        <v>310</v>
      </c>
      <c r="B187" s="61" t="s">
        <v>309</v>
      </c>
      <c r="C187" s="87">
        <v>0.34799999999999998</v>
      </c>
      <c r="D187" s="52" t="s">
        <v>208</v>
      </c>
    </row>
    <row r="188" spans="1:6" ht="18.75" x14ac:dyDescent="0.35">
      <c r="A188" s="61" t="s">
        <v>311</v>
      </c>
      <c r="B188" s="61" t="s">
        <v>305</v>
      </c>
      <c r="C188" s="88">
        <f>5*C187/(C183+C187)</f>
        <v>0.2023726448011165</v>
      </c>
      <c r="D188" s="52" t="s">
        <v>17</v>
      </c>
    </row>
    <row r="189" spans="1:6" ht="18.75" x14ac:dyDescent="0.35">
      <c r="A189" s="52" t="s">
        <v>275</v>
      </c>
      <c r="B189" s="61" t="s">
        <v>219</v>
      </c>
      <c r="C189" s="88">
        <f>(tabset-5)*(0.15+(C188*1.46))/5</f>
        <v>17.373098394975571</v>
      </c>
      <c r="D189" s="52" t="s">
        <v>208</v>
      </c>
    </row>
    <row r="190" spans="1:6" ht="18.75" x14ac:dyDescent="0.35">
      <c r="A190" s="52" t="s">
        <v>295</v>
      </c>
      <c r="B190" s="61" t="s">
        <v>219</v>
      </c>
      <c r="C190" s="58">
        <f>(IF((10^(LOG(C189)-INT(LOG(C189)))*100)-VLOOKUP((10^(LOG(C189)-INT(LOG(C189)))*100),E48_s:E48_f,1)&lt;VLOOKUP((10^(LOG(C189)-INT(LOG(C189)))*100),E48_s:E48_f,2)-(10^(LOG(C189)-INT(LOG(C189)))*100),VLOOKUP((10^(LOG(C189)-INT(LOG(C189)))*100),E48_s:E48_f,1),VLOOKUP((10^(LOG(C189)-INT(LOG(C189)))*100),E48_s:E48_f,2)))*10^INT(LOG(C189))/100</f>
        <v>17.8</v>
      </c>
      <c r="D190" s="52" t="s">
        <v>208</v>
      </c>
    </row>
    <row r="191" spans="1:6" ht="18.75" x14ac:dyDescent="0.35">
      <c r="A191" s="52" t="s">
        <v>326</v>
      </c>
      <c r="B191" s="61" t="s">
        <v>219</v>
      </c>
      <c r="C191" s="87">
        <v>16</v>
      </c>
      <c r="D191" s="52" t="s">
        <v>208</v>
      </c>
    </row>
    <row r="192" spans="1:6" ht="18.75" x14ac:dyDescent="0.35">
      <c r="A192" s="75" t="s">
        <v>314</v>
      </c>
      <c r="B192" s="56"/>
      <c r="C192" s="95"/>
      <c r="D192" s="56"/>
      <c r="E192" s="75" t="s">
        <v>19</v>
      </c>
      <c r="F192" s="75"/>
    </row>
    <row r="193" spans="1:6" ht="18.75" x14ac:dyDescent="0.35">
      <c r="A193" s="52" t="s">
        <v>276</v>
      </c>
      <c r="B193" s="61" t="s">
        <v>221</v>
      </c>
      <c r="C193" s="88">
        <f>tdelay</f>
        <v>114.67659156551585</v>
      </c>
      <c r="D193" s="52" t="s">
        <v>132</v>
      </c>
    </row>
    <row r="194" spans="1:6" ht="18.75" x14ac:dyDescent="0.35">
      <c r="A194" s="61" t="s">
        <v>312</v>
      </c>
      <c r="B194" s="61" t="s">
        <v>221</v>
      </c>
      <c r="C194" s="87">
        <v>200</v>
      </c>
      <c r="D194" s="52" t="s">
        <v>132</v>
      </c>
    </row>
    <row r="195" spans="1:6" ht="18.75" x14ac:dyDescent="0.35">
      <c r="A195" s="52" t="s">
        <v>275</v>
      </c>
      <c r="B195" s="61" t="s">
        <v>220</v>
      </c>
      <c r="C195" s="88">
        <f>(tcdset-5)*(0.15+(vadel*1.46))/5</f>
        <v>17.373098394975571</v>
      </c>
      <c r="D195" s="52" t="s">
        <v>208</v>
      </c>
    </row>
    <row r="196" spans="1:6" ht="18.75" x14ac:dyDescent="0.35">
      <c r="A196" s="52" t="s">
        <v>295</v>
      </c>
      <c r="B196" s="61" t="s">
        <v>220</v>
      </c>
      <c r="C196" s="58">
        <f>(IF((10^(LOG(C195)-INT(LOG(C195)))*100)-VLOOKUP((10^(LOG(C195)-INT(LOG(C195)))*100),E48_s:E48_f,1)&lt;VLOOKUP((10^(LOG(C195)-INT(LOG(C195)))*100),E48_s:E48_f,2)-(10^(LOG(C195)-INT(LOG(C195)))*100),VLOOKUP((10^(LOG(C195)-INT(LOG(C195)))*100),E48_s:E48_f,1),VLOOKUP((10^(LOG(C195)-INT(LOG(C195)))*100),E48_s:E48_f,2)))*10^INT(LOG(C195))/100</f>
        <v>17.8</v>
      </c>
      <c r="D196" s="52" t="s">
        <v>208</v>
      </c>
    </row>
    <row r="197" spans="1:6" ht="18.75" x14ac:dyDescent="0.35">
      <c r="A197" s="52" t="s">
        <v>326</v>
      </c>
      <c r="B197" s="61" t="s">
        <v>220</v>
      </c>
      <c r="C197" s="87">
        <v>16</v>
      </c>
      <c r="D197" s="52" t="s">
        <v>208</v>
      </c>
    </row>
    <row r="198" spans="1:6" ht="18.75" x14ac:dyDescent="0.35">
      <c r="A198" s="75" t="s">
        <v>324</v>
      </c>
      <c r="B198" s="56"/>
      <c r="C198" s="95"/>
      <c r="D198" s="56"/>
      <c r="E198" s="75" t="s">
        <v>19</v>
      </c>
      <c r="F198" s="75"/>
    </row>
    <row r="199" spans="1:6" ht="18.75" x14ac:dyDescent="0.35">
      <c r="A199" s="52" t="s">
        <v>222</v>
      </c>
      <c r="B199" s="52" t="s">
        <v>321</v>
      </c>
      <c r="C199" s="58">
        <f>C182/2</f>
        <v>100</v>
      </c>
      <c r="D199" s="52" t="s">
        <v>132</v>
      </c>
    </row>
    <row r="200" spans="1:6" ht="18.75" x14ac:dyDescent="0.35">
      <c r="A200" s="52" t="s">
        <v>322</v>
      </c>
      <c r="B200" s="52" t="s">
        <v>321</v>
      </c>
      <c r="C200" s="87">
        <v>89</v>
      </c>
      <c r="D200" s="52" t="s">
        <v>132</v>
      </c>
    </row>
    <row r="201" spans="1:6" ht="18.75" x14ac:dyDescent="0.35">
      <c r="A201" s="61" t="s">
        <v>316</v>
      </c>
      <c r="B201" s="52" t="s">
        <v>315</v>
      </c>
      <c r="C201" s="87">
        <v>0.72</v>
      </c>
      <c r="D201" s="52" t="s">
        <v>208</v>
      </c>
    </row>
    <row r="202" spans="1:6" ht="18.75" x14ac:dyDescent="0.35">
      <c r="A202" s="61" t="s">
        <v>319</v>
      </c>
      <c r="B202" s="52" t="s">
        <v>320</v>
      </c>
      <c r="C202" s="88">
        <f>IF(tafset&lt;170, 0.2,1.7)</f>
        <v>0.2</v>
      </c>
      <c r="D202" s="52" t="s">
        <v>17</v>
      </c>
    </row>
    <row r="203" spans="1:6" ht="18.75" x14ac:dyDescent="0.35">
      <c r="A203" s="61" t="s">
        <v>317</v>
      </c>
      <c r="B203" s="52" t="s">
        <v>318</v>
      </c>
      <c r="C203" s="88">
        <f>C202*C201/(5-C202)</f>
        <v>0.03</v>
      </c>
      <c r="D203" s="52" t="s">
        <v>208</v>
      </c>
    </row>
    <row r="204" spans="1:6" ht="18.75" x14ac:dyDescent="0.35">
      <c r="A204" s="52" t="s">
        <v>295</v>
      </c>
      <c r="B204" s="52" t="s">
        <v>318</v>
      </c>
      <c r="C204" s="58">
        <f>(IF((10^(LOG(C203)-INT(LOG(C203)))*100)-VLOOKUP((10^(LOG(C203)-INT(LOG(C203)))*100),E48_s:E48_f,1)&lt;VLOOKUP((10^(LOG(C203)-INT(LOG(C203)))*100),E48_s:E48_f,2)-(10^(LOG(C203)-INT(LOG(C203)))*100),VLOOKUP((10^(LOG(C203)-INT(LOG(C203)))*100),E48_s:E48_f,1),VLOOKUP((10^(LOG(C203)-INT(LOG(C203)))*100),E48_s:E48_f,2)))*10^INT(LOG(C203))/100</f>
        <v>3.0100000000000002E-2</v>
      </c>
      <c r="D204" s="52" t="s">
        <v>208</v>
      </c>
    </row>
    <row r="205" spans="1:6" ht="18.75" x14ac:dyDescent="0.35">
      <c r="A205" s="52" t="s">
        <v>323</v>
      </c>
      <c r="B205" s="52" t="s">
        <v>318</v>
      </c>
      <c r="C205" s="87">
        <v>0.43</v>
      </c>
      <c r="D205" s="52" t="s">
        <v>208</v>
      </c>
    </row>
    <row r="206" spans="1:6" ht="18.75" x14ac:dyDescent="0.35">
      <c r="A206" s="61" t="s">
        <v>319</v>
      </c>
      <c r="B206" s="52" t="s">
        <v>320</v>
      </c>
      <c r="C206" s="58">
        <f>5*C205/(C205+C201)</f>
        <v>1.8695652173913044</v>
      </c>
      <c r="D206" s="52" t="s">
        <v>17</v>
      </c>
    </row>
    <row r="207" spans="1:6" ht="18.75" x14ac:dyDescent="0.35">
      <c r="A207" s="52" t="s">
        <v>275</v>
      </c>
      <c r="B207" s="61" t="s">
        <v>223</v>
      </c>
      <c r="C207" s="88">
        <f>(tafset-4)*(2.65-(C206*1.32))/5</f>
        <v>3.0969565217391235</v>
      </c>
      <c r="D207" s="52" t="s">
        <v>208</v>
      </c>
    </row>
    <row r="208" spans="1:6" ht="18.75" x14ac:dyDescent="0.35">
      <c r="A208" s="52" t="s">
        <v>295</v>
      </c>
      <c r="B208" s="61" t="s">
        <v>223</v>
      </c>
      <c r="C208" s="58">
        <f>(IF((10^(LOG(C207)-INT(LOG(C207)))*100)-VLOOKUP((10^(LOG(C207)-INT(LOG(C207)))*100),E48_s:E48_f,1)&lt;VLOOKUP((10^(LOG(C207)-INT(LOG(C207)))*100),E48_s:E48_f,2)-(10^(LOG(C207)-INT(LOG(C207)))*100),VLOOKUP((10^(LOG(C207)-INT(LOG(C207)))*100),E48_s:E48_f,1),VLOOKUP((10^(LOG(C207)-INT(LOG(C207)))*100),E48_s:E48_f,2)))*10^INT(LOG(C207))/100</f>
        <v>3.16</v>
      </c>
      <c r="D208" s="52" t="s">
        <v>208</v>
      </c>
    </row>
    <row r="209" spans="1:6" ht="18.75" x14ac:dyDescent="0.35">
      <c r="A209" s="52" t="s">
        <v>327</v>
      </c>
      <c r="B209" s="61" t="s">
        <v>223</v>
      </c>
      <c r="C209" s="87">
        <v>3.3</v>
      </c>
      <c r="D209" s="52" t="s">
        <v>208</v>
      </c>
    </row>
    <row r="210" spans="1:6" x14ac:dyDescent="0.25">
      <c r="A210" s="75" t="s">
        <v>224</v>
      </c>
      <c r="B210" s="65"/>
      <c r="C210" s="95"/>
      <c r="D210" s="56"/>
      <c r="E210" s="75" t="s">
        <v>19</v>
      </c>
      <c r="F210" s="75"/>
    </row>
    <row r="211" spans="1:6" ht="18.75" x14ac:dyDescent="0.35">
      <c r="A211" s="52" t="s">
        <v>225</v>
      </c>
      <c r="B211" s="52" t="s">
        <v>226</v>
      </c>
      <c r="C211" s="87">
        <v>100</v>
      </c>
      <c r="D211" s="52" t="s">
        <v>132</v>
      </c>
    </row>
    <row r="212" spans="1:6" ht="18.75" x14ac:dyDescent="0.35">
      <c r="A212" s="52" t="s">
        <v>228</v>
      </c>
      <c r="B212" s="52" t="s">
        <v>227</v>
      </c>
      <c r="C212" s="58">
        <f>(C211-15)/6.6</f>
        <v>12.878787878787879</v>
      </c>
      <c r="D212" s="52" t="s">
        <v>208</v>
      </c>
    </row>
    <row r="213" spans="1:6" ht="18.75" x14ac:dyDescent="0.35">
      <c r="A213" s="52" t="s">
        <v>295</v>
      </c>
      <c r="B213" s="52" t="s">
        <v>227</v>
      </c>
      <c r="C213" s="58">
        <f>(IF((10^(LOG(C212)-INT(LOG(C212)))*100)-VLOOKUP((10^(LOG(C212)-INT(LOG(C212)))*100),E48_s:E48_f,1)&lt;VLOOKUP((10^(LOG(C212)-INT(LOG(C212)))*100),E48_s:E48_f,2)-(10^(LOG(C212)-INT(LOG(C212)))*100),VLOOKUP((10^(LOG(C212)-INT(LOG(C212)))*100),E48_s:E48_f,1),VLOOKUP((10^(LOG(C212)-INT(LOG(C212)))*100),E48_s:E48_f,2)))*10^INT(LOG(C212))/100</f>
        <v>12.7</v>
      </c>
      <c r="D213" s="52" t="s">
        <v>208</v>
      </c>
    </row>
    <row r="214" spans="1:6" ht="18.75" x14ac:dyDescent="0.35">
      <c r="A214" s="52" t="s">
        <v>323</v>
      </c>
      <c r="B214" s="52" t="s">
        <v>227</v>
      </c>
      <c r="C214" s="87">
        <v>13</v>
      </c>
      <c r="D214" s="52" t="s">
        <v>208</v>
      </c>
    </row>
    <row r="215" spans="1:6" x14ac:dyDescent="0.25">
      <c r="A215" s="75" t="s">
        <v>229</v>
      </c>
      <c r="B215" s="65"/>
      <c r="C215" s="95"/>
      <c r="D215" s="56"/>
      <c r="E215" s="75" t="s">
        <v>19</v>
      </c>
      <c r="F215" s="75"/>
    </row>
    <row r="216" spans="1:6" ht="18.75" x14ac:dyDescent="0.35">
      <c r="A216" s="52" t="s">
        <v>230</v>
      </c>
      <c r="B216" s="52" t="s">
        <v>231</v>
      </c>
      <c r="C216" s="58">
        <f>(((2.5*10^3)/(fs/2))-1)*2.5</f>
        <v>39.166666666666671</v>
      </c>
      <c r="D216" s="52" t="s">
        <v>208</v>
      </c>
      <c r="E216" s="52" t="s">
        <v>19</v>
      </c>
    </row>
    <row r="217" spans="1:6" ht="18.75" x14ac:dyDescent="0.35">
      <c r="A217" s="52" t="s">
        <v>295</v>
      </c>
      <c r="B217" s="52" t="s">
        <v>231</v>
      </c>
      <c r="C217" s="58">
        <f>(IF((10^(LOG(C216)-INT(LOG(C216)))*100)-VLOOKUP((10^(LOG(C216)-INT(LOG(C216)))*100),E48_s:E48_f,1)&lt;VLOOKUP((10^(LOG(C216)-INT(LOG(C216)))*100),E48_s:E48_f,2)-(10^(LOG(C216)-INT(LOG(C216)))*100),VLOOKUP((10^(LOG(C216)-INT(LOG(C216)))*100),E48_s:E48_f,1),VLOOKUP((10^(LOG(C216)-INT(LOG(C216)))*100),E48_s:E48_f,2)))*10^INT(LOG(C216))/100</f>
        <v>38.299999999999997</v>
      </c>
      <c r="D217" s="52" t="s">
        <v>208</v>
      </c>
    </row>
    <row r="218" spans="1:6" ht="18.75" x14ac:dyDescent="0.35">
      <c r="A218" s="52" t="s">
        <v>323</v>
      </c>
      <c r="B218" s="52" t="s">
        <v>231</v>
      </c>
      <c r="C218" s="87">
        <v>61.9</v>
      </c>
      <c r="D218" s="52" t="s">
        <v>208</v>
      </c>
    </row>
    <row r="219" spans="1:6" x14ac:dyDescent="0.25">
      <c r="A219" s="75" t="s">
        <v>232</v>
      </c>
      <c r="B219" s="65"/>
      <c r="C219" s="95"/>
      <c r="D219" s="56"/>
      <c r="E219" s="75" t="s">
        <v>19</v>
      </c>
      <c r="F219" s="75"/>
    </row>
    <row r="220" spans="1:6" ht="18.75" x14ac:dyDescent="0.35">
      <c r="A220" s="52" t="s">
        <v>277</v>
      </c>
      <c r="B220" s="52" t="s">
        <v>44</v>
      </c>
      <c r="C220" s="58">
        <f>(vin*(1-dtyp))/(lmag2*fs)</f>
        <v>0.3321649140377233</v>
      </c>
      <c r="D220" s="52" t="s">
        <v>34</v>
      </c>
    </row>
    <row r="221" spans="1:6" ht="18.75" x14ac:dyDescent="0.35">
      <c r="A221" s="52" t="s">
        <v>334</v>
      </c>
      <c r="B221" s="52" t="s">
        <v>332</v>
      </c>
      <c r="C221" s="58">
        <f>fs*0.2*0.001</f>
        <v>0.06</v>
      </c>
      <c r="D221" s="52" t="s">
        <v>233</v>
      </c>
    </row>
    <row r="222" spans="1:6" ht="18.75" x14ac:dyDescent="0.35">
      <c r="A222" s="52" t="s">
        <v>335</v>
      </c>
      <c r="B222" s="52" t="s">
        <v>333</v>
      </c>
      <c r="C222" s="58">
        <f>((((dilout/(_taa1*2))-C220)*RS*(1-dtyp)*fs)/_ta2)*0.001</f>
        <v>9.3500096849637453E-4</v>
      </c>
      <c r="D222" s="52" t="s">
        <v>233</v>
      </c>
      <c r="E222" s="52" t="s">
        <v>19</v>
      </c>
    </row>
    <row r="223" spans="1:6" ht="18.75" x14ac:dyDescent="0.35">
      <c r="A223" s="52" t="s">
        <v>234</v>
      </c>
      <c r="B223" s="52" t="s">
        <v>235</v>
      </c>
      <c r="C223" s="88">
        <f>IF(Vslope1&gt;Vslope2, Vslope1, Vslope2)</f>
        <v>0.06</v>
      </c>
      <c r="D223" s="52" t="s">
        <v>233</v>
      </c>
      <c r="E223" s="52" t="s">
        <v>19</v>
      </c>
    </row>
    <row r="224" spans="1:6" ht="18.75" x14ac:dyDescent="0.35">
      <c r="A224" s="52" t="s">
        <v>236</v>
      </c>
      <c r="B224" s="52" t="s">
        <v>237</v>
      </c>
      <c r="C224" s="58">
        <f>2.5/(C223*0.5)</f>
        <v>83.333333333333343</v>
      </c>
      <c r="D224" s="52" t="s">
        <v>208</v>
      </c>
      <c r="E224" s="57"/>
    </row>
    <row r="225" spans="1:6" ht="18.75" x14ac:dyDescent="0.35">
      <c r="A225" s="52" t="s">
        <v>295</v>
      </c>
      <c r="B225" s="52" t="s">
        <v>237</v>
      </c>
      <c r="C225" s="58">
        <f>(IF((10^(LOG(C224)-INT(LOG(C224)))*100)-VLOOKUP((10^(LOG(C224)-INT(LOG(C224)))*100),E48_s:E48_f,1)&lt;VLOOKUP((10^(LOG(C224)-INT(LOG(C224)))*100),E48_s:E48_f,2)-(10^(LOG(C224)-INT(LOG(C224)))*100),VLOOKUP((10^(LOG(C224)-INT(LOG(C224)))*100),E48_s:E48_f,1),VLOOKUP((10^(LOG(C224)-INT(LOG(C224)))*100),E48_s:E48_f,2)))*10^INT(LOG(C224))/100</f>
        <v>82.5</v>
      </c>
      <c r="D225" s="52" t="s">
        <v>208</v>
      </c>
    </row>
    <row r="226" spans="1:6" ht="18.75" x14ac:dyDescent="0.35">
      <c r="A226" s="52" t="s">
        <v>323</v>
      </c>
      <c r="B226" s="52" t="s">
        <v>237</v>
      </c>
      <c r="C226" s="87">
        <v>100</v>
      </c>
      <c r="D226" s="52" t="s">
        <v>208</v>
      </c>
    </row>
    <row r="227" spans="1:6" x14ac:dyDescent="0.25">
      <c r="A227" s="75" t="s">
        <v>278</v>
      </c>
      <c r="B227" s="65"/>
      <c r="C227" s="95"/>
      <c r="D227" s="56"/>
      <c r="E227" s="75" t="s">
        <v>19</v>
      </c>
      <c r="F227" s="75"/>
    </row>
    <row r="228" spans="1:6" ht="18.75" x14ac:dyDescent="0.35">
      <c r="A228" s="52" t="s">
        <v>238</v>
      </c>
      <c r="B228" s="52" t="s">
        <v>239</v>
      </c>
      <c r="C228" s="58">
        <f>(((pout*0.15/VOUT)+(dilout/2))*RS)/(_ta1*_ta2)</f>
        <v>0.25702123191422832</v>
      </c>
      <c r="D228" s="52" t="s">
        <v>17</v>
      </c>
    </row>
    <row r="229" spans="1:6" ht="18.75" x14ac:dyDescent="0.35">
      <c r="A229" s="52" t="s">
        <v>181</v>
      </c>
      <c r="B229" s="52" t="s">
        <v>240</v>
      </c>
      <c r="C229" s="87">
        <v>1.7</v>
      </c>
      <c r="D229" s="52" t="s">
        <v>208</v>
      </c>
    </row>
    <row r="230" spans="1:6" ht="18.75" x14ac:dyDescent="0.35">
      <c r="A230" s="52" t="s">
        <v>242</v>
      </c>
      <c r="B230" s="52" t="s">
        <v>241</v>
      </c>
      <c r="C230" s="58">
        <f>(C229*(5-C228)/C228)</f>
        <v>31.371197802197806</v>
      </c>
      <c r="D230" s="52" t="s">
        <v>208</v>
      </c>
    </row>
    <row r="231" spans="1:6" ht="18.75" x14ac:dyDescent="0.35">
      <c r="A231" s="52" t="s">
        <v>295</v>
      </c>
      <c r="B231" s="52" t="s">
        <v>241</v>
      </c>
      <c r="C231" s="58">
        <f>(IF((10^(LOG(C230)-INT(LOG(C230)))*100)-VLOOKUP((10^(LOG(C230)-INT(LOG(C230)))*100),E48_s:E48_f,1)&lt;VLOOKUP((10^(LOG(C230)-INT(LOG(C230)))*100),E48_s:E48_f,2)-(10^(LOG(C230)-INT(LOG(C230)))*100),VLOOKUP((10^(LOG(C230)-INT(LOG(C230)))*100),E48_s:E48_f,1),VLOOKUP((10^(LOG(C230)-INT(LOG(C230)))*100),E48_s:E48_f,2)))*10^INT(LOG(C230))/100</f>
        <v>31.6</v>
      </c>
      <c r="D231" s="52" t="s">
        <v>208</v>
      </c>
    </row>
    <row r="232" spans="1:6" ht="18.75" x14ac:dyDescent="0.35">
      <c r="A232" s="52" t="s">
        <v>323</v>
      </c>
      <c r="B232" s="52" t="s">
        <v>241</v>
      </c>
      <c r="C232" s="87">
        <v>19.600000000000001</v>
      </c>
      <c r="D232" s="52" t="s">
        <v>208</v>
      </c>
    </row>
  </sheetData>
  <sheetProtection password="ECDD" sheet="1" formatColumns="0" formatRows="0" selectLockedCells="1"/>
  <phoneticPr fontId="0" type="noConversion"/>
  <pageMargins left="0.75" right="0.75" top="1" bottom="1" header="0.5" footer="0.5"/>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L30"/>
  <sheetViews>
    <sheetView topLeftCell="A7" workbookViewId="0">
      <selection activeCell="K19" sqref="K19"/>
    </sheetView>
  </sheetViews>
  <sheetFormatPr defaultRowHeight="12.75" x14ac:dyDescent="0.2"/>
  <sheetData>
    <row r="30" spans="12:12" x14ac:dyDescent="0.2">
      <c r="L30" t="s">
        <v>19</v>
      </c>
    </row>
  </sheetData>
  <sheetProtection password="ECDD" sheet="1"/>
  <phoneticPr fontId="21" type="noConversion"/>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Visio.Drawing.6" shapeId="5125" r:id="rId4">
          <objectPr defaultSize="0" autoPict="0" r:id="rId5">
            <anchor moveWithCells="1">
              <from>
                <xdr:col>0</xdr:col>
                <xdr:colOff>38100</xdr:colOff>
                <xdr:row>5</xdr:row>
                <xdr:rowOff>47625</xdr:rowOff>
              </from>
              <to>
                <xdr:col>8</xdr:col>
                <xdr:colOff>428625</xdr:colOff>
                <xdr:row>46</xdr:row>
                <xdr:rowOff>47625</xdr:rowOff>
              </to>
            </anchor>
          </objectPr>
        </oleObject>
      </mc:Choice>
      <mc:Fallback>
        <oleObject progId="Visio.Drawing.6" shapeId="5125"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election activeCell="I22" sqref="I22"/>
    </sheetView>
  </sheetViews>
  <sheetFormatPr defaultRowHeight="12.75" x14ac:dyDescent="0.2"/>
  <sheetData/>
  <sheetProtection password="ECDD" sheet="1"/>
  <phoneticPr fontId="21" type="noConversion"/>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G31"/>
  <sheetViews>
    <sheetView workbookViewId="0">
      <selection activeCell="I3" sqref="I3"/>
    </sheetView>
  </sheetViews>
  <sheetFormatPr defaultRowHeight="12.75" x14ac:dyDescent="0.2"/>
  <sheetData>
    <row r="31" spans="7:7" x14ac:dyDescent="0.2">
      <c r="G31" t="s">
        <v>19</v>
      </c>
    </row>
  </sheetData>
  <sheetProtection password="ECDD" sheet="1"/>
  <phoneticPr fontId="21" type="noConversion"/>
  <pageMargins left="0.75" right="0.75" top="1" bottom="1" header="0.5" footer="0.5"/>
  <pageSetup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3"/>
  <sheetViews>
    <sheetView workbookViewId="0">
      <selection activeCell="A3" sqref="A3:U3"/>
    </sheetView>
  </sheetViews>
  <sheetFormatPr defaultRowHeight="12.75" x14ac:dyDescent="0.2"/>
  <sheetData>
    <row r="1" spans="1:21" x14ac:dyDescent="0.2">
      <c r="A1" s="108" t="s">
        <v>340</v>
      </c>
      <c r="B1" s="108"/>
      <c r="C1" s="108"/>
      <c r="D1" s="108"/>
      <c r="E1" s="108"/>
      <c r="F1" s="108"/>
      <c r="G1" s="108"/>
      <c r="H1" s="108"/>
      <c r="I1" s="108"/>
      <c r="J1" s="108"/>
      <c r="K1" s="108"/>
      <c r="L1" s="108"/>
      <c r="M1" s="108"/>
      <c r="N1" s="108"/>
      <c r="O1" s="108"/>
      <c r="P1" s="108"/>
      <c r="Q1" s="108"/>
      <c r="R1" s="108"/>
      <c r="S1" s="108"/>
      <c r="T1" s="108"/>
      <c r="U1" s="108"/>
    </row>
    <row r="2" spans="1:21" x14ac:dyDescent="0.2">
      <c r="A2" s="108"/>
      <c r="B2" s="108"/>
      <c r="C2" s="108"/>
      <c r="D2" s="108"/>
      <c r="E2" s="108"/>
      <c r="F2" s="108"/>
      <c r="G2" s="108"/>
      <c r="H2" s="108"/>
      <c r="I2" s="108"/>
      <c r="J2" s="108"/>
      <c r="K2" s="108"/>
      <c r="L2" s="108"/>
      <c r="M2" s="108"/>
      <c r="N2" s="108"/>
      <c r="O2" s="108"/>
      <c r="P2" s="108"/>
      <c r="Q2" s="108"/>
      <c r="R2" s="108"/>
      <c r="S2" s="108"/>
      <c r="T2" s="108"/>
      <c r="U2" s="108"/>
    </row>
    <row r="3" spans="1:21" ht="387" customHeight="1" x14ac:dyDescent="0.2">
      <c r="A3" s="109" t="s">
        <v>341</v>
      </c>
      <c r="B3" s="109"/>
      <c r="C3" s="109"/>
      <c r="D3" s="109"/>
      <c r="E3" s="109"/>
      <c r="F3" s="109"/>
      <c r="G3" s="109"/>
      <c r="H3" s="109"/>
      <c r="I3" s="109"/>
      <c r="J3" s="109"/>
      <c r="K3" s="109"/>
      <c r="L3" s="109"/>
      <c r="M3" s="109"/>
      <c r="N3" s="109"/>
      <c r="O3" s="109"/>
      <c r="P3" s="109"/>
      <c r="Q3" s="109"/>
      <c r="R3" s="109"/>
      <c r="S3" s="109"/>
      <c r="T3" s="109"/>
      <c r="U3" s="109"/>
    </row>
  </sheetData>
  <sheetProtection algorithmName="SHA-512" hashValue="+PcoHR4I2iULuSXVLYlvHInwmbIr8mvl29gW/turBkgZWMMUOwL6rLVWXa7SRfRK/NPJDZ//14B7PXso5Ci7sA==" saltValue="2yqKKuZ4bA/xqIUehV6iRQ==" spinCount="100000" sheet="1" formatCells="0" formatRows="0" insertColumns="0" insertRows="0" insertHyperlinks="0" deleteColumns="0" deleteRows="0" sort="0" autoFilter="0" pivotTables="0"/>
  <mergeCells count="2">
    <mergeCell ref="A1:U2"/>
    <mergeCell ref="A3:U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101"/>
  <sheetViews>
    <sheetView workbookViewId="0">
      <selection sqref="A1:IV65536"/>
    </sheetView>
  </sheetViews>
  <sheetFormatPr defaultRowHeight="12.75" x14ac:dyDescent="0.2"/>
  <cols>
    <col min="1" max="1" width="9.140625" style="70"/>
    <col min="2" max="2" width="10.140625" style="70" customWidth="1"/>
    <col min="3" max="3" width="9.140625" style="70"/>
    <col min="4" max="4" width="12.42578125" style="70" customWidth="1"/>
    <col min="5" max="5" width="21.5703125" style="70" customWidth="1"/>
    <col min="6" max="6" width="15.42578125" style="70" customWidth="1"/>
    <col min="7" max="7" width="21.140625" style="70" customWidth="1"/>
    <col min="8" max="8" width="9.140625" style="70"/>
    <col min="9" max="9" width="14.28515625" style="70" customWidth="1"/>
    <col min="10" max="10" width="17.140625" style="70" customWidth="1"/>
    <col min="11" max="11" width="11.85546875" style="70" customWidth="1"/>
    <col min="12" max="12" width="13.5703125" style="70" customWidth="1"/>
    <col min="13" max="16384" width="9.140625" style="70"/>
  </cols>
  <sheetData>
    <row r="1" spans="1:18" ht="42.75" x14ac:dyDescent="0.3">
      <c r="A1" s="70" t="s">
        <v>245</v>
      </c>
      <c r="B1" s="70" t="s">
        <v>260</v>
      </c>
      <c r="C1" s="70" t="s">
        <v>190</v>
      </c>
      <c r="D1" s="70" t="s">
        <v>246</v>
      </c>
      <c r="E1" s="51" t="s">
        <v>247</v>
      </c>
      <c r="F1" s="70" t="s">
        <v>248</v>
      </c>
      <c r="G1" s="70" t="s">
        <v>249</v>
      </c>
      <c r="H1" s="70" t="s">
        <v>250</v>
      </c>
      <c r="I1" s="70" t="s">
        <v>251</v>
      </c>
      <c r="J1" s="70" t="s">
        <v>252</v>
      </c>
      <c r="K1" s="70" t="s">
        <v>253</v>
      </c>
      <c r="L1" s="70" t="s">
        <v>254</v>
      </c>
      <c r="M1" s="70" t="s">
        <v>255</v>
      </c>
      <c r="N1" s="70" t="s">
        <v>256</v>
      </c>
      <c r="O1" s="70" t="s">
        <v>261</v>
      </c>
      <c r="P1" s="74" t="s">
        <v>258</v>
      </c>
      <c r="Q1" s="74" t="s">
        <v>259</v>
      </c>
      <c r="R1" s="70" t="s">
        <v>257</v>
      </c>
    </row>
    <row r="2" spans="1:18" ht="15" x14ac:dyDescent="0.2">
      <c r="A2" s="71">
        <f>1</f>
        <v>1</v>
      </c>
      <c r="B2" s="70">
        <v>100</v>
      </c>
      <c r="C2" s="70">
        <f t="shared" ref="C2:C33" si="0">_ta1*_ta2*(rload/RS)</f>
        <v>133.25747349709113</v>
      </c>
      <c r="D2" s="51" t="str">
        <f t="shared" ref="D2:D33" si="1">IMDIV((COMPLEX(1,2*PI()*(B2)*(esrcout*0.001)*(cout*0.000001))),(COMPLEX(1,2*PI()*(B2)*rload*(cout*0.000001))))</f>
        <v>0.00604681431505151-0.0716413651756307i</v>
      </c>
      <c r="E2" s="51" t="str">
        <f t="shared" ref="E2:E33" si="2">IMDIV(1,(COMPLEX((1-(B2/(fpp*1000))^2),(B2/(fpp*1000)))))</f>
        <v>0.99999999999684-0.0013333357037037i</v>
      </c>
      <c r="F2" s="70" t="str">
        <f t="shared" ref="F2:F33" si="3">IMPRODUCT(D2,E2)</f>
        <v>0.00595129232498166-0.0716494276088242i</v>
      </c>
      <c r="G2" s="70" t="str">
        <f t="shared" ref="G2:G33" si="4">IMPRODUCT(C2,F2)</f>
        <v>0.793054179269685-9.54782170066464i</v>
      </c>
      <c r="H2" s="72">
        <f t="shared" ref="H2:H33" si="5">IMABS(G2)</f>
        <v>9.5807011308640533</v>
      </c>
      <c r="I2" s="51" t="str">
        <f t="shared" ref="I2:I33" si="6">IMDIV((COMPLEX(1,(2*PI()*B2*(rf*1000)*(Cz*0.000000001)))),(COMPLEX(0,2*PI()*B2*((Cz*0.000000001)+(Cp*0.000000000001))*(RII*1000))))</f>
        <v>1.70528968646545-4.39807621138559i</v>
      </c>
      <c r="J2" s="73" t="str">
        <f t="shared" ref="J2:J33" si="7">IMDIV(1,(COMPLEX(1,2*PI()*B2*(((Cz*0.000000001)*(Cp*0.000000000001))/((Cz*0.000000001)+(Cp*0.000000000001)))*(rf*1000))))</f>
        <v>0.999911628353474-0.00940020409238885i</v>
      </c>
      <c r="K2" s="73" t="str">
        <f t="shared" ref="K2:K33" si="8">IMPRODUCT(I2,J2)</f>
        <v>1.66379617320715-4.41371761723866i</v>
      </c>
      <c r="L2" s="73" t="str">
        <f t="shared" ref="L2:L33" si="9">IMPRODUCT(G2,K2)</f>
        <v>-40.8219083378623-19.3859464104974i</v>
      </c>
      <c r="M2" s="70">
        <f t="shared" ref="M2:M33" si="10">20*LOG(IMABS(L2))</f>
        <v>33.101074413605204</v>
      </c>
      <c r="N2" s="70">
        <f t="shared" ref="N2:N33" si="11">(180/PI())*IMARGUMENT(L2)+180</f>
        <v>25.402610356589918</v>
      </c>
      <c r="O2" s="70">
        <f t="shared" ref="O2:O55" si="12">IF(N2&gt;180,-(360-N2),N2)</f>
        <v>25.402610356589918</v>
      </c>
      <c r="P2" s="70">
        <v>48.311999999999998</v>
      </c>
      <c r="Q2" s="70">
        <v>11.617000000000001</v>
      </c>
      <c r="R2" s="70">
        <f>B2</f>
        <v>100</v>
      </c>
    </row>
    <row r="3" spans="1:18" ht="15" x14ac:dyDescent="0.2">
      <c r="A3" s="71">
        <f>1+A2</f>
        <v>2</v>
      </c>
      <c r="B3" s="70">
        <v>1000</v>
      </c>
      <c r="C3" s="70">
        <f t="shared" si="0"/>
        <v>133.25747349709113</v>
      </c>
      <c r="D3" s="51" t="str">
        <f t="shared" si="1"/>
        <v>0.000935007776738321-0.00720098098913304i</v>
      </c>
      <c r="E3" s="51" t="str">
        <f t="shared" si="2"/>
        <v>0.999999968389443-0.0133357037036287i</v>
      </c>
      <c r="F3" s="70" t="str">
        <f t="shared" si="3"/>
        <v>0.000838977598335663-0.00721344974817719i</v>
      </c>
      <c r="G3" s="70" t="str">
        <f t="shared" si="4"/>
        <v>0.111800035074868-0.961246088640321i</v>
      </c>
      <c r="H3" s="72">
        <f t="shared" si="5"/>
        <v>0.96772583450534055</v>
      </c>
      <c r="I3" s="51" t="str">
        <f t="shared" si="6"/>
        <v>1.70528968646545-0.439807621138559i</v>
      </c>
      <c r="J3" s="73" t="str">
        <f t="shared" si="7"/>
        <v>0.991239479329326-0.0931867691695152i</v>
      </c>
      <c r="K3" s="73" t="str">
        <f t="shared" si="8"/>
        <v>1.64936620964765-0.594865113762266i</v>
      </c>
      <c r="L3" s="73" t="str">
        <f t="shared" si="9"/>
        <v>-0.387412563782648-1.65195275834275i</v>
      </c>
      <c r="M3" s="70">
        <f t="shared" si="10"/>
        <v>4.5924715731435448</v>
      </c>
      <c r="N3" s="70">
        <f t="shared" si="11"/>
        <v>76.801625937493952</v>
      </c>
      <c r="O3" s="70">
        <f t="shared" si="12"/>
        <v>76.801625937493952</v>
      </c>
    </row>
    <row r="4" spans="1:18" ht="15" x14ac:dyDescent="0.2">
      <c r="A4" s="71">
        <f t="shared" ref="A4:A67" si="13">1+A3</f>
        <v>3</v>
      </c>
      <c r="B4" s="70">
        <f t="shared" ref="B4:B35" si="14">(fs*1000/2)*(A4/100)</f>
        <v>4500</v>
      </c>
      <c r="C4" s="70">
        <f t="shared" si="0"/>
        <v>133.25747349709113</v>
      </c>
      <c r="D4" s="51" t="str">
        <f t="shared" si="1"/>
        <v>0.000885668340877654-0.00160029702532994i</v>
      </c>
      <c r="E4" s="51" t="str">
        <f t="shared" si="2"/>
        <v>0.999986993344607-0.0602159971905624i</v>
      </c>
      <c r="F4" s="70" t="str">
        <f t="shared" si="3"/>
        <v>0.000789293340113418-0.00165360761314406i</v>
      </c>
      <c r="G4" s="70" t="str">
        <f t="shared" si="4"/>
        <v>0.105179236351594-0.220355572683133i</v>
      </c>
      <c r="H4" s="72">
        <f t="shared" si="5"/>
        <v>0.24417053502012889</v>
      </c>
      <c r="I4" s="51" t="str">
        <f t="shared" si="6"/>
        <v>1.70528968646546-0.0977350269196798i</v>
      </c>
      <c r="J4" s="73" t="str">
        <f t="shared" si="7"/>
        <v>0.84819915448443-0.358827742539966i</v>
      </c>
      <c r="K4" s="73" t="str">
        <f t="shared" si="8"/>
        <v>1.41135523113435-0.694804015767873i</v>
      </c>
      <c r="L4" s="73" t="str">
        <f t="shared" si="9"/>
        <v>-0.00465867136553183-0.384078946008431i</v>
      </c>
      <c r="M4" s="70">
        <f t="shared" si="10"/>
        <v>-8.3109510727485763</v>
      </c>
      <c r="N4" s="70">
        <f t="shared" si="11"/>
        <v>89.305067041286492</v>
      </c>
      <c r="O4" s="70">
        <f t="shared" si="12"/>
        <v>89.305067041286492</v>
      </c>
    </row>
    <row r="5" spans="1:18" ht="15" x14ac:dyDescent="0.2">
      <c r="A5" s="71">
        <f t="shared" si="13"/>
        <v>4</v>
      </c>
      <c r="B5" s="70">
        <f t="shared" si="14"/>
        <v>6000</v>
      </c>
      <c r="C5" s="70">
        <f t="shared" si="0"/>
        <v>133.25747349709113</v>
      </c>
      <c r="D5" s="51" t="str">
        <f t="shared" si="1"/>
        <v>0.000884546933425375-0.00120022411612932i</v>
      </c>
      <c r="E5" s="51" t="str">
        <f t="shared" si="2"/>
        <v>0.999958777866806-0.0805119788942678i</v>
      </c>
      <c r="F5" s="70" t="str">
        <f t="shared" si="3"/>
        <v>0.000787878051807674-0.00127139126436588i</v>
      </c>
      <c r="G5" s="70" t="str">
        <f t="shared" si="4"/>
        <v>0.104990638607701-0.169422387715669i</v>
      </c>
      <c r="H5" s="72">
        <f t="shared" si="5"/>
        <v>0.19931628045528879</v>
      </c>
      <c r="I5" s="51" t="str">
        <f t="shared" si="6"/>
        <v>1.70528968646546-0.0733012701897602i</v>
      </c>
      <c r="J5" s="73" t="str">
        <f t="shared" si="7"/>
        <v>0.75862976768697-0.427914294299903i</v>
      </c>
      <c r="K5" s="73" t="str">
        <f t="shared" si="8"/>
        <v>1.26231685737774-0.785326358335988i</v>
      </c>
      <c r="L5" s="73" t="str">
        <f t="shared" si="9"/>
        <v>-0.000520413783979018-0.296316651907832i</v>
      </c>
      <c r="M5" s="70">
        <f t="shared" si="10"/>
        <v>-10.564865445764248</v>
      </c>
      <c r="N5" s="70">
        <f t="shared" si="11"/>
        <v>89.899372908768086</v>
      </c>
      <c r="O5" s="70">
        <f t="shared" si="12"/>
        <v>89.899372908768086</v>
      </c>
    </row>
    <row r="6" spans="1:18" ht="15" x14ac:dyDescent="0.2">
      <c r="A6" s="71">
        <f t="shared" si="13"/>
        <v>5</v>
      </c>
      <c r="B6" s="70">
        <f t="shared" si="14"/>
        <v>7500</v>
      </c>
      <c r="C6" s="70">
        <f t="shared" si="0"/>
        <v>133.25747349709113</v>
      </c>
      <c r="D6" s="51" t="str">
        <f t="shared" si="1"/>
        <v>0.000884027881123793-0.000960179791727959i</v>
      </c>
      <c r="E6" s="51" t="str">
        <f t="shared" si="2"/>
        <v>0.999899000101-0.100999899000101i</v>
      </c>
      <c r="F6" s="70" t="str">
        <f t="shared" si="3"/>
        <v>0.000786960532410624-0.00104936954037275i</v>
      </c>
      <c r="G6" s="70" t="str">
        <f t="shared" si="4"/>
        <v>0.104868372290965-0.139836333714876i</v>
      </c>
      <c r="H6" s="72">
        <f t="shared" si="5"/>
        <v>0.1747900904907787</v>
      </c>
      <c r="I6" s="51" t="str">
        <f t="shared" si="6"/>
        <v>1.70528968646545-0.058641016151808i</v>
      </c>
      <c r="J6" s="73" t="str">
        <f t="shared" si="7"/>
        <v>0.66794268464448-0.470951435579514i</v>
      </c>
      <c r="K6" s="73" t="str">
        <f t="shared" si="8"/>
        <v>1.11141870053374-0.842277463678562i</v>
      </c>
      <c r="L6" s="73" t="str">
        <f t="shared" si="9"/>
        <v>-0.00122832243276197-0.243744982938123i</v>
      </c>
      <c r="M6" s="70">
        <f t="shared" si="10"/>
        <v>-12.261176005515136</v>
      </c>
      <c r="N6" s="70">
        <f t="shared" si="11"/>
        <v>89.711267511294025</v>
      </c>
      <c r="O6" s="70">
        <f t="shared" si="12"/>
        <v>89.711267511294025</v>
      </c>
    </row>
    <row r="7" spans="1:18" ht="15" x14ac:dyDescent="0.2">
      <c r="A7" s="71">
        <f t="shared" si="13"/>
        <v>6</v>
      </c>
      <c r="B7" s="70">
        <f t="shared" si="14"/>
        <v>9000</v>
      </c>
      <c r="C7" s="70">
        <f t="shared" si="0"/>
        <v>133.25747349709113</v>
      </c>
      <c r="D7" s="51" t="str">
        <f t="shared" si="1"/>
        <v>0.000883745926561088-0.000800150052245479i</v>
      </c>
      <c r="E7" s="51" t="str">
        <f t="shared" si="2"/>
        <v>0.999789654644088-0.121727636523225i</v>
      </c>
      <c r="F7" s="70" t="str">
        <f t="shared" si="3"/>
        <v>0.000786159659985852-0.000907558047325265i</v>
      </c>
      <c r="G7" s="70" t="str">
        <f t="shared" si="4"/>
        <v>0.104761650055047-0.120938892438518i</v>
      </c>
      <c r="H7" s="72">
        <f t="shared" si="5"/>
        <v>0.16000380941249978</v>
      </c>
      <c r="I7" s="51" t="str">
        <f t="shared" si="6"/>
        <v>1.70528968646545-0.0488675134598399i</v>
      </c>
      <c r="J7" s="73" t="str">
        <f t="shared" si="7"/>
        <v>0.582793511200677-0.493097591256602i</v>
      </c>
      <c r="K7" s="73" t="str">
        <f t="shared" si="8"/>
        <v>0.969735310811755-0.869353906543746i</v>
      </c>
      <c r="L7" s="73" t="str">
        <f t="shared" si="9"/>
        <v>-0.00354762731721621-0.20835366417942i</v>
      </c>
      <c r="M7" s="70">
        <f t="shared" si="10"/>
        <v>-13.622718238647382</v>
      </c>
      <c r="N7" s="70">
        <f t="shared" si="11"/>
        <v>89.02452191785936</v>
      </c>
      <c r="O7" s="70">
        <f t="shared" si="12"/>
        <v>89.02452191785936</v>
      </c>
    </row>
    <row r="8" spans="1:18" ht="15" x14ac:dyDescent="0.2">
      <c r="A8" s="71">
        <f t="shared" si="13"/>
        <v>7</v>
      </c>
      <c r="B8" s="70">
        <f t="shared" si="14"/>
        <v>10500.000000000002</v>
      </c>
      <c r="C8" s="70">
        <f t="shared" si="0"/>
        <v>133.25747349709113</v>
      </c>
      <c r="D8" s="51" t="str">
        <f t="shared" si="1"/>
        <v>0.000883575916775682-0.000685843018627837i</v>
      </c>
      <c r="E8" s="51" t="str">
        <f t="shared" si="2"/>
        <v>0.999608313413218-0.142742925212006i</v>
      </c>
      <c r="F8" s="70" t="str">
        <f t="shared" si="3"/>
        <v>0.000785330593225508-0.000811698594124243i</v>
      </c>
      <c r="G8" s="70" t="str">
        <f t="shared" si="4"/>
        <v>0.104651170713203-0.108164903894137i</v>
      </c>
      <c r="H8" s="72">
        <f t="shared" si="5"/>
        <v>0.15050419916424873</v>
      </c>
      <c r="I8" s="51" t="str">
        <f t="shared" si="6"/>
        <v>1.70528968646546-0.0418864401084343i</v>
      </c>
      <c r="J8" s="73" t="str">
        <f t="shared" si="7"/>
        <v>0.506487212091753-0.499957914308071i</v>
      </c>
      <c r="K8" s="73" t="str">
        <f t="shared" si="8"/>
        <v>0.842765961872308-0.873788021211305i</v>
      </c>
      <c r="L8" s="73" t="str">
        <f t="shared" si="9"/>
        <v>-0.00631675279099331-0.182600638646104i</v>
      </c>
      <c r="M8" s="70">
        <f t="shared" si="10"/>
        <v>-14.764760087528739</v>
      </c>
      <c r="N8" s="70">
        <f t="shared" si="11"/>
        <v>88.018741824158937</v>
      </c>
      <c r="O8" s="70">
        <f t="shared" si="12"/>
        <v>88.018741824158937</v>
      </c>
    </row>
    <row r="9" spans="1:18" ht="15" x14ac:dyDescent="0.2">
      <c r="A9" s="71">
        <f t="shared" si="13"/>
        <v>8</v>
      </c>
      <c r="B9" s="70">
        <f t="shared" si="14"/>
        <v>12000</v>
      </c>
      <c r="C9" s="70">
        <f t="shared" si="0"/>
        <v>133.25747349709113</v>
      </c>
      <c r="D9" s="51" t="str">
        <f t="shared" si="1"/>
        <v>0.000883465573855159-0.000600112707576103i</v>
      </c>
      <c r="E9" s="51" t="str">
        <f t="shared" si="2"/>
        <v>0.999327874060402-0.164093246972151i</v>
      </c>
      <c r="F9" s="70" t="str">
        <f t="shared" si="3"/>
        <v>0.000784397330990817-0.000744680090860666i</v>
      </c>
      <c r="G9" s="70" t="str">
        <f t="shared" si="4"/>
        <v>0.104526806545698-0.0992341874716766i</v>
      </c>
      <c r="H9" s="72">
        <f t="shared" si="5"/>
        <v>0.14412937677588714</v>
      </c>
      <c r="I9" s="51" t="str">
        <f t="shared" si="6"/>
        <v>1.70528968646545-0.03665063509488i</v>
      </c>
      <c r="J9" s="73" t="str">
        <f t="shared" si="7"/>
        <v>0.440012215592542-0.49638842222788i</v>
      </c>
      <c r="K9" s="73" t="str">
        <f t="shared" si="8"/>
        <v>0.732155342240377-0.862612784057033i</v>
      </c>
      <c r="L9" s="73" t="str">
        <f t="shared" si="9"/>
        <v>-0.0090708189088213-0.162821000093247i</v>
      </c>
      <c r="M9" s="70">
        <f t="shared" si="10"/>
        <v>-15.752333551648087</v>
      </c>
      <c r="N9" s="70">
        <f t="shared" si="11"/>
        <v>86.811326771666415</v>
      </c>
      <c r="O9" s="70">
        <f t="shared" si="12"/>
        <v>86.811326771666415</v>
      </c>
    </row>
    <row r="10" spans="1:18" ht="15" x14ac:dyDescent="0.2">
      <c r="A10" s="71">
        <f t="shared" si="13"/>
        <v>9</v>
      </c>
      <c r="B10" s="70">
        <f t="shared" si="14"/>
        <v>13500</v>
      </c>
      <c r="C10" s="70">
        <f t="shared" si="0"/>
        <v>133.25747349709113</v>
      </c>
      <c r="D10" s="51" t="str">
        <f t="shared" si="1"/>
        <v>0.000883389923098035-0.000533433558235757i</v>
      </c>
      <c r="E10" s="51" t="str">
        <f t="shared" si="2"/>
        <v>0.99891626463625-0.185825679655359i</v>
      </c>
      <c r="F10" s="70" t="str">
        <f t="shared" si="3"/>
        <v>0.000783306908688257-0.000697011990284874i</v>
      </c>
      <c r="G10" s="70" t="str">
        <f t="shared" si="4"/>
        <v>0.104381499624614-0.0928820568225413i</v>
      </c>
      <c r="H10" s="72">
        <f t="shared" si="5"/>
        <v>0.13972320474233721</v>
      </c>
      <c r="I10" s="51" t="str">
        <f t="shared" si="6"/>
        <v>1.70528968646546-0.03257834230656i</v>
      </c>
      <c r="J10" s="73" t="str">
        <f t="shared" si="7"/>
        <v>0.38303674294445-0.486127140261637i</v>
      </c>
      <c r="K10" s="73" t="str">
        <f t="shared" si="8"/>
        <v>0.637351390900539-0.841466300726752i</v>
      </c>
      <c r="L10" s="73" t="str">
        <f t="shared" si="9"/>
        <v>-0.011629426788324-0.147032022458984i</v>
      </c>
      <c r="M10" s="70">
        <f t="shared" si="10"/>
        <v>-16.624676796343568</v>
      </c>
      <c r="N10" s="70">
        <f t="shared" si="11"/>
        <v>85.477632873001156</v>
      </c>
      <c r="O10" s="70">
        <f t="shared" si="12"/>
        <v>85.477632873001156</v>
      </c>
    </row>
    <row r="11" spans="1:18" ht="15" x14ac:dyDescent="0.2">
      <c r="A11" s="71">
        <f t="shared" si="13"/>
        <v>10</v>
      </c>
      <c r="B11" s="70">
        <f t="shared" si="14"/>
        <v>15000</v>
      </c>
      <c r="C11" s="70">
        <f t="shared" si="0"/>
        <v>133.25747349709113</v>
      </c>
      <c r="D11" s="51" t="str">
        <f t="shared" si="1"/>
        <v>0.000883335810549436-0.000480090228414056i</v>
      </c>
      <c r="E11" s="51" t="str">
        <f t="shared" si="2"/>
        <v>0.998336106489185-0.207986688851913i</v>
      </c>
      <c r="F11" s="70" t="str">
        <f t="shared" si="3"/>
        <v>0.000782013656868394-0.00066301349977889i</v>
      </c>
      <c r="G11" s="70" t="str">
        <f t="shared" si="4"/>
        <v>0.104209164154503-0.0883515038749991i</v>
      </c>
      <c r="H11" s="72">
        <f t="shared" si="5"/>
        <v>0.13662188013182269</v>
      </c>
      <c r="I11" s="51" t="str">
        <f t="shared" si="6"/>
        <v>1.70528968646545-0.029320508075904i</v>
      </c>
      <c r="J11" s="73" t="str">
        <f t="shared" si="7"/>
        <v>0.334611798327622-0.471854577966111i</v>
      </c>
      <c r="K11" s="73" t="str">
        <f t="shared" si="8"/>
        <v>0.556775032693843-0.814459733252274i</v>
      </c>
      <c r="L11" s="73" t="str">
        <f t="shared" si="9"/>
        <v>-0.0139376814993476-0.134066079498272i</v>
      </c>
      <c r="M11" s="70">
        <f t="shared" si="10"/>
        <v>-17.406935328692377</v>
      </c>
      <c r="N11" s="70">
        <f t="shared" si="11"/>
        <v>84.06477854917398</v>
      </c>
      <c r="O11" s="70">
        <f t="shared" si="12"/>
        <v>84.06477854917398</v>
      </c>
    </row>
    <row r="12" spans="1:18" ht="15" x14ac:dyDescent="0.2">
      <c r="A12" s="71">
        <f t="shared" si="13"/>
        <v>11</v>
      </c>
      <c r="B12" s="70">
        <f t="shared" si="14"/>
        <v>16500</v>
      </c>
      <c r="C12" s="70">
        <f t="shared" si="0"/>
        <v>133.25747349709113</v>
      </c>
      <c r="D12" s="51" t="str">
        <f t="shared" si="1"/>
        <v>0.000883295773379431-0.000436445679684094i</v>
      </c>
      <c r="E12" s="51" t="str">
        <f t="shared" si="2"/>
        <v>0.997544338518663-0.230621852116547i</v>
      </c>
      <c r="F12" s="70" t="str">
        <f t="shared" si="3"/>
        <v>0.000780472786975104-0.00063908122406328i</v>
      </c>
      <c r="G12" s="70" t="str">
        <f t="shared" si="4"/>
        <v>0.104003831725536-0.0851623492781011i</v>
      </c>
      <c r="H12" s="72">
        <f t="shared" si="5"/>
        <v>0.13442255297441308</v>
      </c>
      <c r="I12" s="51" t="str">
        <f t="shared" si="6"/>
        <v>1.70528968646546-0.026655007341731i</v>
      </c>
      <c r="J12" s="73" t="str">
        <f t="shared" si="7"/>
        <v>0.29358826334586-0.45540552804223i</v>
      </c>
      <c r="K12" s="73" t="str">
        <f t="shared" si="8"/>
        <v>0.48851419985757-0.784423947444702i</v>
      </c>
      <c r="L12" s="73" t="str">
        <f t="shared" si="9"/>
        <v>-0.015996037556871-0.123186113147102i</v>
      </c>
      <c r="M12" s="70">
        <f t="shared" si="10"/>
        <v>-18.116146059954737</v>
      </c>
      <c r="N12" s="70">
        <f t="shared" si="11"/>
        <v>82.60139285069387</v>
      </c>
      <c r="O12" s="70">
        <f t="shared" si="12"/>
        <v>82.60139285069387</v>
      </c>
    </row>
    <row r="13" spans="1:18" ht="15" x14ac:dyDescent="0.2">
      <c r="A13" s="71">
        <f t="shared" si="13"/>
        <v>12</v>
      </c>
      <c r="B13" s="70">
        <f t="shared" si="14"/>
        <v>18000</v>
      </c>
      <c r="C13" s="70">
        <f t="shared" si="0"/>
        <v>133.25747349709113</v>
      </c>
      <c r="D13" s="51" t="str">
        <f t="shared" si="1"/>
        <v>0.000883265321826027-0.000400075218570768i</v>
      </c>
      <c r="E13" s="51" t="str">
        <f t="shared" si="2"/>
        <v>0.996491807450037-0.253775502746189i</v>
      </c>
      <c r="F13" s="70" t="str">
        <f t="shared" si="3"/>
        <v>0.000778637367275268-0.000622822778774228i</v>
      </c>
      <c r="G13" s="70" t="str">
        <f t="shared" si="4"/>
        <v>0.103759248333529-0.0829957899358913i</v>
      </c>
      <c r="H13" s="72">
        <f t="shared" si="5"/>
        <v>0.13286941996494731</v>
      </c>
      <c r="I13" s="51" t="str">
        <f t="shared" si="6"/>
        <v>1.70528968646545-0.02443375672992i</v>
      </c>
      <c r="J13" s="73" t="str">
        <f t="shared" si="7"/>
        <v>0.258833039906607-0.437993718401659i</v>
      </c>
      <c r="K13" s="73" t="str">
        <f t="shared" si="8"/>
        <v>0.430683481504578-0.753230434257745i</v>
      </c>
      <c r="L13" s="73" t="str">
        <f t="shared" si="9"/>
        <v>-0.0178275605843936-0.113899539440334i</v>
      </c>
      <c r="M13" s="70">
        <f t="shared" si="10"/>
        <v>-18.764447273020465</v>
      </c>
      <c r="N13" s="70">
        <f t="shared" si="11"/>
        <v>81.104237998772319</v>
      </c>
      <c r="O13" s="70">
        <f t="shared" si="12"/>
        <v>81.104237998772319</v>
      </c>
    </row>
    <row r="14" spans="1:18" ht="15" x14ac:dyDescent="0.2">
      <c r="A14" s="71">
        <f t="shared" si="13"/>
        <v>13</v>
      </c>
      <c r="B14" s="70">
        <f t="shared" si="14"/>
        <v>19500</v>
      </c>
      <c r="C14" s="70">
        <f t="shared" si="0"/>
        <v>133.25747349709113</v>
      </c>
      <c r="D14" s="51" t="str">
        <f t="shared" si="1"/>
        <v>0.000883241623355727-0.000369300210517219i</v>
      </c>
      <c r="E14" s="51" t="str">
        <f t="shared" si="2"/>
        <v>0.99512283085849-0.277490278875169i</v>
      </c>
      <c r="F14" s="70" t="str">
        <f t="shared" si="3"/>
        <v>0.000776456686160717-0.000612590035305669i</v>
      </c>
      <c r="G14" s="70" t="str">
        <f t="shared" si="4"/>
        <v>0.103468656277701-0.0816322003943273i</v>
      </c>
      <c r="H14" s="72">
        <f t="shared" si="5"/>
        <v>0.13179369853347558</v>
      </c>
      <c r="I14" s="51" t="str">
        <f t="shared" si="6"/>
        <v>1.70528968646545-0.0225542369814646i</v>
      </c>
      <c r="J14" s="73" t="str">
        <f t="shared" si="7"/>
        <v>0.229324722624973-0.420398494547676i</v>
      </c>
      <c r="K14" s="73" t="str">
        <f t="shared" si="8"/>
        <v>0.381583317071237-0.722073461097546i</v>
      </c>
      <c r="L14" s="73" t="str">
        <f t="shared" si="9"/>
        <v>-0.0194625324003916-0.105861456559843i</v>
      </c>
      <c r="M14" s="70">
        <f t="shared" si="10"/>
        <v>-19.360875368783521</v>
      </c>
      <c r="N14" s="70">
        <f t="shared" si="11"/>
        <v>79.582555083362564</v>
      </c>
      <c r="O14" s="70">
        <f t="shared" si="12"/>
        <v>79.582555083362564</v>
      </c>
    </row>
    <row r="15" spans="1:18" ht="15" x14ac:dyDescent="0.2">
      <c r="A15" s="71">
        <f t="shared" si="13"/>
        <v>14</v>
      </c>
      <c r="B15" s="70">
        <f t="shared" si="14"/>
        <v>21000.000000000004</v>
      </c>
      <c r="C15" s="70">
        <f t="shared" si="0"/>
        <v>133.25747349709113</v>
      </c>
      <c r="D15" s="51" t="str">
        <f t="shared" si="1"/>
        <v>0.000883222819344207-0.000342921630505706i</v>
      </c>
      <c r="E15" s="51" t="str">
        <f t="shared" si="2"/>
        <v>0.993374742343426-0.301806562343923i</v>
      </c>
      <c r="F15" s="70" t="str">
        <f t="shared" si="3"/>
        <v>0.000773875242141586-0.000607212129237576i</v>
      </c>
      <c r="G15" s="70" t="str">
        <f t="shared" si="4"/>
        <v>0.103124659569737-0.0809155542189886i</v>
      </c>
      <c r="H15" s="72">
        <f t="shared" si="5"/>
        <v>0.13108021332733724</v>
      </c>
      <c r="I15" s="51" t="str">
        <f t="shared" si="6"/>
        <v>1.70528968646546-0.0209432200542172i</v>
      </c>
      <c r="J15" s="73" t="str">
        <f t="shared" si="7"/>
        <v>0.204184389767398-0.403104359617597i</v>
      </c>
      <c r="K15" s="73" t="str">
        <f t="shared" si="8"/>
        <v>0.339751230699302-0.691685985631687i</v>
      </c>
      <c r="L15" s="73" t="str">
        <f t="shared" si="9"/>
        <v>-0.0209314248686306-0.0988210409260432i</v>
      </c>
      <c r="M15" s="70">
        <f t="shared" si="10"/>
        <v>-19.912413534333908</v>
      </c>
      <c r="N15" s="70">
        <f t="shared" si="11"/>
        <v>78.04085420989486</v>
      </c>
      <c r="O15" s="70">
        <f t="shared" si="12"/>
        <v>78.04085420989486</v>
      </c>
    </row>
    <row r="16" spans="1:18" ht="15" x14ac:dyDescent="0.2">
      <c r="A16" s="71">
        <f t="shared" si="13"/>
        <v>15</v>
      </c>
      <c r="B16" s="70">
        <f t="shared" si="14"/>
        <v>22500</v>
      </c>
      <c r="C16" s="70">
        <f t="shared" si="0"/>
        <v>133.25747349709113</v>
      </c>
      <c r="D16" s="51" t="str">
        <f t="shared" si="1"/>
        <v>0.000883207649226744-0.000320060193331635i</v>
      </c>
      <c r="E16" s="51" t="str">
        <f t="shared" si="2"/>
        <v>0.991177431652325-0.326761790654613i</v>
      </c>
      <c r="F16" s="70" t="str">
        <f t="shared" si="3"/>
        <v>0.000770832047485945-0.000605834953381779i</v>
      </c>
      <c r="G16" s="70" t="str">
        <f t="shared" si="4"/>
        <v>0.102719131138567-0.0807320352438839i</v>
      </c>
      <c r="H16" s="72">
        <f t="shared" si="5"/>
        <v>0.13064792924681906</v>
      </c>
      <c r="I16" s="51" t="str">
        <f t="shared" si="6"/>
        <v>1.70528968646545-0.019547005383936i</v>
      </c>
      <c r="J16" s="73" t="str">
        <f t="shared" si="7"/>
        <v>0.182674760419523-0.386399653629753i</v>
      </c>
      <c r="K16" s="73" t="str">
        <f t="shared" si="8"/>
        <v>0.303960428811108-0.66249408871407i</v>
      </c>
      <c r="L16" s="73" t="str">
        <f t="shared" si="9"/>
        <v>-0.0222619449709458-0.0925901612286704i</v>
      </c>
      <c r="M16" s="70">
        <f t="shared" si="10"/>
        <v>-20.424630029773656</v>
      </c>
      <c r="N16" s="70">
        <f t="shared" si="11"/>
        <v>76.480685508425111</v>
      </c>
      <c r="O16" s="70">
        <f t="shared" si="12"/>
        <v>76.480685508425111</v>
      </c>
    </row>
    <row r="17" spans="1:18" ht="15" x14ac:dyDescent="0.2">
      <c r="A17" s="71">
        <f t="shared" si="13"/>
        <v>16</v>
      </c>
      <c r="B17" s="70">
        <f t="shared" si="14"/>
        <v>24000</v>
      </c>
      <c r="C17" s="70">
        <f t="shared" si="0"/>
        <v>133.25747349709113</v>
      </c>
      <c r="D17" s="51" t="str">
        <f t="shared" si="1"/>
        <v>0.000883195233596863-0.00030005643497709i</v>
      </c>
      <c r="E17" s="51" t="str">
        <f t="shared" si="2"/>
        <v>0.98845289678367-0.352389624521807i</v>
      </c>
      <c r="F17" s="70" t="str">
        <f t="shared" si="3"/>
        <v>0.000767260112617421-0.000607820489098334i</v>
      </c>
      <c r="G17" s="70" t="str">
        <f t="shared" si="4"/>
        <v>0.102243144122491-0.0809966227170102i</v>
      </c>
      <c r="H17" s="72">
        <f t="shared" si="5"/>
        <v>0.13043815933849326</v>
      </c>
      <c r="I17" s="51" t="str">
        <f t="shared" si="6"/>
        <v>1.70528968646546-0.01832531754744i</v>
      </c>
      <c r="J17" s="73" t="str">
        <f t="shared" si="7"/>
        <v>0.164185907640667-0.370444186582645i</v>
      </c>
      <c r="K17" s="73" t="str">
        <f t="shared" si="8"/>
        <v>0.27319602760987-0.634723409684801i</v>
      </c>
      <c r="L17" s="73" t="str">
        <f t="shared" si="9"/>
        <v>-0.0234780317192862-0.0870240726304246i</v>
      </c>
      <c r="M17" s="70">
        <f t="shared" si="10"/>
        <v>-20.902083181330838</v>
      </c>
      <c r="N17" s="70">
        <f t="shared" si="11"/>
        <v>74.901758388715052</v>
      </c>
      <c r="O17" s="70">
        <f t="shared" si="12"/>
        <v>74.901758388715052</v>
      </c>
    </row>
    <row r="18" spans="1:18" ht="15" x14ac:dyDescent="0.2">
      <c r="A18" s="71">
        <f t="shared" si="13"/>
        <v>17</v>
      </c>
      <c r="B18" s="70">
        <f t="shared" si="14"/>
        <v>25500.000000000004</v>
      </c>
      <c r="C18" s="70">
        <f t="shared" si="0"/>
        <v>133.25747349709113</v>
      </c>
      <c r="D18" s="51" t="str">
        <f t="shared" si="1"/>
        <v>0.000883184943826355-0.000282406059357488i</v>
      </c>
      <c r="E18" s="51" t="str">
        <f t="shared" si="2"/>
        <v>0.985114830259947-0.378718953288537i</v>
      </c>
      <c r="F18" s="70" t="str">
        <f t="shared" si="3"/>
        <v>0.000763086058823432-0.000612681274714445i</v>
      </c>
      <c r="G18" s="70" t="str">
        <f t="shared" si="4"/>
        <v>0.101686920259663-0.0816443587274242i</v>
      </c>
      <c r="H18" s="72">
        <f t="shared" si="5"/>
        <v>0.13040717412745123</v>
      </c>
      <c r="I18" s="51" t="str">
        <f t="shared" si="6"/>
        <v>1.70528968646545-0.0172473576917082i</v>
      </c>
      <c r="J18" s="73" t="str">
        <f t="shared" si="7"/>
        <v>0.148216785121-0.355314747413326i</v>
      </c>
      <c r="K18" s="73" t="str">
        <f t="shared" si="8"/>
        <v>0.246624314486131-0.608470922121918i</v>
      </c>
      <c r="L18" s="73" t="str">
        <f t="shared" si="9"/>
        <v>-0.0245997512396832-0.0820090181409459i</v>
      </c>
      <c r="M18" s="70">
        <f t="shared" si="10"/>
        <v>-21.34858888695706</v>
      </c>
      <c r="N18" s="70">
        <f t="shared" si="11"/>
        <v>73.302649326150686</v>
      </c>
      <c r="O18" s="70">
        <f t="shared" si="12"/>
        <v>73.302649326150686</v>
      </c>
    </row>
    <row r="19" spans="1:18" ht="15" x14ac:dyDescent="0.2">
      <c r="A19" s="71">
        <f t="shared" si="13"/>
        <v>18</v>
      </c>
      <c r="B19" s="70">
        <f t="shared" si="14"/>
        <v>27000</v>
      </c>
      <c r="C19" s="70">
        <f t="shared" si="0"/>
        <v>133.25747349709113</v>
      </c>
      <c r="D19" s="51" t="str">
        <f t="shared" si="1"/>
        <v>0.000883176320898419-0.000266716836139541i</v>
      </c>
      <c r="E19" s="51" t="str">
        <f t="shared" si="2"/>
        <v>0.981068267923973-0.405772721108261i</v>
      </c>
      <c r="F19" s="70" t="str">
        <f t="shared" si="3"/>
        <v>0.000758229847049551-0.000620036283406916i</v>
      </c>
      <c r="G19" s="70" t="str">
        <f t="shared" si="4"/>
        <v>0.101039793747909-0.082624468603332i</v>
      </c>
      <c r="H19" s="72">
        <f t="shared" si="5"/>
        <v>0.13052142633530706</v>
      </c>
      <c r="I19" s="51" t="str">
        <f t="shared" si="6"/>
        <v>1.70528968646545-0.01628917115328i</v>
      </c>
      <c r="J19" s="73" t="str">
        <f t="shared" si="7"/>
        <v>0.134356910890912-0.341035381429499i</v>
      </c>
      <c r="K19" s="73" t="str">
        <f t="shared" si="8"/>
        <v>0.223562270750201-0.583752681388664i</v>
      </c>
      <c r="L19" s="73" t="str">
        <f t="shared" si="9"/>
        <v>-0.025643569369094-0.077453964347789i</v>
      </c>
      <c r="M19" s="70">
        <f t="shared" si="10"/>
        <v>-21.767404120797096</v>
      </c>
      <c r="N19" s="70">
        <f t="shared" si="11"/>
        <v>71.681251558265458</v>
      </c>
      <c r="O19" s="70">
        <f t="shared" si="12"/>
        <v>71.681251558265458</v>
      </c>
    </row>
    <row r="20" spans="1:18" ht="15" x14ac:dyDescent="0.2">
      <c r="A20" s="71">
        <f t="shared" si="13"/>
        <v>19</v>
      </c>
      <c r="B20" s="70">
        <f t="shared" si="14"/>
        <v>28500</v>
      </c>
      <c r="C20" s="70">
        <f t="shared" si="0"/>
        <v>133.25747349709113</v>
      </c>
      <c r="D20" s="51" t="str">
        <f t="shared" si="1"/>
        <v>0.000883169023314734-0.000252679109767247i</v>
      </c>
      <c r="E20" s="51" t="str">
        <f t="shared" si="2"/>
        <v>0.976209335792462-0.433566558673604i</v>
      </c>
      <c r="F20" s="70" t="str">
        <f t="shared" si="3"/>
        <v>0.000752604633572059-0.000629580260080212i</v>
      </c>
      <c r="G20" s="70" t="str">
        <f t="shared" si="4"/>
        <v>0.100290192012017-0.0838962748219306i</v>
      </c>
      <c r="H20" s="72">
        <f t="shared" si="5"/>
        <v>0.13075437867545447</v>
      </c>
      <c r="I20" s="51" t="str">
        <f t="shared" si="6"/>
        <v>1.70528968646546-0.015431846355739i</v>
      </c>
      <c r="J20" s="73" t="str">
        <f t="shared" si="7"/>
        <v>0.122269995646298-0.327597380653375i</v>
      </c>
      <c r="K20" s="73" t="str">
        <f t="shared" si="8"/>
        <v>0.203450330095023-0.56053528632803i</v>
      </c>
      <c r="L20" s="73" t="str">
        <f t="shared" si="9"/>
        <v>-0.0266227497590279-0.0732849163016136i</v>
      </c>
      <c r="M20" s="70">
        <f t="shared" si="10"/>
        <v>-22.161357260088632</v>
      </c>
      <c r="N20" s="70">
        <f t="shared" si="11"/>
        <v>70.035063503850679</v>
      </c>
      <c r="O20" s="70">
        <f t="shared" si="12"/>
        <v>70.035063503850679</v>
      </c>
    </row>
    <row r="21" spans="1:18" ht="15" x14ac:dyDescent="0.2">
      <c r="A21" s="71">
        <f t="shared" si="13"/>
        <v>20</v>
      </c>
      <c r="B21" s="70">
        <f t="shared" si="14"/>
        <v>30000</v>
      </c>
      <c r="C21" s="70">
        <f t="shared" si="0"/>
        <v>133.25747349709113</v>
      </c>
      <c r="D21" s="51" t="str">
        <f t="shared" si="1"/>
        <v>0.000883162792756036-0.000240045155775822i</v>
      </c>
      <c r="E21" s="51" t="str">
        <f t="shared" si="2"/>
        <v>0.970425138632163-0.462107208872458i</v>
      </c>
      <c r="F21" s="70" t="str">
        <f t="shared" si="3"/>
        <v>0.000746116778656125-0.000641061746712228i</v>
      </c>
      <c r="G21" s="70" t="str">
        <f t="shared" si="4"/>
        <v>0.0994256368575036-0.0854262687225037i</v>
      </c>
      <c r="H21" s="72">
        <f t="shared" si="5"/>
        <v>0.1310843417512923</v>
      </c>
      <c r="I21" s="51" t="str">
        <f t="shared" si="6"/>
        <v>1.70528968646546-0.014660254037952i</v>
      </c>
      <c r="J21" s="73" t="str">
        <f t="shared" si="7"/>
        <v>0.111680045137476-0.314972399831426i</v>
      </c>
      <c r="K21" s="73" t="str">
        <f t="shared" si="8"/>
        <v>0.185829253760463-0.538756442786491i</v>
      </c>
      <c r="L21" s="73" t="str">
        <f t="shared" si="9"/>
        <v>-0.0275477607555703-0.0694409022033737i</v>
      </c>
      <c r="M21" s="70">
        <f t="shared" si="10"/>
        <v>-22.532943568216339</v>
      </c>
      <c r="N21" s="70">
        <f t="shared" si="11"/>
        <v>68.36137681866478</v>
      </c>
      <c r="O21" s="70">
        <f t="shared" si="12"/>
        <v>68.36137681866478</v>
      </c>
    </row>
    <row r="22" spans="1:18" ht="15" x14ac:dyDescent="0.2">
      <c r="A22" s="71">
        <f t="shared" si="13"/>
        <v>21</v>
      </c>
      <c r="B22" s="70">
        <f t="shared" si="14"/>
        <v>31500</v>
      </c>
      <c r="C22" s="70">
        <f t="shared" si="0"/>
        <v>133.25747349709113</v>
      </c>
      <c r="D22" s="51" t="str">
        <f t="shared" si="1"/>
        <v>0.000883157430903581-0.000228614435299092i</v>
      </c>
      <c r="E22" s="51" t="str">
        <f t="shared" si="2"/>
        <v>0.963593842808501-0.491390740625996i</v>
      </c>
      <c r="F22" s="70" t="str">
        <f t="shared" si="3"/>
        <v>0.00073866604596985-0.00065426684629241i</v>
      </c>
      <c r="G22" s="70" t="str">
        <f t="shared" si="4"/>
        <v>0.0984327710440284-0.0871859469298362i</v>
      </c>
      <c r="H22" s="72">
        <f t="shared" si="5"/>
        <v>0.13149296466905874</v>
      </c>
      <c r="I22" s="51" t="str">
        <f t="shared" si="6"/>
        <v>1.70528968646545-0.0139621467028114i</v>
      </c>
      <c r="J22" s="73" t="str">
        <f t="shared" si="7"/>
        <v>0.102359890933833-0.303121004982906i</v>
      </c>
      <c r="K22" s="73" t="str">
        <f t="shared" si="8"/>
        <v>0.170321046376919-0.518338287362094i</v>
      </c>
      <c r="L22" s="73" t="str">
        <f t="shared" si="9"/>
        <v>-0.0284266418516551-0.065871075673719i</v>
      </c>
      <c r="M22" s="70">
        <f t="shared" si="10"/>
        <v>-22.884397078463369</v>
      </c>
      <c r="N22" s="70">
        <f t="shared" si="11"/>
        <v>66.657402488820168</v>
      </c>
      <c r="O22" s="70">
        <f t="shared" si="12"/>
        <v>66.657402488820168</v>
      </c>
    </row>
    <row r="23" spans="1:18" ht="15" x14ac:dyDescent="0.2">
      <c r="A23" s="71">
        <f t="shared" si="13"/>
        <v>22</v>
      </c>
      <c r="B23" s="70">
        <f t="shared" si="14"/>
        <v>33000</v>
      </c>
      <c r="C23" s="70">
        <f t="shared" si="0"/>
        <v>133.25747349709113</v>
      </c>
      <c r="D23" s="51" t="str">
        <f t="shared" si="1"/>
        <v>0.000883152783460368-0.000218222871073299i</v>
      </c>
      <c r="E23" s="51" t="str">
        <f t="shared" si="2"/>
        <v>0.95558501521352-0.521400553935948i</v>
      </c>
      <c r="F23" s="70" t="str">
        <f t="shared" si="3"/>
        <v>0.000730146040159727-0.000669006856080827i</v>
      </c>
      <c r="G23" s="70" t="str">
        <f t="shared" si="4"/>
        <v>0.0972974165955909-0.0891501633935631i</v>
      </c>
      <c r="H23" s="72">
        <f t="shared" si="5"/>
        <v>0.13196415766894801</v>
      </c>
      <c r="I23" s="51" t="str">
        <f t="shared" si="6"/>
        <v>1.70528968646545-0.0133275036708655i</v>
      </c>
      <c r="J23" s="73" t="str">
        <f t="shared" si="7"/>
        <v>0.0941218739799354-0.29199819660135i</v>
      </c>
      <c r="K23" s="73" t="str">
        <f t="shared" si="8"/>
        <v>0.156613453931694-0.499195922751769i</v>
      </c>
      <c r="L23" s="73" t="str">
        <f t="shared" si="9"/>
        <v>-0.0292653136070543-0.0625325886664401i</v>
      </c>
      <c r="M23" s="70">
        <f t="shared" si="10"/>
        <v>-23.217745975925212</v>
      </c>
      <c r="N23" s="70">
        <f t="shared" si="11"/>
        <v>64.920359293830842</v>
      </c>
      <c r="O23" s="70">
        <f t="shared" si="12"/>
        <v>64.920359293830842</v>
      </c>
    </row>
    <row r="24" spans="1:18" ht="15" x14ac:dyDescent="0.2">
      <c r="A24" s="71">
        <f t="shared" si="13"/>
        <v>23</v>
      </c>
      <c r="B24" s="70">
        <f t="shared" si="14"/>
        <v>34500</v>
      </c>
      <c r="C24" s="70">
        <f t="shared" si="0"/>
        <v>133.25747349709113</v>
      </c>
      <c r="D24" s="51" t="str">
        <f t="shared" si="1"/>
        <v>0.000883148728925205-0.00020873492100414i</v>
      </c>
      <c r="E24" s="51" t="str">
        <f t="shared" si="2"/>
        <v>0.946260289080358-0.552105191497926i</v>
      </c>
      <c r="F24" s="70" t="str">
        <f t="shared" si="3"/>
        <v>0.00072044493800042-0.000685108564794943i</v>
      </c>
      <c r="G24" s="70" t="str">
        <f t="shared" si="4"/>
        <v>0.0960046722317044-0.0912958364157923i</v>
      </c>
      <c r="H24" s="72">
        <f t="shared" si="5"/>
        <v>0.13248330776809622</v>
      </c>
      <c r="I24" s="51" t="str">
        <f t="shared" si="6"/>
        <v>1.70528968646546-0.0127480469895235i</v>
      </c>
      <c r="J24" s="73" t="str">
        <f t="shared" si="7"/>
        <v>0.0868103418693381-0.281556932810874i</v>
      </c>
      <c r="K24" s="73" t="str">
        <f t="shared" si="8"/>
        <v>0.144447479658624-0.481242795992559i</v>
      </c>
      <c r="L24" s="73" t="str">
        <f t="shared" si="9"/>
        <v>-0.0300678306398932-0.0593890103667218i</v>
      </c>
      <c r="M24" s="70">
        <f t="shared" si="10"/>
        <v>-23.534856073188195</v>
      </c>
      <c r="N24" s="70">
        <f t="shared" si="11"/>
        <v>63.147540159022171</v>
      </c>
      <c r="O24" s="70">
        <f t="shared" si="12"/>
        <v>63.147540159022171</v>
      </c>
    </row>
    <row r="25" spans="1:18" ht="15" x14ac:dyDescent="0.2">
      <c r="A25" s="71">
        <f t="shared" si="13"/>
        <v>24</v>
      </c>
      <c r="B25" s="70">
        <f t="shared" si="14"/>
        <v>36000</v>
      </c>
      <c r="C25" s="70">
        <f t="shared" si="0"/>
        <v>133.25747349709113</v>
      </c>
      <c r="D25" s="51" t="str">
        <f t="shared" si="1"/>
        <v>0.000883145170570013-0.000200037633341402i</v>
      </c>
      <c r="E25" s="51" t="str">
        <f t="shared" si="2"/>
        <v>0.935474435292397-0.583455988747857i</v>
      </c>
      <c r="F25" s="70" t="str">
        <f t="shared" si="3"/>
        <v>0.000709446574572202-0.000702406430790097i</v>
      </c>
      <c r="G25" s="70" t="str">
        <f t="shared" si="4"/>
        <v>0.0945390581086573-0.0936009063351977i</v>
      </c>
      <c r="H25" s="72">
        <f t="shared" si="5"/>
        <v>0.13303669860171116</v>
      </c>
      <c r="I25" s="51" t="str">
        <f t="shared" si="6"/>
        <v>1.70528968646546-0.01221687836496i</v>
      </c>
      <c r="J25" s="73" t="str">
        <f t="shared" si="7"/>
        <v>0.0802956318361882-0.271750332739843i</v>
      </c>
      <c r="K25" s="73" t="str">
        <f t="shared" si="8"/>
        <v>0.133607372077759-0.464394001682192i</v>
      </c>
      <c r="L25" s="73" t="str">
        <f t="shared" si="9"/>
        <v>-0.0308365843414782-0.0564091426298869i</v>
      </c>
      <c r="M25" s="70">
        <f t="shared" si="10"/>
        <v>-23.837465418070302</v>
      </c>
      <c r="N25" s="70">
        <f t="shared" si="11"/>
        <v>61.336366355888075</v>
      </c>
      <c r="O25" s="70">
        <f t="shared" si="12"/>
        <v>61.336366355888075</v>
      </c>
      <c r="P25" s="70">
        <v>-9.1029999999999998</v>
      </c>
      <c r="Q25" s="70">
        <v>72.905000000000001</v>
      </c>
      <c r="R25" s="70">
        <f>B25</f>
        <v>36000</v>
      </c>
    </row>
    <row r="26" spans="1:18" ht="15" x14ac:dyDescent="0.2">
      <c r="A26" s="71">
        <f t="shared" si="13"/>
        <v>25</v>
      </c>
      <c r="B26" s="70">
        <f t="shared" si="14"/>
        <v>37500</v>
      </c>
      <c r="C26" s="70">
        <f t="shared" si="0"/>
        <v>133.25747349709113</v>
      </c>
      <c r="D26" s="51" t="str">
        <f t="shared" si="1"/>
        <v>0.000883142030616801-0.000192036128611263i</v>
      </c>
      <c r="E26" s="51" t="str">
        <f t="shared" si="2"/>
        <v>0.923076923076923-0.615384615384615i</v>
      </c>
      <c r="F26" s="70" t="str">
        <f t="shared" si="3"/>
        <v>0.00069703194911627-0.000720736137559197i</v>
      </c>
      <c r="G26" s="70" t="str">
        <f t="shared" si="4"/>
        <v>0.0928847164859871-0.0960434767491905i</v>
      </c>
      <c r="H26" s="72">
        <f t="shared" si="5"/>
        <v>0.13361107732053693</v>
      </c>
      <c r="I26" s="51" t="str">
        <f t="shared" si="6"/>
        <v>1.70528968646546-0.0117282032303616i</v>
      </c>
      <c r="J26" s="73" t="str">
        <f t="shared" si="7"/>
        <v>0.0744692514591361-0.26253301134572i</v>
      </c>
      <c r="K26" s="73" t="str">
        <f t="shared" si="8"/>
        <v>0.123912605960326-0.448568227120102i</v>
      </c>
      <c r="L26" s="73" t="str">
        <f t="shared" si="9"/>
        <v>-0.0315724648181704-0.0535661300901547i</v>
      </c>
      <c r="M26" s="70">
        <f t="shared" si="10"/>
        <v>-24.127212071397857</v>
      </c>
      <c r="N26" s="70">
        <f t="shared" si="11"/>
        <v>59.484435950017399</v>
      </c>
      <c r="O26" s="70">
        <f t="shared" si="12"/>
        <v>59.484435950017399</v>
      </c>
    </row>
    <row r="27" spans="1:18" ht="15" x14ac:dyDescent="0.2">
      <c r="A27" s="71">
        <f t="shared" si="13"/>
        <v>26</v>
      </c>
      <c r="B27" s="70">
        <f t="shared" si="14"/>
        <v>39000</v>
      </c>
      <c r="C27" s="70">
        <f t="shared" si="0"/>
        <v>133.25747349709113</v>
      </c>
      <c r="D27" s="51" t="str">
        <f t="shared" si="1"/>
        <v>0.00088313924595112-0.00018465012417932i</v>
      </c>
      <c r="E27" s="51" t="str">
        <f t="shared" si="2"/>
        <v>0.908914055000462-0.647800587445505i</v>
      </c>
      <c r="F27" s="70" t="str">
        <f t="shared" si="3"/>
        <v>0.000683081214252234-0.00073992921544748i</v>
      </c>
      <c r="G27" s="70" t="str">
        <f t="shared" si="4"/>
        <v>0.0910256768045779-0.098601097817216i</v>
      </c>
      <c r="H27" s="72">
        <f t="shared" si="5"/>
        <v>0.13419333190770572</v>
      </c>
      <c r="I27" s="51" t="str">
        <f t="shared" si="6"/>
        <v>1.70528968646545-0.0112771184907323i</v>
      </c>
      <c r="J27" s="73" t="str">
        <f t="shared" si="7"/>
        <v>0.0692400163068267-0.253861845200607i</v>
      </c>
      <c r="K27" s="73" t="str">
        <f t="shared" si="8"/>
        <v>0.115211455590128-0.433688814275876i</v>
      </c>
      <c r="L27" s="73" t="str">
        <f t="shared" si="9"/>
        <v>-0.0322749924779161-0.0508367938443425i</v>
      </c>
      <c r="M27" s="70">
        <f t="shared" si="10"/>
        <v>-24.405656430156419</v>
      </c>
      <c r="N27" s="70">
        <f t="shared" si="11"/>
        <v>57.589570563165339</v>
      </c>
      <c r="O27" s="70">
        <f t="shared" si="12"/>
        <v>57.589570563165339</v>
      </c>
    </row>
    <row r="28" spans="1:18" ht="15" x14ac:dyDescent="0.2">
      <c r="A28" s="71">
        <f t="shared" si="13"/>
        <v>27</v>
      </c>
      <c r="B28" s="70">
        <f t="shared" si="14"/>
        <v>40500</v>
      </c>
      <c r="C28" s="70">
        <f t="shared" si="0"/>
        <v>133.25747349709113</v>
      </c>
      <c r="D28" s="51" t="str">
        <f t="shared" si="1"/>
        <v>0.000883136764925507-0.000177811231132741i</v>
      </c>
      <c r="E28" s="51" t="str">
        <f t="shared" si="2"/>
        <v>0.89283175581238-0.680588859597241i</v>
      </c>
      <c r="F28" s="70" t="str">
        <f t="shared" si="3"/>
        <v>0.000667476205430692-0.000759808557404454i</v>
      </c>
      <c r="G28" s="70" t="str">
        <f t="shared" si="4"/>
        <v>0.0889461927551194-0.101250168701187i</v>
      </c>
      <c r="H28" s="72">
        <f t="shared" si="5"/>
        <v>0.13477025587142616</v>
      </c>
      <c r="I28" s="51" t="str">
        <f t="shared" si="6"/>
        <v>1.70528968646545-0.01085944743552i</v>
      </c>
      <c r="J28" s="73" t="str">
        <f t="shared" si="7"/>
        <v>0.0645309486861441-0.245696368202321i</v>
      </c>
      <c r="K28" s="73" t="str">
        <f t="shared" si="8"/>
        <v>0.107375834456721-0.419684253142657i</v>
      </c>
      <c r="L28" s="73" t="str">
        <f t="shared" si="9"/>
        <v>-0.0329424297630964-0.0482011378294888i</v>
      </c>
      <c r="M28" s="70">
        <f t="shared" si="10"/>
        <v>-24.674299019866911</v>
      </c>
      <c r="N28" s="70">
        <f t="shared" si="11"/>
        <v>55.649862925129682</v>
      </c>
      <c r="O28" s="70">
        <f t="shared" si="12"/>
        <v>55.649862925129682</v>
      </c>
    </row>
    <row r="29" spans="1:18" ht="15" x14ac:dyDescent="0.2">
      <c r="A29" s="71">
        <f t="shared" si="13"/>
        <v>28</v>
      </c>
      <c r="B29" s="70">
        <f t="shared" si="14"/>
        <v>42000.000000000007</v>
      </c>
      <c r="C29" s="70">
        <f t="shared" si="0"/>
        <v>133.25747349709113</v>
      </c>
      <c r="D29" s="51" t="str">
        <f t="shared" si="1"/>
        <v>0.000883134544947342-0.000171460830401833i</v>
      </c>
      <c r="E29" s="51" t="str">
        <f t="shared" si="2"/>
        <v>0.874679080449271-0.713607641392179i</v>
      </c>
      <c r="F29" s="70" t="str">
        <f t="shared" si="3"/>
        <v>0.00065010355291333-0.000780184761120772i</v>
      </c>
      <c r="G29" s="70" t="str">
        <f t="shared" si="4"/>
        <v>0.0866311569727129-0.103965450127886i</v>
      </c>
      <c r="H29" s="72">
        <f t="shared" si="5"/>
        <v>0.13532838644838996</v>
      </c>
      <c r="I29" s="51" t="str">
        <f t="shared" si="6"/>
        <v>1.70528968646545-0.0104716100271086i</v>
      </c>
      <c r="J29" s="73" t="str">
        <f t="shared" si="7"/>
        <v>0.0602767807060561-0.237998929438286i</v>
      </c>
      <c r="K29" s="73" t="str">
        <f t="shared" si="8"/>
        <v>0.10029714049543-0.406488314702171i</v>
      </c>
      <c r="L29" s="73" t="str">
        <f t="shared" si="9"/>
        <v>-0.0335718832875632-0.0456419903566845i</v>
      </c>
      <c r="M29" s="70">
        <f t="shared" si="10"/>
        <v>-24.934594365632357</v>
      </c>
      <c r="N29" s="70">
        <f t="shared" si="11"/>
        <v>53.663726539709771</v>
      </c>
      <c r="O29" s="70">
        <f t="shared" si="12"/>
        <v>53.663726539709771</v>
      </c>
    </row>
    <row r="30" spans="1:18" ht="15" x14ac:dyDescent="0.2">
      <c r="A30" s="71">
        <f t="shared" si="13"/>
        <v>29</v>
      </c>
      <c r="B30" s="70">
        <f t="shared" si="14"/>
        <v>43500</v>
      </c>
      <c r="C30" s="70">
        <f t="shared" si="0"/>
        <v>133.25747349709113</v>
      </c>
      <c r="D30" s="51" t="str">
        <f t="shared" si="1"/>
        <v>0.000883132550638551-0.00016554838830463i</v>
      </c>
      <c r="E30" s="51" t="str">
        <f t="shared" si="2"/>
        <v>0.854312480830752-0.74668661675985i</v>
      </c>
      <c r="F30" s="70" t="str">
        <f t="shared" si="3"/>
        <v>0.00063085839426518-0.000800853310696858i</v>
      </c>
      <c r="G30" s="70" t="str">
        <f t="shared" si="4"/>
        <v>0.0840665957542097-0.106719688825244i</v>
      </c>
      <c r="H30" s="72">
        <f t="shared" si="5"/>
        <v>0.13585390868377184</v>
      </c>
      <c r="I30" s="51" t="str">
        <f t="shared" si="6"/>
        <v>1.70528968646546-0.0101105200261738i</v>
      </c>
      <c r="J30" s="73" t="str">
        <f t="shared" si="7"/>
        <v>0.0564219372648047-0.23073470103149i</v>
      </c>
      <c r="K30" s="73" t="str">
        <f t="shared" si="8"/>
        <v>0.0938828998925606-0.394039961105323i</v>
      </c>
      <c r="L30" s="73" t="str">
        <f t="shared" si="9"/>
        <v>-0.0341594062403705-0.0431447519837913i</v>
      </c>
      <c r="M30" s="70">
        <f t="shared" si="10"/>
        <v>-25.187961330419341</v>
      </c>
      <c r="N30" s="70">
        <f t="shared" si="11"/>
        <v>51.629947888267424</v>
      </c>
      <c r="O30" s="70">
        <f t="shared" si="12"/>
        <v>51.629947888267424</v>
      </c>
    </row>
    <row r="31" spans="1:18" ht="15" x14ac:dyDescent="0.2">
      <c r="A31" s="71">
        <f t="shared" si="13"/>
        <v>30</v>
      </c>
      <c r="B31" s="70">
        <f t="shared" si="14"/>
        <v>45000</v>
      </c>
      <c r="C31" s="70">
        <f t="shared" si="0"/>
        <v>133.25747349709113</v>
      </c>
      <c r="D31" s="51" t="str">
        <f t="shared" si="1"/>
        <v>0.00088313075241735-0.000160030108982499i</v>
      </c>
      <c r="E31" s="51" t="str">
        <f t="shared" si="2"/>
        <v>0.831600831600832-0.77962577962578i</v>
      </c>
      <c r="F31" s="70" t="str">
        <f t="shared" si="3"/>
        <v>0.000609648669643457-0.000821592673075896i</v>
      </c>
      <c r="G31" s="70" t="str">
        <f t="shared" si="4"/>
        <v>0.0812402414375498-0.109483363857815i</v>
      </c>
      <c r="H31" s="72">
        <f t="shared" si="5"/>
        <v>0.13633262188652465</v>
      </c>
      <c r="I31" s="51" t="str">
        <f t="shared" si="6"/>
        <v>1.70528968646546-0.00977350269196798i</v>
      </c>
      <c r="J31" s="73" t="str">
        <f t="shared" si="7"/>
        <v>0.05291890074074-0.22387159418991i</v>
      </c>
      <c r="K31" s="73" t="str">
        <f t="shared" si="8"/>
        <v>0.0880540460238031-0.38228312368348i</v>
      </c>
      <c r="L31" s="73" t="str">
        <f t="shared" si="9"/>
        <v>-0.0347001103684136-0.0406972264255235i</v>
      </c>
      <c r="M31" s="70">
        <f t="shared" si="10"/>
        <v>-25.435790156485602</v>
      </c>
      <c r="N31" s="70">
        <f t="shared" si="11"/>
        <v>49.547740829104271</v>
      </c>
      <c r="O31" s="70">
        <f t="shared" si="12"/>
        <v>49.547740829104271</v>
      </c>
    </row>
    <row r="32" spans="1:18" ht="15" x14ac:dyDescent="0.2">
      <c r="A32" s="71">
        <f t="shared" si="13"/>
        <v>31</v>
      </c>
      <c r="B32" s="70">
        <f t="shared" si="14"/>
        <v>46500</v>
      </c>
      <c r="C32" s="70">
        <f t="shared" si="0"/>
        <v>133.25747349709113</v>
      </c>
      <c r="D32" s="51" t="str">
        <f t="shared" si="1"/>
        <v>0.000883129125394892-0.000154867847654615i</v>
      </c>
      <c r="E32" s="51" t="str">
        <f t="shared" si="2"/>
        <v>0.80643116012275-0.812195125529735i</v>
      </c>
      <c r="F32" s="70" t="str">
        <f t="shared" si="3"/>
        <v>0.000586399934164032-0.000842163428908894i</v>
      </c>
      <c r="G32" s="70" t="str">
        <f t="shared" si="4"/>
        <v>0.0781421736855595-0.112224570808046i</v>
      </c>
      <c r="H32" s="72">
        <f t="shared" si="5"/>
        <v>0.13674996746381435</v>
      </c>
      <c r="I32" s="51" t="str">
        <f t="shared" si="6"/>
        <v>1.70528968646546-0.00945822841158196i</v>
      </c>
      <c r="J32" s="73" t="str">
        <f t="shared" si="7"/>
        <v>0.0497268799875804-0.217380121893151i</v>
      </c>
      <c r="K32" s="73" t="str">
        <f t="shared" si="8"/>
        <v>0.0827427047379236-0.371166408096113i</v>
      </c>
      <c r="L32" s="73" t="str">
        <f t="shared" si="9"/>
        <v>-0.0351882960421065-0.0382895144544021i</v>
      </c>
      <c r="M32" s="70">
        <f t="shared" si="10"/>
        <v>-25.679446347250092</v>
      </c>
      <c r="N32" s="70">
        <f t="shared" si="11"/>
        <v>47.416802156246064</v>
      </c>
      <c r="O32" s="70">
        <f t="shared" si="12"/>
        <v>47.416802156246064</v>
      </c>
    </row>
    <row r="33" spans="1:18" ht="15" x14ac:dyDescent="0.2">
      <c r="A33" s="71">
        <f t="shared" si="13"/>
        <v>32</v>
      </c>
      <c r="B33" s="70">
        <f t="shared" si="14"/>
        <v>48000</v>
      </c>
      <c r="C33" s="70">
        <f t="shared" si="0"/>
        <v>133.25747349709113</v>
      </c>
      <c r="D33" s="51" t="str">
        <f t="shared" si="1"/>
        <v>0.000883127648509429-0.000150028227637179i</v>
      </c>
      <c r="E33" s="51" t="str">
        <f t="shared" si="2"/>
        <v>0.778714955716654-0.844135453351387i</v>
      </c>
      <c r="F33" s="70" t="str">
        <f t="shared" si="3"/>
        <v>0.000561060561749158-0.000862308582582385i</v>
      </c>
      <c r="G33" s="70" t="str">
        <f t="shared" si="4"/>
        <v>0.0747655129375515-0.114909063089786i</v>
      </c>
      <c r="H33" s="72">
        <f t="shared" si="5"/>
        <v>0.13709111825711978</v>
      </c>
      <c r="I33" s="51" t="str">
        <f t="shared" si="6"/>
        <v>1.70528968646545-0.00916265877371998i</v>
      </c>
      <c r="J33" s="73" t="str">
        <f t="shared" si="7"/>
        <v>0.0468107226492827-0.211233233404061i</v>
      </c>
      <c r="K33" s="73" t="str">
        <f t="shared" si="8"/>
        <v>0.0778903845104655-0.360642765041281i</v>
      </c>
      <c r="L33" s="73" t="str">
        <f t="shared" si="9"/>
        <v>-0.0356176076901754-0.035913952423329i</v>
      </c>
      <c r="M33" s="70">
        <f t="shared" si="10"/>
        <v>-25.920271474873623</v>
      </c>
      <c r="N33" s="70">
        <f t="shared" si="11"/>
        <v>45.237366629845582</v>
      </c>
      <c r="O33" s="70">
        <f t="shared" si="12"/>
        <v>45.237366629845582</v>
      </c>
    </row>
    <row r="34" spans="1:18" ht="15" x14ac:dyDescent="0.2">
      <c r="A34" s="71">
        <f t="shared" si="13"/>
        <v>33</v>
      </c>
      <c r="B34" s="70">
        <f t="shared" si="14"/>
        <v>49500</v>
      </c>
      <c r="C34" s="70">
        <f t="shared" ref="C34:C65" si="15">_ta1*_ta2*(rload/RS)</f>
        <v>133.25747349709113</v>
      </c>
      <c r="D34" s="51" t="str">
        <f t="shared" ref="D34:D65" si="16">IMDIV((COMPLEX(1,2*PI()*(B34)*(esrcout*0.001)*(cout*0.000001))),(COMPLEX(1,2*PI()*(B34)*rload*(cout*0.000001))))</f>
        <v>0.000883126303841237-0.000145481917904577i</v>
      </c>
      <c r="E34" s="51" t="str">
        <f t="shared" ref="E34:E65" si="17">IMDIV(1,(COMPLEX((1-(B34/(fpp*1000))^2),(B34/(fpp*1000)))))</f>
        <v>0.748394849515882-0.875160525656418i</v>
      </c>
      <c r="F34" s="70" t="str">
        <f t="shared" ref="F34:F65" si="18">IMPRODUCT(D34,E34)</f>
        <v>0.000533607145519906-0.000881755198348184i</v>
      </c>
      <c r="G34" s="70" t="str">
        <f t="shared" ref="G34:G65" si="19">IMPRODUCT(C34,F34)</f>
        <v>0.0711071400519773-0.117500469974805i</v>
      </c>
      <c r="H34" s="72">
        <f t="shared" ref="H34:H65" si="20">IMABS(G34)</f>
        <v>0.13734112934831855</v>
      </c>
      <c r="I34" s="51" t="str">
        <f t="shared" ref="I34:I65" si="21">IMDIV((COMPLEX(1,(2*PI()*B34*(rf*1000)*(Cz*0.000000001)))),(COMPLEX(0,2*PI()*B34*((Cz*0.000000001)+(Cp*0.000000000001))*(RII*1000))))</f>
        <v>1.70528968646546-0.00888500244724365i</v>
      </c>
      <c r="J34" s="73" t="str">
        <f t="shared" ref="J34:J65" si="22">IMDIV(1,(COMPLEX(1,2*PI()*B34*(((Cz*0.000000001)*(Cp*0.000000000001))/((Cz*0.000000001)+(Cp*0.000000000001)))*(rf*1000))))</f>
        <v>0.0441400226870969-0.205406136919712i</v>
      </c>
      <c r="K34" s="73" t="str">
        <f t="shared" ref="K34:K65" si="23">IMPRODUCT(I34,J34)</f>
        <v>0.0734464914194473-0.350669151035493i</v>
      </c>
      <c r="L34" s="73" t="str">
        <f t="shared" ref="L34:L65" si="24">IMPRODUCT(G34,K34)</f>
        <v>-0.0359812201006473-0.0335650776943743i</v>
      </c>
      <c r="M34" s="70">
        <f t="shared" ref="M34:M65" si="25">20*LOG(IMABS(L34))</f>
        <v>-26.1595809896818</v>
      </c>
      <c r="N34" s="70">
        <f t="shared" ref="N34:N65" si="26">(180/PI())*IMARGUMENT(L34)+180</f>
        <v>43.010259184701795</v>
      </c>
      <c r="O34" s="70">
        <f t="shared" si="12"/>
        <v>43.010259184701795</v>
      </c>
    </row>
    <row r="35" spans="1:18" ht="15" x14ac:dyDescent="0.2">
      <c r="A35" s="71">
        <f t="shared" si="13"/>
        <v>34</v>
      </c>
      <c r="B35" s="70">
        <f t="shared" si="14"/>
        <v>51000.000000000007</v>
      </c>
      <c r="C35" s="70">
        <f t="shared" si="15"/>
        <v>133.25747349709113</v>
      </c>
      <c r="D35" s="51" t="str">
        <f t="shared" si="16"/>
        <v>0.000883125076066475-0.000141203038139726i</v>
      </c>
      <c r="E35" s="51" t="str">
        <f t="shared" si="17"/>
        <v>0.715451364638305-0.904960803485952i</v>
      </c>
      <c r="F35" s="70" t="str">
        <f t="shared" si="18"/>
        <v>0.000504049825968482-0.000900217484743851i</v>
      </c>
      <c r="G35" s="70" t="str">
        <f t="shared" si="19"/>
        <v>0.0671684063252084-0.119960707614872i</v>
      </c>
      <c r="H35" s="72">
        <f t="shared" si="20"/>
        <v>0.13748514894245525</v>
      </c>
      <c r="I35" s="51" t="str">
        <f t="shared" si="21"/>
        <v>1.70528968646545-0.00862367884585409i</v>
      </c>
      <c r="J35" s="73" t="str">
        <f t="shared" si="22"/>
        <v>0.0416883850916251-0.199876120735013i</v>
      </c>
      <c r="K35" s="73" t="str">
        <f t="shared" si="23"/>
        <v>0.0693671056679744-0.341206194504773i</v>
      </c>
      <c r="L35" s="73" t="str">
        <f t="shared" si="24"/>
        <v>-0.0362720585962601-0.0312396033943005i</v>
      </c>
      <c r="M35" s="70">
        <f t="shared" si="25"/>
        <v>-26.398659139123136</v>
      </c>
      <c r="N35" s="70">
        <f t="shared" si="26"/>
        <v>40.736941490754447</v>
      </c>
      <c r="O35" s="70">
        <f t="shared" si="12"/>
        <v>40.736941490754447</v>
      </c>
    </row>
    <row r="36" spans="1:18" ht="15" x14ac:dyDescent="0.2">
      <c r="A36" s="71">
        <f t="shared" si="13"/>
        <v>35</v>
      </c>
      <c r="B36" s="70">
        <f t="shared" ref="B36:B67" si="27">(fs*1000/2)*(A36/100)</f>
        <v>52500</v>
      </c>
      <c r="C36" s="70">
        <f t="shared" si="15"/>
        <v>133.25747349709113</v>
      </c>
      <c r="D36" s="51" t="str">
        <f t="shared" si="16"/>
        <v>0.000883123952018669-0.000137168665775768i</v>
      </c>
      <c r="E36" s="51" t="str">
        <f t="shared" si="17"/>
        <v>0.679909345420611-0.933208905479269i</v>
      </c>
      <c r="F36" s="70" t="str">
        <f t="shared" si="18"/>
        <v>0.00047243720768762-0.00091740139442569i</v>
      </c>
      <c r="G36" s="70" t="str">
        <f t="shared" si="19"/>
        <v>0.0629557886824728-0.122250592003876i</v>
      </c>
      <c r="H36" s="72">
        <f t="shared" si="20"/>
        <v>0.13750868544906653</v>
      </c>
      <c r="I36" s="51" t="str">
        <f t="shared" si="21"/>
        <v>1.70528968646545-0.00837728802168686i</v>
      </c>
      <c r="J36" s="73" t="str">
        <f t="shared" si="22"/>
        <v>0.0394328176404282-0.194622379323049i</v>
      </c>
      <c r="K36" s="73" t="str">
        <f t="shared" si="23"/>
        <v>0.0656139695034399-0.332217876285843i</v>
      </c>
      <c r="L36" s="73" t="str">
        <f t="shared" si="24"/>
        <v>-0.036483052851538-0.0289363850315112i</v>
      </c>
      <c r="M36" s="70">
        <f t="shared" si="25"/>
        <v>-26.63875117360293</v>
      </c>
      <c r="N36" s="70">
        <f t="shared" si="26"/>
        <v>38.419549627551447</v>
      </c>
      <c r="O36" s="70">
        <f t="shared" si="12"/>
        <v>38.419549627551447</v>
      </c>
    </row>
    <row r="37" spans="1:18" ht="15" x14ac:dyDescent="0.2">
      <c r="A37" s="71">
        <f t="shared" si="13"/>
        <v>36</v>
      </c>
      <c r="B37" s="70">
        <f t="shared" si="27"/>
        <v>54000</v>
      </c>
      <c r="C37" s="70">
        <f t="shared" si="15"/>
        <v>133.25747349709113</v>
      </c>
      <c r="D37" s="51" t="str">
        <f t="shared" si="16"/>
        <v>0.000883122920334245-0.00013335842519748i</v>
      </c>
      <c r="E37" s="51" t="str">
        <f t="shared" si="17"/>
        <v>0.641843596575924-0.959566838734771i</v>
      </c>
      <c r="F37" s="70" t="str">
        <f t="shared" si="18"/>
        <v>0.000438860468920572-0.000933010720141802i</v>
      </c>
      <c r="G37" s="70" t="str">
        <f t="shared" si="19"/>
        <v>0.0584814373061041-0.124330651311798i</v>
      </c>
      <c r="H37" s="72">
        <f t="shared" si="20"/>
        <v>0.13739792343774226</v>
      </c>
      <c r="I37" s="51" t="str">
        <f t="shared" si="21"/>
        <v>1.70528968646545-0.00814458557663997i</v>
      </c>
      <c r="J37" s="73" t="str">
        <f t="shared" si="22"/>
        <v>0.0373532257393393-0.189625848096206i</v>
      </c>
      <c r="K37" s="73" t="str">
        <f t="shared" si="23"/>
        <v>0.0621536466621486-0.323671229589322i</v>
      </c>
      <c r="L37" s="73" t="str">
        <f t="shared" si="24"/>
        <v>-0.0366074201951127-0.0266563620919259i</v>
      </c>
      <c r="M37" s="70">
        <f t="shared" si="25"/>
        <v>-26.881053119613615</v>
      </c>
      <c r="N37" s="70">
        <f t="shared" si="26"/>
        <v>36.060919405339206</v>
      </c>
      <c r="O37" s="70">
        <f t="shared" si="12"/>
        <v>36.060919405339206</v>
      </c>
    </row>
    <row r="38" spans="1:18" ht="15" x14ac:dyDescent="0.2">
      <c r="A38" s="71">
        <f t="shared" si="13"/>
        <v>37</v>
      </c>
      <c r="B38" s="70">
        <f t="shared" si="27"/>
        <v>55500</v>
      </c>
      <c r="C38" s="70">
        <f t="shared" si="15"/>
        <v>133.25747349709113</v>
      </c>
      <c r="D38" s="51" t="str">
        <f t="shared" si="16"/>
        <v>0.000883121971164196-0.000129754143558654i</v>
      </c>
      <c r="E38" s="51" t="str">
        <f t="shared" si="17"/>
        <v>0.601383213294196-0.983694911223927i</v>
      </c>
      <c r="F38" s="70" t="str">
        <f t="shared" si="18"/>
        <v>0.000403456238020562-0.000946754552815803i</v>
      </c>
      <c r="G38" s="70" t="str">
        <f t="shared" si="19"/>
        <v>0.0537635589452611-0.126162119730102i</v>
      </c>
      <c r="H38" s="72">
        <f t="shared" si="20"/>
        <v>0.13714007702073511</v>
      </c>
      <c r="I38" s="51" t="str">
        <f t="shared" si="21"/>
        <v>1.70528968646545-0.00792446164213622i</v>
      </c>
      <c r="J38" s="73" t="str">
        <f t="shared" si="22"/>
        <v>0.0354319912325549-0.184869048869331i</v>
      </c>
      <c r="K38" s="73" t="str">
        <f t="shared" si="23"/>
        <v>0.0589568215332269-0.315536061838974i</v>
      </c>
      <c r="L38" s="73" t="str">
        <f t="shared" si="24"/>
        <v>-0.0366389698631666-0.0244024592372165i</v>
      </c>
      <c r="M38" s="70">
        <f t="shared" si="25"/>
        <v>-27.126699529034688</v>
      </c>
      <c r="N38" s="70">
        <f t="shared" si="26"/>
        <v>33.664595885322115</v>
      </c>
      <c r="O38" s="70">
        <f t="shared" si="12"/>
        <v>33.664595885322115</v>
      </c>
    </row>
    <row r="39" spans="1:18" ht="15" x14ac:dyDescent="0.2">
      <c r="A39" s="71">
        <f t="shared" si="13"/>
        <v>38</v>
      </c>
      <c r="B39" s="70">
        <f t="shared" si="27"/>
        <v>57000</v>
      </c>
      <c r="C39" s="70">
        <f t="shared" si="15"/>
        <v>133.25747349709113</v>
      </c>
      <c r="D39" s="51" t="str">
        <f t="shared" si="16"/>
        <v>0.000883121095938139-0.000126339560944099i</v>
      </c>
      <c r="E39" s="51" t="str">
        <f t="shared" si="17"/>
        <v>0.558714077224444-1.00526207076368i</v>
      </c>
      <c r="F39" s="70" t="str">
        <f t="shared" si="18"/>
        <v>0.000366407819540478-0.000958355832847688i</v>
      </c>
      <c r="G39" s="70" t="str">
        <f t="shared" si="19"/>
        <v>0.0488265803015422-0.127708076996483i</v>
      </c>
      <c r="H39" s="72">
        <f t="shared" si="20"/>
        <v>0.13672376484752966</v>
      </c>
      <c r="I39" s="51" t="str">
        <f t="shared" si="21"/>
        <v>1.70528968646546-0.0077159231778695i</v>
      </c>
      <c r="J39" s="73" t="str">
        <f t="shared" si="22"/>
        <v>0.0336536198786038-0.18033594690929i</v>
      </c>
      <c r="K39" s="73" t="str">
        <f t="shared" si="23"/>
        <v>0.0559977125786516-0.307784699109036i</v>
      </c>
      <c r="L39" s="73" t="str">
        <f t="shared" si="24"/>
        <v>-0.0365724152422319-0.0221794345162547i</v>
      </c>
      <c r="M39" s="70">
        <f t="shared" si="25"/>
        <v>-27.376749755107461</v>
      </c>
      <c r="N39" s="70">
        <f t="shared" si="26"/>
        <v>31.234823980232164</v>
      </c>
      <c r="O39" s="70">
        <f t="shared" si="12"/>
        <v>31.234823980232164</v>
      </c>
    </row>
    <row r="40" spans="1:18" ht="15" x14ac:dyDescent="0.2">
      <c r="A40" s="71">
        <f t="shared" si="13"/>
        <v>39</v>
      </c>
      <c r="B40" s="70">
        <f t="shared" si="27"/>
        <v>58500</v>
      </c>
      <c r="C40" s="70">
        <f t="shared" si="15"/>
        <v>133.25747349709113</v>
      </c>
      <c r="D40" s="51" t="str">
        <f t="shared" si="16"/>
        <v>0.000883120287170184-0.000123100085122103i</v>
      </c>
      <c r="E40" s="51" t="str">
        <f t="shared" si="17"/>
        <v>0.514079044457808-1.02395723870554i</v>
      </c>
      <c r="F40" s="70" t="str">
        <f t="shared" si="18"/>
        <v>0.000327944410123708-0.000967560584827871i</v>
      </c>
      <c r="G40" s="70" t="str">
        <f t="shared" si="19"/>
        <v>0.0437010435405792-0.12893467898953i</v>
      </c>
      <c r="H40" s="72">
        <f t="shared" si="20"/>
        <v>0.1361393868528456</v>
      </c>
      <c r="I40" s="51" t="str">
        <f t="shared" si="21"/>
        <v>1.70528968646546-0.00751807899382153i</v>
      </c>
      <c r="J40" s="73" t="str">
        <f t="shared" si="22"/>
        <v>0.0320044451959558-0.176011819727128i</v>
      </c>
      <c r="K40" s="73" t="str">
        <f t="shared" si="23"/>
        <v>0.0532535795491576-0.300391752823826i</v>
      </c>
      <c r="L40" s="73" t="str">
        <f t="shared" si="24"/>
        <v>-0.0364036772228728-0.019993666253599i</v>
      </c>
      <c r="M40" s="70">
        <f t="shared" si="25"/>
        <v>-27.632173444086384</v>
      </c>
      <c r="N40" s="70">
        <f t="shared" si="26"/>
        <v>28.776517691522287</v>
      </c>
      <c r="O40" s="70">
        <f t="shared" si="12"/>
        <v>28.776517691522287</v>
      </c>
    </row>
    <row r="41" spans="1:18" ht="15" x14ac:dyDescent="0.2">
      <c r="A41" s="71">
        <f t="shared" si="13"/>
        <v>40</v>
      </c>
      <c r="B41" s="70">
        <f t="shared" si="27"/>
        <v>60000</v>
      </c>
      <c r="C41" s="70">
        <f t="shared" si="15"/>
        <v>133.25747349709113</v>
      </c>
      <c r="D41" s="51" t="str">
        <f t="shared" si="16"/>
        <v>0.000883119538298324-0.000120022583084012i</v>
      </c>
      <c r="E41" s="51" t="str">
        <f t="shared" si="17"/>
        <v>0.467775467775468-1.03950103950104i</v>
      </c>
      <c r="F41" s="70" t="str">
        <f t="shared" si="18"/>
        <v>0.000288338055249723-0.00097414729801053i</v>
      </c>
      <c r="G41" s="70" t="str">
        <f t="shared" si="19"/>
        <v>0.0384232007556428-0.129812407746901i</v>
      </c>
      <c r="H41" s="72">
        <f t="shared" si="20"/>
        <v>0.13537947983854906</v>
      </c>
      <c r="I41" s="51" t="str">
        <f t="shared" si="21"/>
        <v>1.70528968646546-0.00733012701897602i</v>
      </c>
      <c r="J41" s="73" t="str">
        <f t="shared" si="22"/>
        <v>0.0304723787609727-0.171883137316086i</v>
      </c>
      <c r="K41" s="73" t="str">
        <f t="shared" si="23"/>
        <v>0.0507043079942089-0.293333907749336i</v>
      </c>
      <c r="L41" s="73" t="str">
        <f t="shared" si="24"/>
        <v>-0.0361301590335112-0.0178528759297586i</v>
      </c>
      <c r="M41" s="70">
        <f t="shared" si="25"/>
        <v>-27.89383604758925</v>
      </c>
      <c r="N41" s="70">
        <f t="shared" si="26"/>
        <v>26.295206562812069</v>
      </c>
      <c r="O41" s="70">
        <f t="shared" si="12"/>
        <v>26.295206562812069</v>
      </c>
    </row>
    <row r="42" spans="1:18" ht="15" x14ac:dyDescent="0.2">
      <c r="A42" s="71">
        <f t="shared" si="13"/>
        <v>41</v>
      </c>
      <c r="B42" s="70">
        <f t="shared" si="27"/>
        <v>61499.999999999993</v>
      </c>
      <c r="C42" s="70">
        <f t="shared" si="15"/>
        <v>133.25747349709113</v>
      </c>
      <c r="D42" s="51" t="str">
        <f t="shared" si="16"/>
        <v>0.000883118843550906-0.000117095203090216i</v>
      </c>
      <c r="E42" s="51" t="str">
        <f t="shared" si="17"/>
        <v>0.420149875001565-1.05165719627986i</v>
      </c>
      <c r="F42" s="70" t="str">
        <f t="shared" si="18"/>
        <v>0.000247898258749762-0.000977935821932295i</v>
      </c>
      <c r="G42" s="70" t="str">
        <f t="shared" si="19"/>
        <v>0.0330342956453214-0.130317256872999i</v>
      </c>
      <c r="H42" s="72">
        <f t="shared" si="20"/>
        <v>0.13443902754663806</v>
      </c>
      <c r="I42" s="51" t="str">
        <f t="shared" si="21"/>
        <v>1.70528968646545-0.00715134343314731i</v>
      </c>
      <c r="J42" s="73" t="str">
        <f t="shared" si="22"/>
        <v>0.0290466989295008-0.167937453269959i</v>
      </c>
      <c r="K42" s="73" t="str">
        <f t="shared" si="23"/>
        <v>0.0483320577067231-0.286589729952179i</v>
      </c>
      <c r="L42" s="73" t="str">
        <f t="shared" si="24"/>
        <v>-0.0357509719719109-0.0157657910475207i</v>
      </c>
      <c r="M42" s="70">
        <f t="shared" si="25"/>
        <v>-28.162485234069482</v>
      </c>
      <c r="N42" s="70">
        <f t="shared" si="26"/>
        <v>23.796959254592707</v>
      </c>
      <c r="O42" s="70">
        <f t="shared" si="12"/>
        <v>23.796959254592707</v>
      </c>
    </row>
    <row r="43" spans="1:18" ht="15" x14ac:dyDescent="0.2">
      <c r="A43" s="71">
        <f t="shared" si="13"/>
        <v>42</v>
      </c>
      <c r="B43" s="70">
        <f t="shared" si="27"/>
        <v>63000</v>
      </c>
      <c r="C43" s="70">
        <f t="shared" si="15"/>
        <v>133.25747349709113</v>
      </c>
      <c r="D43" s="51" t="str">
        <f t="shared" si="16"/>
        <v>0.000883118197835099-0.000114307222138133i</v>
      </c>
      <c r="E43" s="51" t="str">
        <f t="shared" si="17"/>
        <v>0.371589855273829-1.06024279358022i</v>
      </c>
      <c r="F43" s="70" t="str">
        <f t="shared" si="18"/>
        <v>0.0002069643547971-0.000978795109265277i</v>
      </c>
      <c r="G43" s="70" t="str">
        <f t="shared" si="19"/>
        <v>0.0275795470242171-0.130431763332i</v>
      </c>
      <c r="H43" s="72">
        <f t="shared" si="20"/>
        <v>0.13331570162571199</v>
      </c>
      <c r="I43" s="51" t="str">
        <f t="shared" si="21"/>
        <v>1.70528968646546-0.00698107335140573i</v>
      </c>
      <c r="J43" s="73" t="str">
        <f t="shared" si="22"/>
        <v>0.0277178714579756-0.164163306069946i</v>
      </c>
      <c r="K43" s="73" t="str">
        <f t="shared" si="23"/>
        <v>0.0461209642467776-0.280139493230945i</v>
      </c>
      <c r="L43" s="73" t="str">
        <f t="shared" si="24"/>
        <v>-0.0352670927787988-0.0137417590201825i</v>
      </c>
      <c r="M43" s="70">
        <f t="shared" si="25"/>
        <v>-28.438739090748154</v>
      </c>
      <c r="N43" s="70">
        <f t="shared" si="26"/>
        <v>21.288285674225534</v>
      </c>
      <c r="O43" s="70">
        <f t="shared" si="12"/>
        <v>21.288285674225534</v>
      </c>
    </row>
    <row r="44" spans="1:18" ht="15" x14ac:dyDescent="0.2">
      <c r="A44" s="71">
        <f t="shared" si="13"/>
        <v>43</v>
      </c>
      <c r="B44" s="70">
        <f t="shared" si="27"/>
        <v>64500</v>
      </c>
      <c r="C44" s="70">
        <f t="shared" si="15"/>
        <v>133.25747349709113</v>
      </c>
      <c r="D44" s="51" t="str">
        <f t="shared" si="16"/>
        <v>0.000883117596643293-0.00011164891471373i</v>
      </c>
      <c r="E44" s="51" t="str">
        <f t="shared" si="17"/>
        <v>0.322513460849838-1.0651366218543i</v>
      </c>
      <c r="F44" s="70" t="str">
        <f t="shared" si="18"/>
        <v>0.000165895964578938-0.000976649171473179i</v>
      </c>
      <c r="G44" s="70" t="str">
        <f t="shared" si="19"/>
        <v>0.0221068771031522-0.130145801083543i</v>
      </c>
      <c r="H44" s="72">
        <f t="shared" si="20"/>
        <v>0.13201001308586793</v>
      </c>
      <c r="I44" s="51" t="str">
        <f t="shared" si="21"/>
        <v>1.70528968646545-0.00681872280834976i</v>
      </c>
      <c r="J44" s="73" t="str">
        <f t="shared" si="22"/>
        <v>0.0264773967028279-0.16055012976223i</v>
      </c>
      <c r="K44" s="73" t="str">
        <f t="shared" si="23"/>
        <v>0.0440568846900935-0.273965022473024i</v>
      </c>
      <c r="L44" s="73" t="str">
        <f t="shared" si="24"/>
        <v>-0.0346814371832309-0.011790329633611i</v>
      </c>
      <c r="M44" s="70">
        <f t="shared" si="25"/>
        <v>-28.723076947711945</v>
      </c>
      <c r="N44" s="70">
        <f t="shared" si="26"/>
        <v>18.776020682727392</v>
      </c>
      <c r="O44" s="70">
        <f t="shared" si="12"/>
        <v>18.776020682727392</v>
      </c>
    </row>
    <row r="45" spans="1:18" ht="15" x14ac:dyDescent="0.2">
      <c r="A45" s="71">
        <f t="shared" si="13"/>
        <v>44</v>
      </c>
      <c r="B45" s="70">
        <f t="shared" si="27"/>
        <v>66000</v>
      </c>
      <c r="C45" s="70">
        <f t="shared" si="15"/>
        <v>133.25747349709113</v>
      </c>
      <c r="D45" s="51" t="str">
        <f t="shared" si="16"/>
        <v>0.000883117035974209-0.000109111439440557i</v>
      </c>
      <c r="E45" s="51" t="str">
        <f t="shared" si="17"/>
        <v>0.27335668044953-1.0662849237393i</v>
      </c>
      <c r="F45" s="70" t="str">
        <f t="shared" si="18"/>
        <v>0.000125062058519378-0.000971480722241177i</v>
      </c>
      <c r="G45" s="70" t="str">
        <f t="shared" si="19"/>
        <v>0.0166654539486377-0.129457066596989i</v>
      </c>
      <c r="H45" s="72">
        <f t="shared" si="20"/>
        <v>0.13052535940272836</v>
      </c>
      <c r="I45" s="51" t="str">
        <f t="shared" si="21"/>
        <v>1.70528968646546-0.00666375183543274i</v>
      </c>
      <c r="J45" s="73" t="str">
        <f t="shared" si="22"/>
        <v>0.0253176790421888-0.157088173234351i</v>
      </c>
      <c r="K45" s="73" t="str">
        <f t="shared" si="23"/>
        <v>0.0421271803531721-0.268049552412425i</v>
      </c>
      <c r="L45" s="73" t="str">
        <f t="shared" si="24"/>
        <v>-0.0339988401737866-0.00992082866420618i</v>
      </c>
      <c r="M45" s="70">
        <f t="shared" si="25"/>
        <v>-29.015833520515102</v>
      </c>
      <c r="N45" s="70">
        <f t="shared" si="26"/>
        <v>16.267193870136936</v>
      </c>
      <c r="O45" s="70">
        <f t="shared" si="12"/>
        <v>16.267193870136936</v>
      </c>
      <c r="P45" s="70">
        <v>-13.846</v>
      </c>
      <c r="Q45" s="70">
        <v>23.129000000000001</v>
      </c>
      <c r="R45" s="70">
        <f>B45</f>
        <v>66000</v>
      </c>
    </row>
    <row r="46" spans="1:18" ht="15" x14ac:dyDescent="0.2">
      <c r="A46" s="71">
        <f t="shared" si="13"/>
        <v>45</v>
      </c>
      <c r="B46" s="70">
        <f t="shared" si="27"/>
        <v>67500</v>
      </c>
      <c r="C46" s="70">
        <f t="shared" si="15"/>
        <v>133.25747349709113</v>
      </c>
      <c r="D46" s="51" t="str">
        <f t="shared" si="16"/>
        <v>0.000883116512266162-0.000106686740842244i</v>
      </c>
      <c r="E46" s="51" t="str">
        <f t="shared" si="17"/>
        <v>0.224559744711027-1.06370405389434i</v>
      </c>
      <c r="F46" s="70" t="str">
        <f t="shared" si="18"/>
        <v>0.0000848292998139121-0.000963332161446133i</v>
      </c>
      <c r="G46" s="70" t="str">
        <f t="shared" si="19"/>
        <v>0.0113041381717292-0.128371209972804i</v>
      </c>
      <c r="H46" s="72">
        <f t="shared" si="20"/>
        <v>0.12886795990348912</v>
      </c>
      <c r="I46" s="51" t="str">
        <f t="shared" si="21"/>
        <v>1.70528968646545-0.00651566846131199i</v>
      </c>
      <c r="J46" s="73" t="str">
        <f t="shared" si="22"/>
        <v>0.0242319149411791-0.153768427316737i</v>
      </c>
      <c r="K46" s="73" t="str">
        <f t="shared" si="23"/>
        <v>0.0403205305402876-0.262377600331183i</v>
      </c>
      <c r="L46" s="73" t="str">
        <f t="shared" si="24"/>
        <v>-0.0332259411758899-0.00814194793951255i</v>
      </c>
      <c r="M46" s="70">
        <f t="shared" si="25"/>
        <v>-29.31719686404595</v>
      </c>
      <c r="N46" s="70">
        <f t="shared" si="26"/>
        <v>13.768891064648415</v>
      </c>
      <c r="O46" s="70">
        <f t="shared" si="12"/>
        <v>13.768891064648415</v>
      </c>
    </row>
    <row r="47" spans="1:18" ht="15" x14ac:dyDescent="0.2">
      <c r="A47" s="71">
        <f t="shared" si="13"/>
        <v>46</v>
      </c>
      <c r="B47" s="70">
        <f t="shared" si="27"/>
        <v>69000</v>
      </c>
      <c r="C47" s="70">
        <f t="shared" si="15"/>
        <v>133.25747349709113</v>
      </c>
      <c r="D47" s="51" t="str">
        <f t="shared" si="16"/>
        <v>0.000883116022340349-0.000104367463918591i</v>
      </c>
      <c r="E47" s="51" t="str">
        <f t="shared" si="17"/>
        <v>0.176553152797926-1.05747982144591i</v>
      </c>
      <c r="F47" s="70" t="str">
        <f t="shared" si="18"/>
        <v>0.0000455504309211582-0.000952303778424846i</v>
      </c>
      <c r="G47" s="70" t="str">
        <f t="shared" si="19"/>
        <v>0.00606993534125732-0.126901595514629i</v>
      </c>
      <c r="H47" s="72">
        <f t="shared" si="20"/>
        <v>0.12704668063041064</v>
      </c>
      <c r="I47" s="51" t="str">
        <f t="shared" si="21"/>
        <v>1.70528968646546-0.00637402349476175i</v>
      </c>
      <c r="J47" s="73" t="str">
        <f t="shared" si="22"/>
        <v>0.0232139967102632-0.150582558973472i</v>
      </c>
      <c r="K47" s="73" t="str">
        <f t="shared" si="23"/>
        <v>0.0386267724028567-0.256934851339477i</v>
      </c>
      <c r="L47" s="73" t="str">
        <f t="shared" si="24"/>
        <v>-0.0323709805673668-0.00646137698204914i</v>
      </c>
      <c r="M47" s="70">
        <f t="shared" si="25"/>
        <v>-29.627210376688748</v>
      </c>
      <c r="N47" s="70">
        <f t="shared" si="26"/>
        <v>11.288113963864248</v>
      </c>
      <c r="O47" s="70">
        <f t="shared" si="12"/>
        <v>11.288113963864248</v>
      </c>
    </row>
    <row r="48" spans="1:18" ht="15" x14ac:dyDescent="0.2">
      <c r="A48" s="71">
        <f t="shared" si="13"/>
        <v>47</v>
      </c>
      <c r="B48" s="70">
        <f t="shared" si="27"/>
        <v>70500</v>
      </c>
      <c r="C48" s="70">
        <f t="shared" si="15"/>
        <v>133.25747349709113</v>
      </c>
      <c r="D48" s="51" t="str">
        <f t="shared" si="16"/>
        <v>0.000883115563352497-0.000102146879626823i</v>
      </c>
      <c r="E48" s="51" t="str">
        <f t="shared" si="17"/>
        <v>0.129744340337863-1.04776357317518i</v>
      </c>
      <c r="F48" s="70" t="str">
        <f t="shared" si="18"/>
        <v>7.55346662277494E-06-0.000938549297699577i</v>
      </c>
      <c r="G48" s="70" t="str">
        <f t="shared" si="19"/>
        <v>0.00100655587829559-0.125068708163915i</v>
      </c>
      <c r="H48" s="72">
        <f t="shared" si="20"/>
        <v>0.12507275849091468</v>
      </c>
      <c r="I48" s="51" t="str">
        <f t="shared" si="21"/>
        <v>1.70528968646545-0.00623840597359658i</v>
      </c>
      <c r="J48" s="73" t="str">
        <f t="shared" si="22"/>
        <v>0.0222584295156656-0.147522851894755i</v>
      </c>
      <c r="K48" s="73" t="str">
        <f t="shared" si="23"/>
        <v>0.0370367628494805-0.251708054973749i</v>
      </c>
      <c r="L48" s="73" t="str">
        <f t="shared" si="24"/>
        <v>-0.0314435216986593-0.00488549830650598i</v>
      </c>
      <c r="M48" s="70">
        <f t="shared" si="25"/>
        <v>-29.945778816285742</v>
      </c>
      <c r="N48" s="70">
        <f t="shared" si="26"/>
        <v>8.8316444512358316</v>
      </c>
      <c r="O48" s="70">
        <f t="shared" si="12"/>
        <v>8.8316444512358316</v>
      </c>
    </row>
    <row r="49" spans="1:15" ht="15" x14ac:dyDescent="0.2">
      <c r="A49" s="71">
        <f t="shared" si="13"/>
        <v>48</v>
      </c>
      <c r="B49" s="70">
        <f t="shared" si="27"/>
        <v>72000</v>
      </c>
      <c r="C49" s="70">
        <f t="shared" si="15"/>
        <v>133.25747349709113</v>
      </c>
      <c r="D49" s="51" t="str">
        <f t="shared" si="16"/>
        <v>0.000883115132751494-0.000100018819677704i</v>
      </c>
      <c r="E49" s="51" t="str">
        <f t="shared" si="17"/>
        <v>0.0845058374562984-1.03476535660774i</v>
      </c>
      <c r="F49" s="70" t="str">
        <f t="shared" si="18"/>
        <v>-0.0000288676257477895-0.000922269119385546i</v>
      </c>
      <c r="G49" s="70" t="str">
        <f t="shared" si="19"/>
        <v>-0.00384682687301-0.122899252733705i</v>
      </c>
      <c r="H49" s="72">
        <f t="shared" si="20"/>
        <v>0.122959442091667</v>
      </c>
      <c r="I49" s="51" t="str">
        <f t="shared" si="21"/>
        <v>1.70528968646546-0.00610843918248i</v>
      </c>
      <c r="J49" s="73" t="str">
        <f t="shared" si="22"/>
        <v>0.0213602596155594-0.144582152856828i</v>
      </c>
      <c r="K49" s="73" t="str">
        <f t="shared" si="23"/>
        <v>0.0355422591350402-0.246684931960505i</v>
      </c>
      <c r="L49" s="73" t="str">
        <f t="shared" si="24"/>
        <v>-0.0304541187161791-0.00341916286273183i</v>
      </c>
      <c r="M49" s="70">
        <f t="shared" si="25"/>
        <v>-30.272678018450947</v>
      </c>
      <c r="N49" s="70">
        <f t="shared" si="26"/>
        <v>6.4059197629239577</v>
      </c>
      <c r="O49" s="70">
        <f t="shared" si="12"/>
        <v>6.4059197629239577</v>
      </c>
    </row>
    <row r="50" spans="1:15" ht="15" x14ac:dyDescent="0.2">
      <c r="A50" s="71">
        <f t="shared" si="13"/>
        <v>49</v>
      </c>
      <c r="B50" s="70">
        <f t="shared" si="27"/>
        <v>73500</v>
      </c>
      <c r="C50" s="70">
        <f t="shared" si="15"/>
        <v>133.25747349709113</v>
      </c>
      <c r="D50" s="51" t="str">
        <f t="shared" si="16"/>
        <v>0.000883114728243861-0.0000979776193157856i</v>
      </c>
      <c r="E50" s="51" t="str">
        <f t="shared" si="17"/>
        <v>0.0411656036515804-1.01874473683204i</v>
      </c>
      <c r="F50" s="70" t="str">
        <f t="shared" si="18"/>
        <v>-0.0000634602331235299-0.00090370178926077i</v>
      </c>
      <c r="G50" s="70" t="str">
        <f t="shared" si="19"/>
        <v>-0.00845655033357801-0.120425017231691i</v>
      </c>
      <c r="H50" s="72">
        <f t="shared" si="20"/>
        <v>0.12072157230088337</v>
      </c>
      <c r="I50" s="51" t="str">
        <f t="shared" si="21"/>
        <v>1.70528968646546-0.00598377715834777i</v>
      </c>
      <c r="J50" s="73" t="str">
        <f t="shared" si="22"/>
        <v>0.0205150121344498-0.141753823269685i</v>
      </c>
      <c r="K50" s="73" t="str">
        <f t="shared" si="23"/>
        <v>0.0341358153208014-0.241854090099855i</v>
      </c>
      <c r="L50" s="73" t="str">
        <f t="shared" si="24"/>
        <v>-0.0294139542082681-0.0020655548619142i</v>
      </c>
      <c r="M50" s="70">
        <f t="shared" si="25"/>
        <v>-30.607567772834614</v>
      </c>
      <c r="N50" s="70">
        <f t="shared" si="26"/>
        <v>4.0169237548760748</v>
      </c>
      <c r="O50" s="70">
        <f t="shared" si="12"/>
        <v>4.0169237548760748</v>
      </c>
    </row>
    <row r="51" spans="1:15" ht="15" x14ac:dyDescent="0.2">
      <c r="A51" s="71">
        <f t="shared" si="13"/>
        <v>50</v>
      </c>
      <c r="B51" s="70">
        <f t="shared" si="27"/>
        <v>75000</v>
      </c>
      <c r="C51" s="70">
        <f t="shared" si="15"/>
        <v>133.25747349709113</v>
      </c>
      <c r="D51" s="51" t="str">
        <f t="shared" si="16"/>
        <v>0.000883114347763144-0.0000960180669660348i</v>
      </c>
      <c r="E51" s="51" t="str">
        <f t="shared" si="17"/>
        <v>-i</v>
      </c>
      <c r="F51" s="70" t="str">
        <f t="shared" si="18"/>
        <v>-0.0000960180669660348-0.000883114347763144i</v>
      </c>
      <c r="G51" s="70" t="str">
        <f t="shared" si="19"/>
        <v>-0.0127951250139683-0.117681586791948i</v>
      </c>
      <c r="H51" s="72">
        <f t="shared" si="20"/>
        <v>0.11837512869684183</v>
      </c>
      <c r="I51" s="51" t="str">
        <f t="shared" si="21"/>
        <v>1.70528968646545-0.0058641016151808i</v>
      </c>
      <c r="J51" s="73" t="str">
        <f t="shared" si="22"/>
        <v>0.01971863696576-0.139031695386241i</v>
      </c>
      <c r="K51" s="73" t="str">
        <f t="shared" si="23"/>
        <v>0.0328106922593911-0.237204948324843i</v>
      </c>
      <c r="L51" s="73" t="str">
        <f t="shared" si="24"/>
        <v>-0.0283344716230233-0.000826147361079173i</v>
      </c>
      <c r="M51" s="70">
        <f t="shared" si="25"/>
        <v>-30.950007137485986</v>
      </c>
      <c r="N51" s="70">
        <f t="shared" si="26"/>
        <v>1.6700982098438431</v>
      </c>
      <c r="O51" s="70">
        <f t="shared" si="12"/>
        <v>1.6700982098438431</v>
      </c>
    </row>
    <row r="52" spans="1:15" ht="15" x14ac:dyDescent="0.2">
      <c r="A52" s="71">
        <f t="shared" si="13"/>
        <v>51</v>
      </c>
      <c r="B52" s="70">
        <f t="shared" si="27"/>
        <v>76500</v>
      </c>
      <c r="C52" s="70">
        <f t="shared" si="15"/>
        <v>133.25747349709113</v>
      </c>
      <c r="D52" s="51" t="str">
        <f t="shared" si="16"/>
        <v>0.00088311398944349-0.0000941353598043833i</v>
      </c>
      <c r="E52" s="51" t="str">
        <f t="shared" si="17"/>
        <v>-0.0387703964914096-0.978856545080144i</v>
      </c>
      <c r="F52" s="70" t="str">
        <f t="shared" si="18"/>
        <v>-0.00012638369258583-0.00086079224339512i</v>
      </c>
      <c r="G52" s="70" t="str">
        <f t="shared" si="19"/>
        <v>-0.0168415715652208-0.114706999560727i</v>
      </c>
      <c r="H52" s="72">
        <f t="shared" si="20"/>
        <v>0.11593676846027354</v>
      </c>
      <c r="I52" s="51" t="str">
        <f t="shared" si="21"/>
        <v>1.70528968646546-0.00574911923056943i</v>
      </c>
      <c r="J52" s="73" t="str">
        <f t="shared" si="22"/>
        <v>0.0189674616208675-0.136410032697483i</v>
      </c>
      <c r="K52" s="73" t="str">
        <f t="shared" si="23"/>
        <v>0.0315607791382711-0.232727668087794i</v>
      </c>
      <c r="L52" s="73" t="str">
        <f t="shared" si="24"/>
        <v>-0.0272270256416269+0.000299257398557671i</v>
      </c>
      <c r="M52" s="70">
        <f t="shared" si="25"/>
        <v>-31.299471369697137</v>
      </c>
      <c r="N52" s="70">
        <f t="shared" si="26"/>
        <v>359.37027658673844</v>
      </c>
      <c r="O52" s="70">
        <f t="shared" si="12"/>
        <v>-0.62972341326155856</v>
      </c>
    </row>
    <row r="53" spans="1:15" ht="15" x14ac:dyDescent="0.2">
      <c r="A53" s="71">
        <f t="shared" si="13"/>
        <v>52</v>
      </c>
      <c r="B53" s="70">
        <f t="shared" si="27"/>
        <v>78000</v>
      </c>
      <c r="C53" s="70">
        <f t="shared" si="15"/>
        <v>133.25747349709113</v>
      </c>
      <c r="D53" s="51" t="str">
        <f t="shared" si="16"/>
        <v>0.000883113651596687-0.0000923250644547487i</v>
      </c>
      <c r="E53" s="51" t="str">
        <f t="shared" si="17"/>
        <v>-0.0749821807052913-0.955655244283123i</v>
      </c>
      <c r="F53" s="70" t="str">
        <f t="shared" si="18"/>
        <v>-0.00015444871943229-0.000837029457779819i</v>
      </c>
      <c r="G53" s="70" t="str">
        <f t="shared" si="19"/>
        <v>-0.020581446136408-0.111540430786379i</v>
      </c>
      <c r="H53" s="72">
        <f t="shared" si="20"/>
        <v>0.1134233821796761</v>
      </c>
      <c r="I53" s="51" t="str">
        <f t="shared" si="21"/>
        <v>1.70528968646545-0.00563855924536615i</v>
      </c>
      <c r="J53" s="73" t="str">
        <f t="shared" si="22"/>
        <v>0.0182581500311223-0.133883494085579i</v>
      </c>
      <c r="K53" s="73" t="str">
        <f t="shared" si="23"/>
        <v>0.0303805249286335-0.228413091312757i</v>
      </c>
      <c r="L53" s="73" t="str">
        <f t="shared" si="24"/>
        <v>-0.0261025697396879+0.00131241489764784i</v>
      </c>
      <c r="M53" s="70">
        <f t="shared" si="25"/>
        <v>-31.655369626951519</v>
      </c>
      <c r="N53" s="70">
        <f t="shared" si="26"/>
        <v>357.12164103156618</v>
      </c>
      <c r="O53" s="70">
        <f t="shared" si="12"/>
        <v>-2.8783589684338153</v>
      </c>
    </row>
    <row r="54" spans="1:15" ht="15" x14ac:dyDescent="0.2">
      <c r="A54" s="71">
        <f t="shared" si="13"/>
        <v>53</v>
      </c>
      <c r="B54" s="70">
        <f t="shared" si="27"/>
        <v>79500</v>
      </c>
      <c r="C54" s="70">
        <f t="shared" si="15"/>
        <v>133.25747349709113</v>
      </c>
      <c r="D54" s="51" t="str">
        <f t="shared" si="16"/>
        <v>0.000883113332692303-0.0000905830821354592i</v>
      </c>
      <c r="E54" s="51" t="str">
        <f t="shared" si="17"/>
        <v>-0.108527966006091-0.93074145603929i</v>
      </c>
      <c r="F54" s="70" t="str">
        <f t="shared" si="18"/>
        <v>-0.00018015192350924-0.00081211939145902i</v>
      </c>
      <c r="G54" s="70" t="str">
        <f t="shared" si="19"/>
        <v>-0.0240065901724825-0.108220978283824i</v>
      </c>
      <c r="H54" s="72">
        <f t="shared" si="20"/>
        <v>0.11085168700753922</v>
      </c>
      <c r="I54" s="51" t="str">
        <f t="shared" si="21"/>
        <v>1.70528968646546-0.00553217133507624i</v>
      </c>
      <c r="J54" s="73" t="str">
        <f t="shared" si="22"/>
        <v>0.017587666465191-0.131447101350696i</v>
      </c>
      <c r="K54" s="73" t="str">
        <f t="shared" si="23"/>
        <v>0.0292648783459135-0.224252684233392i</v>
      </c>
      <c r="L54" s="73" t="str">
        <f t="shared" si="24"/>
        <v>-0.0249713948114091+0.00221646852151831i</v>
      </c>
      <c r="M54" s="70">
        <f t="shared" si="25"/>
        <v>-32.017062637074993</v>
      </c>
      <c r="N54" s="70">
        <f t="shared" si="26"/>
        <v>354.92770200603422</v>
      </c>
      <c r="O54" s="70">
        <f t="shared" si="12"/>
        <v>-5.0722979939657762</v>
      </c>
    </row>
    <row r="55" spans="1:15" ht="15" x14ac:dyDescent="0.2">
      <c r="A55" s="71">
        <f t="shared" si="13"/>
        <v>54</v>
      </c>
      <c r="B55" s="70">
        <f t="shared" si="27"/>
        <v>81000</v>
      </c>
      <c r="C55" s="70">
        <f t="shared" si="15"/>
        <v>133.25747349709113</v>
      </c>
      <c r="D55" s="51" t="str">
        <f t="shared" si="16"/>
        <v>0.000883113031340255-0.0000889056176782845i</v>
      </c>
      <c r="E55" s="51" t="str">
        <f t="shared" si="17"/>
        <v>-0.139353101464065-0.9044552258485i</v>
      </c>
      <c r="F55" s="70" t="str">
        <f t="shared" si="18"/>
        <v>-0.00020347569037701-0.000786346922649557i</v>
      </c>
      <c r="G55" s="70" t="str">
        <f t="shared" si="19"/>
        <v>-0.0271146564177167-0.104786604204492i</v>
      </c>
      <c r="H55" s="72">
        <f t="shared" si="20"/>
        <v>0.10823787236157076</v>
      </c>
      <c r="I55" s="51" t="str">
        <f t="shared" si="21"/>
        <v>1.70528968646545-0.00542972371776i</v>
      </c>
      <c r="J55" s="73" t="str">
        <f t="shared" si="22"/>
        <v>0.0169532438534122-0.129096209767208i</v>
      </c>
      <c r="K55" s="73" t="str">
        <f t="shared" si="23"/>
        <v>0.0282092351433117-0.220238486508044i</v>
      </c>
      <c r="L55" s="73" t="str">
        <f t="shared" si="24"/>
        <v>-0.0238429268350322+0.0030157409337499i</v>
      </c>
      <c r="M55" s="70">
        <f t="shared" si="25"/>
        <v>-32.383879637977458</v>
      </c>
      <c r="N55" s="70">
        <f t="shared" si="26"/>
        <v>352.79129867424382</v>
      </c>
      <c r="O55" s="70">
        <f t="shared" si="12"/>
        <v>-7.2087013257561807</v>
      </c>
    </row>
    <row r="56" spans="1:15" ht="15" x14ac:dyDescent="0.2">
      <c r="A56" s="71">
        <f t="shared" si="13"/>
        <v>55</v>
      </c>
      <c r="B56" s="70">
        <f t="shared" si="27"/>
        <v>82500</v>
      </c>
      <c r="C56" s="70">
        <f t="shared" si="15"/>
        <v>133.25747349709113</v>
      </c>
      <c r="D56" s="51" t="str">
        <f t="shared" si="16"/>
        <v>0.000883112746275698-0.0000872891519272204i</v>
      </c>
      <c r="E56" s="51" t="str">
        <f t="shared" si="17"/>
        <v>-0.167450761502273-0.877123036440475i</v>
      </c>
      <c r="F56" s="70" t="str">
        <f t="shared" si="18"/>
        <v>-0.000224441227842947-0.000759981898571526i</v>
      </c>
      <c r="G56" s="70" t="str">
        <f t="shared" si="19"/>
        <v>-0.0299084709709361-0.101273267707164i</v>
      </c>
      <c r="H56" s="72">
        <f t="shared" si="20"/>
        <v>0.10559730767356824</v>
      </c>
      <c r="I56" s="51" t="str">
        <f t="shared" si="21"/>
        <v>1.70528968646546-0.00533100146834619i</v>
      </c>
      <c r="J56" s="73" t="str">
        <f t="shared" si="22"/>
        <v>0.0163523559185434-0.126826481361176i</v>
      </c>
      <c r="K56" s="73" t="str">
        <f t="shared" si="23"/>
        <v>0.0272093917389429-0.21636306506933i</v>
      </c>
      <c r="L56" s="73" t="str">
        <f t="shared" si="24"/>
        <v>-0.0227255859136698+0.00371550443708175i</v>
      </c>
      <c r="M56" s="70">
        <f t="shared" si="25"/>
        <v>-32.755134025710298</v>
      </c>
      <c r="N56" s="70">
        <f t="shared" si="26"/>
        <v>350.71461729652424</v>
      </c>
      <c r="O56" s="70">
        <f>IF(N56&gt;180,-(360-N56),N56)</f>
        <v>-9.2853827034757614</v>
      </c>
    </row>
    <row r="57" spans="1:15" ht="15" x14ac:dyDescent="0.2">
      <c r="A57" s="71">
        <f t="shared" si="13"/>
        <v>56</v>
      </c>
      <c r="B57" s="70">
        <f t="shared" si="27"/>
        <v>84000.000000000015</v>
      </c>
      <c r="C57" s="70">
        <f t="shared" si="15"/>
        <v>133.25747349709113</v>
      </c>
      <c r="D57" s="51" t="str">
        <f t="shared" si="16"/>
        <v>0.000883112476345693-0.0000857304170945393i</v>
      </c>
      <c r="E57" s="51" t="str">
        <f t="shared" si="17"/>
        <v>-0.192855936857753-0.84905129434231i</v>
      </c>
      <c r="F57" s="70" t="str">
        <f t="shared" si="18"/>
        <v>-0.000243103005575044-0.00073327417118518i</v>
      </c>
      <c r="G57" s="70" t="str">
        <f t="shared" si="19"/>
        <v>-0.0323952923224796-0.0977142634328106i</v>
      </c>
      <c r="H57" s="72">
        <f t="shared" si="20"/>
        <v>0.10294431622423655</v>
      </c>
      <c r="I57" s="51" t="str">
        <f t="shared" si="21"/>
        <v>1.70528968646545-0.00523580501355428i</v>
      </c>
      <c r="J57" s="73" t="str">
        <f t="shared" si="22"/>
        <v>0.0157826926022152-0.124633860633614i</v>
      </c>
      <c r="K57" s="73" t="str">
        <f t="shared" si="23"/>
        <v>0.026261504326848-0.212619472223928i</v>
      </c>
      <c r="L57" s="73" t="str">
        <f t="shared" si="24"/>
        <v>-0.0216267042293304+0.00432174640420996i</v>
      </c>
      <c r="M57" s="70">
        <f t="shared" si="25"/>
        <v>-33.130137305463933</v>
      </c>
      <c r="N57" s="70">
        <f t="shared" si="26"/>
        <v>348.69922433736508</v>
      </c>
      <c r="O57" s="70">
        <f t="shared" ref="O57:O101" si="28">IF(N57&gt;180,-(360-N57),N57)</f>
        <v>-11.300775662634919</v>
      </c>
    </row>
    <row r="58" spans="1:15" ht="15" x14ac:dyDescent="0.2">
      <c r="A58" s="71">
        <f t="shared" si="13"/>
        <v>57</v>
      </c>
      <c r="B58" s="70">
        <f t="shared" si="27"/>
        <v>85499.999999999985</v>
      </c>
      <c r="C58" s="70">
        <f t="shared" si="15"/>
        <v>133.25747349709113</v>
      </c>
      <c r="D58" s="51" t="str">
        <f t="shared" si="16"/>
        <v>0.000883112220497527-0.0000842263747109399i</v>
      </c>
      <c r="E58" s="51" t="str">
        <f t="shared" si="17"/>
        <v>-0.215638830467112-0.820521584554433i</v>
      </c>
      <c r="F58" s="70" t="str">
        <f t="shared" si="18"/>
        <v>-0.000259542844838397-0.000706450161564863i</v>
      </c>
      <c r="G58" s="70" t="str">
        <f t="shared" si="19"/>
        <v>-0.0345860237674123-0.0941397636817455i</v>
      </c>
      <c r="H58" s="72">
        <f t="shared" si="20"/>
        <v>0.10029201436851738</v>
      </c>
      <c r="I58" s="51" t="str">
        <f t="shared" si="21"/>
        <v>1.70528968646546-0.00514394878524632i</v>
      </c>
      <c r="J58" s="73" t="str">
        <f t="shared" si="22"/>
        <v>0.0152421383517273-0.122514552483344i</v>
      </c>
      <c r="K58" s="73" t="str">
        <f t="shared" si="23"/>
        <v>0.0253620527474585-0.209001207570837i</v>
      </c>
      <c r="L58" s="73" t="str">
        <f t="shared" si="24"/>
        <v>-0.020552496849032+0.00484094308033313i</v>
      </c>
      <c r="M58" s="70">
        <f t="shared" si="25"/>
        <v>-33.508211096028269</v>
      </c>
      <c r="N58" s="70">
        <f t="shared" si="26"/>
        <v>346.74611078210683</v>
      </c>
      <c r="O58" s="70">
        <f t="shared" si="28"/>
        <v>-13.253889217893175</v>
      </c>
    </row>
    <row r="59" spans="1:15" ht="15" x14ac:dyDescent="0.2">
      <c r="A59" s="71">
        <f t="shared" si="13"/>
        <v>58</v>
      </c>
      <c r="B59" s="70">
        <f t="shared" si="27"/>
        <v>87000</v>
      </c>
      <c r="C59" s="70">
        <f t="shared" si="15"/>
        <v>133.25747349709113</v>
      </c>
      <c r="D59" s="51" t="str">
        <f t="shared" si="16"/>
        <v>0.000883111977768475-0.0000827741958567232i</v>
      </c>
      <c r="E59" s="51" t="str">
        <f t="shared" si="17"/>
        <v>-0.235898099010801-0.791787600846437i</v>
      </c>
      <c r="F59" s="70" t="str">
        <f t="shared" si="18"/>
        <v>-0.00027386401871864-0.000679710838706304i</v>
      </c>
      <c r="G59" s="70" t="str">
        <f t="shared" si="19"/>
        <v>-0.036494427216206-0.0905765490745909i</v>
      </c>
      <c r="H59" s="72">
        <f t="shared" si="20"/>
        <v>9.7652211752221607E-2</v>
      </c>
      <c r="I59" s="51" t="str">
        <f t="shared" si="21"/>
        <v>1.70528968646545-0.00505526001308689i</v>
      </c>
      <c r="J59" s="73" t="str">
        <f t="shared" si="22"/>
        <v>0.0147287528950774-0.120465002109464i</v>
      </c>
      <c r="K59" s="73" t="str">
        <f t="shared" si="23"/>
        <v>0.0245078084983332-0.205502183352861i</v>
      </c>
      <c r="L59" s="73" t="str">
        <f t="shared" si="24"/>
        <v>-0.0195080770288671+0.00527985175398245i</v>
      </c>
      <c r="M59" s="70">
        <f t="shared" si="25"/>
        <v>-33.888697080578304</v>
      </c>
      <c r="N59" s="70">
        <f t="shared" si="26"/>
        <v>344.85574422358877</v>
      </c>
      <c r="O59" s="70">
        <f t="shared" si="28"/>
        <v>-15.144255776411228</v>
      </c>
    </row>
    <row r="60" spans="1:15" ht="15" x14ac:dyDescent="0.2">
      <c r="A60" s="71">
        <f t="shared" si="13"/>
        <v>59</v>
      </c>
      <c r="B60" s="70">
        <f t="shared" si="27"/>
        <v>88500</v>
      </c>
      <c r="C60" s="70">
        <f t="shared" si="15"/>
        <v>133.25747349709113</v>
      </c>
      <c r="D60" s="51" t="str">
        <f t="shared" si="16"/>
        <v>0.000883111747276673-0.000081371243403347i</v>
      </c>
      <c r="E60" s="51" t="str">
        <f t="shared" si="17"/>
        <v>-0.253754296104207-0.763073571363313i</v>
      </c>
      <c r="F60" s="70" t="str">
        <f t="shared" si="18"/>
        <v>-0.000286185645121614-0.000653230932314366i</v>
      </c>
      <c r="G60" s="70" t="str">
        <f t="shared" si="19"/>
        <v>-0.0381363760200414-0.0870479036503617i</v>
      </c>
      <c r="H60" s="72">
        <f t="shared" si="20"/>
        <v>9.5035365553380408E-2</v>
      </c>
      <c r="I60" s="51" t="str">
        <f t="shared" si="21"/>
        <v>1.70528968646545-0.00496957763998373i</v>
      </c>
      <c r="J60" s="73" t="str">
        <f t="shared" si="22"/>
        <v>0.0142407541853847-0.118481876696886i</v>
      </c>
      <c r="K60" s="73" t="str">
        <f t="shared" si="23"/>
        <v>0.0236958063546501-0.202116692897847i</v>
      </c>
      <c r="L60" s="73" t="str">
        <f t="shared" si="24"/>
        <v>-0.0184975065907406+0.00564532793180231i</v>
      </c>
      <c r="M60" s="70">
        <f t="shared" si="25"/>
        <v>-34.270964916438714</v>
      </c>
      <c r="N60" s="70">
        <f t="shared" si="26"/>
        <v>343.02812555715104</v>
      </c>
      <c r="O60" s="70">
        <f t="shared" si="28"/>
        <v>-16.971874442848957</v>
      </c>
    </row>
    <row r="61" spans="1:15" ht="15" x14ac:dyDescent="0.2">
      <c r="A61" s="71">
        <f t="shared" si="13"/>
        <v>60</v>
      </c>
      <c r="B61" s="70">
        <f t="shared" si="27"/>
        <v>90000</v>
      </c>
      <c r="C61" s="70">
        <f t="shared" si="15"/>
        <v>133.25747349709113</v>
      </c>
      <c r="D61" s="51" t="str">
        <f t="shared" si="16"/>
        <v>0.00088311152821315-0.0000800150560308349i</v>
      </c>
      <c r="E61" s="51" t="str">
        <f t="shared" si="17"/>
        <v>-0.269343780607248-0.734573947110676i</v>
      </c>
      <c r="F61" s="70" t="str">
        <f t="shared" si="18"/>
        <v>-0.000296637573243626-0.000627159163321629i</v>
      </c>
      <c r="G61" s="70" t="str">
        <f t="shared" si="19"/>
        <v>-0.0395291735547539-0.0835736455847898i</v>
      </c>
      <c r="H61" s="72">
        <f t="shared" si="20"/>
        <v>9.2450580302418386E-2</v>
      </c>
      <c r="I61" s="51" t="str">
        <f t="shared" si="21"/>
        <v>1.70528968646545-0.00488675134598399i</v>
      </c>
      <c r="J61" s="73" t="str">
        <f t="shared" si="22"/>
        <v>0.0137765032408529-0.116562048709293i</v>
      </c>
      <c r="K61" s="73" t="str">
        <f t="shared" si="23"/>
        <v>0.0229233191437635-0.198839381842996i</v>
      </c>
      <c r="L61" s="73" t="str">
        <f t="shared" si="24"/>
        <v>-0.0175238718873301+0.00594417108464385i</v>
      </c>
      <c r="M61" s="70">
        <f t="shared" si="25"/>
        <v>-34.654418209352571</v>
      </c>
      <c r="N61" s="70">
        <f t="shared" si="26"/>
        <v>341.26284753793698</v>
      </c>
      <c r="O61" s="70">
        <f t="shared" si="28"/>
        <v>-18.737152462063023</v>
      </c>
    </row>
    <row r="62" spans="1:15" ht="15" x14ac:dyDescent="0.2">
      <c r="A62" s="71">
        <f t="shared" si="13"/>
        <v>61</v>
      </c>
      <c r="B62" s="70">
        <f t="shared" si="27"/>
        <v>91500</v>
      </c>
      <c r="C62" s="70">
        <f t="shared" si="15"/>
        <v>133.25747349709113</v>
      </c>
      <c r="D62" s="51" t="str">
        <f t="shared" si="16"/>
        <v>0.000883111319834693-0.0000787033338172361i</v>
      </c>
      <c r="E62" s="51" t="str">
        <f t="shared" si="17"/>
        <v>-0.282813264215408-0.706454099800979i</v>
      </c>
      <c r="F62" s="70" t="str">
        <f t="shared" si="18"/>
        <v>-0.000305355887871218-0.000601619265736385i</v>
      </c>
      <c r="G62" s="70" t="str">
        <f t="shared" si="19"/>
        <v>-0.0406909541351796-0.0801702633592058i</v>
      </c>
      <c r="H62" s="72">
        <f t="shared" si="20"/>
        <v>8.990564429175571E-2</v>
      </c>
      <c r="I62" s="51" t="str">
        <f t="shared" si="21"/>
        <v>1.70528968646546-0.00480664066818099i</v>
      </c>
      <c r="J62" s="73" t="str">
        <f t="shared" si="22"/>
        <v>0.0133344906444917-0.11470258063245i</v>
      </c>
      <c r="K62" s="73" t="str">
        <f t="shared" si="23"/>
        <v>0.0221878352815086-0.195665221868511i</v>
      </c>
      <c r="L62" s="73" t="str">
        <f t="shared" si="24"/>
        <v>-0.0165893765552347+0.0061829999710121i</v>
      </c>
      <c r="M62" s="70">
        <f t="shared" si="25"/>
        <v>-35.038498723107161</v>
      </c>
      <c r="N62" s="70">
        <f t="shared" si="26"/>
        <v>339.55915294159786</v>
      </c>
      <c r="O62" s="70">
        <f t="shared" si="28"/>
        <v>-20.440847058402142</v>
      </c>
    </row>
    <row r="63" spans="1:15" ht="15" x14ac:dyDescent="0.2">
      <c r="A63" s="71">
        <f t="shared" si="13"/>
        <v>62</v>
      </c>
      <c r="B63" s="70">
        <f t="shared" si="27"/>
        <v>93000</v>
      </c>
      <c r="C63" s="70">
        <f t="shared" si="15"/>
        <v>133.25747349709113</v>
      </c>
      <c r="D63" s="51" t="str">
        <f t="shared" si="16"/>
        <v>0.000883111121457521-0.0000774339252226552i</v>
      </c>
      <c r="E63" s="51" t="str">
        <f t="shared" si="17"/>
        <v>-0.294315093739357-0.678851778714291i</v>
      </c>
      <c r="F63" s="70" t="str">
        <f t="shared" si="18"/>
        <v>-0.000312479090364268-0.000576711582643298i</v>
      </c>
      <c r="G63" s="70" t="str">
        <f t="shared" si="19"/>
        <v>-0.0416401741026116-0.0768511284395548i</v>
      </c>
      <c r="H63" s="72">
        <f t="shared" si="20"/>
        <v>8.7407093772352104E-2</v>
      </c>
      <c r="I63" s="51" t="str">
        <f t="shared" si="21"/>
        <v>1.70528968646546-0.00472911420579098i</v>
      </c>
      <c r="J63" s="73" t="str">
        <f t="shared" si="22"/>
        <v>0.0129133245001395-0.112900711027405i</v>
      </c>
      <c r="K63" s="73" t="str">
        <f t="shared" si="23"/>
        <v>0.021487038731706-0.192589486695989i</v>
      </c>
      <c r="L63" s="73" t="str">
        <f t="shared" si="24"/>
        <v>-0.0156954434119192+0.00636815658299756i</v>
      </c>
      <c r="M63" s="70">
        <f t="shared" si="25"/>
        <v>-35.422689035316125</v>
      </c>
      <c r="N63" s="70">
        <f t="shared" si="26"/>
        <v>337.91599057319689</v>
      </c>
      <c r="O63" s="70">
        <f t="shared" si="28"/>
        <v>-22.084009426803107</v>
      </c>
    </row>
    <row r="64" spans="1:15" ht="15" x14ac:dyDescent="0.2">
      <c r="A64" s="71">
        <f t="shared" si="13"/>
        <v>63</v>
      </c>
      <c r="B64" s="70">
        <f t="shared" si="27"/>
        <v>94500</v>
      </c>
      <c r="C64" s="70">
        <f t="shared" si="15"/>
        <v>133.25747349709113</v>
      </c>
      <c r="D64" s="51" t="str">
        <f t="shared" si="16"/>
        <v>0.000883110932451713-0.0000762048153129023i</v>
      </c>
      <c r="E64" s="51" t="str">
        <f t="shared" si="17"/>
        <v>-0.304003299211843-0.65187909633581i</v>
      </c>
      <c r="F64" s="70" t="str">
        <f t="shared" si="18"/>
        <v>-0.00031814496317798-0.000552515041339946i</v>
      </c>
      <c r="G64" s="70" t="str">
        <f t="shared" si="19"/>
        <v>-0.0423951939989227-0.0736267584781021i</v>
      </c>
      <c r="H64" s="72">
        <f t="shared" si="20"/>
        <v>8.4960296834457147E-2</v>
      </c>
      <c r="I64" s="51" t="str">
        <f t="shared" si="21"/>
        <v>1.70528968646545-0.00465404890093714i</v>
      </c>
      <c r="J64" s="73" t="str">
        <f t="shared" si="22"/>
        <v>0.0125117196688217-0.111153841767842i</v>
      </c>
      <c r="K64" s="73" t="str">
        <f t="shared" si="23"/>
        <v>0.020818791096074-0.189607730132887i</v>
      </c>
      <c r="L64" s="73" t="str">
        <f t="shared" si="24"/>
        <v>-0.0148428192394163+0.00650563639884242i</v>
      </c>
      <c r="M64" s="70">
        <f t="shared" si="25"/>
        <v>-35.806513868558675</v>
      </c>
      <c r="N64" s="70">
        <f t="shared" si="26"/>
        <v>336.33206784848744</v>
      </c>
      <c r="O64" s="70">
        <f t="shared" si="28"/>
        <v>-23.667932151512559</v>
      </c>
    </row>
    <row r="65" spans="1:15" ht="15" x14ac:dyDescent="0.2">
      <c r="A65" s="71">
        <f t="shared" si="13"/>
        <v>64</v>
      </c>
      <c r="B65" s="70">
        <f t="shared" si="27"/>
        <v>96000</v>
      </c>
      <c r="C65" s="70">
        <f t="shared" si="15"/>
        <v>133.25747349709113</v>
      </c>
      <c r="D65" s="51" t="str">
        <f t="shared" si="16"/>
        <v>0.000883110752236143-0.0000750141150871686i</v>
      </c>
      <c r="E65" s="51" t="str">
        <f t="shared" si="17"/>
        <v>-0.312030390352364-0.625624842811758i</v>
      </c>
      <c r="F65" s="70" t="str">
        <f t="shared" si="18"/>
        <v>-0.000322488086704687-0.000529089341940524i</v>
      </c>
      <c r="G65" s="70" t="str">
        <f t="shared" si="19"/>
        <v>-0.0429739476671775-0.0705051089612328i</v>
      </c>
      <c r="H65" s="72">
        <f t="shared" si="20"/>
        <v>8.2569549882124352E-2</v>
      </c>
      <c r="I65" s="51" t="str">
        <f t="shared" si="21"/>
        <v>1.70528968646546-0.00458132938686001i</v>
      </c>
      <c r="J65" s="73" t="str">
        <f t="shared" si="22"/>
        <v>0.01212848813293-0.109459526348963i</v>
      </c>
      <c r="K65" s="73" t="str">
        <f t="shared" si="23"/>
        <v>0.02018111558077-0.186715765967382i</v>
      </c>
      <c r="L65" s="73" t="str">
        <f t="shared" si="24"/>
        <v>-0.0140316776291436+0.00660104180233781i</v>
      </c>
      <c r="M65" s="70">
        <f t="shared" si="25"/>
        <v>-36.18954032752923</v>
      </c>
      <c r="N65" s="70">
        <f t="shared" si="26"/>
        <v>334.80589910005239</v>
      </c>
      <c r="O65" s="70">
        <f t="shared" si="28"/>
        <v>-25.194100899947614</v>
      </c>
    </row>
    <row r="66" spans="1:15" ht="15" x14ac:dyDescent="0.2">
      <c r="A66" s="71">
        <f t="shared" si="13"/>
        <v>65</v>
      </c>
      <c r="B66" s="70">
        <f t="shared" si="27"/>
        <v>97500</v>
      </c>
      <c r="C66" s="70">
        <f t="shared" ref="C66:C101" si="29">_ta1*_ta2*(rload/RS)</f>
        <v>133.25747349709113</v>
      </c>
      <c r="D66" s="51" t="str">
        <f t="shared" ref="D66:D101" si="30">IMDIV((COMPLEX(1,2*PI()*(B66)*(esrcout*0.001)*(cout*0.000001))),(COMPLEX(1,2*PI()*(B66)*rload*(cout*0.000001))))</f>
        <v>0.000883110580274066-0.0000738600517908474i</v>
      </c>
      <c r="E66" s="51" t="str">
        <f t="shared" ref="E66:E101" si="31">IMDIV(1,(COMPLEX((1-(B66/(fpp*1000))^2),(B66/(fpp*1000)))))</f>
        <v>-0.318544850191589-0.60015696412908i</v>
      </c>
      <c r="F66" s="70" t="str">
        <f t="shared" ref="F66:F97" si="32">IMPRODUCT(D66,E66)</f>
        <v>-0.000325637951949221-0.000506477225714695i</v>
      </c>
      <c r="G66" s="70" t="str">
        <f t="shared" ref="G66:G97" si="33">IMPRODUCT(C66,F66)</f>
        <v>-0.0433936907515204-0.0674918754825562i</v>
      </c>
      <c r="H66" s="72">
        <f t="shared" ref="H66:H97" si="34">IMABS(G66)</f>
        <v>8.0238180769453243E-2</v>
      </c>
      <c r="I66" s="51" t="str">
        <f t="shared" ref="I66:I101" si="35">IMDIV((COMPLEX(1,(2*PI()*B66*(rf*1000)*(Cz*0.000000001)))),(COMPLEX(0,2*PI()*B66*((Cz*0.000000001)+(Cp*0.000000000001))*(RII*1000))))</f>
        <v>1.70528968646545-0.00451084739629292i</v>
      </c>
      <c r="J66" s="73" t="str">
        <f t="shared" ref="J66:J101" si="36">IMDIV(1,(COMPLEX(1,2*PI()*B66*(((Cz*0.000000001)*(Cp*0.000000000001))/((Cz*0.000000001)+(Cp*0.000000000001)))*(rf*1000))))</f>
        <v>0.0117625303557514-0.107815459166955i</v>
      </c>
      <c r="K66" s="73" t="str">
        <f t="shared" ref="K66:K97" si="37">IMPRODUCT(I66,J66)</f>
        <v>0.0195721826191363-0.183909649538374i</v>
      </c>
      <c r="L66" s="73" t="str">
        <f t="shared" ref="L66:L97" si="38">IMPRODUCT(G66,K66)</f>
        <v>-0.0132617164065916+0.0066595551460361i</v>
      </c>
      <c r="M66" s="70">
        <f t="shared" ref="M66:M97" si="39">20*LOG(IMABS(L66))</f>
        <v>-36.571377261976082</v>
      </c>
      <c r="N66" s="70">
        <f t="shared" ref="N66:N101" si="40">(180/PI())*IMARGUMENT(L66)+180</f>
        <v>333.33584912361982</v>
      </c>
      <c r="O66" s="70">
        <f t="shared" si="28"/>
        <v>-26.664150876380177</v>
      </c>
    </row>
    <row r="67" spans="1:15" ht="15" x14ac:dyDescent="0.2">
      <c r="A67" s="71">
        <f t="shared" si="13"/>
        <v>66</v>
      </c>
      <c r="B67" s="70">
        <f t="shared" si="27"/>
        <v>99000</v>
      </c>
      <c r="C67" s="70">
        <f t="shared" si="29"/>
        <v>133.25747349709113</v>
      </c>
      <c r="D67" s="51" t="str">
        <f t="shared" si="30"/>
        <v>0.000883110416069085-0.000072740960109002i</v>
      </c>
      <c r="E67" s="51" t="str">
        <f t="shared" si="31"/>
        <v>-0.323689253851623-0.57552507419739i</v>
      </c>
      <c r="F67" s="70" t="str">
        <f t="shared" si="32"/>
        <v>-0.000327717598109921-0.000484706720630515i</v>
      </c>
      <c r="G67" s="70" t="str">
        <f t="shared" si="33"/>
        <v>-0.0436708191446632-0.0645907929782828i</v>
      </c>
      <c r="H67" s="72">
        <f t="shared" si="34"/>
        <v>7.7968653844537217E-2</v>
      </c>
      <c r="I67" s="51" t="str">
        <f t="shared" si="35"/>
        <v>1.70528968646546-0.00444250122362182i</v>
      </c>
      <c r="J67" s="73" t="str">
        <f t="shared" si="36"/>
        <v>0.0114128275210516-0.106219465678501i</v>
      </c>
      <c r="K67" s="73" t="str">
        <f t="shared" si="37"/>
        <v>0.0189902969588093-0.181185660823647i</v>
      </c>
      <c r="L67" s="73" t="str">
        <f t="shared" si="38"/>
        <v>-0.0125322473328852+0.00668592788597321i</v>
      </c>
      <c r="M67" s="70">
        <f t="shared" si="39"/>
        <v>-36.95167395620792</v>
      </c>
      <c r="N67" s="70">
        <f t="shared" si="40"/>
        <v>331.92017177251194</v>
      </c>
      <c r="O67" s="70">
        <f t="shared" si="28"/>
        <v>-28.079828227488065</v>
      </c>
    </row>
    <row r="68" spans="1:15" ht="15" x14ac:dyDescent="0.2">
      <c r="A68" s="71">
        <f t="shared" ref="A68:A100" si="41">1+A67</f>
        <v>67</v>
      </c>
      <c r="B68" s="70">
        <f t="shared" ref="B68:B99" si="42">(fs*1000/2)*(A68/100)</f>
        <v>100500</v>
      </c>
      <c r="C68" s="70">
        <f t="shared" si="29"/>
        <v>133.25747349709113</v>
      </c>
      <c r="D68" s="51" t="str">
        <f t="shared" si="30"/>
        <v>0.00088311025916155-0.0000716552741484788i</v>
      </c>
      <c r="E68" s="51" t="str">
        <f t="shared" si="31"/>
        <v>-0.327598930100435-0.551762903889622i</v>
      </c>
      <c r="F68" s="70" t="str">
        <f t="shared" si="32"/>
        <v>-0.000328842698205213-0.000463793289902598i</v>
      </c>
      <c r="G68" s="70" t="str">
        <f t="shared" si="33"/>
        <v>-0.0438207471407931-0.0618039220373242i</v>
      </c>
      <c r="H68" s="72">
        <f t="shared" si="34"/>
        <v>7.5762673257831759E-2</v>
      </c>
      <c r="I68" s="51" t="str">
        <f t="shared" si="35"/>
        <v>1.70528968646545-0.00437619523520955i</v>
      </c>
      <c r="J68" s="73" t="str">
        <f t="shared" si="36"/>
        <v>0.01107843455216-0.104669493359018i</v>
      </c>
      <c r="K68" s="73" t="str">
        <f t="shared" si="37"/>
        <v>0.0184338860458714-0.178540288905198i</v>
      </c>
      <c r="L68" s="73" t="str">
        <f t="shared" si="38"/>
        <v>-0.0118422767552565+0.00668448239853487i</v>
      </c>
      <c r="M68" s="70">
        <f t="shared" si="39"/>
        <v>-37.330118322349783</v>
      </c>
      <c r="N68" s="70">
        <f t="shared" si="40"/>
        <v>330.55704363280347</v>
      </c>
      <c r="O68" s="70">
        <f t="shared" si="28"/>
        <v>-29.44295636719653</v>
      </c>
    </row>
    <row r="69" spans="1:15" ht="15" x14ac:dyDescent="0.2">
      <c r="A69" s="71">
        <f t="shared" si="41"/>
        <v>68</v>
      </c>
      <c r="B69" s="70">
        <f t="shared" si="42"/>
        <v>102000.00000000001</v>
      </c>
      <c r="C69" s="70">
        <f t="shared" si="29"/>
        <v>133.25747349709113</v>
      </c>
      <c r="D69" s="51" t="str">
        <f t="shared" si="30"/>
        <v>0.000883110109125386-0.0000706015201274859i</v>
      </c>
      <c r="E69" s="51" t="str">
        <f t="shared" si="31"/>
        <v>-0.330401080778646-0.528890618948869i</v>
      </c>
      <c r="F69" s="70" t="str">
        <f t="shared" si="32"/>
        <v>-0.000329121016180533-0.000443741833660592i</v>
      </c>
      <c r="G69" s="70" t="str">
        <f t="shared" si="33"/>
        <v>-0.0438578350910131-0.059131915638577i</v>
      </c>
      <c r="H69" s="72">
        <f t="shared" si="34"/>
        <v>7.3621281882063738E-2</v>
      </c>
      <c r="I69" s="51" t="str">
        <f t="shared" si="35"/>
        <v>1.70528968646545-0.00431183942292706i</v>
      </c>
      <c r="J69" s="73" t="str">
        <f t="shared" si="36"/>
        <v>0.0107584738226953-0.103163603386571i</v>
      </c>
      <c r="K69" s="73" t="str">
        <f t="shared" si="37"/>
        <v>0.0179014895598574-0.175970217685291i</v>
      </c>
      <c r="L69" s="73" t="str">
        <f t="shared" si="38"/>
        <v>-0.0111905766440684+0.00665912341771281i</v>
      </c>
      <c r="M69" s="70">
        <f t="shared" si="39"/>
        <v>-37.706434749056022</v>
      </c>
      <c r="N69" s="70">
        <f t="shared" si="40"/>
        <v>329.24459297494047</v>
      </c>
      <c r="O69" s="70">
        <f t="shared" si="28"/>
        <v>-30.755407025059526</v>
      </c>
    </row>
    <row r="70" spans="1:15" ht="15" x14ac:dyDescent="0.2">
      <c r="A70" s="71">
        <f t="shared" si="41"/>
        <v>69</v>
      </c>
      <c r="B70" s="70">
        <f t="shared" si="42"/>
        <v>103499.99999999999</v>
      </c>
      <c r="C70" s="70">
        <f t="shared" si="29"/>
        <v>133.25747349709113</v>
      </c>
      <c r="D70" s="51" t="str">
        <f t="shared" si="30"/>
        <v>0.00088310996556514-0.000069578309700853i</v>
      </c>
      <c r="E70" s="51" t="str">
        <f t="shared" si="31"/>
        <v>-0.332214276180469-0.506916962769844i</v>
      </c>
      <c r="F70" s="70" t="str">
        <f t="shared" si="32"/>
        <v>-0.000328652163426198-0.000424548513740933i</v>
      </c>
      <c r="G70" s="70" t="str">
        <f t="shared" si="33"/>
        <v>-0.0437953569575282-0.0565742623180618i</v>
      </c>
      <c r="H70" s="72">
        <f t="shared" si="34"/>
        <v>7.1544954034999428E-2</v>
      </c>
      <c r="I70" s="51" t="str">
        <f t="shared" si="35"/>
        <v>1.70528968646545-0.00424934899650782i</v>
      </c>
      <c r="J70" s="73" t="str">
        <f t="shared" si="36"/>
        <v>0.0104521294820118-0.101699962985751i</v>
      </c>
      <c r="K70" s="73" t="str">
        <f t="shared" si="37"/>
        <v>0.0173917499716178-0.173472312739445i</v>
      </c>
      <c r="L70" s="73" t="str">
        <f t="shared" si="38"/>
        <v>-0.0105757460239653+0.00661335643360751i</v>
      </c>
      <c r="M70" s="70">
        <f t="shared" si="39"/>
        <v>-38.080381732074287</v>
      </c>
      <c r="N70" s="70">
        <f t="shared" si="40"/>
        <v>327.98092428810196</v>
      </c>
      <c r="O70" s="70">
        <f t="shared" si="28"/>
        <v>-32.01907571189804</v>
      </c>
    </row>
    <row r="71" spans="1:15" ht="15" x14ac:dyDescent="0.2">
      <c r="A71" s="71">
        <f t="shared" si="41"/>
        <v>70</v>
      </c>
      <c r="B71" s="70">
        <f t="shared" si="42"/>
        <v>105000</v>
      </c>
      <c r="C71" s="70">
        <f t="shared" si="29"/>
        <v>133.25747349709113</v>
      </c>
      <c r="D71" s="51" t="str">
        <f t="shared" si="30"/>
        <v>0.000883109828113421-0.0000685843338574189i</v>
      </c>
      <c r="E71" s="51" t="str">
        <f t="shared" si="31"/>
        <v>-0.333148250971682-0.485841199333704i</v>
      </c>
      <c r="F71" s="70" t="str">
        <f t="shared" si="32"/>
        <v>-0.000327527589668681-0.000406202387165349i</v>
      </c>
      <c r="G71" s="70" t="str">
        <f t="shared" si="33"/>
        <v>-0.0436454990998404-0.0541295038421416i</v>
      </c>
      <c r="H71" s="72">
        <f t="shared" si="34"/>
        <v>6.9533680888261562E-2</v>
      </c>
      <c r="I71" s="51" t="str">
        <f t="shared" si="35"/>
        <v>1.70528968646546-0.00418864401084343i</v>
      </c>
      <c r="J71" s="73" t="str">
        <f t="shared" si="36"/>
        <v>0.0101586423278999-0.100276838372346i</v>
      </c>
      <c r="K71" s="73" t="str">
        <f t="shared" si="37"/>
        <v>0.0169034040117845-0.171043609204071i</v>
      </c>
      <c r="L71" s="73" t="str">
        <f t="shared" si="38"/>
        <v>-0.00999626320616611+0.00655031081914857i</v>
      </c>
      <c r="M71" s="70">
        <f t="shared" si="39"/>
        <v>-38.451749389201908</v>
      </c>
      <c r="N71" s="70">
        <f t="shared" si="40"/>
        <v>326.76413877111855</v>
      </c>
      <c r="O71" s="70">
        <f t="shared" si="28"/>
        <v>-33.235861228881447</v>
      </c>
    </row>
    <row r="72" spans="1:15" ht="15" x14ac:dyDescent="0.2">
      <c r="A72" s="71">
        <f t="shared" si="41"/>
        <v>71</v>
      </c>
      <c r="B72" s="70">
        <f t="shared" si="42"/>
        <v>106500</v>
      </c>
      <c r="C72" s="70">
        <f t="shared" si="29"/>
        <v>133.25747349709113</v>
      </c>
      <c r="D72" s="51" t="str">
        <f t="shared" si="30"/>
        <v>0.000883109696428529-0.0000676183573331283i</v>
      </c>
      <c r="E72" s="51" t="str">
        <f t="shared" si="31"/>
        <v>-0.333303933678997-0.465654846344132i</v>
      </c>
      <c r="F72" s="70" t="str">
        <f t="shared" si="32"/>
        <v>-0.000325830751483694-0.000388686845507396i</v>
      </c>
      <c r="G72" s="70" t="str">
        <f t="shared" si="33"/>
        <v>-0.0434193827303756-0.0517954270138698i</v>
      </c>
      <c r="H72" s="72">
        <f t="shared" si="34"/>
        <v>6.7587047991726587E-2</v>
      </c>
      <c r="I72" s="51" t="str">
        <f t="shared" si="35"/>
        <v>1.70528968646545-0.00412964902477521i</v>
      </c>
      <c r="J72" s="73" t="str">
        <f t="shared" si="36"/>
        <v>0.00987730516726243-0.0988925882455061i</v>
      </c>
      <c r="K72" s="73" t="str">
        <f t="shared" si="37"/>
        <v>0.016435274951199-0.168681300606587i</v>
      </c>
      <c r="L72" s="73" t="str">
        <f t="shared" si="38"/>
        <v>-0.00945052948755817+0.00647276586630723i</v>
      </c>
      <c r="M72" s="70">
        <f t="shared" si="39"/>
        <v>-38.820356940640643</v>
      </c>
      <c r="N72" s="70">
        <f t="shared" si="40"/>
        <v>325.59235118755015</v>
      </c>
      <c r="O72" s="70">
        <f t="shared" si="28"/>
        <v>-34.40764881244985</v>
      </c>
    </row>
    <row r="73" spans="1:15" ht="15" x14ac:dyDescent="0.2">
      <c r="A73" s="71">
        <f t="shared" si="41"/>
        <v>72</v>
      </c>
      <c r="B73" s="70">
        <f t="shared" si="42"/>
        <v>108000</v>
      </c>
      <c r="C73" s="70">
        <f t="shared" si="29"/>
        <v>133.25747349709113</v>
      </c>
      <c r="D73" s="51" t="str">
        <f t="shared" si="30"/>
        <v>0.000883109570192309-0.0000666792134897038i</v>
      </c>
      <c r="E73" s="51" t="str">
        <f t="shared" si="31"/>
        <v>-0.3327736520237-0.446343199435663i</v>
      </c>
      <c r="F73" s="70" t="str">
        <f t="shared" si="32"/>
        <v>-0.000323637410294823-0.000371980865624852i</v>
      </c>
      <c r="G73" s="70" t="str">
        <f t="shared" si="33"/>
        <v>-0.0431271036250296-0.0495692303424287i</v>
      </c>
      <c r="H73" s="72">
        <f t="shared" si="34"/>
        <v>6.570430475870509E-2</v>
      </c>
      <c r="I73" s="51" t="str">
        <f t="shared" si="35"/>
        <v>1.70528968646545-0.00407229278832i</v>
      </c>
      <c r="J73" s="73" t="str">
        <f t="shared" si="36"/>
        <v>0.00960745861258787-0.0975456577792947i</v>
      </c>
      <c r="K73" s="73" t="str">
        <f t="shared" si="37"/>
        <v>0.0159862656064832-0.166382728554942i</v>
      </c>
      <c r="L73" s="73" t="str">
        <f t="shared" si="38"/>
        <v>-0.00893690513012976+0.00638317829364114i</v>
      </c>
      <c r="M73" s="70">
        <f t="shared" si="39"/>
        <v>-39.186050216899162</v>
      </c>
      <c r="N73" s="70">
        <f t="shared" si="40"/>
        <v>324.46370350103803</v>
      </c>
      <c r="O73" s="70">
        <f t="shared" si="28"/>
        <v>-35.536296498961974</v>
      </c>
    </row>
    <row r="74" spans="1:15" ht="15" x14ac:dyDescent="0.2">
      <c r="A74" s="71">
        <f t="shared" si="41"/>
        <v>73</v>
      </c>
      <c r="B74" s="70">
        <f t="shared" si="42"/>
        <v>109500</v>
      </c>
      <c r="C74" s="70">
        <f t="shared" si="29"/>
        <v>133.25747349709113</v>
      </c>
      <c r="D74" s="51" t="str">
        <f t="shared" si="30"/>
        <v>0.000883109449108269-0.0000657657996142537i</v>
      </c>
      <c r="E74" s="51" t="str">
        <f t="shared" si="31"/>
        <v>-0.331641465588464-0.427886655849379i</v>
      </c>
      <c r="F74" s="70" t="str">
        <f t="shared" si="32"/>
        <v>-0.000321016020043491-0.000356060082758256i</v>
      </c>
      <c r="G74" s="70" t="str">
        <f t="shared" si="33"/>
        <v>-0.0427777837830872-0.0474476670415304i</v>
      </c>
      <c r="H74" s="72">
        <f t="shared" si="34"/>
        <v>6.3884426060476493E-2</v>
      </c>
      <c r="I74" s="51" t="str">
        <f t="shared" si="35"/>
        <v>1.70528968646546-0.0040165079556033i</v>
      </c>
      <c r="J74" s="73" t="str">
        <f t="shared" si="36"/>
        <v>0.00934848726821371-0.0962345730702316i</v>
      </c>
      <c r="K74" s="73" t="str">
        <f t="shared" si="37"/>
        <v>0.0155553519941978-0.164145373211558i</v>
      </c>
      <c r="L74" s="73" t="str">
        <f t="shared" si="38"/>
        <v>-0.00845373849882736+0.00628371012210368i</v>
      </c>
      <c r="M74" s="70">
        <f t="shared" si="39"/>
        <v>-39.548699240347879</v>
      </c>
      <c r="N74" s="70">
        <f t="shared" si="40"/>
        <v>323.3763756974289</v>
      </c>
      <c r="O74" s="70">
        <f t="shared" si="28"/>
        <v>-36.623624302571102</v>
      </c>
    </row>
    <row r="75" spans="1:15" ht="15" x14ac:dyDescent="0.2">
      <c r="A75" s="71">
        <f t="shared" si="41"/>
        <v>74</v>
      </c>
      <c r="B75" s="70">
        <f t="shared" si="42"/>
        <v>111000</v>
      </c>
      <c r="C75" s="70">
        <f t="shared" si="29"/>
        <v>133.25747349709113</v>
      </c>
      <c r="D75" s="51" t="str">
        <f t="shared" si="30"/>
        <v>0.000883109332899791-0.0000648770725999852i</v>
      </c>
      <c r="E75" s="51" t="str">
        <f t="shared" si="31"/>
        <v>-0.329983585977756-0.410261850846i</v>
      </c>
      <c r="F75" s="70" t="str">
        <f t="shared" si="32"/>
        <v>-0.000318028172363037-0.000340897700350562i</v>
      </c>
      <c r="G75" s="70" t="str">
        <f t="shared" si="33"/>
        <v>-0.0423796307499957-0.0454271662696843i</v>
      </c>
      <c r="H75" s="72">
        <f t="shared" si="34"/>
        <v>6.212616628924985E-2</v>
      </c>
      <c r="I75" s="51" t="str">
        <f t="shared" si="35"/>
        <v>1.70528968646545-0.00396223082106811i</v>
      </c>
      <c r="J75" s="73" t="str">
        <f t="shared" si="36"/>
        <v>0.00909981626574815-0.0949579360015674i</v>
      </c>
      <c r="K75" s="73" t="str">
        <f t="shared" si="37"/>
        <v>0.0151415775659804-0.161966844483993i</v>
      </c>
      <c r="L75" s="73" t="str">
        <f t="shared" si="38"/>
        <v>-0.00799938924076912+0.00617625610129849i</v>
      </c>
      <c r="M75" s="70">
        <f t="shared" si="39"/>
        <v>-39.9081959131899</v>
      </c>
      <c r="N75" s="70">
        <f t="shared" si="40"/>
        <v>322.32859417835789</v>
      </c>
      <c r="O75" s="70">
        <f t="shared" si="28"/>
        <v>-37.671405821642111</v>
      </c>
    </row>
    <row r="76" spans="1:15" ht="15" x14ac:dyDescent="0.2">
      <c r="A76" s="71">
        <f t="shared" si="41"/>
        <v>75</v>
      </c>
      <c r="B76" s="70">
        <f t="shared" si="42"/>
        <v>112500</v>
      </c>
      <c r="C76" s="70">
        <f t="shared" si="29"/>
        <v>133.25747349709113</v>
      </c>
      <c r="D76" s="51" t="str">
        <f t="shared" si="30"/>
        <v>0.000883109221308593-0.0000640120449724681i</v>
      </c>
      <c r="E76" s="51" t="str">
        <f t="shared" si="31"/>
        <v>-0.327868852459016-0.39344262295082i</v>
      </c>
      <c r="F76" s="70" t="str">
        <f t="shared" si="32"/>
        <v>-0.000314729073860837-0.000326465252655031i</v>
      </c>
      <c r="G76" s="70" t="str">
        <f t="shared" si="33"/>
        <v>-0.0419400012187745-0.043503934753399i</v>
      </c>
      <c r="H76" s="72">
        <f t="shared" si="34"/>
        <v>6.0428106384850452E-2</v>
      </c>
      <c r="I76" s="51" t="str">
        <f t="shared" si="35"/>
        <v>1.70528968646546-0.00390940107678721i</v>
      </c>
      <c r="J76" s="73" t="str">
        <f t="shared" si="36"/>
        <v>0.00886090811270526-0.0937144194888036i</v>
      </c>
      <c r="K76" s="73" t="str">
        <f t="shared" si="37"/>
        <v>0.0147440479648544-0.159844873871072i</v>
      </c>
      <c r="L76" s="73" t="str">
        <f t="shared" si="38"/>
        <v>-0.00757224635316807+0.00606247010430361i</v>
      </c>
      <c r="M76" s="70">
        <f t="shared" si="39"/>
        <v>-40.264451833766046</v>
      </c>
      <c r="N76" s="70">
        <f t="shared" si="40"/>
        <v>321.31863808160529</v>
      </c>
      <c r="O76" s="70">
        <f t="shared" si="28"/>
        <v>-38.681361918394714</v>
      </c>
    </row>
    <row r="77" spans="1:15" ht="15" x14ac:dyDescent="0.2">
      <c r="A77" s="71">
        <f t="shared" si="41"/>
        <v>76</v>
      </c>
      <c r="B77" s="70">
        <f t="shared" si="42"/>
        <v>114000</v>
      </c>
      <c r="C77" s="70">
        <f t="shared" si="29"/>
        <v>133.25747349709113</v>
      </c>
      <c r="D77" s="51" t="str">
        <f t="shared" si="30"/>
        <v>0.000883109114093272-0.0000631697812296094i</v>
      </c>
      <c r="E77" s="51" t="str">
        <f t="shared" si="31"/>
        <v>-0.325359237914116-0.377400825419304i</v>
      </c>
      <c r="F77" s="70" t="str">
        <f t="shared" si="32"/>
        <v>-0.000311168035934008-0.000312733236714044i</v>
      </c>
      <c r="G77" s="70" t="str">
        <f t="shared" si="33"/>
        <v>-0.041465466301618-0.0416740410030812i</v>
      </c>
      <c r="H77" s="72">
        <f t="shared" si="34"/>
        <v>5.8788694398983814E-2</v>
      </c>
      <c r="I77" s="51" t="str">
        <f t="shared" si="35"/>
        <v>1.70528968646546-0.00385796158893474i</v>
      </c>
      <c r="J77" s="73" t="str">
        <f t="shared" si="36"/>
        <v>0.00863125982250604-0.0925027630743127i</v>
      </c>
      <c r="K77" s="73" t="str">
        <f t="shared" si="37"/>
        <v>0.0143619262497122-0.157777306909043i</v>
      </c>
      <c r="L77" s="73" t="str">
        <f t="shared" si="38"/>
        <v>-0.00717074192641695+0.00594379009938323i</v>
      </c>
      <c r="M77" s="70">
        <f t="shared" si="39"/>
        <v>-40.61739625448481</v>
      </c>
      <c r="N77" s="70">
        <f t="shared" si="40"/>
        <v>320.34484385015878</v>
      </c>
      <c r="O77" s="70">
        <f t="shared" si="28"/>
        <v>-39.655156149841218</v>
      </c>
    </row>
    <row r="78" spans="1:15" ht="15" x14ac:dyDescent="0.2">
      <c r="A78" s="71">
        <f t="shared" si="41"/>
        <v>77</v>
      </c>
      <c r="B78" s="70">
        <f t="shared" si="42"/>
        <v>115500</v>
      </c>
      <c r="C78" s="70">
        <f t="shared" si="29"/>
        <v>133.25747349709113</v>
      </c>
      <c r="D78" s="51" t="str">
        <f t="shared" si="30"/>
        <v>0.000883109011027981-0.0000623493944668252i</v>
      </c>
      <c r="E78" s="51" t="str">
        <f t="shared" si="31"/>
        <v>-0.322510365759674-0.362107001509111i</v>
      </c>
      <c r="F78" s="70" t="str">
        <f t="shared" si="32"/>
        <v>-0.000307388962428589-0.000299671629974629i</v>
      </c>
      <c r="G78" s="70" t="str">
        <f t="shared" si="33"/>
        <v>-0.040961876514126-0.0399334842891742i</v>
      </c>
      <c r="H78" s="72">
        <f t="shared" si="34"/>
        <v>5.7206280206217118E-2</v>
      </c>
      <c r="I78" s="51" t="str">
        <f t="shared" si="35"/>
        <v>1.70528968646546-0.00380785819167585i</v>
      </c>
      <c r="J78" s="73" t="str">
        <f t="shared" si="36"/>
        <v>0.00841040029758347-0.0913217688419244i</v>
      </c>
      <c r="K78" s="73" t="str">
        <f t="shared" si="37"/>
        <v>0.0139944285409521-0.155762096167585i</v>
      </c>
      <c r="L78" s="73" t="str">
        <f t="shared" si="38"/>
        <v>-0.00679336127393734+0.00582146145652195i</v>
      </c>
      <c r="M78" s="70">
        <f t="shared" si="39"/>
        <v>-40.966974187943279</v>
      </c>
      <c r="N78" s="70">
        <f t="shared" si="40"/>
        <v>319.40560833710509</v>
      </c>
      <c r="O78" s="70">
        <f t="shared" si="28"/>
        <v>-40.594391662894907</v>
      </c>
    </row>
    <row r="79" spans="1:15" ht="15" x14ac:dyDescent="0.2">
      <c r="A79" s="71">
        <f t="shared" si="41"/>
        <v>78</v>
      </c>
      <c r="B79" s="70">
        <f t="shared" si="42"/>
        <v>117000</v>
      </c>
      <c r="C79" s="70">
        <f t="shared" si="29"/>
        <v>133.25747349709113</v>
      </c>
      <c r="D79" s="51" t="str">
        <f t="shared" si="30"/>
        <v>0.000883108911901279-0.000061550043261819i</v>
      </c>
      <c r="E79" s="51" t="str">
        <f t="shared" si="31"/>
        <v>-0.319372023352939-0.34753094059053i</v>
      </c>
      <c r="F79" s="70" t="str">
        <f t="shared" si="32"/>
        <v>-0.000303430824463092-0.000287250308942943i</v>
      </c>
      <c r="G79" s="70" t="str">
        <f t="shared" si="33"/>
        <v>-0.040434425049091-0.0382782504309955i</v>
      </c>
      <c r="H79" s="72">
        <f t="shared" si="34"/>
        <v>5.5679144974654246E-2</v>
      </c>
      <c r="I79" s="51" t="str">
        <f t="shared" si="35"/>
        <v>1.70528968646545-0.00375903949691077i</v>
      </c>
      <c r="J79" s="73" t="str">
        <f t="shared" si="36"/>
        <v>0.00819788794047409-0.0901702976250468i</v>
      </c>
      <c r="K79" s="73" t="str">
        <f t="shared" si="37"/>
        <v>0.0136408200454692-0.153797294750072i</v>
      </c>
      <c r="L79" s="73" t="str">
        <f t="shared" si="38"/>
        <v>-0.00643865007978955+0.00569655846154013i</v>
      </c>
      <c r="M79" s="70">
        <f t="shared" si="39"/>
        <v>-41.313144662702783</v>
      </c>
      <c r="N79" s="70">
        <f t="shared" si="40"/>
        <v>318.4993906990677</v>
      </c>
      <c r="O79" s="70">
        <f t="shared" si="28"/>
        <v>-41.500609300932297</v>
      </c>
    </row>
    <row r="80" spans="1:15" ht="15" x14ac:dyDescent="0.2">
      <c r="A80" s="71">
        <f t="shared" si="41"/>
        <v>79</v>
      </c>
      <c r="B80" s="70">
        <f t="shared" si="42"/>
        <v>118500</v>
      </c>
      <c r="C80" s="70">
        <f t="shared" si="29"/>
        <v>133.25747349709113</v>
      </c>
      <c r="D80" s="51" t="str">
        <f t="shared" si="30"/>
        <v>0.000883108816515001-0.000060770928795952i</v>
      </c>
      <c r="E80" s="51" t="str">
        <f t="shared" si="31"/>
        <v>-0.315988661370671-0.333642131091727i</v>
      </c>
      <c r="F80" s="70" t="str">
        <f t="shared" si="32"/>
        <v>-0.000299328114967118-0.000275439383087473i</v>
      </c>
      <c r="G80" s="70" t="str">
        <f t="shared" si="33"/>
        <v>-0.039887708347165-0.0367043562918341i</v>
      </c>
      <c r="H80" s="72">
        <f t="shared" si="34"/>
        <v>5.4205525991234488E-2</v>
      </c>
      <c r="I80" s="51" t="str">
        <f t="shared" si="35"/>
        <v>1.70528968646546-0.00371145671846887i</v>
      </c>
      <c r="J80" s="73" t="str">
        <f t="shared" si="36"/>
        <v>0.00799330847054021-0.0890472654843202i</v>
      </c>
      <c r="K80" s="73" t="str">
        <f t="shared" si="37"/>
        <v>0.0133004114238062-0.151881050256789i</v>
      </c>
      <c r="L80" s="73" t="str">
        <f t="shared" si="38"/>
        <v>-0.00610521911437323+0.00557000399637655i</v>
      </c>
      <c r="M80" s="70">
        <f t="shared" si="39"/>
        <v>-41.65587912640126</v>
      </c>
      <c r="N80" s="70">
        <f t="shared" si="40"/>
        <v>317.62471329811831</v>
      </c>
      <c r="O80" s="70">
        <f t="shared" si="28"/>
        <v>-42.375286701881691</v>
      </c>
    </row>
    <row r="81" spans="1:18" ht="15" x14ac:dyDescent="0.2">
      <c r="A81" s="71">
        <f t="shared" si="41"/>
        <v>80</v>
      </c>
      <c r="B81" s="70">
        <f t="shared" si="42"/>
        <v>120000</v>
      </c>
      <c r="C81" s="70">
        <f t="shared" si="29"/>
        <v>133.25747349709113</v>
      </c>
      <c r="D81" s="51" t="str">
        <f t="shared" si="30"/>
        <v>0.00088310872468331-0.0000600112921915187i</v>
      </c>
      <c r="E81" s="51" t="str">
        <f t="shared" si="31"/>
        <v>-0.31239987183595-0.320410124959949i</v>
      </c>
      <c r="F81" s="70" t="str">
        <f t="shared" si="32"/>
        <v>-0.000295111278038368-0.00026420945683966i</v>
      </c>
      <c r="G81" s="70" t="str">
        <f t="shared" si="33"/>
        <v>-0.0393257833118905-0.0352078846924918i</v>
      </c>
      <c r="H81" s="72">
        <f t="shared" si="34"/>
        <v>5.2783637404157396E-2</v>
      </c>
      <c r="I81" s="51" t="str">
        <f t="shared" si="35"/>
        <v>1.70528968646545-0.003665063509488i</v>
      </c>
      <c r="J81" s="73" t="str">
        <f t="shared" si="36"/>
        <v>0.007796272926396-0.0879516404329854i</v>
      </c>
      <c r="K81" s="73" t="str">
        <f t="shared" si="37"/>
        <v>0.0129725554663024-0.1500115991735i</v>
      </c>
      <c r="L81" s="73" t="str">
        <f t="shared" si="38"/>
        <v>-0.00579174699150618+0.0054425874063427i</v>
      </c>
      <c r="M81" s="70">
        <f t="shared" si="39"/>
        <v>-41.995159991185638</v>
      </c>
      <c r="N81" s="70">
        <f t="shared" si="40"/>
        <v>316.78016180164354</v>
      </c>
      <c r="O81" s="70">
        <f t="shared" si="28"/>
        <v>-43.219838198356456</v>
      </c>
    </row>
    <row r="82" spans="1:18" ht="15" x14ac:dyDescent="0.2">
      <c r="A82" s="71">
        <f t="shared" si="41"/>
        <v>81</v>
      </c>
      <c r="B82" s="70">
        <f t="shared" si="42"/>
        <v>121500.00000000001</v>
      </c>
      <c r="C82" s="70">
        <f t="shared" si="29"/>
        <v>133.25747349709113</v>
      </c>
      <c r="D82" s="51" t="str">
        <f t="shared" si="30"/>
        <v>0.000883108636231749-0.0000592704120462531i</v>
      </c>
      <c r="E82" s="51" t="str">
        <f t="shared" si="31"/>
        <v>-0.308640839982196-0.307804826872173i</v>
      </c>
      <c r="F82" s="70" t="str">
        <f t="shared" si="32"/>
        <v>-0.000290807110200638-0.000253531831124588i</v>
      </c>
      <c r="G82" s="70" t="str">
        <f t="shared" si="33"/>
        <v>-0.0387522207803272-0.0337850112667538i</v>
      </c>
      <c r="H82" s="72">
        <f t="shared" si="34"/>
        <v>5.1411687403759711E-2</v>
      </c>
      <c r="I82" s="51" t="str">
        <f t="shared" si="35"/>
        <v>1.70528968646546-0.00361981581184i</v>
      </c>
      <c r="J82" s="73" t="str">
        <f t="shared" si="36"/>
        <v>0.00760641583625125-0.0868824393901165i</v>
      </c>
      <c r="K82" s="73" t="str">
        <f t="shared" si="37"/>
        <v>0.0126566440486512-0.148187261651242i</v>
      </c>
      <c r="L82" s="73" t="str">
        <f t="shared" si="38"/>
        <v>-0.00549698136898795+0.00531498061855807i</v>
      </c>
      <c r="M82" s="70">
        <f t="shared" si="39"/>
        <v>-42.330979314604264</v>
      </c>
      <c r="N82" s="70">
        <f t="shared" si="40"/>
        <v>315.96438464198025</v>
      </c>
      <c r="O82" s="70">
        <f t="shared" si="28"/>
        <v>-44.035615358019754</v>
      </c>
    </row>
    <row r="83" spans="1:18" ht="15" x14ac:dyDescent="0.2">
      <c r="A83" s="71">
        <f t="shared" si="41"/>
        <v>82</v>
      </c>
      <c r="B83" s="70">
        <f t="shared" si="42"/>
        <v>122999.99999999999</v>
      </c>
      <c r="C83" s="70">
        <f t="shared" si="29"/>
        <v>133.25747349709113</v>
      </c>
      <c r="D83" s="51" t="str">
        <f t="shared" si="30"/>
        <v>0.000883108550996448-0.0000585476021482447i</v>
      </c>
      <c r="E83" s="51" t="str">
        <f t="shared" si="31"/>
        <v>-0.304742767092029-0.295796719952017i</v>
      </c>
      <c r="F83" s="70" t="str">
        <f t="shared" si="32"/>
        <v>-0.000286439132149796-0.000243378654461069i</v>
      </c>
      <c r="G83" s="70" t="str">
        <f t="shared" si="33"/>
        <v>-0.0381701550609812-0.0324320245966036i</v>
      </c>
      <c r="H83" s="72">
        <f t="shared" si="34"/>
        <v>5.0087892317545651E-2</v>
      </c>
      <c r="I83" s="51" t="str">
        <f t="shared" si="35"/>
        <v>1.70528968646545-0.00357567171657365i</v>
      </c>
      <c r="J83" s="73" t="str">
        <f t="shared" si="36"/>
        <v>0.00742339354027489-0.0858387253436413i</v>
      </c>
      <c r="K83" s="73" t="str">
        <f t="shared" si="37"/>
        <v>0.012352105340407-0.146406436646175i</v>
      </c>
      <c r="L83" s="73" t="str">
        <f t="shared" si="38"/>
        <v>-0.00521973893058274+0.0051877526044903i</v>
      </c>
      <c r="M83" s="70">
        <f t="shared" si="39"/>
        <v>-42.663337607933101</v>
      </c>
      <c r="N83" s="70">
        <f t="shared" si="40"/>
        <v>315.17609197285731</v>
      </c>
      <c r="O83" s="70">
        <f t="shared" si="28"/>
        <v>-44.823908027142693</v>
      </c>
    </row>
    <row r="84" spans="1:18" ht="15" x14ac:dyDescent="0.2">
      <c r="A84" s="71">
        <f t="shared" si="41"/>
        <v>83</v>
      </c>
      <c r="B84" s="70">
        <f t="shared" si="42"/>
        <v>124500</v>
      </c>
      <c r="C84" s="70">
        <f t="shared" si="29"/>
        <v>133.25747349709113</v>
      </c>
      <c r="D84" s="51" t="str">
        <f t="shared" si="30"/>
        <v>0.000883108468823348-0.0000578422093560353i</v>
      </c>
      <c r="E84" s="51" t="str">
        <f t="shared" si="31"/>
        <v>-0.300733262929728-0.284357038313596i</v>
      </c>
      <c r="F84" s="70" t="str">
        <f t="shared" si="32"/>
        <v>-0.000282027930692119-0.000233723032349557i</v>
      </c>
      <c r="G84" s="70" t="str">
        <f t="shared" si="33"/>
        <v>-0.0375823294996445-0.0311453407889809i</v>
      </c>
      <c r="H84" s="72">
        <f t="shared" si="34"/>
        <v>4.8810488047975983E-2</v>
      </c>
      <c r="I84" s="51" t="str">
        <f t="shared" si="35"/>
        <v>1.70528968646545-0.00353259133444627i</v>
      </c>
      <c r="J84" s="73" t="str">
        <f t="shared" si="36"/>
        <v>0.0072468826507497-0.0848196047066712i</v>
      </c>
      <c r="K84" s="73" t="str">
        <f t="shared" si="37"/>
        <v>0.0120584012427709-0.144667597391217i</v>
      </c>
      <c r="L84" s="73" t="str">
        <f t="shared" si="38"/>
        <v>-0.00495890443061728+0.00506138229700226i</v>
      </c>
      <c r="M84" s="70">
        <f t="shared" si="39"/>
        <v>-42.992242763249422</v>
      </c>
      <c r="N84" s="70">
        <f t="shared" si="40"/>
        <v>314.41405423782112</v>
      </c>
      <c r="O84" s="70">
        <f t="shared" si="28"/>
        <v>-45.585945762178881</v>
      </c>
      <c r="P84" s="70">
        <v>-27.673999999999999</v>
      </c>
      <c r="Q84" s="70">
        <v>318.15300000000002</v>
      </c>
      <c r="R84" s="70">
        <f>B84</f>
        <v>124500</v>
      </c>
    </row>
    <row r="85" spans="1:18" ht="15" x14ac:dyDescent="0.2">
      <c r="A85" s="71">
        <f t="shared" si="41"/>
        <v>84</v>
      </c>
      <c r="B85" s="70">
        <f t="shared" si="42"/>
        <v>126000</v>
      </c>
      <c r="C85" s="70">
        <f t="shared" si="29"/>
        <v>133.25747349709113</v>
      </c>
      <c r="D85" s="51" t="str">
        <f t="shared" si="30"/>
        <v>0.000883108389567494-0.00005715361163014i</v>
      </c>
      <c r="E85" s="51" t="str">
        <f t="shared" si="31"/>
        <v>-0.296636707487767-0.273457895401365i</v>
      </c>
      <c r="F85" s="70" t="str">
        <f t="shared" si="32"/>
        <v>-0.000277591471387091-0.000224539102447416i</v>
      </c>
      <c r="G85" s="70" t="str">
        <f t="shared" si="33"/>
        <v>-0.0369911381413838-0.0299215134934472i</v>
      </c>
      <c r="H85" s="72">
        <f t="shared" si="34"/>
        <v>4.7577739235208333E-2</v>
      </c>
      <c r="I85" s="51" t="str">
        <f t="shared" si="35"/>
        <v>1.70528968646546-0.00349053667570287i</v>
      </c>
      <c r="J85" s="73" t="str">
        <f t="shared" si="36"/>
        <v>0.00707657863726642-0.0838242248521094i</v>
      </c>
      <c r="K85" s="73" t="str">
        <f t="shared" si="37"/>
        <v>0.0117750250344336-0.142969287173536i</v>
      </c>
      <c r="L85" s="73" t="str">
        <f t="shared" si="38"/>
        <v>-0.00471342903297847+0.00493627008135796i</v>
      </c>
      <c r="M85" s="70">
        <f t="shared" si="39"/>
        <v>-43.317709090309933</v>
      </c>
      <c r="N85" s="70">
        <f t="shared" si="40"/>
        <v>313.67710044672049</v>
      </c>
      <c r="O85" s="70">
        <f t="shared" si="28"/>
        <v>-46.322899553279512</v>
      </c>
    </row>
    <row r="86" spans="1:18" ht="15" x14ac:dyDescent="0.2">
      <c r="A86" s="71">
        <f t="shared" si="41"/>
        <v>85</v>
      </c>
      <c r="B86" s="70">
        <f t="shared" si="42"/>
        <v>127500</v>
      </c>
      <c r="C86" s="70">
        <f t="shared" si="29"/>
        <v>133.25747349709113</v>
      </c>
      <c r="D86" s="51" t="str">
        <f t="shared" si="30"/>
        <v>0.000883108313092422-0.0000564812162035206i</v>
      </c>
      <c r="E86" s="51" t="str">
        <f t="shared" si="31"/>
        <v>-0.292474582566039-0.263072375853051i</v>
      </c>
      <c r="F86" s="70" t="str">
        <f t="shared" si="32"/>
        <v>-0.000273145382970035-0.000215802081928857i</v>
      </c>
      <c r="G86" s="70" t="str">
        <f t="shared" si="33"/>
        <v>-0.0363986636319822-0.0287572402132517i</v>
      </c>
      <c r="H86" s="72">
        <f t="shared" si="34"/>
        <v>4.6387946482646165E-2</v>
      </c>
      <c r="I86" s="51" t="str">
        <f t="shared" si="35"/>
        <v>1.70528968646546-0.00344947153834165i</v>
      </c>
      <c r="J86" s="73" t="str">
        <f t="shared" si="36"/>
        <v>0.00691219452551466-0.0828517718118092i</v>
      </c>
      <c r="K86" s="73" t="str">
        <f t="shared" si="37"/>
        <v>0.0115014992064372-0.141310115394351i</v>
      </c>
      <c r="L86" s="73" t="str">
        <f t="shared" si="38"/>
        <v>-0.00448232813383629+0.00481274798254353i</v>
      </c>
      <c r="M86" s="70">
        <f t="shared" si="39"/>
        <v>-43.639756454303587</v>
      </c>
      <c r="N86" s="70">
        <f t="shared" si="40"/>
        <v>312.9641162397985</v>
      </c>
      <c r="O86" s="70">
        <f t="shared" si="28"/>
        <v>-47.0358837602015</v>
      </c>
    </row>
    <row r="87" spans="1:18" ht="15" x14ac:dyDescent="0.2">
      <c r="A87" s="71">
        <f t="shared" si="41"/>
        <v>86</v>
      </c>
      <c r="B87" s="70">
        <f t="shared" si="42"/>
        <v>129000</v>
      </c>
      <c r="C87" s="70">
        <f t="shared" si="29"/>
        <v>133.25747349709113</v>
      </c>
      <c r="D87" s="51" t="str">
        <f t="shared" si="30"/>
        <v>0.000883108239269545-0.0000558244578796973i</v>
      </c>
      <c r="E87" s="51" t="str">
        <f t="shared" si="31"/>
        <v>-0.288265774261145-0.253174597492427i</v>
      </c>
      <c r="F87" s="70" t="str">
        <f t="shared" si="32"/>
        <v>-0.000268703215003357-0.000207488292445913i</v>
      </c>
      <c r="G87" s="70" t="str">
        <f t="shared" si="33"/>
        <v>-0.035806711551893-0.0276493656315679i</v>
      </c>
      <c r="H87" s="72">
        <f t="shared" si="34"/>
        <v>4.5239451941735495E-2</v>
      </c>
      <c r="I87" s="51" t="str">
        <f t="shared" si="35"/>
        <v>1.70528968646546-0.00340936140417489i</v>
      </c>
      <c r="J87" s="73" t="str">
        <f t="shared" si="36"/>
        <v>0.00675345969938997-0.0819014681277368i</v>
      </c>
      <c r="K87" s="73" t="str">
        <f t="shared" si="37"/>
        <v>0.0112373734689499-0.139688753889453i</v>
      </c>
      <c r="L87" s="73" t="str">
        <f t="shared" si="38"/>
        <v>-0.00426467882131117+0.00469108866978154i</v>
      </c>
      <c r="M87" s="70">
        <f t="shared" si="39"/>
        <v>-43.958409505781866</v>
      </c>
      <c r="N87" s="70">
        <f t="shared" si="40"/>
        <v>312.27404180476231</v>
      </c>
      <c r="O87" s="70">
        <f t="shared" si="28"/>
        <v>-47.725958195237695</v>
      </c>
    </row>
    <row r="88" spans="1:18" ht="15" x14ac:dyDescent="0.2">
      <c r="A88" s="71">
        <f t="shared" si="41"/>
        <v>87</v>
      </c>
      <c r="B88" s="70">
        <f t="shared" si="42"/>
        <v>130500</v>
      </c>
      <c r="C88" s="70">
        <f t="shared" si="29"/>
        <v>133.25747349709113</v>
      </c>
      <c r="D88" s="51" t="str">
        <f t="shared" si="30"/>
        <v>0.000883108167977621-0.0000551827974482359i</v>
      </c>
      <c r="E88" s="51" t="str">
        <f t="shared" si="31"/>
        <v>-0.284026847815692-0.243739749062588i</v>
      </c>
      <c r="F88" s="70" t="str">
        <f t="shared" si="32"/>
        <v>-0.000264276670433579-0.000199575167245113i</v>
      </c>
      <c r="G88" s="70" t="str">
        <f t="shared" si="33"/>
        <v>-0.0352168414062021-0.0265948825598432i</v>
      </c>
      <c r="H88" s="72">
        <f t="shared" si="34"/>
        <v>4.4130643514472372E-2</v>
      </c>
      <c r="I88" s="51" t="str">
        <f t="shared" si="35"/>
        <v>1.70528968646545-0.00337017334205793i</v>
      </c>
      <c r="J88" s="73" t="str">
        <f t="shared" si="36"/>
        <v>0.00660011879716864-0.0809725708436623i</v>
      </c>
      <c r="K88" s="73" t="str">
        <f t="shared" si="37"/>
        <v>0.0109822229145632-0.138103933490715i</v>
      </c>
      <c r="L88" s="73" t="str">
        <f t="shared" si="38"/>
        <v>-0.00405961709490769+0.00457151339465637i</v>
      </c>
      <c r="M88" s="70">
        <f t="shared" si="39"/>
        <v>-44.273696994432569</v>
      </c>
      <c r="N88" s="70">
        <f t="shared" si="40"/>
        <v>311.60586970012116</v>
      </c>
      <c r="O88" s="70">
        <f t="shared" si="28"/>
        <v>-48.394130299878839</v>
      </c>
    </row>
    <row r="89" spans="1:18" ht="15" x14ac:dyDescent="0.2">
      <c r="A89" s="71">
        <f t="shared" si="41"/>
        <v>88</v>
      </c>
      <c r="B89" s="70">
        <f t="shared" si="42"/>
        <v>132000</v>
      </c>
      <c r="C89" s="70">
        <f t="shared" si="29"/>
        <v>133.25747349709113</v>
      </c>
      <c r="D89" s="51" t="str">
        <f t="shared" si="30"/>
        <v>0.000883108099102272-0.000054555720208267i</v>
      </c>
      <c r="E89" s="51" t="str">
        <f t="shared" si="31"/>
        <v>-0.279772296507588-0.234744108435047i</v>
      </c>
      <c r="F89" s="70" t="str">
        <f t="shared" si="32"/>
        <v>-0.000259875814850615-0.00019204124424524i</v>
      </c>
      <c r="G89" s="70" t="str">
        <f t="shared" si="33"/>
        <v>-0.0346303945099908-0.0255909310153585i</v>
      </c>
      <c r="H89" s="72">
        <f t="shared" si="34"/>
        <v>4.3059957897685394E-2</v>
      </c>
      <c r="I89" s="51" t="str">
        <f t="shared" si="35"/>
        <v>1.70528968646546-0.00333187591771637i</v>
      </c>
      <c r="J89" s="73" t="str">
        <f t="shared" si="36"/>
        <v>0.00645193069342108-0.0800643696268719i</v>
      </c>
      <c r="K89" s="73" t="str">
        <f t="shared" si="37"/>
        <v>0.010735646324254-0.136554440810563i</v>
      </c>
      <c r="L89" s="73" t="str">
        <f t="shared" si="38"/>
        <v>-0.00386633494215262+0.00445419897287171i</v>
      </c>
      <c r="M89" s="70">
        <f t="shared" si="39"/>
        <v>-44.585651158821008</v>
      </c>
      <c r="N89" s="70">
        <f t="shared" si="40"/>
        <v>310.95864262784278</v>
      </c>
      <c r="O89" s="70">
        <f t="shared" si="28"/>
        <v>-49.041357372157222</v>
      </c>
    </row>
    <row r="90" spans="1:18" ht="15" x14ac:dyDescent="0.2">
      <c r="A90" s="71">
        <f t="shared" si="41"/>
        <v>89</v>
      </c>
      <c r="B90" s="70">
        <f t="shared" si="42"/>
        <v>133500</v>
      </c>
      <c r="C90" s="70">
        <f t="shared" si="29"/>
        <v>133.25747349709113</v>
      </c>
      <c r="D90" s="51" t="str">
        <f t="shared" si="30"/>
        <v>0.000883108032535492-0.0000539427345915432i</v>
      </c>
      <c r="E90" s="51" t="str">
        <f t="shared" si="31"/>
        <v>-0.275514766381876-0.226165045268281i</v>
      </c>
      <c r="F90" s="70" t="str">
        <f t="shared" si="32"/>
        <v>-0.000255509264284765-0.000184866148236184i</v>
      </c>
      <c r="G90" s="70" t="str">
        <f t="shared" si="33"/>
        <v>-0.0340485190136883-0.0246347958490926i</v>
      </c>
      <c r="H90" s="72">
        <f t="shared" si="34"/>
        <v>4.2025882662378E-2</v>
      </c>
      <c r="I90" s="51" t="str">
        <f t="shared" si="35"/>
        <v>1.70528968646545-0.00329443910965213i</v>
      </c>
      <c r="J90" s="73" t="str">
        <f t="shared" si="36"/>
        <v>0.00630866755915288-0.0791761850102729i</v>
      </c>
      <c r="K90" s="73" t="str">
        <f t="shared" si="37"/>
        <v>0.0104972646035117-0.135039115232835i</v>
      </c>
      <c r="L90" s="73" t="str">
        <f t="shared" si="38"/>
        <v>-0.00368407734884737+0.00433928391211541i</v>
      </c>
      <c r="M90" s="70">
        <f t="shared" si="39"/>
        <v>-44.894307184737194</v>
      </c>
      <c r="N90" s="70">
        <f t="shared" si="40"/>
        <v>310.33145118978689</v>
      </c>
      <c r="O90" s="70">
        <f t="shared" si="28"/>
        <v>-49.66854881021311</v>
      </c>
    </row>
    <row r="91" spans="1:18" ht="15" x14ac:dyDescent="0.2">
      <c r="A91" s="71">
        <f t="shared" si="41"/>
        <v>90</v>
      </c>
      <c r="B91" s="70">
        <f t="shared" si="42"/>
        <v>135000</v>
      </c>
      <c r="C91" s="70">
        <f t="shared" si="29"/>
        <v>133.25747349709113</v>
      </c>
      <c r="D91" s="51" t="str">
        <f t="shared" si="30"/>
        <v>0.000883107968175259-0.0000533433708772958i</v>
      </c>
      <c r="E91" s="51" t="str">
        <f t="shared" si="31"/>
        <v>-0.2712652586708-0.217981011431893i</v>
      </c>
      <c r="F91" s="70" t="str">
        <f t="shared" si="32"/>
        <v>-0.000251184353358326-0.000178030564807005i</v>
      </c>
      <c r="G91" s="70" t="str">
        <f t="shared" si="33"/>
        <v>-0.0334721923105311-0.0237239032714416i</v>
      </c>
      <c r="H91" s="72">
        <f t="shared" si="34"/>
        <v>4.1026957534112798E-2</v>
      </c>
      <c r="I91" s="51" t="str">
        <f t="shared" si="35"/>
        <v>1.70528968646546-0.003257834230656i</v>
      </c>
      <c r="J91" s="73" t="str">
        <f t="shared" si="36"/>
        <v>0.00617011399339377-0.0783073667460622i</v>
      </c>
      <c r="K91" s="73" t="str">
        <f t="shared" si="37"/>
        <v>0.0102667193373528-0.133556846094903i</v>
      </c>
      <c r="L91" s="73" t="str">
        <f t="shared" si="38"/>
        <v>-0.00351213930205241+0.0042268737804022i</v>
      </c>
      <c r="M91" s="70">
        <f t="shared" si="39"/>
        <v>-45.199702725319291</v>
      </c>
      <c r="N91" s="70">
        <f t="shared" si="40"/>
        <v>309.72343165516054</v>
      </c>
      <c r="O91" s="70">
        <f t="shared" si="28"/>
        <v>-50.276568344839461</v>
      </c>
    </row>
    <row r="92" spans="1:18" ht="15" x14ac:dyDescent="0.2">
      <c r="A92" s="71">
        <f t="shared" si="41"/>
        <v>91</v>
      </c>
      <c r="B92" s="70">
        <f t="shared" si="42"/>
        <v>136500</v>
      </c>
      <c r="C92" s="70">
        <f t="shared" si="29"/>
        <v>133.25747349709113</v>
      </c>
      <c r="D92" s="51" t="str">
        <f t="shared" si="30"/>
        <v>0.000883107905925107-0.0000527571799918212i</v>
      </c>
      <c r="E92" s="51" t="str">
        <f t="shared" si="31"/>
        <v>-0.267033311733552-0.210171521949085i</v>
      </c>
      <c r="F92" s="70" t="str">
        <f t="shared" si="32"/>
        <v>-0.000246907285549886-0.00017151620814261i</v>
      </c>
      <c r="G92" s="70" t="str">
        <f t="shared" si="33"/>
        <v>-0.0329022410604026-0.0228558165608854i</v>
      </c>
      <c r="H92" s="72">
        <f t="shared" si="34"/>
        <v>4.0061775016362995E-2</v>
      </c>
      <c r="I92" s="51" t="str">
        <f t="shared" si="35"/>
        <v>1.70528968646545-0.00322203385449494i</v>
      </c>
      <c r="J92" s="73" t="str">
        <f t="shared" si="36"/>
        <v>0.00603606622010664-0.0774572922628537i</v>
      </c>
      <c r="K92" s="73" t="str">
        <f t="shared" si="37"/>
        <v>0.0100436714540219-0.132106570047094i</v>
      </c>
      <c r="L92" s="73" t="str">
        <f t="shared" si="38"/>
        <v>-0.00334986283079585+0.00411704590100152i</v>
      </c>
      <c r="M92" s="70">
        <f t="shared" si="39"/>
        <v>-45.501877476673258</v>
      </c>
      <c r="N92" s="70">
        <f t="shared" si="40"/>
        <v>309.13376376025718</v>
      </c>
      <c r="O92" s="70">
        <f t="shared" si="28"/>
        <v>-50.866236239742818</v>
      </c>
    </row>
    <row r="93" spans="1:18" ht="15" x14ac:dyDescent="0.2">
      <c r="A93" s="71">
        <f t="shared" si="41"/>
        <v>92</v>
      </c>
      <c r="B93" s="70">
        <f t="shared" si="42"/>
        <v>138000</v>
      </c>
      <c r="C93" s="70">
        <f t="shared" si="29"/>
        <v>133.25747349709113</v>
      </c>
      <c r="D93" s="51" t="str">
        <f t="shared" si="30"/>
        <v>0.000883107845693799-0.0000521837323863602i</v>
      </c>
      <c r="E93" s="51" t="str">
        <f t="shared" si="31"/>
        <v>-0.262827164292679-0.202717128730101i</v>
      </c>
      <c r="F93" s="70" t="str">
        <f t="shared" si="32"/>
        <v>-0.000242683267244101-0.000165305784432757i</v>
      </c>
      <c r="G93" s="70" t="str">
        <f t="shared" si="33"/>
        <v>-0.0323393590529683-0.022028231187964i</v>
      </c>
      <c r="H93" s="72">
        <f t="shared" si="34"/>
        <v>3.9128980477737885E-2</v>
      </c>
      <c r="I93" s="51" t="str">
        <f t="shared" si="35"/>
        <v>1.70528968646546-0.00318701174738087i</v>
      </c>
      <c r="J93" s="73" t="str">
        <f t="shared" si="36"/>
        <v>0.00590633134487302-0.0766253652188203i</v>
      </c>
      <c r="K93" s="73" t="str">
        <f t="shared" si="37"/>
        <v>0.0098277999881599-0.130687268576683i</v>
      </c>
      <c r="L93" s="73" t="str">
        <f t="shared" si="38"/>
        <v>-0.00319663411804858+0.0040098534519448i</v>
      </c>
      <c r="M93" s="70">
        <f t="shared" si="39"/>
        <v>-45.800872803231755</v>
      </c>
      <c r="N93" s="70">
        <f t="shared" si="40"/>
        <v>308.56166855676804</v>
      </c>
      <c r="O93" s="70">
        <f t="shared" si="28"/>
        <v>-51.438331443231959</v>
      </c>
    </row>
    <row r="94" spans="1:18" ht="15" x14ac:dyDescent="0.2">
      <c r="A94" s="71">
        <f t="shared" si="41"/>
        <v>93</v>
      </c>
      <c r="B94" s="70">
        <f t="shared" si="42"/>
        <v>139500</v>
      </c>
      <c r="C94" s="70">
        <f t="shared" si="29"/>
        <v>133.25747349709113</v>
      </c>
      <c r="D94" s="51" t="str">
        <f t="shared" si="30"/>
        <v>0.000883107787394976-0.0000516226169873687i</v>
      </c>
      <c r="E94" s="51" t="str">
        <f t="shared" si="31"/>
        <v>-0.258653901662655-0.195599388962652i</v>
      </c>
      <c r="F94" s="70" t="str">
        <f t="shared" si="32"/>
        <v>-0.000238516627137767-0.000159382952304797i</v>
      </c>
      <c r="G94" s="70" t="str">
        <f t="shared" si="33"/>
        <v>-0.0317841231194265-0.0212389695426446i</v>
      </c>
      <c r="H94" s="72">
        <f t="shared" si="34"/>
        <v>3.8227271805665743E-2</v>
      </c>
      <c r="I94" s="51" t="str">
        <f t="shared" si="35"/>
        <v>1.70528968646545-0.00315274280386064i</v>
      </c>
      <c r="J94" s="73" t="str">
        <f t="shared" si="36"/>
        <v>0.00578072666633365-0.0758110141440068i</v>
      </c>
      <c r="K94" s="73" t="str">
        <f t="shared" si="37"/>
        <v>0.00961880093507868-0.12929796568466i</v>
      </c>
      <c r="L94" s="73" t="str">
        <f t="shared" si="38"/>
        <v>-0.0030518807082842+0.00390532904031572i</v>
      </c>
      <c r="M94" s="70">
        <f t="shared" si="39"/>
        <v>-46.096731407618492</v>
      </c>
      <c r="N94" s="70">
        <f t="shared" si="40"/>
        <v>308.00640632088812</v>
      </c>
      <c r="O94" s="70">
        <f t="shared" si="28"/>
        <v>-51.993593679111882</v>
      </c>
    </row>
    <row r="95" spans="1:18" ht="15" x14ac:dyDescent="0.2">
      <c r="A95" s="71">
        <f t="shared" si="41"/>
        <v>94</v>
      </c>
      <c r="B95" s="70">
        <f t="shared" si="42"/>
        <v>141000</v>
      </c>
      <c r="C95" s="70">
        <f t="shared" si="29"/>
        <v>133.25747349709113</v>
      </c>
      <c r="D95" s="51" t="str">
        <f t="shared" si="30"/>
        <v>0.000883107730946835-0.0000510734402137928i</v>
      </c>
      <c r="E95" s="51" t="str">
        <f t="shared" si="31"/>
        <v>-0.254519586567639-0.188800829682434i</v>
      </c>
      <c r="F95" s="70" t="str">
        <f t="shared" si="32"/>
        <v>-0.000234410922462374-0.000153732281413933i</v>
      </c>
      <c r="G95" s="70" t="str">
        <f t="shared" si="33"/>
        <v>-0.0312370072874585-0.0204859754161645i</v>
      </c>
      <c r="H95" s="72">
        <f t="shared" si="34"/>
        <v>3.7355398713284152E-2</v>
      </c>
      <c r="I95" s="51" t="str">
        <f t="shared" si="35"/>
        <v>1.70528968646546-0.0031192029867983i</v>
      </c>
      <c r="J95" s="73" t="str">
        <f t="shared" si="36"/>
        <v>0.00565907903783178-0.0750136911655156i</v>
      </c>
      <c r="K95" s="73" t="str">
        <f t="shared" si="37"/>
        <v>0.00941638618857317-0.127937725704496i</v>
      </c>
      <c r="L95" s="73" t="str">
        <f t="shared" si="38"/>
        <v>-0.00291506882757629+0.00380348781420399i</v>
      </c>
      <c r="M95" s="70">
        <f t="shared" si="39"/>
        <v>-46.389497040260949</v>
      </c>
      <c r="N95" s="70">
        <f t="shared" si="40"/>
        <v>307.46727453208234</v>
      </c>
      <c r="O95" s="70">
        <f t="shared" si="28"/>
        <v>-52.532725467917658</v>
      </c>
    </row>
    <row r="96" spans="1:18" ht="15" x14ac:dyDescent="0.2">
      <c r="A96" s="71">
        <f t="shared" si="41"/>
        <v>95</v>
      </c>
      <c r="B96" s="70">
        <f t="shared" si="42"/>
        <v>142500</v>
      </c>
      <c r="C96" s="70">
        <f t="shared" si="29"/>
        <v>133.25747349709113</v>
      </c>
      <c r="D96" s="51" t="str">
        <f t="shared" si="30"/>
        <v>0.000883107676271872-0.0000505358250564133i</v>
      </c>
      <c r="E96" s="51" t="str">
        <f t="shared" si="31"/>
        <v>-0.250429376037459-0.18230490975907i</v>
      </c>
      <c r="F96" s="70" t="str">
        <f t="shared" si="32"/>
        <v>-0.000230369033369165-0.00014833921009387i</v>
      </c>
      <c r="G96" s="70" t="str">
        <f t="shared" si="33"/>
        <v>-0.030698395358742-0.0197673083576633i</v>
      </c>
      <c r="H96" s="72">
        <f t="shared" si="34"/>
        <v>3.6512161772600894E-2</v>
      </c>
      <c r="I96" s="51" t="str">
        <f t="shared" si="35"/>
        <v>1.70528968646545-0.00308636927114779i</v>
      </c>
      <c r="J96" s="73" t="str">
        <f t="shared" si="36"/>
        <v>0.00554122427512709-0.0742328708097688i</v>
      </c>
      <c r="K96" s="73" t="str">
        <f t="shared" si="37"/>
        <v>0.00922028255538986-0.126605651252948i</v>
      </c>
      <c r="L96" s="73" t="str">
        <f t="shared" si="38"/>
        <v>-0.00278570082734447+0.00370433016839683i</v>
      </c>
      <c r="M96" s="70">
        <f t="shared" si="39"/>
        <v>-46.679214244456887</v>
      </c>
      <c r="N96" s="70">
        <f t="shared" si="40"/>
        <v>306.94360592766884</v>
      </c>
      <c r="O96" s="70">
        <f t="shared" si="28"/>
        <v>-53.056394072331159</v>
      </c>
    </row>
    <row r="97" spans="1:18" ht="15" x14ac:dyDescent="0.2">
      <c r="A97" s="71">
        <f t="shared" si="41"/>
        <v>96</v>
      </c>
      <c r="B97" s="70">
        <f t="shared" si="42"/>
        <v>144000</v>
      </c>
      <c r="C97" s="70">
        <f t="shared" si="29"/>
        <v>133.25747349709113</v>
      </c>
      <c r="D97" s="51" t="str">
        <f t="shared" si="30"/>
        <v>0.000883107623296583-0.0000500094102147271i</v>
      </c>
      <c r="E97" s="51" t="str">
        <f t="shared" si="31"/>
        <v>-0.246387625758944-0.176095980292277i</v>
      </c>
      <c r="F97" s="70" t="str">
        <f t="shared" si="32"/>
        <v>-0.00022639324670927-0.000143190002779583i</v>
      </c>
      <c r="G97" s="70" t="str">
        <f t="shared" si="33"/>
        <v>-0.030168592073281-0.0190811380004487i</v>
      </c>
      <c r="H97" s="72">
        <f t="shared" si="34"/>
        <v>3.5696411235251656E-2</v>
      </c>
      <c r="I97" s="51" t="str">
        <f t="shared" si="35"/>
        <v>1.70528968646545-0.00305421959124i</v>
      </c>
      <c r="J97" s="73" t="str">
        <f t="shared" si="36"/>
        <v>0.00542700660642632-0.0734680488765023i</v>
      </c>
      <c r="K97" s="73" t="str">
        <f t="shared" si="37"/>
        <v>0.00903023084010987-0.125300881303738i</v>
      </c>
      <c r="L97" s="73" t="str">
        <f t="shared" si="38"/>
        <v>-0.0026633127582773+0.00360784409363903i</v>
      </c>
      <c r="M97" s="70">
        <f t="shared" si="39"/>
        <v>-46.965928133019773</v>
      </c>
      <c r="N97" s="70">
        <f t="shared" si="40"/>
        <v>306.43476663717587</v>
      </c>
      <c r="O97" s="70">
        <f t="shared" si="28"/>
        <v>-53.565233362824131</v>
      </c>
    </row>
    <row r="98" spans="1:18" ht="15" x14ac:dyDescent="0.2">
      <c r="A98" s="71">
        <f t="shared" si="41"/>
        <v>97</v>
      </c>
      <c r="B98" s="70">
        <f t="shared" si="42"/>
        <v>145500</v>
      </c>
      <c r="C98" s="70">
        <f t="shared" si="29"/>
        <v>133.25747349709113</v>
      </c>
      <c r="D98" s="51" t="str">
        <f t="shared" si="30"/>
        <v>0.000883107571951245-0.0000494938492872218i</v>
      </c>
      <c r="E98" s="51" t="str">
        <f t="shared" si="31"/>
        <v>-0.242397983147737-0.170159244212842i</v>
      </c>
      <c r="F98" s="70" t="str">
        <f>IMPRODUCT(D98,E98)</f>
        <v>-0.000222485330331375-0.000138271707756421i</v>
      </c>
      <c r="G98" s="70" t="str">
        <f>IMPRODUCT(C98,F98)</f>
        <v>-0.0296478330101248-0.0184257384317488i</v>
      </c>
      <c r="H98" s="72">
        <f>IMABS(G98)</f>
        <v>3.4907045692115946E-2</v>
      </c>
      <c r="I98" s="51" t="str">
        <f t="shared" si="35"/>
        <v>1.70528968646545-0.00302273279133031i</v>
      </c>
      <c r="J98" s="73" t="str">
        <f t="shared" si="36"/>
        <v>0.00531627816131669-0.0727187413795659i</v>
      </c>
      <c r="K98" s="73" t="str">
        <f>IMPRODUCT(I98,J98)</f>
        <v>0.00884598499476258-0.124022589375648i</v>
      </c>
      <c r="L98" s="73" t="str">
        <f>IMPRODUCT(G98,K98)</f>
        <v>-0.00254747207739867+0.00351400721360782i</v>
      </c>
      <c r="M98" s="70">
        <f>20*LOG(IMABS(L98))</f>
        <v>-47.249684193020023</v>
      </c>
      <c r="N98" s="70">
        <f t="shared" si="40"/>
        <v>305.94015439867002</v>
      </c>
      <c r="O98" s="70">
        <f t="shared" si="28"/>
        <v>-54.059845601329982</v>
      </c>
    </row>
    <row r="99" spans="1:18" ht="15" x14ac:dyDescent="0.2">
      <c r="A99" s="71">
        <f t="shared" si="41"/>
        <v>98</v>
      </c>
      <c r="B99" s="70">
        <f t="shared" si="42"/>
        <v>147000</v>
      </c>
      <c r="C99" s="70">
        <f t="shared" si="29"/>
        <v>133.25747349709113</v>
      </c>
      <c r="D99" s="51" t="str">
        <f t="shared" si="30"/>
        <v>0.000883107522169674-0.0000489888100112218i</v>
      </c>
      <c r="E99" s="51" t="str">
        <f t="shared" si="31"/>
        <v>-0.238463470296582-0.164480715716955i</v>
      </c>
      <c r="F99" s="70" t="str">
        <f>IMPRODUCT(D99,E99)</f>
        <v>-0.000218646598914364-0.000133572115660519i</v>
      </c>
      <c r="G99" s="70" t="str">
        <f>IMPRODUCT(C99,F99)</f>
        <v>-0.02913629336006-0.017799482662582i</v>
      </c>
      <c r="H99" s="72">
        <f>IMABS(G99)</f>
        <v>3.414301061445861E-2</v>
      </c>
      <c r="I99" s="51" t="str">
        <f t="shared" si="35"/>
        <v>1.70528968646546-0.00299188857917388i</v>
      </c>
      <c r="J99" s="73" t="str">
        <f t="shared" si="36"/>
        <v>0.0052088984954941-0.0719844835499828i</v>
      </c>
      <c r="K99" s="73" t="str">
        <f>IMPRODUCT(I99,J99)</f>
        <v>0.00866731132800062-0.122769981827247i</v>
      </c>
      <c r="L99" s="73" t="str">
        <f>IMPRODUCT(G99,K99)</f>
        <v>-0.00243777548851519+0.00342278854861396i</v>
      </c>
      <c r="M99" s="70">
        <f>20*LOG(IMABS(L99))</f>
        <v>-47.530528115495486</v>
      </c>
      <c r="N99" s="70">
        <f t="shared" si="40"/>
        <v>305.45919685785577</v>
      </c>
      <c r="O99" s="70">
        <f t="shared" si="28"/>
        <v>-54.540803142144227</v>
      </c>
    </row>
    <row r="100" spans="1:18" ht="15" x14ac:dyDescent="0.2">
      <c r="A100" s="71">
        <f t="shared" si="41"/>
        <v>99</v>
      </c>
      <c r="B100" s="70">
        <f>(fs*1000/2)*(A100/100)</f>
        <v>148500</v>
      </c>
      <c r="C100" s="70">
        <f t="shared" si="29"/>
        <v>133.25747349709113</v>
      </c>
      <c r="D100" s="51" t="str">
        <f t="shared" si="30"/>
        <v>0.000883107473888999-0.0000484939735488053i</v>
      </c>
      <c r="E100" s="51" t="str">
        <f t="shared" si="31"/>
        <v>-0.234586557851577-0.159047180025381i</v>
      </c>
      <c r="F100" s="70" t="str">
        <f>IMPRODUCT(D100,E100)</f>
        <v>-0.000214877972253785-0.000129079719050023i</v>
      </c>
      <c r="G100" s="70" t="str">
        <f>IMPRODUCT(C100,F100)</f>
        <v>-0.0286340956927174-0.0172008372403204i</v>
      </c>
      <c r="H100" s="72">
        <f>IMABS(G100)</f>
        <v>3.3403296811956903E-2</v>
      </c>
      <c r="I100" s="51" t="str">
        <f t="shared" si="35"/>
        <v>1.70528968646546-0.00296166748241455i</v>
      </c>
      <c r="J100" s="73" t="str">
        <f t="shared" si="36"/>
        <v>0.00510473414845469-0.0712648288970674i</v>
      </c>
      <c r="K100" s="73" t="str">
        <f>IMPRODUCT(I100,J100)</f>
        <v>0.00849398776912355-0.121542296251029i</v>
      </c>
      <c r="L100" s="73" t="str">
        <f>IMPRODUCT(G100,K100)</f>
        <v>-0.00233384691422261+0.0033341500404266i</v>
      </c>
      <c r="M100" s="70">
        <f>20*LOG(IMABS(L100))</f>
        <v>-47.808505647331721</v>
      </c>
      <c r="N100" s="70">
        <f t="shared" si="40"/>
        <v>304.99134994964663</v>
      </c>
      <c r="O100" s="70">
        <f t="shared" si="28"/>
        <v>-55.008650050353367</v>
      </c>
    </row>
    <row r="101" spans="1:18" ht="15" x14ac:dyDescent="0.2">
      <c r="A101" s="71">
        <f>1+A100</f>
        <v>100</v>
      </c>
      <c r="B101" s="70">
        <f>(fs*1000/2)*(A101/100)</f>
        <v>150000</v>
      </c>
      <c r="C101" s="70">
        <f t="shared" si="29"/>
        <v>133.25747349709113</v>
      </c>
      <c r="D101" s="51" t="str">
        <f t="shared" si="30"/>
        <v>0.000883107427049495-0.0000480090338155681i</v>
      </c>
      <c r="E101" s="51" t="str">
        <f t="shared" si="31"/>
        <v>-0.230769230769231-0.153846153846154i</v>
      </c>
      <c r="F101" s="70" t="str">
        <f>IMPRODUCT(D101,E101)</f>
        <v>-0.000211180026829202-0.000124783673280945i</v>
      </c>
      <c r="G101" s="70" t="str">
        <f>IMPRODUCT(C101,F101)</f>
        <v>-0.0281413168283074-0.0166283570351052i</v>
      </c>
      <c r="H101" s="72">
        <f>IMABS(G101)</f>
        <v>3.2686938836760319E-2</v>
      </c>
      <c r="I101" s="51" t="str">
        <f t="shared" si="35"/>
        <v>1.70528968646545-0.0029320508075904i</v>
      </c>
      <c r="J101" s="73" t="str">
        <f t="shared" si="36"/>
        <v>0.00500365823156677-0.0705593483237228i</v>
      </c>
      <c r="K101" s="73" t="str">
        <f>IMPRODUCT(I101,J101)</f>
        <v>0.00832580318265314-0.120338799960327i</v>
      </c>
      <c r="L101" s="73" t="str">
        <f>IMPRODUCT(G101,K101)</f>
        <v>-0.00223533559612959+0.0032480478684967i</v>
      </c>
      <c r="M101" s="70">
        <f>20*LOG(IMABS(L101))</f>
        <v>-48.08366246280535</v>
      </c>
      <c r="N101" s="70">
        <f t="shared" si="40"/>
        <v>304.53609636105432</v>
      </c>
      <c r="O101" s="70">
        <f t="shared" si="28"/>
        <v>-55.463903638945681</v>
      </c>
      <c r="P101" s="70">
        <v>-32.747</v>
      </c>
      <c r="Q101" s="70">
        <v>307.64999999999998</v>
      </c>
      <c r="R101" s="70">
        <f>B101</f>
        <v>150000</v>
      </c>
    </row>
  </sheetData>
  <phoneticPr fontId="21" type="noConversion"/>
  <pageMargins left="0.75" right="0.75" top="1" bottom="1" header="0.5" footer="0.5"/>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145"/>
  <sheetViews>
    <sheetView workbookViewId="0">
      <selection activeCell="C34" sqref="C34"/>
    </sheetView>
  </sheetViews>
  <sheetFormatPr defaultRowHeight="12.75" x14ac:dyDescent="0.2"/>
  <cols>
    <col min="1" max="1" width="9.140625" style="2"/>
    <col min="2" max="2" width="19.28515625" style="2" bestFit="1" customWidth="1"/>
    <col min="3" max="3" width="12.42578125" style="2" bestFit="1" customWidth="1"/>
    <col min="4" max="4" width="7.7109375" style="2" customWidth="1"/>
    <col min="5" max="8" width="8.7109375" style="3" customWidth="1"/>
    <col min="9" max="9" width="8.7109375" style="5" customWidth="1"/>
    <col min="10" max="11" width="9.140625" style="35"/>
    <col min="12" max="12" width="4.7109375" style="35" bestFit="1" customWidth="1"/>
    <col min="13" max="13" width="10.28515625" style="3" customWidth="1"/>
    <col min="14" max="14" width="9.140625" style="3"/>
    <col min="15" max="16384" width="9.140625" style="47"/>
  </cols>
  <sheetData>
    <row r="1" spans="1:14" ht="18.75" thickBot="1" x14ac:dyDescent="0.3">
      <c r="A1" s="45"/>
      <c r="B1" s="3"/>
      <c r="C1" s="3"/>
      <c r="D1" s="3"/>
      <c r="E1" s="4" t="s">
        <v>138</v>
      </c>
      <c r="J1" s="4" t="s">
        <v>139</v>
      </c>
      <c r="K1" s="6"/>
      <c r="L1" s="6"/>
      <c r="N1" s="6"/>
    </row>
    <row r="2" spans="1:14" ht="13.5" thickBot="1" x14ac:dyDescent="0.25">
      <c r="A2" s="3"/>
      <c r="B2" s="7" t="s">
        <v>140</v>
      </c>
      <c r="C2" s="8">
        <v>127</v>
      </c>
      <c r="D2" s="3"/>
      <c r="E2" s="111" t="s">
        <v>141</v>
      </c>
      <c r="F2" s="112"/>
      <c r="G2" s="113" t="s">
        <v>142</v>
      </c>
      <c r="H2" s="114"/>
      <c r="J2" s="9" t="s">
        <v>143</v>
      </c>
      <c r="K2" s="10">
        <v>1000</v>
      </c>
      <c r="L2" s="11" t="s">
        <v>62</v>
      </c>
      <c r="N2" s="20"/>
    </row>
    <row r="3" spans="1:14" ht="13.5" thickBot="1" x14ac:dyDescent="0.25">
      <c r="B3" s="3"/>
      <c r="C3" s="2" t="s">
        <v>19</v>
      </c>
      <c r="E3" s="12">
        <v>100</v>
      </c>
      <c r="F3" s="13">
        <v>150</v>
      </c>
      <c r="G3" s="14">
        <v>100</v>
      </c>
      <c r="H3" s="15">
        <v>102</v>
      </c>
      <c r="J3" s="9"/>
      <c r="K3" s="16">
        <f>IF(K2&lt;10000,sta*10^INT(LOG(K2)),stb*10^INT(LOG(K2)))</f>
        <v>1000</v>
      </c>
      <c r="L3" s="17" t="s">
        <v>62</v>
      </c>
      <c r="N3" s="24"/>
    </row>
    <row r="4" spans="1:14" ht="13.5" thickBot="1" x14ac:dyDescent="0.25">
      <c r="B4" s="18" t="s">
        <v>144</v>
      </c>
      <c r="C4" s="67">
        <f>(IF((10^(LOG(C2)-INT(LOG(C2)))*100)-VLOOKUP((10^(LOG(C2)-INT(LOG(C2)))*100),E6_s:E6_f,1)&lt;VLOOKUP((10^(LOG(C2)-INT(LOG(C2)))*100),E6_s:E6_f,2)-(10^(LOG(C2)-INT(LOG(C2)))*100),VLOOKUP((10^(LOG(C2)-INT(LOG(C2)))*100),E6_s:E6_f,1),VLOOKUP((10^(LOG(C2)-INT(LOG(C2)))*100),E6_s:E6_f,2)))*10^INT(LOG(C2))/100</f>
        <v>150</v>
      </c>
      <c r="E4" s="13">
        <v>150</v>
      </c>
      <c r="F4" s="12">
        <v>220</v>
      </c>
      <c r="G4" s="15">
        <v>102</v>
      </c>
      <c r="H4" s="14">
        <v>105</v>
      </c>
      <c r="J4" s="19"/>
      <c r="K4" s="20"/>
      <c r="L4" s="21"/>
      <c r="N4" s="24"/>
    </row>
    <row r="5" spans="1:14" ht="13.5" thickBot="1" x14ac:dyDescent="0.25">
      <c r="B5" s="22" t="s">
        <v>145</v>
      </c>
      <c r="C5" s="66">
        <f>(IF((10^(LOG(C2)-INT(LOG(C2)))*100)-VLOOKUP((10^(LOG(C2)-INT(LOG(C2)))*100),E12_s:E12_f,1)&lt;VLOOKUP((10^(LOG(C2)-INT(LOG(C2)))*100),E12_s:E12_f,2)-(10^(LOG(C2)-INT(LOG(C2)))*100),VLOOKUP((10^(LOG(C2)-INT(LOG(C2)))*100),E12_s:E12_f,1),VLOOKUP((10^(LOG(C2)-INT(LOG(C2)))*100),E12_s:E12_f,2)))*10^INT(LOG(C2))/100</f>
        <v>120</v>
      </c>
      <c r="E5" s="12">
        <v>220</v>
      </c>
      <c r="F5" s="13">
        <v>330</v>
      </c>
      <c r="G5" s="14">
        <v>105</v>
      </c>
      <c r="H5" s="15">
        <v>107</v>
      </c>
      <c r="J5" s="23" t="s">
        <v>146</v>
      </c>
      <c r="K5" s="24"/>
      <c r="L5" s="3"/>
      <c r="N5" s="24"/>
    </row>
    <row r="6" spans="1:14" ht="13.5" thickBot="1" x14ac:dyDescent="0.25">
      <c r="B6" s="22" t="s">
        <v>147</v>
      </c>
      <c r="C6" s="66">
        <f>(IF((10^(LOG(C2)-INT(LOG(C2)))*100)-VLOOKUP((10^(LOG(C2)-INT(LOG(C2)))*100),E24_s:E24_f,1)&lt;VLOOKUP((10^(LOG(C2)-INT(LOG(C2)))*100),E24_s:E24_f,2)-(10^(LOG(C2)-INT(LOG(C2)))*100),VLOOKUP((10^(LOG(C2)-INT(LOG(C2)))*100),E24_s:E24_f,1),VLOOKUP((10^(LOG(C2)-INT(LOG(C2)))*100),E24_s:E24_f,2)))*10^INT(LOG(C2))/100</f>
        <v>130</v>
      </c>
      <c r="E6" s="13">
        <v>330</v>
      </c>
      <c r="F6" s="12">
        <v>470</v>
      </c>
      <c r="G6" s="15">
        <v>107</v>
      </c>
      <c r="H6" s="14">
        <v>110</v>
      </c>
      <c r="J6" s="24">
        <v>1</v>
      </c>
      <c r="K6" s="24">
        <v>1.2</v>
      </c>
      <c r="L6" s="25">
        <f>IF((10^(LOG(K2)-INT(LOG(K2))))-VLOOKUP((10^(LOG(K2)-INT(LOG(K2)))),c_s1:C_f1,1)&lt;VLOOKUP((10^(LOG(K2)-INT(LOG(K2)))),c_s1:C_f1,2)-(10^(LOG(K2)-INT(LOG(K2)))),VLOOKUP((10^(LOG(K2)-INT(LOG(K2)))),c_s1:C_f1,1),VLOOKUP((10^(LOG(K2)-INT(LOG(K2)))),c_s1:C_f1,2))</f>
        <v>1</v>
      </c>
      <c r="N6" s="24"/>
    </row>
    <row r="7" spans="1:14" ht="13.5" thickBot="1" x14ac:dyDescent="0.25">
      <c r="B7" s="22" t="s">
        <v>148</v>
      </c>
      <c r="C7" s="66">
        <f>(IF((10^(LOG(C2)-INT(LOG(C2)))*100)-VLOOKUP((10^(LOG(C2)-INT(LOG(C2)))*100),E48_s:E48_f,1)&lt;VLOOKUP((10^(LOG(C2)-INT(LOG(C2)))*100),E48_s:E48_f,2)-(10^(LOG(C2)-INT(LOG(C2)))*100),VLOOKUP((10^(LOG(C2)-INT(LOG(C2)))*100),E48_s:E48_f,1),VLOOKUP((10^(LOG(C2)-INT(LOG(C2)))*100),E48_s:E48_f,2)))*10^INT(LOG(C2))/100</f>
        <v>127</v>
      </c>
      <c r="E7" s="12">
        <v>470</v>
      </c>
      <c r="F7" s="13">
        <v>680</v>
      </c>
      <c r="G7" s="14">
        <v>110</v>
      </c>
      <c r="H7" s="15">
        <v>113</v>
      </c>
      <c r="J7" s="24">
        <v>1.2</v>
      </c>
      <c r="K7" s="24">
        <v>1.5</v>
      </c>
      <c r="L7" s="26"/>
      <c r="N7" s="24"/>
    </row>
    <row r="8" spans="1:14" ht="13.5" thickBot="1" x14ac:dyDescent="0.25">
      <c r="B8" s="27" t="s">
        <v>149</v>
      </c>
      <c r="C8" s="68">
        <f>(IF((10^(LOG(C2)-INT(LOG(C2)))*100)-VLOOKUP((10^(LOG(C2)-INT(LOG(C2)))*100),E96_s:E96_f,1)&lt;VLOOKUP((10^(LOG(C2)-INT(LOG(C2)))*100),E96_s:E96_f,2)-(10^(LOG(C2)-INT(LOG(C2)))*100),VLOOKUP((10^(LOG(C2)-INT(LOG(C2)))*100),E96_s:E96_f,1),VLOOKUP((10^(LOG(C2)-INT(LOG(C2)))*100),E96_s:E96_f,2)))*10^INT(LOG(C2))/100</f>
        <v>127</v>
      </c>
      <c r="D8" s="3"/>
      <c r="E8" s="13">
        <v>680</v>
      </c>
      <c r="F8" s="13">
        <v>1000</v>
      </c>
      <c r="G8" s="15">
        <v>113</v>
      </c>
      <c r="H8" s="14">
        <v>115</v>
      </c>
      <c r="J8" s="24">
        <v>1.5</v>
      </c>
      <c r="K8" s="24">
        <v>1.8</v>
      </c>
      <c r="L8" s="26"/>
      <c r="N8" s="24"/>
    </row>
    <row r="9" spans="1:14" ht="13.5" thickBot="1" x14ac:dyDescent="0.25">
      <c r="E9" s="115" t="s">
        <v>150</v>
      </c>
      <c r="F9" s="116"/>
      <c r="G9" s="14">
        <v>115</v>
      </c>
      <c r="H9" s="15">
        <v>118</v>
      </c>
      <c r="J9" s="24">
        <v>1.8</v>
      </c>
      <c r="K9" s="24">
        <v>2.2000000000000002</v>
      </c>
      <c r="L9" s="29"/>
      <c r="N9" s="24"/>
    </row>
    <row r="10" spans="1:14" ht="13.5" thickBot="1" x14ac:dyDescent="0.25">
      <c r="E10" s="30">
        <v>100</v>
      </c>
      <c r="F10" s="31">
        <v>120</v>
      </c>
      <c r="G10" s="15">
        <v>118</v>
      </c>
      <c r="H10" s="14">
        <v>121</v>
      </c>
      <c r="J10" s="24">
        <v>2.2000000000000002</v>
      </c>
      <c r="K10" s="24">
        <v>2.7</v>
      </c>
      <c r="L10" s="3"/>
      <c r="N10" s="24"/>
    </row>
    <row r="11" spans="1:14" ht="13.5" thickBot="1" x14ac:dyDescent="0.25">
      <c r="E11" s="31">
        <v>120</v>
      </c>
      <c r="F11" s="31">
        <v>150</v>
      </c>
      <c r="G11" s="14">
        <v>121</v>
      </c>
      <c r="H11" s="15">
        <v>124</v>
      </c>
      <c r="J11" s="24">
        <v>2.7</v>
      </c>
      <c r="K11" s="24">
        <v>3.3</v>
      </c>
      <c r="L11" s="3"/>
      <c r="N11" s="24"/>
    </row>
    <row r="12" spans="1:14" ht="13.5" thickBot="1" x14ac:dyDescent="0.25">
      <c r="C12" s="34"/>
      <c r="E12" s="31">
        <v>150</v>
      </c>
      <c r="F12" s="31">
        <v>180</v>
      </c>
      <c r="G12" s="15">
        <v>124</v>
      </c>
      <c r="H12" s="14">
        <v>127</v>
      </c>
      <c r="J12" s="24">
        <v>3.3</v>
      </c>
      <c r="K12" s="24">
        <v>3.9</v>
      </c>
      <c r="L12" s="3"/>
      <c r="N12" s="24"/>
    </row>
    <row r="13" spans="1:14" ht="13.5" thickBot="1" x14ac:dyDescent="0.25">
      <c r="E13" s="31">
        <v>180</v>
      </c>
      <c r="F13" s="30">
        <v>220</v>
      </c>
      <c r="G13" s="14">
        <v>127</v>
      </c>
      <c r="H13" s="15">
        <v>130</v>
      </c>
      <c r="J13" s="24">
        <v>3.9</v>
      </c>
      <c r="K13" s="24">
        <v>4.7</v>
      </c>
      <c r="L13" s="3"/>
      <c r="N13" s="24"/>
    </row>
    <row r="14" spans="1:14" ht="13.5" thickBot="1" x14ac:dyDescent="0.25">
      <c r="D14" s="32"/>
      <c r="E14" s="30">
        <v>220</v>
      </c>
      <c r="F14" s="31">
        <v>270</v>
      </c>
      <c r="G14" s="15">
        <v>130</v>
      </c>
      <c r="H14" s="14">
        <v>133</v>
      </c>
      <c r="J14" s="24">
        <v>4.7</v>
      </c>
      <c r="K14" s="24">
        <v>5.6</v>
      </c>
      <c r="L14" s="3"/>
      <c r="N14" s="24"/>
    </row>
    <row r="15" spans="1:14" ht="13.5" thickBot="1" x14ac:dyDescent="0.25">
      <c r="A15" s="46"/>
      <c r="B15" s="33"/>
      <c r="D15" s="34"/>
      <c r="E15" s="31">
        <v>270</v>
      </c>
      <c r="F15" s="31">
        <v>330</v>
      </c>
      <c r="G15" s="14">
        <v>133</v>
      </c>
      <c r="H15" s="15">
        <v>137</v>
      </c>
      <c r="J15" s="24">
        <v>5.6</v>
      </c>
      <c r="K15" s="24">
        <v>6.8</v>
      </c>
      <c r="L15" s="3"/>
      <c r="N15" s="24"/>
    </row>
    <row r="16" spans="1:14" ht="13.5" thickBot="1" x14ac:dyDescent="0.25">
      <c r="A16" s="46"/>
      <c r="B16" s="33"/>
      <c r="D16" s="34"/>
      <c r="E16" s="31">
        <v>330</v>
      </c>
      <c r="F16" s="31">
        <v>390</v>
      </c>
      <c r="G16" s="15">
        <v>137</v>
      </c>
      <c r="H16" s="14">
        <v>140</v>
      </c>
      <c r="J16" s="24">
        <v>6.8</v>
      </c>
      <c r="K16" s="24">
        <v>8.1999999999999993</v>
      </c>
      <c r="L16" s="3"/>
      <c r="N16" s="24"/>
    </row>
    <row r="17" spans="1:14" ht="13.5" thickBot="1" x14ac:dyDescent="0.25">
      <c r="A17" s="46"/>
      <c r="B17" s="33"/>
      <c r="D17" s="34"/>
      <c r="E17" s="31">
        <v>390</v>
      </c>
      <c r="F17" s="30">
        <v>470</v>
      </c>
      <c r="G17" s="14">
        <v>140</v>
      </c>
      <c r="H17" s="15">
        <v>143</v>
      </c>
      <c r="J17" s="24">
        <v>8.1999999999999993</v>
      </c>
      <c r="K17" s="24">
        <v>10</v>
      </c>
      <c r="L17" s="3"/>
      <c r="N17" s="24"/>
    </row>
    <row r="18" spans="1:14" ht="13.5" thickBot="1" x14ac:dyDescent="0.25">
      <c r="A18" s="46"/>
      <c r="B18" s="33"/>
      <c r="D18" s="34"/>
      <c r="E18" s="30">
        <v>470</v>
      </c>
      <c r="F18" s="31">
        <v>560</v>
      </c>
      <c r="G18" s="15">
        <v>143</v>
      </c>
      <c r="H18" s="14">
        <v>147</v>
      </c>
      <c r="J18" s="23" t="s">
        <v>151</v>
      </c>
      <c r="K18" s="24"/>
      <c r="L18" s="24"/>
      <c r="N18" s="24"/>
    </row>
    <row r="19" spans="1:14" ht="13.5" thickBot="1" x14ac:dyDescent="0.25">
      <c r="A19" s="46"/>
      <c r="B19" s="33"/>
      <c r="D19" s="34"/>
      <c r="E19" s="31">
        <v>560</v>
      </c>
      <c r="F19" s="31">
        <v>680</v>
      </c>
      <c r="G19" s="14">
        <v>147</v>
      </c>
      <c r="H19" s="15">
        <v>150</v>
      </c>
      <c r="J19" s="24">
        <v>1</v>
      </c>
      <c r="K19" s="24">
        <v>1.5</v>
      </c>
      <c r="L19" s="25">
        <f>IF((10^(LOG(K2)-INT(LOG(K2))))-VLOOKUP((10^(LOG(K2)-INT(LOG(K2)))),C_s2:C_f2,1)&lt;VLOOKUP((10^(LOG(K2)-INT(LOG(K2)))),C_s2:C_f2,2)-(10^(LOG(K2)-INT(LOG(K2)))),VLOOKUP((10^(LOG(K2)-INT(LOG(K2)))),C_s2:C_f2,1),VLOOKUP((10^(LOG(K2)-INT(LOG(K2)))),C_s2:C_f2,2))</f>
        <v>1</v>
      </c>
      <c r="N19" s="24"/>
    </row>
    <row r="20" spans="1:14" ht="13.5" thickBot="1" x14ac:dyDescent="0.25">
      <c r="A20" s="46"/>
      <c r="B20" s="33"/>
      <c r="D20" s="34"/>
      <c r="E20" s="28">
        <v>680</v>
      </c>
      <c r="F20" s="31">
        <v>820</v>
      </c>
      <c r="G20" s="15">
        <v>150</v>
      </c>
      <c r="H20" s="14">
        <v>154</v>
      </c>
      <c r="J20" s="24">
        <v>1.5</v>
      </c>
      <c r="K20" s="24">
        <v>2.2000000000000002</v>
      </c>
      <c r="N20" s="24"/>
    </row>
    <row r="21" spans="1:14" ht="13.5" thickBot="1" x14ac:dyDescent="0.25">
      <c r="A21" s="46"/>
      <c r="B21" s="33"/>
      <c r="D21" s="34"/>
      <c r="E21" s="28">
        <v>820</v>
      </c>
      <c r="F21" s="31">
        <v>1000</v>
      </c>
      <c r="G21" s="14">
        <v>154</v>
      </c>
      <c r="H21" s="15">
        <v>158</v>
      </c>
      <c r="J21" s="24">
        <v>2.2000000000000002</v>
      </c>
      <c r="K21" s="24">
        <v>3.3</v>
      </c>
      <c r="L21" s="25"/>
      <c r="N21" s="24"/>
    </row>
    <row r="22" spans="1:14" ht="13.5" thickBot="1" x14ac:dyDescent="0.25">
      <c r="A22" s="46"/>
      <c r="B22" s="33"/>
      <c r="D22" s="34"/>
      <c r="E22" s="117" t="s">
        <v>152</v>
      </c>
      <c r="F22" s="118"/>
      <c r="G22" s="15">
        <v>158</v>
      </c>
      <c r="H22" s="14">
        <v>162</v>
      </c>
      <c r="J22" s="24">
        <v>3.3</v>
      </c>
      <c r="K22" s="24">
        <v>4.7</v>
      </c>
      <c r="L22" s="25"/>
      <c r="N22" s="24"/>
    </row>
    <row r="23" spans="1:14" ht="13.5" thickBot="1" x14ac:dyDescent="0.25">
      <c r="A23" s="46"/>
      <c r="B23" s="33"/>
      <c r="D23" s="34"/>
      <c r="E23" s="36">
        <v>100</v>
      </c>
      <c r="F23" s="37">
        <v>110</v>
      </c>
      <c r="G23" s="14">
        <v>162</v>
      </c>
      <c r="H23" s="15">
        <v>165</v>
      </c>
      <c r="J23" s="24">
        <v>4.7</v>
      </c>
      <c r="K23" s="24">
        <v>6.8</v>
      </c>
      <c r="L23" s="3"/>
    </row>
    <row r="24" spans="1:14" ht="13.5" thickBot="1" x14ac:dyDescent="0.25">
      <c r="A24" s="46"/>
      <c r="B24" s="33"/>
      <c r="D24" s="34"/>
      <c r="E24" s="37">
        <v>110</v>
      </c>
      <c r="F24" s="37">
        <v>120</v>
      </c>
      <c r="G24" s="15">
        <v>165</v>
      </c>
      <c r="H24" s="14">
        <v>169</v>
      </c>
      <c r="J24" s="24">
        <v>6.8</v>
      </c>
      <c r="K24" s="24">
        <v>10</v>
      </c>
      <c r="L24" s="3"/>
    </row>
    <row r="25" spans="1:14" ht="13.5" thickBot="1" x14ac:dyDescent="0.25">
      <c r="A25" s="46"/>
      <c r="B25" s="33"/>
      <c r="D25" s="34"/>
      <c r="E25" s="37">
        <v>120</v>
      </c>
      <c r="F25" s="37">
        <v>130</v>
      </c>
      <c r="G25" s="14">
        <v>169</v>
      </c>
      <c r="H25" s="15">
        <v>174</v>
      </c>
      <c r="J25" s="38"/>
      <c r="K25" s="38"/>
      <c r="L25" s="38"/>
    </row>
    <row r="26" spans="1:14" ht="13.5" thickBot="1" x14ac:dyDescent="0.25">
      <c r="A26" s="46"/>
      <c r="B26" s="33"/>
      <c r="D26" s="34"/>
      <c r="E26" s="37">
        <v>130</v>
      </c>
      <c r="F26" s="37">
        <v>150</v>
      </c>
      <c r="G26" s="15">
        <v>174</v>
      </c>
      <c r="H26" s="14">
        <v>178</v>
      </c>
      <c r="J26" s="38"/>
      <c r="K26" s="38"/>
      <c r="L26" s="38"/>
    </row>
    <row r="27" spans="1:14" ht="13.5" thickBot="1" x14ac:dyDescent="0.25">
      <c r="A27" s="46"/>
      <c r="B27" s="33"/>
      <c r="D27" s="34"/>
      <c r="E27" s="37">
        <v>150</v>
      </c>
      <c r="F27" s="37">
        <v>160</v>
      </c>
      <c r="G27" s="14">
        <v>178</v>
      </c>
      <c r="H27" s="15">
        <v>182</v>
      </c>
      <c r="I27" s="39"/>
      <c r="J27" s="38"/>
      <c r="K27" s="38"/>
      <c r="L27" s="38"/>
    </row>
    <row r="28" spans="1:14" ht="13.5" thickBot="1" x14ac:dyDescent="0.25">
      <c r="A28" s="46"/>
      <c r="B28" s="33"/>
      <c r="D28" s="34"/>
      <c r="E28" s="37">
        <v>160</v>
      </c>
      <c r="F28" s="37">
        <v>180</v>
      </c>
      <c r="G28" s="15">
        <v>182</v>
      </c>
      <c r="H28" s="14">
        <v>187</v>
      </c>
      <c r="I28" s="39"/>
      <c r="J28" s="38"/>
      <c r="K28" s="38"/>
      <c r="L28" s="38"/>
    </row>
    <row r="29" spans="1:14" ht="13.5" thickBot="1" x14ac:dyDescent="0.25">
      <c r="A29" s="46"/>
      <c r="B29" s="33"/>
      <c r="D29" s="34"/>
      <c r="E29" s="37">
        <v>180</v>
      </c>
      <c r="F29" s="40">
        <v>200</v>
      </c>
      <c r="G29" s="14">
        <v>187</v>
      </c>
      <c r="H29" s="15">
        <v>191</v>
      </c>
      <c r="I29" s="39"/>
      <c r="J29" s="38"/>
      <c r="K29" s="38"/>
      <c r="L29" s="38"/>
    </row>
    <row r="30" spans="1:14" ht="13.5" thickBot="1" x14ac:dyDescent="0.25">
      <c r="A30" s="46"/>
      <c r="B30" s="33"/>
      <c r="D30" s="34"/>
      <c r="E30" s="40">
        <v>200</v>
      </c>
      <c r="F30" s="36">
        <v>220</v>
      </c>
      <c r="G30" s="15">
        <v>191</v>
      </c>
      <c r="H30" s="14">
        <v>196</v>
      </c>
      <c r="I30" s="39"/>
      <c r="J30" s="38"/>
      <c r="K30" s="38"/>
      <c r="L30" s="38"/>
    </row>
    <row r="31" spans="1:14" ht="13.5" thickBot="1" x14ac:dyDescent="0.25">
      <c r="A31" s="46"/>
      <c r="B31" s="33"/>
      <c r="D31" s="34"/>
      <c r="E31" s="36">
        <v>220</v>
      </c>
      <c r="F31" s="37">
        <v>240</v>
      </c>
      <c r="G31" s="14">
        <v>196</v>
      </c>
      <c r="H31" s="15">
        <v>200</v>
      </c>
      <c r="I31" s="39"/>
      <c r="J31" s="38"/>
      <c r="K31" s="38"/>
      <c r="L31" s="38"/>
      <c r="N31" s="42"/>
    </row>
    <row r="32" spans="1:14" ht="13.5" thickBot="1" x14ac:dyDescent="0.25">
      <c r="A32" s="46"/>
      <c r="B32" s="33"/>
      <c r="D32" s="34"/>
      <c r="E32" s="37">
        <v>240</v>
      </c>
      <c r="F32" s="37">
        <v>270</v>
      </c>
      <c r="G32" s="15">
        <v>200</v>
      </c>
      <c r="H32" s="14">
        <v>205</v>
      </c>
      <c r="I32" s="39"/>
      <c r="J32" s="38"/>
      <c r="K32" s="38"/>
      <c r="L32" s="38"/>
      <c r="N32" s="42"/>
    </row>
    <row r="33" spans="1:14" s="42" customFormat="1" ht="13.5" thickBot="1" x14ac:dyDescent="0.25">
      <c r="A33" s="46"/>
      <c r="B33" s="33"/>
      <c r="C33" s="2"/>
      <c r="D33" s="34"/>
      <c r="E33" s="37">
        <v>270</v>
      </c>
      <c r="F33" s="37">
        <v>300</v>
      </c>
      <c r="G33" s="14">
        <v>205</v>
      </c>
      <c r="H33" s="15">
        <v>210</v>
      </c>
      <c r="I33" s="41"/>
      <c r="J33" s="38"/>
      <c r="K33" s="38"/>
      <c r="L33" s="38"/>
    </row>
    <row r="34" spans="1:14" s="42" customFormat="1" ht="13.5" thickBot="1" x14ac:dyDescent="0.25">
      <c r="E34" s="37">
        <v>300</v>
      </c>
      <c r="F34" s="37">
        <v>330</v>
      </c>
      <c r="G34" s="15">
        <v>210</v>
      </c>
      <c r="H34" s="14">
        <v>215</v>
      </c>
      <c r="I34" s="5"/>
      <c r="J34" s="38"/>
      <c r="K34" s="38"/>
      <c r="L34" s="38"/>
    </row>
    <row r="35" spans="1:14" s="42" customFormat="1" ht="13.5" thickBot="1" x14ac:dyDescent="0.25">
      <c r="E35" s="37">
        <v>330</v>
      </c>
      <c r="F35" s="37">
        <v>360</v>
      </c>
      <c r="G35" s="14">
        <v>215</v>
      </c>
      <c r="H35" s="15">
        <v>221</v>
      </c>
      <c r="I35" s="5"/>
      <c r="J35" s="38"/>
      <c r="K35" s="38"/>
      <c r="L35" s="38"/>
    </row>
    <row r="36" spans="1:14" s="42" customFormat="1" ht="13.5" thickBot="1" x14ac:dyDescent="0.25">
      <c r="E36" s="37">
        <v>360</v>
      </c>
      <c r="F36" s="37">
        <v>390</v>
      </c>
      <c r="G36" s="15">
        <v>221</v>
      </c>
      <c r="H36" s="14">
        <v>226</v>
      </c>
      <c r="I36" s="5"/>
      <c r="J36" s="38"/>
      <c r="K36" s="38"/>
      <c r="L36" s="38"/>
      <c r="N36" s="3"/>
    </row>
    <row r="37" spans="1:14" s="42" customFormat="1" ht="13.5" thickBot="1" x14ac:dyDescent="0.25">
      <c r="E37" s="37">
        <v>390</v>
      </c>
      <c r="F37" s="40">
        <v>430</v>
      </c>
      <c r="G37" s="14">
        <v>226</v>
      </c>
      <c r="H37" s="15">
        <v>232</v>
      </c>
      <c r="I37" s="39"/>
      <c r="J37" s="38"/>
      <c r="K37" s="38"/>
      <c r="L37" s="38"/>
      <c r="N37" s="3"/>
    </row>
    <row r="38" spans="1:14" ht="13.5" thickBot="1" x14ac:dyDescent="0.25">
      <c r="E38" s="40">
        <v>430</v>
      </c>
      <c r="F38" s="36">
        <v>470</v>
      </c>
      <c r="G38" s="15">
        <v>232</v>
      </c>
      <c r="H38" s="14">
        <v>237</v>
      </c>
      <c r="I38" s="39"/>
      <c r="J38" s="38"/>
      <c r="K38" s="38"/>
      <c r="L38" s="38"/>
    </row>
    <row r="39" spans="1:14" ht="13.5" thickBot="1" x14ac:dyDescent="0.25">
      <c r="E39" s="36">
        <v>470</v>
      </c>
      <c r="F39" s="37">
        <v>510</v>
      </c>
      <c r="G39" s="14">
        <v>237</v>
      </c>
      <c r="H39" s="15">
        <v>243</v>
      </c>
      <c r="I39" s="39"/>
      <c r="J39" s="38"/>
      <c r="K39" s="38"/>
      <c r="L39" s="38"/>
    </row>
    <row r="40" spans="1:14" ht="13.5" thickBot="1" x14ac:dyDescent="0.25">
      <c r="E40" s="37">
        <v>510</v>
      </c>
      <c r="F40" s="37">
        <v>560</v>
      </c>
      <c r="G40" s="15">
        <v>243</v>
      </c>
      <c r="H40" s="14">
        <v>249</v>
      </c>
      <c r="I40" s="39"/>
      <c r="J40" s="38"/>
      <c r="K40" s="38"/>
      <c r="L40" s="38"/>
    </row>
    <row r="41" spans="1:14" ht="13.5" thickBot="1" x14ac:dyDescent="0.25">
      <c r="E41" s="37">
        <v>560</v>
      </c>
      <c r="F41" s="37">
        <v>620</v>
      </c>
      <c r="G41" s="14">
        <v>249</v>
      </c>
      <c r="H41" s="15">
        <v>255</v>
      </c>
      <c r="I41" s="39"/>
      <c r="J41" s="38"/>
      <c r="K41" s="38"/>
      <c r="L41" s="38"/>
    </row>
    <row r="42" spans="1:14" ht="13.5" thickBot="1" x14ac:dyDescent="0.25">
      <c r="E42" s="37">
        <v>620</v>
      </c>
      <c r="F42" s="37">
        <v>680</v>
      </c>
      <c r="G42" s="15">
        <v>255</v>
      </c>
      <c r="H42" s="14">
        <v>261</v>
      </c>
      <c r="I42" s="39"/>
      <c r="J42" s="38"/>
      <c r="K42" s="38"/>
      <c r="L42" s="38"/>
    </row>
    <row r="43" spans="1:14" ht="13.5" thickBot="1" x14ac:dyDescent="0.25">
      <c r="E43" s="37">
        <v>680</v>
      </c>
      <c r="F43" s="37">
        <v>750</v>
      </c>
      <c r="G43" s="14">
        <v>261</v>
      </c>
      <c r="H43" s="15">
        <v>267</v>
      </c>
      <c r="I43" s="39"/>
      <c r="J43" s="38"/>
      <c r="K43" s="38"/>
      <c r="L43" s="38"/>
    </row>
    <row r="44" spans="1:14" ht="13.5" thickBot="1" x14ac:dyDescent="0.25">
      <c r="E44" s="37">
        <v>750</v>
      </c>
      <c r="F44" s="37">
        <v>820</v>
      </c>
      <c r="G44" s="15">
        <v>267</v>
      </c>
      <c r="H44" s="14">
        <v>274</v>
      </c>
      <c r="J44" s="38"/>
      <c r="K44" s="38"/>
      <c r="L44" s="38"/>
    </row>
    <row r="45" spans="1:14" ht="13.5" thickBot="1" x14ac:dyDescent="0.25">
      <c r="E45" s="37">
        <v>820</v>
      </c>
      <c r="F45" s="40">
        <v>910</v>
      </c>
      <c r="G45" s="14">
        <v>274</v>
      </c>
      <c r="H45" s="15">
        <v>280</v>
      </c>
      <c r="J45" s="38"/>
      <c r="K45" s="38"/>
      <c r="L45" s="38"/>
    </row>
    <row r="46" spans="1:14" ht="13.5" thickBot="1" x14ac:dyDescent="0.25">
      <c r="E46" s="40">
        <v>910</v>
      </c>
      <c r="F46" s="40">
        <v>1000</v>
      </c>
      <c r="G46" s="15">
        <v>280</v>
      </c>
      <c r="H46" s="14">
        <v>287</v>
      </c>
      <c r="J46" s="38"/>
      <c r="K46" s="38"/>
      <c r="L46" s="38"/>
    </row>
    <row r="47" spans="1:14" ht="13.5" thickBot="1" x14ac:dyDescent="0.25">
      <c r="E47" s="110" t="s">
        <v>153</v>
      </c>
      <c r="F47" s="110"/>
      <c r="G47" s="14">
        <v>287</v>
      </c>
      <c r="H47" s="15">
        <v>294</v>
      </c>
      <c r="J47" s="38"/>
      <c r="K47" s="38"/>
      <c r="L47" s="38"/>
    </row>
    <row r="48" spans="1:14" ht="13.5" thickBot="1" x14ac:dyDescent="0.25">
      <c r="E48" s="43">
        <v>100</v>
      </c>
      <c r="F48" s="43">
        <v>105</v>
      </c>
      <c r="G48" s="15">
        <v>294</v>
      </c>
      <c r="H48" s="14">
        <v>301</v>
      </c>
      <c r="J48" s="38"/>
      <c r="K48" s="38"/>
      <c r="L48" s="38"/>
    </row>
    <row r="49" spans="5:12" ht="13.5" thickBot="1" x14ac:dyDescent="0.25">
      <c r="E49" s="43">
        <v>105</v>
      </c>
      <c r="F49" s="43">
        <v>110</v>
      </c>
      <c r="G49" s="14">
        <v>301</v>
      </c>
      <c r="H49" s="15">
        <v>309</v>
      </c>
      <c r="J49" s="38"/>
      <c r="K49" s="38"/>
      <c r="L49" s="38"/>
    </row>
    <row r="50" spans="5:12" ht="13.5" thickBot="1" x14ac:dyDescent="0.25">
      <c r="E50" s="43">
        <v>110</v>
      </c>
      <c r="F50" s="43">
        <v>115</v>
      </c>
      <c r="G50" s="15">
        <v>309</v>
      </c>
      <c r="H50" s="14">
        <v>316</v>
      </c>
      <c r="J50" s="38"/>
      <c r="K50" s="38"/>
      <c r="L50" s="38"/>
    </row>
    <row r="51" spans="5:12" ht="13.5" thickBot="1" x14ac:dyDescent="0.25">
      <c r="E51" s="43">
        <v>115</v>
      </c>
      <c r="F51" s="43">
        <v>121</v>
      </c>
      <c r="G51" s="14">
        <v>316</v>
      </c>
      <c r="H51" s="15">
        <v>324</v>
      </c>
      <c r="J51" s="38"/>
      <c r="K51" s="38"/>
      <c r="L51" s="38"/>
    </row>
    <row r="52" spans="5:12" ht="13.5" thickBot="1" x14ac:dyDescent="0.25">
      <c r="E52" s="43">
        <v>121</v>
      </c>
      <c r="F52" s="43">
        <v>127</v>
      </c>
      <c r="G52" s="15">
        <v>324</v>
      </c>
      <c r="H52" s="14">
        <v>332</v>
      </c>
      <c r="J52" s="38"/>
      <c r="K52" s="38"/>
      <c r="L52" s="38"/>
    </row>
    <row r="53" spans="5:12" ht="13.5" thickBot="1" x14ac:dyDescent="0.25">
      <c r="E53" s="43">
        <v>127</v>
      </c>
      <c r="F53" s="43">
        <v>133</v>
      </c>
      <c r="G53" s="14">
        <v>332</v>
      </c>
      <c r="H53" s="15">
        <v>340</v>
      </c>
      <c r="J53" s="38"/>
      <c r="K53" s="38"/>
      <c r="L53" s="38"/>
    </row>
    <row r="54" spans="5:12" ht="13.5" thickBot="1" x14ac:dyDescent="0.25">
      <c r="E54" s="43">
        <v>133</v>
      </c>
      <c r="F54" s="43">
        <v>140</v>
      </c>
      <c r="G54" s="15">
        <v>340</v>
      </c>
      <c r="H54" s="14">
        <v>348</v>
      </c>
      <c r="J54" s="38"/>
      <c r="K54" s="38"/>
      <c r="L54" s="38"/>
    </row>
    <row r="55" spans="5:12" ht="13.5" thickBot="1" x14ac:dyDescent="0.25">
      <c r="E55" s="43">
        <v>140</v>
      </c>
      <c r="F55" s="43">
        <v>147</v>
      </c>
      <c r="G55" s="14">
        <v>348</v>
      </c>
      <c r="H55" s="15">
        <v>357</v>
      </c>
      <c r="J55" s="38"/>
      <c r="K55" s="38"/>
      <c r="L55" s="38"/>
    </row>
    <row r="56" spans="5:12" ht="13.5" thickBot="1" x14ac:dyDescent="0.25">
      <c r="E56" s="43">
        <v>147</v>
      </c>
      <c r="F56" s="43">
        <v>154</v>
      </c>
      <c r="G56" s="15">
        <v>357</v>
      </c>
      <c r="H56" s="14">
        <v>365</v>
      </c>
      <c r="J56" s="38"/>
      <c r="K56" s="38"/>
      <c r="L56" s="38"/>
    </row>
    <row r="57" spans="5:12" ht="13.5" thickBot="1" x14ac:dyDescent="0.25">
      <c r="E57" s="43">
        <v>154</v>
      </c>
      <c r="F57" s="43">
        <v>162</v>
      </c>
      <c r="G57" s="14">
        <v>365</v>
      </c>
      <c r="H57" s="15">
        <v>374</v>
      </c>
      <c r="J57" s="38"/>
      <c r="K57" s="38"/>
      <c r="L57" s="38"/>
    </row>
    <row r="58" spans="5:12" ht="13.5" thickBot="1" x14ac:dyDescent="0.25">
      <c r="E58" s="43">
        <v>162</v>
      </c>
      <c r="F58" s="43">
        <v>169</v>
      </c>
      <c r="G58" s="15">
        <v>374</v>
      </c>
      <c r="H58" s="14">
        <v>383</v>
      </c>
      <c r="J58" s="38"/>
      <c r="K58" s="38"/>
      <c r="L58" s="38"/>
    </row>
    <row r="59" spans="5:12" ht="13.5" thickBot="1" x14ac:dyDescent="0.25">
      <c r="E59" s="43">
        <v>169</v>
      </c>
      <c r="F59" s="43">
        <v>178</v>
      </c>
      <c r="G59" s="14">
        <v>383</v>
      </c>
      <c r="H59" s="15">
        <v>392</v>
      </c>
      <c r="J59" s="38"/>
      <c r="K59" s="38"/>
      <c r="L59" s="38"/>
    </row>
    <row r="60" spans="5:12" ht="13.5" thickBot="1" x14ac:dyDescent="0.25">
      <c r="E60" s="43">
        <v>178</v>
      </c>
      <c r="F60" s="43">
        <v>187</v>
      </c>
      <c r="G60" s="15">
        <v>392</v>
      </c>
      <c r="H60" s="14">
        <v>402</v>
      </c>
      <c r="J60" s="38"/>
      <c r="K60" s="38"/>
      <c r="L60" s="38"/>
    </row>
    <row r="61" spans="5:12" ht="13.5" thickBot="1" x14ac:dyDescent="0.25">
      <c r="E61" s="43">
        <v>187</v>
      </c>
      <c r="F61" s="43">
        <v>196</v>
      </c>
      <c r="G61" s="14">
        <v>402</v>
      </c>
      <c r="H61" s="15">
        <v>412</v>
      </c>
      <c r="J61" s="38"/>
      <c r="K61" s="38"/>
      <c r="L61" s="38"/>
    </row>
    <row r="62" spans="5:12" ht="13.5" thickBot="1" x14ac:dyDescent="0.25">
      <c r="E62" s="43">
        <v>196</v>
      </c>
      <c r="F62" s="43">
        <v>205</v>
      </c>
      <c r="G62" s="15">
        <v>412</v>
      </c>
      <c r="H62" s="14">
        <v>422</v>
      </c>
      <c r="J62" s="38"/>
      <c r="K62" s="38"/>
      <c r="L62" s="38"/>
    </row>
    <row r="63" spans="5:12" ht="13.5" thickBot="1" x14ac:dyDescent="0.25">
      <c r="E63" s="43">
        <v>205</v>
      </c>
      <c r="F63" s="43">
        <v>215</v>
      </c>
      <c r="G63" s="14">
        <v>422</v>
      </c>
      <c r="H63" s="15">
        <v>432</v>
      </c>
      <c r="J63" s="38"/>
      <c r="K63" s="38"/>
      <c r="L63" s="38"/>
    </row>
    <row r="64" spans="5:12" ht="13.5" thickBot="1" x14ac:dyDescent="0.25">
      <c r="E64" s="43">
        <v>215</v>
      </c>
      <c r="F64" s="43">
        <v>226</v>
      </c>
      <c r="G64" s="15">
        <v>432</v>
      </c>
      <c r="H64" s="14">
        <v>442</v>
      </c>
      <c r="J64" s="38"/>
      <c r="K64" s="38"/>
      <c r="L64" s="38"/>
    </row>
    <row r="65" spans="5:12" ht="13.5" thickBot="1" x14ac:dyDescent="0.25">
      <c r="E65" s="43">
        <v>226</v>
      </c>
      <c r="F65" s="43">
        <v>237</v>
      </c>
      <c r="G65" s="14">
        <v>442</v>
      </c>
      <c r="H65" s="15">
        <v>453</v>
      </c>
      <c r="J65" s="38"/>
      <c r="K65" s="38"/>
      <c r="L65" s="38"/>
    </row>
    <row r="66" spans="5:12" ht="13.5" thickBot="1" x14ac:dyDescent="0.25">
      <c r="E66" s="43">
        <v>237</v>
      </c>
      <c r="F66" s="43">
        <v>249</v>
      </c>
      <c r="G66" s="15">
        <v>453</v>
      </c>
      <c r="H66" s="14">
        <v>464</v>
      </c>
      <c r="J66" s="38"/>
      <c r="K66" s="38"/>
      <c r="L66" s="38"/>
    </row>
    <row r="67" spans="5:12" ht="13.5" thickBot="1" x14ac:dyDescent="0.25">
      <c r="E67" s="43">
        <v>249</v>
      </c>
      <c r="F67" s="43">
        <v>261</v>
      </c>
      <c r="G67" s="14">
        <v>464</v>
      </c>
      <c r="H67" s="15">
        <v>475</v>
      </c>
      <c r="J67" s="38"/>
      <c r="K67" s="38"/>
      <c r="L67" s="38"/>
    </row>
    <row r="68" spans="5:12" ht="13.5" thickBot="1" x14ac:dyDescent="0.25">
      <c r="E68" s="43">
        <v>261</v>
      </c>
      <c r="F68" s="43">
        <v>274</v>
      </c>
      <c r="G68" s="15">
        <v>475</v>
      </c>
      <c r="H68" s="14">
        <v>487</v>
      </c>
      <c r="J68" s="38"/>
      <c r="K68" s="38"/>
      <c r="L68" s="38"/>
    </row>
    <row r="69" spans="5:12" ht="13.5" thickBot="1" x14ac:dyDescent="0.25">
      <c r="E69" s="43">
        <v>274</v>
      </c>
      <c r="F69" s="43">
        <v>287</v>
      </c>
      <c r="G69" s="14">
        <v>487</v>
      </c>
      <c r="H69" s="15">
        <v>499</v>
      </c>
      <c r="J69" s="38"/>
      <c r="K69" s="38"/>
      <c r="L69" s="38"/>
    </row>
    <row r="70" spans="5:12" ht="13.5" thickBot="1" x14ac:dyDescent="0.25">
      <c r="E70" s="43">
        <v>287</v>
      </c>
      <c r="F70" s="43">
        <v>301</v>
      </c>
      <c r="G70" s="15">
        <v>499</v>
      </c>
      <c r="H70" s="14">
        <v>511</v>
      </c>
      <c r="J70" s="38"/>
      <c r="K70" s="38"/>
      <c r="L70" s="38"/>
    </row>
    <row r="71" spans="5:12" ht="13.5" thickBot="1" x14ac:dyDescent="0.25">
      <c r="E71" s="43">
        <v>301</v>
      </c>
      <c r="F71" s="43">
        <v>316</v>
      </c>
      <c r="G71" s="14">
        <v>511</v>
      </c>
      <c r="H71" s="15">
        <v>523</v>
      </c>
      <c r="J71" s="38"/>
      <c r="K71" s="38"/>
      <c r="L71" s="38"/>
    </row>
    <row r="72" spans="5:12" ht="13.5" thickBot="1" x14ac:dyDescent="0.25">
      <c r="E72" s="43">
        <v>316</v>
      </c>
      <c r="F72" s="43">
        <v>332</v>
      </c>
      <c r="G72" s="15">
        <v>523</v>
      </c>
      <c r="H72" s="14">
        <v>536</v>
      </c>
      <c r="J72" s="38"/>
      <c r="K72" s="38"/>
      <c r="L72" s="38"/>
    </row>
    <row r="73" spans="5:12" ht="13.5" thickBot="1" x14ac:dyDescent="0.25">
      <c r="E73" s="43">
        <v>332</v>
      </c>
      <c r="F73" s="43">
        <v>348</v>
      </c>
      <c r="G73" s="14">
        <v>536</v>
      </c>
      <c r="H73" s="15">
        <v>549</v>
      </c>
      <c r="J73" s="38"/>
      <c r="K73" s="38"/>
      <c r="L73" s="38"/>
    </row>
    <row r="74" spans="5:12" ht="13.5" thickBot="1" x14ac:dyDescent="0.25">
      <c r="E74" s="43">
        <v>348</v>
      </c>
      <c r="F74" s="43">
        <v>365</v>
      </c>
      <c r="G74" s="15">
        <v>549</v>
      </c>
      <c r="H74" s="14">
        <v>562</v>
      </c>
      <c r="J74" s="38"/>
      <c r="K74" s="38"/>
      <c r="L74" s="38"/>
    </row>
    <row r="75" spans="5:12" ht="13.5" thickBot="1" x14ac:dyDescent="0.25">
      <c r="E75" s="43">
        <v>365</v>
      </c>
      <c r="F75" s="43">
        <v>383</v>
      </c>
      <c r="G75" s="14">
        <v>562</v>
      </c>
      <c r="H75" s="15">
        <v>576</v>
      </c>
      <c r="J75" s="44"/>
      <c r="K75" s="44"/>
      <c r="L75" s="44"/>
    </row>
    <row r="76" spans="5:12" ht="13.5" thickBot="1" x14ac:dyDescent="0.25">
      <c r="E76" s="43">
        <v>383</v>
      </c>
      <c r="F76" s="43">
        <v>402</v>
      </c>
      <c r="G76" s="15">
        <v>576</v>
      </c>
      <c r="H76" s="14">
        <v>590</v>
      </c>
      <c r="J76" s="44"/>
      <c r="K76" s="44"/>
      <c r="L76" s="44"/>
    </row>
    <row r="77" spans="5:12" ht="13.5" thickBot="1" x14ac:dyDescent="0.25">
      <c r="E77" s="43">
        <v>402</v>
      </c>
      <c r="F77" s="43">
        <v>422</v>
      </c>
      <c r="G77" s="14">
        <v>590</v>
      </c>
      <c r="H77" s="15">
        <v>604</v>
      </c>
      <c r="J77" s="44"/>
      <c r="K77" s="44"/>
      <c r="L77" s="44"/>
    </row>
    <row r="78" spans="5:12" ht="13.5" thickBot="1" x14ac:dyDescent="0.25">
      <c r="E78" s="43">
        <v>422</v>
      </c>
      <c r="F78" s="43">
        <v>442</v>
      </c>
      <c r="G78" s="15">
        <v>604</v>
      </c>
      <c r="H78" s="14">
        <v>619</v>
      </c>
      <c r="J78" s="44"/>
      <c r="K78" s="44"/>
      <c r="L78" s="44"/>
    </row>
    <row r="79" spans="5:12" ht="13.5" thickBot="1" x14ac:dyDescent="0.25">
      <c r="E79" s="43">
        <v>442</v>
      </c>
      <c r="F79" s="43">
        <v>464</v>
      </c>
      <c r="G79" s="14">
        <v>619</v>
      </c>
      <c r="H79" s="15">
        <v>634</v>
      </c>
      <c r="J79" s="44"/>
      <c r="K79" s="44"/>
      <c r="L79" s="44"/>
    </row>
    <row r="80" spans="5:12" ht="13.5" thickBot="1" x14ac:dyDescent="0.25">
      <c r="E80" s="43">
        <v>464</v>
      </c>
      <c r="F80" s="43">
        <v>487</v>
      </c>
      <c r="G80" s="15">
        <v>634</v>
      </c>
      <c r="H80" s="14">
        <v>649</v>
      </c>
      <c r="J80" s="44"/>
      <c r="K80" s="44"/>
      <c r="L80" s="44"/>
    </row>
    <row r="81" spans="5:12" ht="13.5" thickBot="1" x14ac:dyDescent="0.25">
      <c r="E81" s="43">
        <v>487</v>
      </c>
      <c r="F81" s="43">
        <v>511</v>
      </c>
      <c r="G81" s="14">
        <v>649</v>
      </c>
      <c r="H81" s="15">
        <v>665</v>
      </c>
      <c r="J81" s="44"/>
      <c r="K81" s="44"/>
      <c r="L81" s="44"/>
    </row>
    <row r="82" spans="5:12" ht="13.5" thickBot="1" x14ac:dyDescent="0.25">
      <c r="E82" s="43">
        <v>511</v>
      </c>
      <c r="F82" s="43">
        <v>536</v>
      </c>
      <c r="G82" s="15">
        <v>665</v>
      </c>
      <c r="H82" s="14">
        <v>681</v>
      </c>
      <c r="J82" s="44"/>
      <c r="K82" s="44"/>
      <c r="L82" s="44"/>
    </row>
    <row r="83" spans="5:12" ht="13.5" thickBot="1" x14ac:dyDescent="0.25">
      <c r="E83" s="43">
        <v>536</v>
      </c>
      <c r="F83" s="43">
        <v>562</v>
      </c>
      <c r="G83" s="14">
        <v>681</v>
      </c>
      <c r="H83" s="15">
        <v>698</v>
      </c>
      <c r="J83" s="44"/>
      <c r="K83" s="44"/>
      <c r="L83" s="44"/>
    </row>
    <row r="84" spans="5:12" ht="13.5" thickBot="1" x14ac:dyDescent="0.25">
      <c r="E84" s="43">
        <v>562</v>
      </c>
      <c r="F84" s="43">
        <v>590</v>
      </c>
      <c r="G84" s="15">
        <v>698</v>
      </c>
      <c r="H84" s="14">
        <v>715</v>
      </c>
      <c r="J84" s="44"/>
      <c r="K84" s="44"/>
      <c r="L84" s="44"/>
    </row>
    <row r="85" spans="5:12" ht="13.5" thickBot="1" x14ac:dyDescent="0.25">
      <c r="E85" s="43">
        <v>590</v>
      </c>
      <c r="F85" s="43">
        <v>619</v>
      </c>
      <c r="G85" s="14">
        <v>715</v>
      </c>
      <c r="H85" s="15">
        <v>732</v>
      </c>
      <c r="J85" s="44"/>
      <c r="K85" s="44"/>
      <c r="L85" s="44"/>
    </row>
    <row r="86" spans="5:12" ht="13.5" thickBot="1" x14ac:dyDescent="0.25">
      <c r="E86" s="43">
        <v>619</v>
      </c>
      <c r="F86" s="43">
        <v>649</v>
      </c>
      <c r="G86" s="15">
        <v>732</v>
      </c>
      <c r="H86" s="14">
        <v>750</v>
      </c>
      <c r="J86" s="44"/>
      <c r="K86" s="44"/>
      <c r="L86" s="44"/>
    </row>
    <row r="87" spans="5:12" ht="13.5" thickBot="1" x14ac:dyDescent="0.25">
      <c r="E87" s="43">
        <v>649</v>
      </c>
      <c r="F87" s="43">
        <v>681</v>
      </c>
      <c r="G87" s="14">
        <v>750</v>
      </c>
      <c r="H87" s="15">
        <v>768</v>
      </c>
      <c r="J87" s="44"/>
      <c r="K87" s="44"/>
      <c r="L87" s="44"/>
    </row>
    <row r="88" spans="5:12" ht="13.5" thickBot="1" x14ac:dyDescent="0.25">
      <c r="E88" s="43">
        <v>681</v>
      </c>
      <c r="F88" s="43">
        <v>715</v>
      </c>
      <c r="G88" s="15">
        <v>768</v>
      </c>
      <c r="H88" s="14">
        <v>787</v>
      </c>
      <c r="J88" s="44"/>
      <c r="K88" s="44"/>
      <c r="L88" s="44"/>
    </row>
    <row r="89" spans="5:12" ht="13.5" thickBot="1" x14ac:dyDescent="0.25">
      <c r="E89" s="43">
        <v>715</v>
      </c>
      <c r="F89" s="43">
        <v>750</v>
      </c>
      <c r="G89" s="14">
        <v>787</v>
      </c>
      <c r="H89" s="15">
        <v>806</v>
      </c>
      <c r="J89" s="44"/>
      <c r="K89" s="44"/>
      <c r="L89" s="44"/>
    </row>
    <row r="90" spans="5:12" ht="13.5" thickBot="1" x14ac:dyDescent="0.25">
      <c r="E90" s="43">
        <v>750</v>
      </c>
      <c r="F90" s="43">
        <v>787</v>
      </c>
      <c r="G90" s="15">
        <v>806</v>
      </c>
      <c r="H90" s="14">
        <v>825</v>
      </c>
      <c r="J90" s="44"/>
      <c r="K90" s="44"/>
      <c r="L90" s="44"/>
    </row>
    <row r="91" spans="5:12" ht="13.5" thickBot="1" x14ac:dyDescent="0.25">
      <c r="E91" s="43">
        <v>787</v>
      </c>
      <c r="F91" s="43">
        <v>825</v>
      </c>
      <c r="G91" s="14">
        <v>825</v>
      </c>
      <c r="H91" s="15">
        <v>845</v>
      </c>
      <c r="J91" s="44"/>
      <c r="K91" s="44"/>
      <c r="L91" s="44"/>
    </row>
    <row r="92" spans="5:12" ht="13.5" thickBot="1" x14ac:dyDescent="0.25">
      <c r="E92" s="43">
        <v>825</v>
      </c>
      <c r="F92" s="43">
        <v>866</v>
      </c>
      <c r="G92" s="15">
        <v>845</v>
      </c>
      <c r="H92" s="14">
        <v>866</v>
      </c>
      <c r="J92" s="44"/>
      <c r="K92" s="44"/>
      <c r="L92" s="44"/>
    </row>
    <row r="93" spans="5:12" ht="13.5" thickBot="1" x14ac:dyDescent="0.25">
      <c r="E93" s="43">
        <v>866</v>
      </c>
      <c r="F93" s="43">
        <v>909</v>
      </c>
      <c r="G93" s="14">
        <v>866</v>
      </c>
      <c r="H93" s="15">
        <v>887</v>
      </c>
      <c r="J93" s="44"/>
      <c r="K93" s="44"/>
      <c r="L93" s="44"/>
    </row>
    <row r="94" spans="5:12" ht="13.5" thickBot="1" x14ac:dyDescent="0.25">
      <c r="E94" s="43">
        <v>909</v>
      </c>
      <c r="F94" s="43">
        <v>953</v>
      </c>
      <c r="G94" s="15">
        <v>887</v>
      </c>
      <c r="H94" s="14">
        <v>909</v>
      </c>
      <c r="J94" s="44"/>
      <c r="K94" s="44"/>
      <c r="L94" s="44"/>
    </row>
    <row r="95" spans="5:12" ht="13.5" thickBot="1" x14ac:dyDescent="0.25">
      <c r="E95" s="43">
        <v>953</v>
      </c>
      <c r="F95" s="43">
        <v>1000</v>
      </c>
      <c r="G95" s="14">
        <v>909</v>
      </c>
      <c r="H95" s="15">
        <v>931</v>
      </c>
      <c r="J95" s="44"/>
      <c r="K95" s="44"/>
      <c r="L95" s="44"/>
    </row>
    <row r="96" spans="5:12" ht="13.5" thickBot="1" x14ac:dyDescent="0.25">
      <c r="G96" s="15">
        <v>931</v>
      </c>
      <c r="H96" s="14">
        <v>953</v>
      </c>
      <c r="J96" s="44"/>
      <c r="K96" s="44"/>
      <c r="L96" s="44"/>
    </row>
    <row r="97" spans="7:12" ht="13.5" thickBot="1" x14ac:dyDescent="0.25">
      <c r="G97" s="14">
        <v>953</v>
      </c>
      <c r="H97" s="15">
        <v>976</v>
      </c>
      <c r="J97" s="44"/>
      <c r="K97" s="44"/>
      <c r="L97" s="44"/>
    </row>
    <row r="98" spans="7:12" ht="13.5" thickBot="1" x14ac:dyDescent="0.25">
      <c r="G98" s="15">
        <v>976</v>
      </c>
      <c r="H98" s="15">
        <v>1000</v>
      </c>
      <c r="J98" s="44"/>
      <c r="K98" s="44"/>
      <c r="L98" s="44"/>
    </row>
    <row r="99" spans="7:12" x14ac:dyDescent="0.2">
      <c r="J99" s="44"/>
      <c r="K99" s="44"/>
      <c r="L99" s="44"/>
    </row>
    <row r="100" spans="7:12" x14ac:dyDescent="0.2">
      <c r="J100" s="44"/>
      <c r="K100" s="44"/>
      <c r="L100" s="44"/>
    </row>
    <row r="101" spans="7:12" x14ac:dyDescent="0.2">
      <c r="J101" s="44"/>
      <c r="K101" s="44"/>
      <c r="L101" s="44"/>
    </row>
    <row r="102" spans="7:12" x14ac:dyDescent="0.2">
      <c r="J102" s="44"/>
      <c r="K102" s="44"/>
      <c r="L102" s="44"/>
    </row>
    <row r="103" spans="7:12" x14ac:dyDescent="0.2">
      <c r="J103" s="44"/>
      <c r="K103" s="44"/>
      <c r="L103" s="44"/>
    </row>
    <row r="104" spans="7:12" x14ac:dyDescent="0.2">
      <c r="J104" s="44"/>
      <c r="K104" s="44"/>
      <c r="L104" s="44"/>
    </row>
    <row r="105" spans="7:12" x14ac:dyDescent="0.2">
      <c r="J105" s="44"/>
      <c r="K105" s="44"/>
      <c r="L105" s="44"/>
    </row>
    <row r="106" spans="7:12" x14ac:dyDescent="0.2">
      <c r="J106" s="44"/>
      <c r="K106" s="44"/>
      <c r="L106" s="44"/>
    </row>
    <row r="107" spans="7:12" x14ac:dyDescent="0.2">
      <c r="J107" s="44"/>
      <c r="K107" s="44"/>
      <c r="L107" s="44"/>
    </row>
    <row r="108" spans="7:12" x14ac:dyDescent="0.2">
      <c r="J108" s="44"/>
      <c r="K108" s="44"/>
      <c r="L108" s="44"/>
    </row>
    <row r="109" spans="7:12" x14ac:dyDescent="0.2">
      <c r="J109" s="44"/>
      <c r="K109" s="44"/>
      <c r="L109" s="44"/>
    </row>
    <row r="110" spans="7:12" x14ac:dyDescent="0.2">
      <c r="J110" s="44"/>
      <c r="K110" s="44"/>
      <c r="L110" s="44"/>
    </row>
    <row r="111" spans="7:12" x14ac:dyDescent="0.2">
      <c r="J111" s="44"/>
      <c r="K111" s="44"/>
      <c r="L111" s="44"/>
    </row>
    <row r="112" spans="7:12" x14ac:dyDescent="0.2">
      <c r="J112" s="44"/>
      <c r="K112" s="44"/>
      <c r="L112" s="44"/>
    </row>
    <row r="113" spans="10:12" x14ac:dyDescent="0.2">
      <c r="J113" s="44"/>
      <c r="K113" s="44"/>
      <c r="L113" s="44"/>
    </row>
    <row r="114" spans="10:12" x14ac:dyDescent="0.2">
      <c r="J114" s="44"/>
      <c r="K114" s="44"/>
      <c r="L114" s="44"/>
    </row>
    <row r="115" spans="10:12" x14ac:dyDescent="0.2">
      <c r="J115" s="44"/>
      <c r="K115" s="44"/>
      <c r="L115" s="44"/>
    </row>
    <row r="116" spans="10:12" x14ac:dyDescent="0.2">
      <c r="J116" s="44"/>
      <c r="K116" s="44"/>
      <c r="L116" s="44"/>
    </row>
    <row r="117" spans="10:12" x14ac:dyDescent="0.2">
      <c r="J117" s="44"/>
      <c r="K117" s="44"/>
      <c r="L117" s="44"/>
    </row>
    <row r="118" spans="10:12" x14ac:dyDescent="0.2">
      <c r="J118" s="44"/>
      <c r="K118" s="44"/>
      <c r="L118" s="44"/>
    </row>
    <row r="119" spans="10:12" x14ac:dyDescent="0.2">
      <c r="J119" s="44"/>
      <c r="K119" s="44"/>
      <c r="L119" s="44"/>
    </row>
    <row r="120" spans="10:12" x14ac:dyDescent="0.2">
      <c r="J120" s="44"/>
      <c r="K120" s="44"/>
      <c r="L120" s="44"/>
    </row>
    <row r="121" spans="10:12" x14ac:dyDescent="0.2">
      <c r="J121" s="44"/>
      <c r="K121" s="44"/>
      <c r="L121" s="44"/>
    </row>
    <row r="122" spans="10:12" x14ac:dyDescent="0.2">
      <c r="J122" s="44"/>
      <c r="K122" s="44"/>
      <c r="L122" s="44"/>
    </row>
    <row r="123" spans="10:12" x14ac:dyDescent="0.2">
      <c r="J123" s="44"/>
      <c r="K123" s="44"/>
      <c r="L123" s="44"/>
    </row>
    <row r="124" spans="10:12" x14ac:dyDescent="0.2">
      <c r="J124" s="44"/>
      <c r="K124" s="44"/>
      <c r="L124" s="44"/>
    </row>
    <row r="125" spans="10:12" x14ac:dyDescent="0.2">
      <c r="J125" s="44"/>
      <c r="K125" s="44"/>
      <c r="L125" s="44"/>
    </row>
    <row r="126" spans="10:12" x14ac:dyDescent="0.2">
      <c r="J126" s="44"/>
      <c r="K126" s="44"/>
      <c r="L126" s="44"/>
    </row>
    <row r="127" spans="10:12" x14ac:dyDescent="0.2">
      <c r="J127" s="44"/>
      <c r="K127" s="44"/>
      <c r="L127" s="44"/>
    </row>
    <row r="128" spans="10:12" x14ac:dyDescent="0.2">
      <c r="J128" s="44"/>
      <c r="K128" s="44"/>
      <c r="L128" s="44"/>
    </row>
    <row r="129" spans="10:12" x14ac:dyDescent="0.2">
      <c r="J129" s="44"/>
      <c r="K129" s="44"/>
      <c r="L129" s="44"/>
    </row>
    <row r="130" spans="10:12" x14ac:dyDescent="0.2">
      <c r="J130" s="44"/>
      <c r="K130" s="44"/>
      <c r="L130" s="44"/>
    </row>
    <row r="131" spans="10:12" x14ac:dyDescent="0.2">
      <c r="J131" s="44"/>
      <c r="K131" s="44"/>
      <c r="L131" s="44"/>
    </row>
    <row r="132" spans="10:12" x14ac:dyDescent="0.2">
      <c r="J132" s="44"/>
      <c r="K132" s="44"/>
      <c r="L132" s="44"/>
    </row>
    <row r="133" spans="10:12" x14ac:dyDescent="0.2">
      <c r="J133" s="44"/>
      <c r="K133" s="44"/>
      <c r="L133" s="44"/>
    </row>
    <row r="134" spans="10:12" x14ac:dyDescent="0.2">
      <c r="J134" s="44"/>
      <c r="K134" s="44"/>
      <c r="L134" s="44"/>
    </row>
    <row r="135" spans="10:12" x14ac:dyDescent="0.2">
      <c r="J135" s="44"/>
      <c r="K135" s="44"/>
      <c r="L135" s="44"/>
    </row>
    <row r="136" spans="10:12" x14ac:dyDescent="0.2">
      <c r="J136" s="44"/>
      <c r="K136" s="44"/>
      <c r="L136" s="44"/>
    </row>
    <row r="137" spans="10:12" x14ac:dyDescent="0.2">
      <c r="J137" s="44"/>
      <c r="K137" s="44"/>
      <c r="L137" s="44"/>
    </row>
    <row r="138" spans="10:12" x14ac:dyDescent="0.2">
      <c r="J138" s="44"/>
      <c r="K138" s="44"/>
      <c r="L138" s="44"/>
    </row>
    <row r="139" spans="10:12" x14ac:dyDescent="0.2">
      <c r="J139" s="44"/>
      <c r="K139" s="44"/>
      <c r="L139" s="44"/>
    </row>
    <row r="140" spans="10:12" x14ac:dyDescent="0.2">
      <c r="J140" s="44"/>
      <c r="K140" s="44"/>
      <c r="L140" s="44"/>
    </row>
    <row r="141" spans="10:12" x14ac:dyDescent="0.2">
      <c r="J141" s="44"/>
      <c r="K141" s="44"/>
      <c r="L141" s="44"/>
    </row>
    <row r="142" spans="10:12" x14ac:dyDescent="0.2">
      <c r="J142" s="44"/>
      <c r="K142" s="44"/>
      <c r="L142" s="44"/>
    </row>
    <row r="143" spans="10:12" x14ac:dyDescent="0.2">
      <c r="J143" s="44"/>
      <c r="K143" s="44"/>
      <c r="L143" s="44"/>
    </row>
    <row r="144" spans="10:12" x14ac:dyDescent="0.2">
      <c r="J144" s="44"/>
      <c r="K144" s="44"/>
      <c r="L144" s="44"/>
    </row>
    <row r="145" spans="10:12" x14ac:dyDescent="0.2">
      <c r="J145" s="44"/>
      <c r="K145" s="44"/>
      <c r="L145" s="44"/>
    </row>
  </sheetData>
  <mergeCells count="5">
    <mergeCell ref="E47:F47"/>
    <mergeCell ref="E2:F2"/>
    <mergeCell ref="G2:H2"/>
    <mergeCell ref="E9:F9"/>
    <mergeCell ref="E22:F22"/>
  </mergeCell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96</vt:i4>
      </vt:variant>
    </vt:vector>
  </HeadingPairs>
  <TitlesOfParts>
    <vt:vector size="105" baseType="lpstr">
      <vt:lpstr>Instructions</vt:lpstr>
      <vt:lpstr>Functional Schematic</vt:lpstr>
      <vt:lpstr>Design Information</vt:lpstr>
      <vt:lpstr>Figure of T1 Current</vt:lpstr>
      <vt:lpstr>TABSET Valley Switching</vt:lpstr>
      <vt:lpstr>TCDSET Valley Switching</vt:lpstr>
      <vt:lpstr>Notice and Disclaimer</vt:lpstr>
      <vt:lpstr>Voltage Loop</vt:lpstr>
      <vt:lpstr>Standard R and C Look Up Table</vt:lpstr>
      <vt:lpstr>_imp2</vt:lpstr>
      <vt:lpstr>_ims2</vt:lpstr>
      <vt:lpstr>_ipp1</vt:lpstr>
      <vt:lpstr>_ta1</vt:lpstr>
      <vt:lpstr>_ta11</vt:lpstr>
      <vt:lpstr>_ta2</vt:lpstr>
      <vt:lpstr>_taa1</vt:lpstr>
      <vt:lpstr>_va1</vt:lpstr>
      <vt:lpstr>C_enter</vt:lpstr>
      <vt:lpstr>C_f1</vt:lpstr>
      <vt:lpstr>C_f2</vt:lpstr>
      <vt:lpstr>c_s1</vt:lpstr>
      <vt:lpstr>C_s2</vt:lpstr>
      <vt:lpstr>Center</vt:lpstr>
      <vt:lpstr>constant</vt:lpstr>
      <vt:lpstr>cossqaavg</vt:lpstr>
      <vt:lpstr>cossqaspec</vt:lpstr>
      <vt:lpstr>cossqeavg</vt:lpstr>
      <vt:lpstr>cout</vt:lpstr>
      <vt:lpstr>Cp</vt:lpstr>
      <vt:lpstr>Cstandard</vt:lpstr>
      <vt:lpstr>Cz</vt:lpstr>
      <vt:lpstr>d2a</vt:lpstr>
      <vt:lpstr>dclamp</vt:lpstr>
      <vt:lpstr>dcrlout</vt:lpstr>
      <vt:lpstr>dcrp</vt:lpstr>
      <vt:lpstr>dcrs</vt:lpstr>
      <vt:lpstr>dilmag</vt:lpstr>
      <vt:lpstr>dilout</vt:lpstr>
      <vt:lpstr>dmax</vt:lpstr>
      <vt:lpstr>dtyp</vt:lpstr>
      <vt:lpstr>E12_f</vt:lpstr>
      <vt:lpstr>E12_s</vt:lpstr>
      <vt:lpstr>E24_f</vt:lpstr>
      <vt:lpstr>E24_s</vt:lpstr>
      <vt:lpstr>E48_f</vt:lpstr>
      <vt:lpstr>E48_s</vt:lpstr>
      <vt:lpstr>E6_f</vt:lpstr>
      <vt:lpstr>E6_s</vt:lpstr>
      <vt:lpstr>E96_f</vt:lpstr>
      <vt:lpstr>E96_s</vt:lpstr>
      <vt:lpstr>Eff</vt:lpstr>
      <vt:lpstr>esrcout</vt:lpstr>
      <vt:lpstr>fc</vt:lpstr>
      <vt:lpstr>fpp</vt:lpstr>
      <vt:lpstr>fs</vt:lpstr>
      <vt:lpstr>iloutrms</vt:lpstr>
      <vt:lpstr>imp</vt:lpstr>
      <vt:lpstr>ims</vt:lpstr>
      <vt:lpstr>ipp</vt:lpstr>
      <vt:lpstr>iprms</vt:lpstr>
      <vt:lpstr>iprms1</vt:lpstr>
      <vt:lpstr>iprms2</vt:lpstr>
      <vt:lpstr>ips</vt:lpstr>
      <vt:lpstr>isrms</vt:lpstr>
      <vt:lpstr>isrms1</vt:lpstr>
      <vt:lpstr>isrms2</vt:lpstr>
      <vt:lpstr>isrms3</vt:lpstr>
      <vt:lpstr>llk</vt:lpstr>
      <vt:lpstr>lmag</vt:lpstr>
      <vt:lpstr>lmag1</vt:lpstr>
      <vt:lpstr>lmag2</vt:lpstr>
      <vt:lpstr>lout</vt:lpstr>
      <vt:lpstr>ls</vt:lpstr>
      <vt:lpstr>n1divd1</vt:lpstr>
      <vt:lpstr>pbudget</vt:lpstr>
      <vt:lpstr>pout</vt:lpstr>
      <vt:lpstr>QAg</vt:lpstr>
      <vt:lpstr>qeg</vt:lpstr>
      <vt:lpstr>rdsonqa</vt:lpstr>
      <vt:lpstr>rdsonqe</vt:lpstr>
      <vt:lpstr>rf</vt:lpstr>
      <vt:lpstr>RII</vt:lpstr>
      <vt:lpstr>rload</vt:lpstr>
      <vt:lpstr>RS</vt:lpstr>
      <vt:lpstr>sta</vt:lpstr>
      <vt:lpstr>stb</vt:lpstr>
      <vt:lpstr>tabset</vt:lpstr>
      <vt:lpstr>tafset</vt:lpstr>
      <vt:lpstr>tcdset</vt:lpstr>
      <vt:lpstr>tdelay</vt:lpstr>
      <vt:lpstr>thu</vt:lpstr>
      <vt:lpstr>tr</vt:lpstr>
      <vt:lpstr>vadel</vt:lpstr>
      <vt:lpstr>vdsqe</vt:lpstr>
      <vt:lpstr>vg</vt:lpstr>
      <vt:lpstr>vin</vt:lpstr>
      <vt:lpstr>VINMAX</vt:lpstr>
      <vt:lpstr>VINMIAX</vt:lpstr>
      <vt:lpstr>VINMIN</vt:lpstr>
      <vt:lpstr>VOUT</vt:lpstr>
      <vt:lpstr>voutmin</vt:lpstr>
      <vt:lpstr>vrdson</vt:lpstr>
      <vt:lpstr>Vslope1</vt:lpstr>
      <vt:lpstr>Vslope2</vt:lpstr>
      <vt:lpstr>VTRAN</vt:lpstr>
    </vt:vector>
  </TitlesOfParts>
  <Company>Texas Instruments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O'Loughlin</dc:creator>
  <cp:lastModifiedBy>Mohammed Ghouse Khan</cp:lastModifiedBy>
  <cp:lastPrinted>2010-06-11T18:34:05Z</cp:lastPrinted>
  <dcterms:created xsi:type="dcterms:W3CDTF">2010-04-19T17:22:29Z</dcterms:created>
  <dcterms:modified xsi:type="dcterms:W3CDTF">2025-06-12T17:53:31Z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bb46c77-3b58-4101-b463-cd3b3d516e4a_Enabled">
    <vt:lpwstr>true</vt:lpwstr>
  </property>
  <property fmtid="{D5CDD505-2E9C-101B-9397-08002B2CF9AE}" pid="3" name="MSIP_Label_3bb46c77-3b58-4101-b463-cd3b3d516e4a_SetDate">
    <vt:lpwstr>2025-05-14T05:07:10Z</vt:lpwstr>
  </property>
  <property fmtid="{D5CDD505-2E9C-101B-9397-08002B2CF9AE}" pid="4" name="MSIP_Label_3bb46c77-3b58-4101-b463-cd3b3d516e4a_Method">
    <vt:lpwstr>Privileged</vt:lpwstr>
  </property>
  <property fmtid="{D5CDD505-2E9C-101B-9397-08002B2CF9AE}" pid="5" name="MSIP_Label_3bb46c77-3b58-4101-b463-cd3b3d516e4a_Name">
    <vt:lpwstr>Non-Business</vt:lpwstr>
  </property>
  <property fmtid="{D5CDD505-2E9C-101B-9397-08002B2CF9AE}" pid="6" name="MSIP_Label_3bb46c77-3b58-4101-b463-cd3b3d516e4a_SiteId">
    <vt:lpwstr>311b3378-8e8a-4b5e-a33f-e80a3d8ba60a</vt:lpwstr>
  </property>
  <property fmtid="{D5CDD505-2E9C-101B-9397-08002B2CF9AE}" pid="7" name="MSIP_Label_3bb46c77-3b58-4101-b463-cd3b3d516e4a_ActionId">
    <vt:lpwstr>c21337ad-09b9-4087-8045-1a72e5d3111b</vt:lpwstr>
  </property>
  <property fmtid="{D5CDD505-2E9C-101B-9397-08002B2CF9AE}" pid="8" name="MSIP_Label_3bb46c77-3b58-4101-b463-cd3b3d516e4a_ContentBits">
    <vt:lpwstr>0</vt:lpwstr>
  </property>
  <property fmtid="{D5CDD505-2E9C-101B-9397-08002B2CF9AE}" pid="9" name="MSIP_Label_3bb46c77-3b58-4101-b463-cd3b3d516e4a_Tag">
    <vt:lpwstr>10, 0, 1, 1</vt:lpwstr>
  </property>
</Properties>
</file>