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D9D" lockStructure="1"/>
  <bookViews>
    <workbookView xWindow="-20" yWindow="5940" windowWidth="16220" windowHeight="5990" activeTab="2"/>
  </bookViews>
  <sheets>
    <sheet name="Instructions" sheetId="1" r:id="rId1"/>
    <sheet name="Design Inputs" sheetId="5" r:id="rId2"/>
    <sheet name="Calculations" sheetId="4" r:id="rId3"/>
    <sheet name="Schematic" sheetId="3" r:id="rId4"/>
  </sheets>
  <calcPr calcId="145621"/>
</workbook>
</file>

<file path=xl/calcChain.xml><?xml version="1.0" encoding="utf-8"?>
<calcChain xmlns="http://schemas.openxmlformats.org/spreadsheetml/2006/main">
  <c r="J5" i="4" l="1"/>
  <c r="J6" i="4"/>
  <c r="F30" i="4" l="1"/>
  <c r="F26" i="4" l="1"/>
  <c r="B10" i="4"/>
  <c r="B24" i="4"/>
  <c r="B25" i="4" s="1"/>
  <c r="B5" i="4"/>
  <c r="B8" i="4" s="1"/>
  <c r="D8" i="4" s="1"/>
  <c r="J3" i="4" l="1"/>
  <c r="J4" i="4" s="1"/>
  <c r="B17" i="4" s="1"/>
  <c r="F31" i="4"/>
  <c r="F24" i="4"/>
  <c r="B7" i="4"/>
  <c r="D7" i="4" s="1"/>
  <c r="B20" i="4" l="1"/>
  <c r="B19" i="4"/>
  <c r="D19" i="4" s="1"/>
  <c r="B21" i="4"/>
  <c r="D21" i="4" s="1"/>
  <c r="B11" i="4"/>
  <c r="D11" i="4" s="1"/>
  <c r="F25" i="4"/>
  <c r="F32" i="4" s="1"/>
  <c r="F33" i="4" s="1"/>
  <c r="F27" i="4" l="1"/>
</calcChain>
</file>

<file path=xl/sharedStrings.xml><?xml version="1.0" encoding="utf-8"?>
<sst xmlns="http://schemas.openxmlformats.org/spreadsheetml/2006/main" count="123" uniqueCount="87">
  <si>
    <t>UCC24630 Design Calculator</t>
  </si>
  <si>
    <t>This spreadsheet guides the User through the design process for a Synchronous Rectifier Controller using the UCC28630.</t>
  </si>
  <si>
    <t>USER INPUTS</t>
  </si>
  <si>
    <t>DESIGN REQUIREMENTS</t>
  </si>
  <si>
    <t>USER SELECTED COMPONENT PARAMETERS</t>
  </si>
  <si>
    <t>INPUT SPECIFICATIONS:</t>
  </si>
  <si>
    <r>
      <t>Primary Inductance (L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>)</t>
    </r>
  </si>
  <si>
    <t>OUTPUT SPECIFICATIONS:</t>
  </si>
  <si>
    <t>Regulated Output Voltage</t>
  </si>
  <si>
    <t>Vdc</t>
  </si>
  <si>
    <t>pF</t>
  </si>
  <si>
    <t>UCC24630 Design Calculator for Synchronous Rectifier Controller</t>
  </si>
  <si>
    <t>Minimum  Bulk Voltage</t>
  </si>
  <si>
    <t>Maximum Bulk Voltage</t>
  </si>
  <si>
    <t xml:space="preserve">Output Over-Voltage </t>
  </si>
  <si>
    <t>Minimum Output Voltage</t>
  </si>
  <si>
    <t xml:space="preserve"> </t>
  </si>
  <si>
    <t>kHz</t>
  </si>
  <si>
    <t>Switching Frequency at Full Load, Low Line</t>
  </si>
  <si>
    <t>Primary Max Duty Cycle</t>
  </si>
  <si>
    <t>Transformer</t>
  </si>
  <si>
    <r>
      <t>V</t>
    </r>
    <r>
      <rPr>
        <b/>
        <vertAlign val="subscript"/>
        <sz val="10"/>
        <rFont val="Arial"/>
        <family val="2"/>
      </rPr>
      <t>BULK(MIN)</t>
    </r>
  </si>
  <si>
    <r>
      <t>V</t>
    </r>
    <r>
      <rPr>
        <b/>
        <vertAlign val="subscript"/>
        <sz val="10"/>
        <rFont val="Arial"/>
        <family val="2"/>
      </rPr>
      <t>BULK(MAX)</t>
    </r>
  </si>
  <si>
    <r>
      <t>V</t>
    </r>
    <r>
      <rPr>
        <b/>
        <vertAlign val="subscript"/>
        <sz val="10"/>
        <rFont val="Arial"/>
        <family val="2"/>
      </rPr>
      <t>OUT(NOM)</t>
    </r>
  </si>
  <si>
    <r>
      <t>V</t>
    </r>
    <r>
      <rPr>
        <b/>
        <vertAlign val="subscript"/>
        <sz val="10"/>
        <rFont val="Arial"/>
        <family val="2"/>
      </rPr>
      <t>OUT(MIN)</t>
    </r>
  </si>
  <si>
    <r>
      <t>V</t>
    </r>
    <r>
      <rPr>
        <b/>
        <vertAlign val="subscript"/>
        <sz val="10"/>
        <rFont val="Arial"/>
        <family val="2"/>
      </rPr>
      <t>OUT(MAX)</t>
    </r>
  </si>
  <si>
    <r>
      <t>F</t>
    </r>
    <r>
      <rPr>
        <b/>
        <vertAlign val="subscript"/>
        <sz val="10"/>
        <rFont val="Arial"/>
        <family val="2"/>
      </rPr>
      <t>SW</t>
    </r>
  </si>
  <si>
    <r>
      <t>D</t>
    </r>
    <r>
      <rPr>
        <b/>
        <vertAlign val="subscript"/>
        <sz val="11"/>
        <rFont val="ＭＳ Ｐゴシック"/>
        <family val="2"/>
        <scheme val="minor"/>
      </rPr>
      <t>MAX</t>
    </r>
  </si>
  <si>
    <t>Primary to Secondary Turns Ratio</t>
  </si>
  <si>
    <r>
      <t>N</t>
    </r>
    <r>
      <rPr>
        <b/>
        <vertAlign val="subscript"/>
        <sz val="11"/>
        <rFont val="ＭＳ Ｐゴシック"/>
        <family val="2"/>
        <scheme val="minor"/>
      </rPr>
      <t>PS</t>
    </r>
  </si>
  <si>
    <r>
      <t>L</t>
    </r>
    <r>
      <rPr>
        <b/>
        <vertAlign val="subscript"/>
        <sz val="11"/>
        <rFont val="ＭＳ Ｐゴシック"/>
        <family val="2"/>
        <scheme val="minor"/>
      </rPr>
      <t>PRI</t>
    </r>
  </si>
  <si>
    <r>
      <t>T</t>
    </r>
    <r>
      <rPr>
        <b/>
        <vertAlign val="subscript"/>
        <sz val="11"/>
        <rFont val="ＭＳ Ｐゴシック"/>
        <family val="2"/>
        <scheme val="minor"/>
      </rPr>
      <t>ON(MIN)</t>
    </r>
  </si>
  <si>
    <t>Min Primary ON Time</t>
  </si>
  <si>
    <t>PRIMARY MOSFET (Q3)</t>
  </si>
  <si>
    <t>Drain Capacitance</t>
  </si>
  <si>
    <t>CDS</t>
  </si>
  <si>
    <t>SYNCHRONOUS MOSFET (Q1)</t>
  </si>
  <si>
    <r>
      <t>Q</t>
    </r>
    <r>
      <rPr>
        <b/>
        <vertAlign val="subscript"/>
        <sz val="11"/>
        <rFont val="ＭＳ Ｐゴシック"/>
        <family val="2"/>
        <scheme val="minor"/>
      </rPr>
      <t>GS</t>
    </r>
  </si>
  <si>
    <t>Gate Charge</t>
  </si>
  <si>
    <t>nS</t>
  </si>
  <si>
    <t>uH</t>
  </si>
  <si>
    <t>nC</t>
  </si>
  <si>
    <t>VPC(MIN)</t>
  </si>
  <si>
    <t>VPC(MAX)</t>
  </si>
  <si>
    <t>VSC(MIN)</t>
  </si>
  <si>
    <t>VSC(MAX)</t>
  </si>
  <si>
    <t>RATIO_RAMP</t>
  </si>
  <si>
    <t>IDD_SB</t>
  </si>
  <si>
    <t>IDD</t>
  </si>
  <si>
    <t>UCC24630 Design Guide Calculations</t>
  </si>
  <si>
    <t>R16</t>
  </si>
  <si>
    <t>R15</t>
  </si>
  <si>
    <r>
      <t>k</t>
    </r>
    <r>
      <rPr>
        <b/>
        <sz val="11"/>
        <color theme="1"/>
        <rFont val="Calibri"/>
        <family val="2"/>
      </rPr>
      <t>Ω</t>
    </r>
  </si>
  <si>
    <t>VPC_RATIO</t>
  </si>
  <si>
    <t>VSC_RATIO</t>
  </si>
  <si>
    <t>R18</t>
  </si>
  <si>
    <t>R17</t>
  </si>
  <si>
    <r>
      <t>VSC</t>
    </r>
    <r>
      <rPr>
        <vertAlign val="subscript"/>
        <sz val="11"/>
        <color theme="1"/>
        <rFont val="ＭＳ Ｐゴシック"/>
        <family val="2"/>
        <scheme val="minor"/>
      </rPr>
      <t>(NOM)</t>
    </r>
  </si>
  <si>
    <t>TDCM</t>
  </si>
  <si>
    <t>TBLANK</t>
  </si>
  <si>
    <t>R19</t>
  </si>
  <si>
    <t>Blanking Time</t>
  </si>
  <si>
    <r>
      <t>VSC</t>
    </r>
    <r>
      <rPr>
        <vertAlign val="subscript"/>
        <sz val="11"/>
        <color theme="1"/>
        <rFont val="ＭＳ Ｐゴシック"/>
        <family val="2"/>
        <scheme val="minor"/>
      </rPr>
      <t xml:space="preserve">(MAX)                                 </t>
    </r>
    <r>
      <rPr>
        <sz val="11"/>
        <color theme="1"/>
        <rFont val="ＭＳ Ｐゴシック"/>
        <family val="2"/>
        <scheme val="minor"/>
      </rPr>
      <t xml:space="preserve"> should be &lt;2Vdc</t>
    </r>
  </si>
  <si>
    <r>
      <t>VPC</t>
    </r>
    <r>
      <rPr>
        <vertAlign val="subscript"/>
        <sz val="11"/>
        <color theme="1"/>
        <rFont val="ＭＳ Ｐゴシック"/>
        <family val="2"/>
        <scheme val="minor"/>
      </rPr>
      <t xml:space="preserve">(MIN)               </t>
    </r>
    <r>
      <rPr>
        <sz val="11"/>
        <color theme="1"/>
        <rFont val="ＭＳ Ｐゴシック"/>
        <family val="2"/>
        <scheme val="minor"/>
      </rPr>
      <t xml:space="preserve"> should be &gt;0.4Vdc</t>
    </r>
  </si>
  <si>
    <r>
      <t>VPC</t>
    </r>
    <r>
      <rPr>
        <vertAlign val="subscript"/>
        <sz val="11"/>
        <color theme="1"/>
        <rFont val="ＭＳ Ｐゴシック"/>
        <family val="2"/>
        <scheme val="minor"/>
      </rPr>
      <t xml:space="preserve">(MAX)                 </t>
    </r>
    <r>
      <rPr>
        <sz val="11"/>
        <color theme="1"/>
        <rFont val="ＭＳ Ｐゴシック"/>
        <family val="2"/>
        <scheme val="minor"/>
      </rPr>
      <t>should be &lt;2Vdc</t>
    </r>
  </si>
  <si>
    <r>
      <t>VSC</t>
    </r>
    <r>
      <rPr>
        <vertAlign val="subscript"/>
        <sz val="11"/>
        <color theme="1"/>
        <rFont val="ＭＳ Ｐゴシック"/>
        <family val="2"/>
        <scheme val="minor"/>
      </rPr>
      <t xml:space="preserve">(MIN)                                    </t>
    </r>
    <r>
      <rPr>
        <sz val="11"/>
        <color theme="1"/>
        <rFont val="ＭＳ Ｐゴシック"/>
        <family val="2"/>
        <scheme val="minor"/>
      </rPr>
      <t>should be &gt;0.3Vdc</t>
    </r>
  </si>
  <si>
    <t>VPC DIVIDER (pin 1)</t>
  </si>
  <si>
    <t>TBLK (pin 3)</t>
  </si>
  <si>
    <t>uS</t>
  </si>
  <si>
    <t>uVS</t>
  </si>
  <si>
    <t>mW</t>
  </si>
  <si>
    <r>
      <rPr>
        <sz val="10"/>
        <color theme="1"/>
        <rFont val="ＭＳ Ｐゴシック"/>
        <family val="2"/>
        <scheme val="minor"/>
      </rPr>
      <t>Max VPC Volt-Sec Product</t>
    </r>
    <r>
      <rPr>
        <sz val="11"/>
        <color theme="1"/>
        <rFont val="ＭＳ Ｐゴシック"/>
        <family val="2"/>
        <scheme val="minor"/>
      </rPr>
      <t xml:space="preserve">    VPC</t>
    </r>
    <r>
      <rPr>
        <vertAlign val="subscript"/>
        <sz val="11"/>
        <color theme="1"/>
        <rFont val="ＭＳ Ｐゴシック"/>
        <family val="2"/>
        <scheme val="minor"/>
      </rPr>
      <t>(MAX)</t>
    </r>
    <r>
      <rPr>
        <sz val="11"/>
        <color theme="1"/>
        <rFont val="ＭＳ Ｐゴシック"/>
        <family val="2"/>
        <scheme val="minor"/>
      </rPr>
      <t>TSEC</t>
    </r>
    <r>
      <rPr>
        <vertAlign val="subscript"/>
        <sz val="11"/>
        <color theme="1"/>
        <rFont val="ＭＳ Ｐゴシック"/>
        <family val="2"/>
        <scheme val="minor"/>
      </rPr>
      <t>(MAX)</t>
    </r>
    <r>
      <rPr>
        <sz val="11"/>
        <color theme="1"/>
        <rFont val="ＭＳ Ｐゴシック"/>
        <family val="2"/>
        <scheme val="minor"/>
      </rPr>
      <t xml:space="preserve">  should be &lt;7</t>
    </r>
  </si>
  <si>
    <r>
      <rPr>
        <sz val="10"/>
        <color theme="1"/>
        <rFont val="ＭＳ Ｐゴシック"/>
        <family val="2"/>
        <scheme val="minor"/>
      </rPr>
      <t>Max Secondary Conduction Time</t>
    </r>
    <r>
      <rPr>
        <sz val="11"/>
        <color theme="1"/>
        <rFont val="ＭＳ Ｐゴシック"/>
        <family val="2"/>
        <scheme val="minor"/>
      </rPr>
      <t xml:space="preserve">     T</t>
    </r>
    <r>
      <rPr>
        <vertAlign val="subscript"/>
        <sz val="11"/>
        <color theme="1"/>
        <rFont val="ＭＳ Ｐゴシック"/>
        <family val="2"/>
        <scheme val="minor"/>
      </rPr>
      <t>SEC(MAX)</t>
    </r>
  </si>
  <si>
    <t xml:space="preserve">Power Loss in R15 and R16                </t>
  </si>
  <si>
    <t>Power Loss in R17 and R18</t>
  </si>
  <si>
    <t xml:space="preserve">Quiescent power of UCC24630 </t>
  </si>
  <si>
    <r>
      <t xml:space="preserve">1. The first worksheet, </t>
    </r>
    <r>
      <rPr>
        <b/>
        <sz val="18"/>
        <rFont val="Arial"/>
        <family val="2"/>
      </rPr>
      <t>Design Inputs</t>
    </r>
    <r>
      <rPr>
        <sz val="18"/>
        <rFont val="Arial"/>
        <family val="2"/>
      </rPr>
      <t xml:space="preserve">, is where the user enters the design requirements in the appropriate cells. These inputs are the </t>
    </r>
    <r>
      <rPr>
        <sz val="18"/>
        <color rgb="FF92D050"/>
        <rFont val="Arial"/>
        <family val="2"/>
      </rPr>
      <t>GREEN</t>
    </r>
    <r>
      <rPr>
        <sz val="18"/>
        <rFont val="Arial"/>
        <family val="2"/>
      </rPr>
      <t xml:space="preserve"> cells</t>
    </r>
  </si>
  <si>
    <t>Power Dissipation at Standby</t>
  </si>
  <si>
    <t>Power Dissipation at Max Switching Frequency</t>
  </si>
  <si>
    <t>Power Loss in UCC24630</t>
  </si>
  <si>
    <t>W</t>
  </si>
  <si>
    <t xml:space="preserve">Power Loss in R17 and R18                </t>
  </si>
  <si>
    <t>VSC DIVIDER (pin 2)</t>
  </si>
  <si>
    <r>
      <t xml:space="preserve">3. The third worksheet, </t>
    </r>
    <r>
      <rPr>
        <b/>
        <i/>
        <sz val="18"/>
        <rFont val="Arial"/>
        <family val="2"/>
      </rPr>
      <t>Schematic</t>
    </r>
    <r>
      <rPr>
        <sz val="18"/>
        <rFont val="Arial"/>
        <family val="2"/>
      </rPr>
      <t>, provides a schematic of the UCC24630 in a reference design</t>
    </r>
  </si>
  <si>
    <t xml:space="preserve">Operating Power </t>
  </si>
  <si>
    <t xml:space="preserve">Standby Power </t>
  </si>
  <si>
    <r>
      <t xml:space="preserve">2. The second worksheet, </t>
    </r>
    <r>
      <rPr>
        <b/>
        <i/>
        <sz val="18"/>
        <rFont val="Arial"/>
        <family val="2"/>
      </rPr>
      <t>Calculations</t>
    </r>
    <r>
      <rPr>
        <sz val="18"/>
        <rFont val="Arial"/>
        <family val="2"/>
      </rPr>
      <t xml:space="preserve">, provides key calculated parameters in the design. Some of the calculated values need to be checked to ensure the values fall within an acceptable range. These cells are marked in </t>
    </r>
    <r>
      <rPr>
        <sz val="18"/>
        <color rgb="FF00B0F0"/>
        <rFont val="Arial"/>
        <family val="2"/>
      </rPr>
      <t xml:space="preserve">BLUE. </t>
    </r>
    <r>
      <rPr>
        <sz val="18"/>
        <rFont val="Arial"/>
        <family val="2"/>
      </rPr>
      <t>If the calculated values fall outside the acceptable range, adjust V</t>
    </r>
    <r>
      <rPr>
        <vertAlign val="subscript"/>
        <sz val="18"/>
        <rFont val="Arial"/>
        <family val="2"/>
      </rPr>
      <t>BULK(MIN)</t>
    </r>
    <r>
      <rPr>
        <sz val="18"/>
        <rFont val="Arial"/>
        <family val="2"/>
      </rPr>
      <t>, V</t>
    </r>
    <r>
      <rPr>
        <vertAlign val="subscript"/>
        <sz val="18"/>
        <rFont val="Arial"/>
        <family val="2"/>
      </rPr>
      <t>BULK(MAX)</t>
    </r>
    <r>
      <rPr>
        <sz val="18"/>
        <rFont val="Arial"/>
        <family val="2"/>
      </rPr>
      <t>, N</t>
    </r>
    <r>
      <rPr>
        <vertAlign val="subscript"/>
        <sz val="18"/>
        <rFont val="Arial"/>
        <family val="2"/>
      </rPr>
      <t>PS</t>
    </r>
    <r>
      <rPr>
        <sz val="18"/>
        <rFont val="Arial"/>
        <family val="2"/>
      </rPr>
      <t xml:space="preserve"> or V</t>
    </r>
    <r>
      <rPr>
        <vertAlign val="subscript"/>
        <sz val="18"/>
        <rFont val="Arial"/>
        <family val="2"/>
      </rPr>
      <t xml:space="preserve">OUT(MIN) </t>
    </r>
    <r>
      <rPr>
        <sz val="18"/>
        <rFont val="Arial"/>
        <family val="2"/>
      </rPr>
      <t>as appropriate.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</si>
</sst>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&quot;&lt;&quot;\ General"/>
  </numFmts>
  <fonts count="43" x14ac:knownFonts="1">
    <font>
      <sz val="11"/>
      <color theme="1"/>
      <name val="ＭＳ Ｐゴシック"/>
      <family val="2"/>
      <scheme val="minor"/>
    </font>
    <font>
      <sz val="20"/>
      <name val="Arial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i/>
      <sz val="12"/>
      <color indexed="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indexed="9"/>
      <name val="Arial"/>
      <family val="2"/>
    </font>
    <font>
      <vertAlign val="subscript"/>
      <sz val="10"/>
      <name val="Arial"/>
      <family val="2"/>
    </font>
    <font>
      <b/>
      <sz val="10"/>
      <color theme="0"/>
      <name val="Arial"/>
      <family val="2"/>
    </font>
    <font>
      <b/>
      <sz val="7"/>
      <color theme="0"/>
      <name val="Arial"/>
      <family val="2"/>
    </font>
    <font>
      <b/>
      <sz val="26"/>
      <color theme="6"/>
      <name val="Arial"/>
      <family val="2"/>
    </font>
    <font>
      <sz val="10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11"/>
      <name val="ＭＳ Ｐゴシック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vertAlign val="subscript"/>
      <sz val="10"/>
      <name val="Arial"/>
      <family val="2"/>
    </font>
    <font>
      <b/>
      <sz val="11"/>
      <name val="ＭＳ Ｐゴシック"/>
      <family val="2"/>
      <scheme val="minor"/>
    </font>
    <font>
      <b/>
      <vertAlign val="subscript"/>
      <sz val="11"/>
      <name val="ＭＳ Ｐゴシック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sz val="10"/>
      <name val="Symbol"/>
      <family val="1"/>
      <charset val="2"/>
    </font>
    <font>
      <sz val="10"/>
      <color theme="0"/>
      <name val="Symbol"/>
      <family val="1"/>
      <charset val="2"/>
    </font>
    <font>
      <vertAlign val="subscript"/>
      <sz val="11"/>
      <color theme="1"/>
      <name val="ＭＳ Ｐゴシック"/>
      <family val="2"/>
      <scheme val="minor"/>
    </font>
    <font>
      <b/>
      <sz val="11"/>
      <color theme="1"/>
      <name val="Calibri"/>
      <family val="2"/>
    </font>
    <font>
      <sz val="18"/>
      <color rgb="FF92D050"/>
      <name val="Arial"/>
      <family val="2"/>
    </font>
    <font>
      <sz val="18"/>
      <color rgb="FF00B0F0"/>
      <name val="Arial"/>
      <family val="2"/>
    </font>
    <font>
      <b/>
      <sz val="26"/>
      <color rgb="FFFF0000"/>
      <name val="Arial"/>
      <family val="2"/>
    </font>
    <font>
      <b/>
      <sz val="14"/>
      <color rgb="FFFF0000"/>
      <name val="ＭＳ Ｐゴシック"/>
      <family val="2"/>
      <scheme val="minor"/>
    </font>
    <font>
      <vertAlign val="subscript"/>
      <sz val="18"/>
      <name val="Arial"/>
      <family val="2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ill="1" applyBorder="1"/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2" fontId="0" fillId="3" borderId="0" xfId="0" applyNumberFormat="1" applyFill="1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11" xfId="0" applyNumberFormat="1" applyFill="1" applyBorder="1" applyAlignment="1">
      <alignment vertical="center"/>
    </xf>
    <xf numFmtId="2" fontId="0" fillId="2" borderId="0" xfId="0" applyNumberFormat="1" applyFill="1" applyBorder="1" applyAlignment="1">
      <alignment vertical="center"/>
    </xf>
    <xf numFmtId="2" fontId="21" fillId="2" borderId="0" xfId="0" applyNumberFormat="1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2" fontId="7" fillId="2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vertical="center"/>
    </xf>
    <xf numFmtId="2" fontId="0" fillId="3" borderId="0" xfId="0" applyNumberForma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22" fillId="3" borderId="9" xfId="0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2" fontId="0" fillId="7" borderId="1" xfId="0" applyNumberForma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2" fontId="0" fillId="7" borderId="11" xfId="0" applyNumberFormat="1" applyFill="1" applyBorder="1" applyAlignment="1">
      <alignment vertical="center"/>
    </xf>
    <xf numFmtId="0" fontId="6" fillId="7" borderId="12" xfId="0" applyFont="1" applyFill="1" applyBorder="1" applyAlignment="1">
      <alignment vertical="center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0" fontId="29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0" fontId="23" fillId="3" borderId="0" xfId="0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16" fillId="3" borderId="0" xfId="0" applyFont="1" applyFill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vertical="center"/>
    </xf>
    <xf numFmtId="11" fontId="19" fillId="3" borderId="0" xfId="0" applyNumberFormat="1" applyFont="1" applyFill="1" applyAlignment="1" applyProtection="1">
      <alignment vertical="center"/>
    </xf>
    <xf numFmtId="0" fontId="21" fillId="3" borderId="1" xfId="0" applyFont="1" applyFill="1" applyBorder="1" applyAlignment="1" applyProtection="1">
      <alignment vertical="center"/>
    </xf>
    <xf numFmtId="11" fontId="0" fillId="3" borderId="0" xfId="0" applyNumberFormat="1" applyFill="1" applyAlignment="1" applyProtection="1">
      <alignment vertical="center"/>
    </xf>
    <xf numFmtId="0" fontId="17" fillId="3" borderId="0" xfId="0" applyFont="1" applyFill="1" applyAlignment="1" applyProtection="1">
      <alignment vertical="center"/>
    </xf>
    <xf numFmtId="0" fontId="13" fillId="3" borderId="0" xfId="0" applyNumberFormat="1" applyFont="1" applyFill="1" applyAlignment="1" applyProtection="1">
      <alignment vertical="center"/>
    </xf>
    <xf numFmtId="0" fontId="22" fillId="3" borderId="1" xfId="0" applyFont="1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/>
    </xf>
    <xf numFmtId="0" fontId="22" fillId="3" borderId="0" xfId="0" applyFont="1" applyFill="1" applyAlignment="1" applyProtection="1">
      <alignment vertical="center"/>
    </xf>
    <xf numFmtId="0" fontId="0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vertical="center"/>
    </xf>
    <xf numFmtId="176" fontId="25" fillId="3" borderId="1" xfId="0" applyNumberFormat="1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 applyProtection="1">
      <alignment horizontal="center" vertical="center"/>
    </xf>
    <xf numFmtId="177" fontId="25" fillId="3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21" fillId="3" borderId="0" xfId="0" applyFont="1" applyFill="1" applyAlignment="1">
      <alignment vertical="center"/>
    </xf>
    <xf numFmtId="176" fontId="21" fillId="3" borderId="0" xfId="0" applyNumberFormat="1" applyFont="1" applyFill="1" applyAlignment="1">
      <alignment vertical="center"/>
    </xf>
    <xf numFmtId="11" fontId="21" fillId="3" borderId="0" xfId="0" applyNumberFormat="1" applyFont="1" applyFill="1" applyAlignment="1">
      <alignment vertical="center"/>
    </xf>
    <xf numFmtId="0" fontId="6" fillId="3" borderId="10" xfId="0" applyFont="1" applyFill="1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40" fillId="3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3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" fontId="27" fillId="6" borderId="6" xfId="0" applyNumberFormat="1" applyFont="1" applyFill="1" applyBorder="1" applyAlignment="1" applyProtection="1">
      <alignment horizontal="left" vertical="center"/>
    </xf>
    <xf numFmtId="0" fontId="28" fillId="6" borderId="5" xfId="0" applyFont="1" applyFill="1" applyBorder="1" applyAlignment="1" applyProtection="1">
      <alignment horizontal="left" vertical="center"/>
    </xf>
    <xf numFmtId="0" fontId="28" fillId="6" borderId="7" xfId="0" applyFont="1" applyFill="1" applyBorder="1" applyAlignment="1" applyProtection="1">
      <alignment horizontal="left" vertical="center"/>
    </xf>
    <xf numFmtId="0" fontId="14" fillId="4" borderId="1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14" fillId="4" borderId="6" xfId="0" applyFont="1" applyFill="1" applyBorder="1" applyAlignment="1" applyProtection="1">
      <alignment horizontal="left" vertical="center"/>
    </xf>
    <xf numFmtId="0" fontId="14" fillId="4" borderId="5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14" fillId="4" borderId="6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32" fillId="4" borderId="13" xfId="0" applyFont="1" applyFill="1" applyBorder="1" applyAlignment="1">
      <alignment horizontal="left" vertical="center"/>
    </xf>
    <xf numFmtId="0" fontId="32" fillId="4" borderId="14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31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 wrapText="1"/>
    </xf>
    <xf numFmtId="176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13</xdr:col>
      <xdr:colOff>114891</xdr:colOff>
      <xdr:row>24</xdr:row>
      <xdr:rowOff>84144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731520"/>
          <a:ext cx="6820491" cy="3741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90" zoomScaleNormal="90" workbookViewId="0">
      <selection activeCell="A17" sqref="A17"/>
    </sheetView>
  </sheetViews>
  <sheetFormatPr defaultRowHeight="13" x14ac:dyDescent="0.2"/>
  <sheetData>
    <row r="1" spans="1:14" ht="32.5" x14ac:dyDescent="0.2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53.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19.899999999999999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x14ac:dyDescent="0.2">
      <c r="A5" s="87" t="s">
        <v>76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9.899999999999999" customHeight="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4" ht="19.899999999999999" customHeight="1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1:14" x14ac:dyDescent="0.2">
      <c r="A10" s="83" t="s">
        <v>86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100.15" customHeight="1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19.899999999999999" customHeight="1" x14ac:dyDescent="0.2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ht="19.899999999999999" customHeight="1" x14ac:dyDescent="0.2">
      <c r="A14" s="83" t="s">
        <v>83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51.65" customHeight="1" x14ac:dyDescent="0.2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4" ht="19.899999999999999" customHeight="1" x14ac:dyDescent="0.2"/>
  </sheetData>
  <sheetProtection password="ED9D" sheet="1" objects="1" scenarios="1" selectLockedCells="1" selectUnlockedCells="1"/>
  <mergeCells count="6">
    <mergeCell ref="A14:N15"/>
    <mergeCell ref="A2:N3"/>
    <mergeCell ref="A5:N7"/>
    <mergeCell ref="A1:N1"/>
    <mergeCell ref="A9:N9"/>
    <mergeCell ref="A10:N12"/>
  </mergeCells>
  <phoneticPr fontId="4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14" zoomScale="120" zoomScaleNormal="120" workbookViewId="0">
      <selection activeCell="D8" sqref="D8"/>
    </sheetView>
  </sheetViews>
  <sheetFormatPr defaultColWidth="9.08984375" defaultRowHeight="13" x14ac:dyDescent="0.2"/>
  <cols>
    <col min="1" max="1" width="2.36328125" style="40" customWidth="1"/>
    <col min="2" max="2" width="37.6328125" style="40" customWidth="1"/>
    <col min="3" max="3" width="11.7265625" style="40" customWidth="1"/>
    <col min="4" max="4" width="17.26953125" style="40" customWidth="1"/>
    <col min="5" max="5" width="7.453125" style="42" customWidth="1"/>
    <col min="6" max="6" width="34.453125" style="40" customWidth="1"/>
    <col min="7" max="7" width="12.36328125" style="40" hidden="1" customWidth="1"/>
    <col min="8" max="8" width="9.08984375" style="40" hidden="1" customWidth="1"/>
    <col min="9" max="9" width="9.08984375" style="40"/>
    <col min="10" max="10" width="42.36328125" style="40" customWidth="1"/>
    <col min="11" max="11" width="14" style="40" customWidth="1"/>
    <col min="12" max="12" width="12.453125" style="40" bestFit="1" customWidth="1"/>
    <col min="13" max="16384" width="9.08984375" style="40"/>
  </cols>
  <sheetData>
    <row r="1" spans="1:18" ht="23" x14ac:dyDescent="0.2">
      <c r="B1" s="41" t="s">
        <v>11</v>
      </c>
    </row>
    <row r="2" spans="1:18" ht="18" x14ac:dyDescent="0.2">
      <c r="B2" s="96"/>
      <c r="C2" s="96"/>
      <c r="D2" s="96"/>
      <c r="E2" s="96"/>
      <c r="F2" s="96"/>
      <c r="G2" s="96"/>
      <c r="H2" s="96"/>
      <c r="I2" s="96"/>
    </row>
    <row r="3" spans="1:18" ht="15.5" x14ac:dyDescent="0.2">
      <c r="A3" s="100" t="s">
        <v>2</v>
      </c>
      <c r="B3" s="101"/>
      <c r="C3" s="101"/>
      <c r="D3" s="101"/>
      <c r="E3" s="101"/>
      <c r="F3" s="43"/>
      <c r="G3" s="44" t="s">
        <v>42</v>
      </c>
      <c r="H3" s="45">
        <v>0.45</v>
      </c>
      <c r="I3" s="43"/>
    </row>
    <row r="4" spans="1:18" s="50" customFormat="1" ht="15.5" hidden="1" x14ac:dyDescent="0.2">
      <c r="A4" s="46"/>
      <c r="B4" s="47"/>
      <c r="C4" s="47"/>
      <c r="D4" s="47"/>
      <c r="E4" s="47"/>
      <c r="F4" s="46"/>
      <c r="G4" s="48"/>
      <c r="H4" s="49"/>
      <c r="I4" s="46"/>
    </row>
    <row r="5" spans="1:18" ht="15.5" x14ac:dyDescent="0.2">
      <c r="B5" s="102" t="s">
        <v>3</v>
      </c>
      <c r="C5" s="103"/>
      <c r="D5" s="103"/>
      <c r="E5" s="104"/>
      <c r="G5" s="51" t="s">
        <v>43</v>
      </c>
      <c r="H5" s="52">
        <v>2</v>
      </c>
      <c r="J5" s="53"/>
      <c r="K5" s="53"/>
      <c r="L5" s="53"/>
      <c r="M5" s="53"/>
      <c r="N5" s="53"/>
      <c r="O5" s="53"/>
      <c r="P5" s="53"/>
      <c r="Q5" s="53"/>
      <c r="R5" s="53"/>
    </row>
    <row r="6" spans="1:18" ht="15.5" x14ac:dyDescent="0.2">
      <c r="B6" s="110"/>
      <c r="C6" s="111"/>
      <c r="D6" s="111"/>
      <c r="E6" s="112"/>
      <c r="G6" s="51" t="s">
        <v>44</v>
      </c>
      <c r="H6" s="52">
        <v>0.3</v>
      </c>
      <c r="J6" s="54"/>
      <c r="K6" s="54"/>
      <c r="L6" s="54"/>
      <c r="M6" s="54"/>
      <c r="N6" s="54"/>
      <c r="O6" s="54"/>
      <c r="P6" s="54"/>
      <c r="Q6" s="54"/>
      <c r="R6" s="54"/>
    </row>
    <row r="7" spans="1:18" ht="15.5" x14ac:dyDescent="0.2">
      <c r="B7" s="105" t="s">
        <v>5</v>
      </c>
      <c r="C7" s="106"/>
      <c r="D7" s="106"/>
      <c r="E7" s="107"/>
      <c r="G7" s="51" t="s">
        <v>45</v>
      </c>
      <c r="H7" s="52">
        <v>2</v>
      </c>
      <c r="J7" s="55"/>
      <c r="K7" s="54"/>
      <c r="L7" s="54"/>
      <c r="M7" s="54"/>
      <c r="N7" s="54"/>
      <c r="O7" s="54"/>
      <c r="P7" s="54"/>
      <c r="Q7" s="54"/>
      <c r="R7" s="54"/>
    </row>
    <row r="8" spans="1:18" ht="16.5" customHeight="1" x14ac:dyDescent="0.2">
      <c r="B8" s="56" t="s">
        <v>12</v>
      </c>
      <c r="C8" s="57" t="s">
        <v>21</v>
      </c>
      <c r="D8" s="37">
        <v>141</v>
      </c>
      <c r="E8" s="58" t="s">
        <v>9</v>
      </c>
      <c r="G8" s="51" t="s">
        <v>46</v>
      </c>
      <c r="H8" s="52">
        <v>4.1500000000000004</v>
      </c>
      <c r="J8" s="54"/>
      <c r="K8" s="54"/>
      <c r="L8" s="54"/>
      <c r="M8" s="54"/>
      <c r="N8" s="54"/>
      <c r="O8" s="54"/>
      <c r="P8" s="54"/>
      <c r="Q8" s="54"/>
      <c r="R8" s="54"/>
    </row>
    <row r="9" spans="1:18" ht="16.5" customHeight="1" x14ac:dyDescent="0.2">
      <c r="B9" s="56" t="s">
        <v>13</v>
      </c>
      <c r="C9" s="57" t="s">
        <v>22</v>
      </c>
      <c r="D9" s="38">
        <v>385</v>
      </c>
      <c r="E9" s="59" t="s">
        <v>9</v>
      </c>
      <c r="G9" s="51" t="s">
        <v>47</v>
      </c>
      <c r="H9" s="60">
        <v>1.1E-4</v>
      </c>
      <c r="J9" s="54"/>
      <c r="K9" s="54"/>
      <c r="L9" s="54"/>
      <c r="M9" s="54"/>
      <c r="N9" s="54"/>
      <c r="O9" s="54"/>
      <c r="P9" s="54"/>
      <c r="Q9" s="54"/>
      <c r="R9" s="54"/>
    </row>
    <row r="10" spans="1:18" ht="16.5" customHeight="1" x14ac:dyDescent="0.2">
      <c r="B10" s="56"/>
      <c r="C10" s="61"/>
      <c r="D10" s="81"/>
      <c r="E10" s="59"/>
      <c r="G10" s="51" t="s">
        <v>48</v>
      </c>
      <c r="H10" s="62">
        <v>1.1999999999999999E-3</v>
      </c>
      <c r="J10" s="54"/>
      <c r="K10" s="54"/>
      <c r="L10" s="54"/>
      <c r="M10" s="54"/>
      <c r="N10" s="54"/>
      <c r="O10" s="54"/>
      <c r="P10" s="54"/>
      <c r="Q10" s="54"/>
      <c r="R10" s="54"/>
    </row>
    <row r="11" spans="1:18" ht="16.5" customHeight="1" x14ac:dyDescent="0.2">
      <c r="B11" s="108" t="s">
        <v>7</v>
      </c>
      <c r="C11" s="109"/>
      <c r="D11" s="109"/>
      <c r="E11" s="104"/>
      <c r="J11" s="63"/>
      <c r="K11" s="54"/>
      <c r="L11" s="64"/>
      <c r="M11" s="54"/>
      <c r="N11" s="54"/>
      <c r="O11" s="54"/>
      <c r="P11" s="54"/>
      <c r="Q11" s="54"/>
      <c r="R11" s="54"/>
    </row>
    <row r="12" spans="1:18" ht="16.5" customHeight="1" x14ac:dyDescent="0.2">
      <c r="B12" s="56" t="s">
        <v>8</v>
      </c>
      <c r="C12" s="57" t="s">
        <v>23</v>
      </c>
      <c r="D12" s="39">
        <v>5</v>
      </c>
      <c r="E12" s="65" t="s">
        <v>9</v>
      </c>
      <c r="J12" s="54"/>
      <c r="K12" s="54"/>
      <c r="L12" s="64"/>
      <c r="M12" s="54"/>
      <c r="N12" s="54"/>
      <c r="O12" s="54"/>
      <c r="P12" s="54"/>
      <c r="Q12" s="54"/>
      <c r="R12" s="54"/>
    </row>
    <row r="13" spans="1:18" ht="16.5" customHeight="1" x14ac:dyDescent="0.2">
      <c r="B13" s="56" t="s">
        <v>15</v>
      </c>
      <c r="C13" s="57" t="s">
        <v>24</v>
      </c>
      <c r="D13" s="39">
        <v>4</v>
      </c>
      <c r="E13" s="65" t="s">
        <v>9</v>
      </c>
      <c r="J13" s="54"/>
      <c r="K13" s="54"/>
      <c r="L13" s="64"/>
      <c r="M13" s="54"/>
      <c r="N13" s="54"/>
      <c r="O13" s="54"/>
      <c r="P13" s="54"/>
      <c r="Q13" s="54"/>
      <c r="R13" s="54"/>
    </row>
    <row r="14" spans="1:18" ht="16.5" customHeight="1" x14ac:dyDescent="0.2">
      <c r="B14" s="56" t="s">
        <v>14</v>
      </c>
      <c r="C14" s="57" t="s">
        <v>25</v>
      </c>
      <c r="D14" s="39">
        <v>6</v>
      </c>
      <c r="E14" s="65" t="s">
        <v>9</v>
      </c>
      <c r="J14" s="54"/>
      <c r="K14" s="54"/>
      <c r="L14" s="64"/>
      <c r="M14" s="54"/>
      <c r="N14" s="54"/>
      <c r="O14" s="54"/>
      <c r="P14" s="54"/>
      <c r="Q14" s="54"/>
      <c r="R14" s="54"/>
    </row>
    <row r="15" spans="1:18" ht="16.5" customHeight="1" x14ac:dyDescent="0.2">
      <c r="B15" s="66"/>
      <c r="C15" s="66"/>
      <c r="D15" s="66"/>
      <c r="J15" s="54"/>
      <c r="K15" s="54"/>
      <c r="L15" s="64"/>
      <c r="M15" s="54"/>
      <c r="N15" s="54"/>
      <c r="O15" s="54"/>
      <c r="P15" s="54"/>
      <c r="Q15" s="54"/>
      <c r="R15" s="54"/>
    </row>
    <row r="16" spans="1:18" ht="13.5" thickBot="1" x14ac:dyDescent="0.25">
      <c r="B16" s="53"/>
      <c r="C16" s="53"/>
      <c r="D16" s="53"/>
      <c r="E16" s="67"/>
      <c r="F16" s="53"/>
    </row>
    <row r="17" spans="2:6" ht="15.5" x14ac:dyDescent="0.2">
      <c r="B17" s="97" t="s">
        <v>4</v>
      </c>
      <c r="C17" s="98"/>
      <c r="D17" s="98"/>
      <c r="E17" s="99"/>
      <c r="F17" s="53"/>
    </row>
    <row r="18" spans="2:6" ht="15" x14ac:dyDescent="0.2">
      <c r="B18" s="68" t="s">
        <v>18</v>
      </c>
      <c r="C18" s="69" t="s">
        <v>26</v>
      </c>
      <c r="D18" s="39">
        <v>65</v>
      </c>
      <c r="E18" s="70" t="s">
        <v>17</v>
      </c>
      <c r="F18" s="53"/>
    </row>
    <row r="19" spans="2:6" ht="16" x14ac:dyDescent="0.2">
      <c r="B19" s="56" t="s">
        <v>19</v>
      </c>
      <c r="C19" s="71" t="s">
        <v>27</v>
      </c>
      <c r="D19" s="39">
        <v>0.5</v>
      </c>
      <c r="E19" s="70" t="s">
        <v>16</v>
      </c>
      <c r="F19" s="53"/>
    </row>
    <row r="20" spans="2:6" ht="16" x14ac:dyDescent="0.2">
      <c r="B20" s="56" t="s">
        <v>32</v>
      </c>
      <c r="C20" s="71" t="s">
        <v>31</v>
      </c>
      <c r="D20" s="39">
        <v>600</v>
      </c>
      <c r="E20" s="70" t="s">
        <v>39</v>
      </c>
      <c r="F20" s="53"/>
    </row>
    <row r="21" spans="2:6" ht="15.5" x14ac:dyDescent="0.2">
      <c r="B21" s="95" t="s">
        <v>20</v>
      </c>
      <c r="C21" s="95"/>
      <c r="D21" s="95"/>
      <c r="E21" s="95"/>
      <c r="F21" s="53"/>
    </row>
    <row r="22" spans="2:6" ht="16" x14ac:dyDescent="0.2">
      <c r="B22" s="56" t="s">
        <v>28</v>
      </c>
      <c r="C22" s="71" t="s">
        <v>29</v>
      </c>
      <c r="D22" s="39">
        <v>15.5</v>
      </c>
      <c r="E22" s="70"/>
      <c r="F22" s="53"/>
    </row>
    <row r="23" spans="2:6" ht="16" x14ac:dyDescent="0.2">
      <c r="B23" s="56" t="s">
        <v>6</v>
      </c>
      <c r="C23" s="71" t="s">
        <v>30</v>
      </c>
      <c r="D23" s="39">
        <v>420</v>
      </c>
      <c r="E23" s="70" t="s">
        <v>40</v>
      </c>
      <c r="F23" s="53"/>
    </row>
    <row r="24" spans="2:6" ht="15.5" x14ac:dyDescent="0.2">
      <c r="B24" s="95" t="s">
        <v>33</v>
      </c>
      <c r="C24" s="95"/>
      <c r="D24" s="95"/>
      <c r="E24" s="95"/>
    </row>
    <row r="25" spans="2:6" x14ac:dyDescent="0.2">
      <c r="B25" s="56" t="s">
        <v>34</v>
      </c>
      <c r="C25" s="72" t="s">
        <v>35</v>
      </c>
      <c r="D25" s="39">
        <v>176</v>
      </c>
      <c r="E25" s="70" t="s">
        <v>10</v>
      </c>
    </row>
    <row r="26" spans="2:6" ht="15.5" x14ac:dyDescent="0.2">
      <c r="B26" s="92" t="s">
        <v>36</v>
      </c>
      <c r="C26" s="93"/>
      <c r="D26" s="93"/>
      <c r="E26" s="94"/>
    </row>
    <row r="27" spans="2:6" ht="16" x14ac:dyDescent="0.2">
      <c r="B27" s="56" t="s">
        <v>38</v>
      </c>
      <c r="C27" s="73" t="s">
        <v>37</v>
      </c>
      <c r="D27" s="39">
        <v>13.2</v>
      </c>
      <c r="E27" s="70" t="s">
        <v>41</v>
      </c>
    </row>
  </sheetData>
  <sheetProtection password="ED9D" sheet="1" objects="1" scenarios="1" selectLockedCells="1"/>
  <mergeCells count="10">
    <mergeCell ref="B26:E26"/>
    <mergeCell ref="B21:E21"/>
    <mergeCell ref="B24:E24"/>
    <mergeCell ref="B2:I2"/>
    <mergeCell ref="B17:E17"/>
    <mergeCell ref="A3:E3"/>
    <mergeCell ref="B5:E5"/>
    <mergeCell ref="B7:E7"/>
    <mergeCell ref="B11:E11"/>
    <mergeCell ref="B6:E6"/>
  </mergeCells>
  <phoneticPr fontId="4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120" zoomScaleNormal="120" workbookViewId="0">
      <selection activeCell="E7" sqref="E7"/>
    </sheetView>
  </sheetViews>
  <sheetFormatPr defaultColWidth="9.08984375" defaultRowHeight="13" x14ac:dyDescent="0.2"/>
  <cols>
    <col min="1" max="1" width="50.6328125" style="2" customWidth="1"/>
    <col min="2" max="2" width="9.6328125" style="18" customWidth="1"/>
    <col min="3" max="4" width="9.6328125" style="2" customWidth="1"/>
    <col min="5" max="5" width="50.6328125" style="2" customWidth="1"/>
    <col min="6" max="8" width="9.6328125" style="2" customWidth="1"/>
    <col min="9" max="9" width="11.36328125" style="2" hidden="1" customWidth="1"/>
    <col min="10" max="10" width="12.6328125" style="2" hidden="1" customWidth="1"/>
    <col min="11" max="16384" width="9.08984375" style="2"/>
  </cols>
  <sheetData>
    <row r="1" spans="1:14" ht="20" x14ac:dyDescent="0.2">
      <c r="A1" s="117" t="s">
        <v>49</v>
      </c>
      <c r="B1" s="117"/>
      <c r="C1" s="117"/>
      <c r="D1" s="117"/>
      <c r="E1" s="117"/>
      <c r="F1" s="117"/>
      <c r="G1" s="117"/>
      <c r="H1" s="77"/>
      <c r="I1" s="77"/>
      <c r="J1" s="77"/>
      <c r="K1" s="77"/>
      <c r="L1" s="77"/>
      <c r="M1" s="77"/>
      <c r="N1" s="77"/>
    </row>
    <row r="2" spans="1:14" ht="13.5" thickBot="1" x14ac:dyDescent="0.25">
      <c r="H2" s="77"/>
      <c r="I2" s="77"/>
      <c r="J2" s="77"/>
      <c r="K2" s="78"/>
      <c r="L2" s="77"/>
      <c r="M2" s="77"/>
      <c r="N2" s="77"/>
    </row>
    <row r="3" spans="1:14" x14ac:dyDescent="0.2">
      <c r="A3" s="113" t="s">
        <v>66</v>
      </c>
      <c r="B3" s="114"/>
      <c r="C3" s="115"/>
      <c r="H3" s="77"/>
      <c r="I3" s="77" t="s">
        <v>53</v>
      </c>
      <c r="J3" s="77">
        <f>(B4+B5)/B4</f>
        <v>26.458129683936136</v>
      </c>
      <c r="K3" s="77"/>
      <c r="L3" s="77"/>
      <c r="M3" s="77"/>
      <c r="N3" s="77"/>
    </row>
    <row r="4" spans="1:14" ht="14.5" x14ac:dyDescent="0.2">
      <c r="A4" s="5" t="s">
        <v>50</v>
      </c>
      <c r="B4" s="19">
        <v>10</v>
      </c>
      <c r="C4" s="26" t="s">
        <v>52</v>
      </c>
      <c r="H4" s="77"/>
      <c r="I4" s="77" t="s">
        <v>54</v>
      </c>
      <c r="J4" s="77">
        <f>(J3/'Design Inputs'!H8)/1.1</f>
        <v>5.7958663053529316</v>
      </c>
      <c r="K4" s="77"/>
      <c r="L4" s="77"/>
      <c r="M4" s="77"/>
      <c r="N4" s="77"/>
    </row>
    <row r="5" spans="1:14" ht="14.5" x14ac:dyDescent="0.2">
      <c r="A5" s="5" t="s">
        <v>51</v>
      </c>
      <c r="B5" s="19">
        <f>B4*(('Design Inputs'!D8/'Design Inputs'!D22)+'Design Inputs'!D13-1.1*('Design Inputs'!H3))/(1.1*'Design Inputs'!H3)</f>
        <v>254.58129683936136</v>
      </c>
      <c r="C5" s="26" t="s">
        <v>52</v>
      </c>
      <c r="H5" s="77"/>
      <c r="I5" s="77" t="s">
        <v>58</v>
      </c>
      <c r="J5" s="77">
        <f>SQRT('Design Inputs'!D23*'Design Inputs'!D25)*2*3.14*0.000000001</f>
        <v>1.7074210166212671E-6</v>
      </c>
      <c r="K5" s="77"/>
      <c r="L5" s="77"/>
      <c r="M5" s="77"/>
      <c r="N5" s="77"/>
    </row>
    <row r="6" spans="1:14" x14ac:dyDescent="0.2">
      <c r="A6" s="5" t="s">
        <v>16</v>
      </c>
      <c r="B6" s="19" t="s">
        <v>16</v>
      </c>
      <c r="C6" s="6" t="s">
        <v>16</v>
      </c>
      <c r="H6" s="77"/>
      <c r="I6" s="77" t="s">
        <v>59</v>
      </c>
      <c r="J6" s="79">
        <f>(0.85*'Design Inputs'!D20*0.000000001-100*0.000000001)</f>
        <v>4.0999999999999999E-7</v>
      </c>
      <c r="K6" s="77"/>
      <c r="L6" s="77"/>
      <c r="M6" s="77"/>
      <c r="N6" s="77"/>
    </row>
    <row r="7" spans="1:14" ht="16.5" x14ac:dyDescent="0.2">
      <c r="A7" s="31" t="s">
        <v>64</v>
      </c>
      <c r="B7" s="32">
        <f>B4*(('Design Inputs'!D9/'Design Inputs'!D22)+'Design Inputs'!D14)/(Calculations!B4+Calculations!B5)</f>
        <v>1.1655665024630542</v>
      </c>
      <c r="C7" s="33" t="s">
        <v>9</v>
      </c>
      <c r="D7" s="82" t="str">
        <f>IF(B7&gt;2,"APPLICATION IS OUTSIDE OF OPERATING RANGE Decrease VBULK(MAX). Increase NPS. ","")</f>
        <v/>
      </c>
      <c r="H7" s="77"/>
      <c r="I7" s="77"/>
      <c r="J7" s="77"/>
      <c r="K7" s="77"/>
      <c r="L7" s="77"/>
      <c r="M7" s="77"/>
      <c r="N7" s="77"/>
    </row>
    <row r="8" spans="1:14" ht="16.5" x14ac:dyDescent="0.2">
      <c r="A8" s="31" t="s">
        <v>63</v>
      </c>
      <c r="B8" s="32">
        <f>B4*(('Design Inputs'!D8/'Design Inputs'!D22)+'Design Inputs'!D13)/(ABS(Calculations!B4)+ABS(Calculations!B5))</f>
        <v>0.495</v>
      </c>
      <c r="C8" s="33" t="s">
        <v>9</v>
      </c>
      <c r="D8" s="82" t="str">
        <f>IF(B8&lt;0.4,"APPLICATION IS OUTSIDE OF OPERATING RANGE Increase VBULK(MIN). Decrease NPS","")</f>
        <v/>
      </c>
      <c r="H8" s="77"/>
      <c r="I8" s="77"/>
      <c r="J8" s="77"/>
      <c r="K8" s="77"/>
      <c r="L8" s="77"/>
      <c r="M8" s="77"/>
      <c r="N8" s="77"/>
    </row>
    <row r="9" spans="1:14" x14ac:dyDescent="0.2">
      <c r="A9" s="8" t="s">
        <v>16</v>
      </c>
      <c r="B9" s="20" t="s">
        <v>16</v>
      </c>
      <c r="C9" s="9" t="s">
        <v>16</v>
      </c>
      <c r="H9" s="77"/>
      <c r="I9" s="77"/>
      <c r="J9" s="77"/>
      <c r="K9" s="77"/>
      <c r="L9" s="77"/>
      <c r="M9" s="77"/>
      <c r="N9" s="77"/>
    </row>
    <row r="10" spans="1:14" ht="16" x14ac:dyDescent="0.2">
      <c r="A10" s="5" t="s">
        <v>72</v>
      </c>
      <c r="B10" s="19">
        <f>1000*(1-'Design Inputs'!D19)/'Design Inputs'!D18</f>
        <v>7.6923076923076925</v>
      </c>
      <c r="C10" s="26" t="s">
        <v>68</v>
      </c>
      <c r="H10" s="77"/>
      <c r="I10" s="77"/>
      <c r="J10" s="77"/>
      <c r="K10" s="77"/>
      <c r="L10" s="77"/>
      <c r="M10" s="77"/>
      <c r="N10" s="77"/>
    </row>
    <row r="11" spans="1:14" ht="17" thickBot="1" x14ac:dyDescent="0.25">
      <c r="A11" s="34" t="s">
        <v>71</v>
      </c>
      <c r="B11" s="35">
        <f>B8*B10</f>
        <v>3.8076923076923079</v>
      </c>
      <c r="C11" s="36" t="s">
        <v>69</v>
      </c>
      <c r="D11" s="82" t="str">
        <f>IF(B11&gt;7,"APPLICATION IS OUTSIDE OF OPERATING RANGE  Increase FSW,","")</f>
        <v/>
      </c>
      <c r="H11" s="77"/>
      <c r="I11" s="77"/>
      <c r="J11" s="77"/>
      <c r="K11" s="77"/>
      <c r="L11" s="77"/>
      <c r="M11" s="77"/>
      <c r="N11" s="77"/>
    </row>
    <row r="12" spans="1:14" x14ac:dyDescent="0.2">
      <c r="H12" s="77"/>
      <c r="I12" s="77"/>
      <c r="J12" s="77"/>
      <c r="K12" s="77"/>
      <c r="L12" s="77"/>
      <c r="M12" s="77"/>
      <c r="N12" s="77"/>
    </row>
    <row r="13" spans="1:14" x14ac:dyDescent="0.2">
      <c r="H13" s="77"/>
      <c r="I13" s="77"/>
      <c r="J13" s="77"/>
      <c r="K13" s="77"/>
      <c r="L13" s="77"/>
      <c r="M13" s="77"/>
      <c r="N13" s="77"/>
    </row>
    <row r="14" spans="1:14" ht="13.5" thickBot="1" x14ac:dyDescent="0.25">
      <c r="E14" s="116"/>
      <c r="F14" s="116"/>
      <c r="G14" s="116"/>
      <c r="H14" s="77"/>
      <c r="I14" s="77"/>
      <c r="J14" s="77"/>
      <c r="K14" s="77"/>
      <c r="L14" s="77"/>
      <c r="M14" s="77"/>
      <c r="N14" s="77"/>
    </row>
    <row r="15" spans="1:14" x14ac:dyDescent="0.2">
      <c r="A15" s="113" t="s">
        <v>82</v>
      </c>
      <c r="B15" s="114"/>
      <c r="C15" s="115"/>
      <c r="H15" s="77"/>
      <c r="I15" s="77"/>
      <c r="J15" s="77"/>
      <c r="K15" s="77"/>
      <c r="L15" s="77"/>
      <c r="M15" s="77"/>
      <c r="N15" s="77"/>
    </row>
    <row r="16" spans="1:14" ht="14.5" x14ac:dyDescent="0.2">
      <c r="A16" s="5" t="s">
        <v>55</v>
      </c>
      <c r="B16" s="19">
        <v>49.9</v>
      </c>
      <c r="C16" s="26" t="s">
        <v>52</v>
      </c>
      <c r="H16" s="77"/>
      <c r="I16" s="77"/>
      <c r="J16" s="77"/>
      <c r="K16" s="77"/>
      <c r="L16" s="77"/>
      <c r="M16" s="77"/>
      <c r="N16" s="77"/>
    </row>
    <row r="17" spans="1:14" ht="14.5" x14ac:dyDescent="0.2">
      <c r="A17" s="5" t="s">
        <v>56</v>
      </c>
      <c r="B17" s="19">
        <f>(J4-1)*B16</f>
        <v>239.31372863711127</v>
      </c>
      <c r="C17" s="26" t="s">
        <v>52</v>
      </c>
      <c r="H17" s="77"/>
      <c r="I17" s="77"/>
      <c r="J17" s="77"/>
      <c r="K17" s="77"/>
      <c r="L17" s="77"/>
      <c r="M17" s="77"/>
      <c r="N17" s="77"/>
    </row>
    <row r="18" spans="1:14" x14ac:dyDescent="0.2">
      <c r="A18" s="5" t="s">
        <v>16</v>
      </c>
      <c r="B18" s="19" t="s">
        <v>16</v>
      </c>
      <c r="C18" s="6" t="s">
        <v>16</v>
      </c>
    </row>
    <row r="19" spans="1:14" ht="16.5" x14ac:dyDescent="0.2">
      <c r="A19" s="31" t="s">
        <v>65</v>
      </c>
      <c r="B19" s="32">
        <f>('Design Inputs'!D13)*Calculations!B16/(Calculations!B16+ABS(Calculations!B17))</f>
        <v>0.69014704433497542</v>
      </c>
      <c r="C19" s="33" t="s">
        <v>9</v>
      </c>
      <c r="D19" s="82" t="str">
        <f>IF(B19&lt;0.3,"APPLICATION IS OUTSIDE OF OPERATING RANGE Increase VOUT(MIN)","")</f>
        <v/>
      </c>
    </row>
    <row r="20" spans="1:14" ht="16.5" x14ac:dyDescent="0.2">
      <c r="A20" s="5" t="s">
        <v>57</v>
      </c>
      <c r="B20" s="19">
        <f>('Design Inputs'!D12)*Calculations!B16/(Calculations!B16+ABS(Calculations!B17))</f>
        <v>0.86268380541871936</v>
      </c>
      <c r="C20" s="26" t="s">
        <v>9</v>
      </c>
      <c r="D20" s="82"/>
    </row>
    <row r="21" spans="1:14" ht="17" thickBot="1" x14ac:dyDescent="0.25">
      <c r="A21" s="34" t="s">
        <v>62</v>
      </c>
      <c r="B21" s="35">
        <f>('Design Inputs'!D14)*Calculations!B16/(Calculations!B16+ABS(Calculations!B17))</f>
        <v>1.0352205665024632</v>
      </c>
      <c r="C21" s="36" t="s">
        <v>9</v>
      </c>
      <c r="D21" s="82" t="str">
        <f>IF(B21&gt;2,"APPLICATION IS OUTSIDE OF OPERATING RANGE Decrease VOUT(MAX)","")</f>
        <v/>
      </c>
    </row>
    <row r="22" spans="1:14" ht="13.5" thickBot="1" x14ac:dyDescent="0.25"/>
    <row r="23" spans="1:14" x14ac:dyDescent="0.2">
      <c r="A23" s="118" t="s">
        <v>67</v>
      </c>
      <c r="B23" s="119"/>
      <c r="C23" s="120"/>
      <c r="E23" s="113" t="s">
        <v>77</v>
      </c>
      <c r="F23" s="114"/>
      <c r="G23" s="115"/>
    </row>
    <row r="24" spans="1:14" x14ac:dyDescent="0.2">
      <c r="A24" s="5" t="s">
        <v>61</v>
      </c>
      <c r="B24" s="4">
        <f>('Design Inputs'!D20*0.85-100)</f>
        <v>410</v>
      </c>
      <c r="C24" s="30" t="s">
        <v>39</v>
      </c>
      <c r="E24" s="5" t="s">
        <v>73</v>
      </c>
      <c r="F24" s="19">
        <f>'Design Inputs'!D12^2/(Calculations!B4+Calculations!B5)</f>
        <v>9.4488916256157629E-2</v>
      </c>
      <c r="G24" s="26" t="s">
        <v>70</v>
      </c>
    </row>
    <row r="25" spans="1:14" ht="15" thickBot="1" x14ac:dyDescent="0.25">
      <c r="A25" s="7" t="s">
        <v>60</v>
      </c>
      <c r="B25" s="21">
        <f>(B24-100)/18</f>
        <v>17.222222222222221</v>
      </c>
      <c r="C25" s="28" t="s">
        <v>52</v>
      </c>
      <c r="E25" s="5" t="s">
        <v>74</v>
      </c>
      <c r="F25" s="19">
        <f>'Design Inputs'!D12^2/(Calculations!B16+Calculations!B17)</f>
        <v>8.6441263068007951E-2</v>
      </c>
      <c r="G25" s="26" t="s">
        <v>70</v>
      </c>
    </row>
    <row r="26" spans="1:14" x14ac:dyDescent="0.2">
      <c r="E26" s="5" t="s">
        <v>75</v>
      </c>
      <c r="F26" s="19">
        <f>'Design Inputs'!H9*'Design Inputs'!D12*1000</f>
        <v>0.55000000000000004</v>
      </c>
      <c r="G26" s="26" t="s">
        <v>70</v>
      </c>
    </row>
    <row r="27" spans="1:14" ht="13.5" thickBot="1" x14ac:dyDescent="0.25">
      <c r="E27" s="80" t="s">
        <v>85</v>
      </c>
      <c r="F27" s="21">
        <f>F24+F25+F26</f>
        <v>0.7309301793241656</v>
      </c>
      <c r="G27" s="28" t="s">
        <v>70</v>
      </c>
    </row>
    <row r="28" spans="1:14" ht="13.5" thickBot="1" x14ac:dyDescent="0.25">
      <c r="E28" s="3" t="s">
        <v>16</v>
      </c>
      <c r="F28" s="27" t="s">
        <v>16</v>
      </c>
      <c r="G28" s="29" t="s">
        <v>16</v>
      </c>
    </row>
    <row r="29" spans="1:14" x14ac:dyDescent="0.2">
      <c r="E29" s="113" t="s">
        <v>78</v>
      </c>
      <c r="F29" s="114"/>
      <c r="G29" s="115"/>
    </row>
    <row r="30" spans="1:14" x14ac:dyDescent="0.2">
      <c r="E30" s="5" t="s">
        <v>79</v>
      </c>
      <c r="F30" s="19">
        <f>('Design Inputs'!H10+'Design Inputs'!D27*'Design Inputs'!D18*0.000001)*'Design Inputs'!D12</f>
        <v>1.0290000000000001E-2</v>
      </c>
      <c r="G30" s="26" t="s">
        <v>80</v>
      </c>
    </row>
    <row r="31" spans="1:14" x14ac:dyDescent="0.2">
      <c r="E31" s="5" t="s">
        <v>73</v>
      </c>
      <c r="F31" s="19">
        <f>(('Design Inputs'!D19*(('Design Inputs'!D8/'Design Inputs'!D22)+'Design Inputs'!D12)^2)+(1-'Design Inputs'!D19)*'Design Inputs'!D12^2)/(Calculations!B4+Calculations!B5)</f>
        <v>0.42277939774352458</v>
      </c>
      <c r="G31" s="26" t="s">
        <v>70</v>
      </c>
    </row>
    <row r="32" spans="1:14" x14ac:dyDescent="0.2">
      <c r="E32" s="5" t="s">
        <v>81</v>
      </c>
      <c r="F32" s="19">
        <f>F25</f>
        <v>8.6441263068007951E-2</v>
      </c>
      <c r="G32" s="26" t="s">
        <v>70</v>
      </c>
    </row>
    <row r="33" spans="1:7" ht="13.5" thickBot="1" x14ac:dyDescent="0.25">
      <c r="A33" s="15" t="s">
        <v>16</v>
      </c>
      <c r="B33" s="16" t="s">
        <v>16</v>
      </c>
      <c r="C33" s="15" t="s">
        <v>16</v>
      </c>
      <c r="E33" s="80" t="s">
        <v>84</v>
      </c>
      <c r="F33" s="21">
        <f>F30*1000+F31+F32</f>
        <v>10.799220660811532</v>
      </c>
      <c r="G33" s="28" t="s">
        <v>70</v>
      </c>
    </row>
    <row r="37" spans="1:7" x14ac:dyDescent="0.2">
      <c r="A37" s="15"/>
      <c r="B37" s="22"/>
      <c r="C37" s="17"/>
    </row>
    <row r="38" spans="1:7" x14ac:dyDescent="0.2">
      <c r="A38" s="15"/>
      <c r="B38" s="22"/>
      <c r="C38" s="15"/>
    </row>
    <row r="39" spans="1:7" x14ac:dyDescent="0.2">
      <c r="A39" s="15"/>
      <c r="B39" s="22"/>
      <c r="C39" s="15"/>
    </row>
    <row r="40" spans="1:7" x14ac:dyDescent="0.2">
      <c r="A40" s="15"/>
      <c r="B40" s="22"/>
      <c r="C40" s="15"/>
    </row>
    <row r="42" spans="1:7" x14ac:dyDescent="0.2">
      <c r="A42" s="116"/>
      <c r="B42" s="116"/>
      <c r="C42" s="116"/>
    </row>
    <row r="43" spans="1:7" x14ac:dyDescent="0.2">
      <c r="A43" s="15"/>
      <c r="B43" s="22"/>
      <c r="C43" s="15"/>
    </row>
    <row r="44" spans="1:7" x14ac:dyDescent="0.2">
      <c r="A44" s="15"/>
      <c r="B44" s="22"/>
      <c r="C44" s="15"/>
    </row>
    <row r="45" spans="1:7" x14ac:dyDescent="0.2">
      <c r="A45" s="15"/>
      <c r="B45" s="22"/>
      <c r="C45" s="17"/>
      <c r="E45" s="15"/>
      <c r="F45" s="16"/>
      <c r="G45" s="15"/>
    </row>
    <row r="46" spans="1:7" x14ac:dyDescent="0.2">
      <c r="A46" s="15"/>
      <c r="B46" s="22"/>
      <c r="C46" s="15"/>
      <c r="E46" s="15"/>
      <c r="F46" s="16"/>
      <c r="G46" s="15"/>
    </row>
    <row r="47" spans="1:7" x14ac:dyDescent="0.2">
      <c r="A47" s="15"/>
      <c r="B47" s="22"/>
      <c r="C47" s="17"/>
      <c r="E47" s="15"/>
      <c r="F47" s="15"/>
      <c r="G47" s="15"/>
    </row>
    <row r="48" spans="1:7" x14ac:dyDescent="0.2">
      <c r="A48" s="15"/>
      <c r="B48" s="22"/>
      <c r="C48" s="17"/>
      <c r="E48" s="116"/>
      <c r="F48" s="116"/>
      <c r="G48" s="116"/>
    </row>
    <row r="49" spans="1:7" x14ac:dyDescent="0.2">
      <c r="A49" s="15"/>
      <c r="B49" s="22"/>
      <c r="C49" s="17"/>
      <c r="E49" s="15"/>
      <c r="F49" s="16"/>
      <c r="G49" s="17"/>
    </row>
    <row r="50" spans="1:7" x14ac:dyDescent="0.2">
      <c r="A50" s="15"/>
      <c r="B50" s="22"/>
      <c r="C50" s="14"/>
      <c r="E50" s="15"/>
      <c r="F50" s="16"/>
      <c r="G50" s="15"/>
    </row>
    <row r="51" spans="1:7" x14ac:dyDescent="0.2">
      <c r="A51" s="15"/>
      <c r="B51" s="22"/>
      <c r="C51" s="14"/>
      <c r="E51" s="15"/>
      <c r="F51" s="16"/>
      <c r="G51" s="15"/>
    </row>
    <row r="52" spans="1:7" x14ac:dyDescent="0.2">
      <c r="A52" s="13"/>
      <c r="B52" s="23"/>
      <c r="C52" s="13"/>
      <c r="E52" s="116"/>
      <c r="F52" s="116"/>
      <c r="G52" s="116"/>
    </row>
    <row r="53" spans="1:7" x14ac:dyDescent="0.2">
      <c r="A53" s="13"/>
      <c r="B53" s="23"/>
      <c r="C53" s="13"/>
      <c r="E53" s="121"/>
      <c r="F53" s="122"/>
      <c r="G53" s="123"/>
    </row>
    <row r="54" spans="1:7" x14ac:dyDescent="0.2">
      <c r="A54" s="13"/>
      <c r="B54" s="23"/>
      <c r="C54" s="14"/>
      <c r="E54" s="121"/>
      <c r="F54" s="122"/>
      <c r="G54" s="123"/>
    </row>
    <row r="55" spans="1:7" x14ac:dyDescent="0.2">
      <c r="A55" s="13"/>
      <c r="B55" s="23"/>
      <c r="C55" s="13"/>
      <c r="E55" s="121"/>
      <c r="F55" s="122"/>
      <c r="G55" s="123"/>
    </row>
    <row r="56" spans="1:7" x14ac:dyDescent="0.2">
      <c r="A56" s="13"/>
      <c r="B56" s="23"/>
      <c r="C56" s="13"/>
      <c r="E56" s="121"/>
      <c r="F56" s="122"/>
      <c r="G56" s="123"/>
    </row>
    <row r="57" spans="1:7" x14ac:dyDescent="0.2">
      <c r="A57" s="13"/>
      <c r="B57" s="23"/>
      <c r="C57" s="13"/>
    </row>
    <row r="58" spans="1:7" x14ac:dyDescent="0.2">
      <c r="A58" s="124"/>
      <c r="B58" s="124"/>
      <c r="C58" s="124"/>
    </row>
    <row r="59" spans="1:7" x14ac:dyDescent="0.2">
      <c r="A59" s="11"/>
      <c r="B59" s="24"/>
      <c r="C59" s="11"/>
    </row>
    <row r="60" spans="1:7" x14ac:dyDescent="0.2">
      <c r="A60" s="11"/>
      <c r="B60" s="24"/>
      <c r="C60" s="12"/>
    </row>
    <row r="61" spans="1:7" x14ac:dyDescent="0.2">
      <c r="A61" s="11"/>
      <c r="B61" s="24"/>
      <c r="C61" s="11"/>
    </row>
    <row r="62" spans="1:7" x14ac:dyDescent="0.2">
      <c r="A62" s="10"/>
      <c r="B62" s="25"/>
      <c r="C62" s="10"/>
    </row>
  </sheetData>
  <sheetProtection password="ED9D" sheet="1" objects="1" scenarios="1" selectLockedCells="1" selectUnlockedCells="1"/>
  <mergeCells count="17">
    <mergeCell ref="E55:E56"/>
    <mergeCell ref="F55:F56"/>
    <mergeCell ref="G55:G56"/>
    <mergeCell ref="A58:C58"/>
    <mergeCell ref="E52:G52"/>
    <mergeCell ref="E53:E54"/>
    <mergeCell ref="F53:F54"/>
    <mergeCell ref="G53:G54"/>
    <mergeCell ref="E23:G23"/>
    <mergeCell ref="A42:C42"/>
    <mergeCell ref="E48:G48"/>
    <mergeCell ref="A1:G1"/>
    <mergeCell ref="A3:C3"/>
    <mergeCell ref="A15:C15"/>
    <mergeCell ref="A23:C23"/>
    <mergeCell ref="E14:G14"/>
    <mergeCell ref="E29:G29"/>
  </mergeCells>
  <phoneticPr fontId="42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Q22" sqref="Q22"/>
    </sheetView>
  </sheetViews>
  <sheetFormatPr defaultColWidth="8.90625" defaultRowHeight="13" x14ac:dyDescent="0.2"/>
  <cols>
    <col min="1" max="16384" width="8.90625" style="1"/>
  </cols>
  <sheetData/>
  <sheetProtection selectLockedCells="1" selectUnlockedCells="1"/>
  <phoneticPr fontId="4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Instructions</vt:lpstr>
      <vt:lpstr>Design Inputs</vt:lpstr>
      <vt:lpstr>Calculations</vt:lpstr>
      <vt:lpstr>Schematic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Griffin, John</dc:creator>
  <cp:lastModifiedBy>Wada, Yoshifusa</cp:lastModifiedBy>
  <dcterms:created xsi:type="dcterms:W3CDTF">2015-03-24T11:55:59Z</dcterms:created>
  <dcterms:modified xsi:type="dcterms:W3CDTF">2016-10-19T01:39:52Z</dcterms:modified>
</cp:coreProperties>
</file>