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lokwei\Desktop\New folder\Tasks\ASML\PSDC\Worksheets\Phase-Shifted Full-Bridge (PHSB)\"/>
    </mc:Choice>
  </mc:AlternateContent>
  <xr:revisionPtr revIDLastSave="0" documentId="13_ncr:1_{08FF36A6-1B78-42C1-95C4-F1F5C3D594F1}" xr6:coauthVersionLast="47" xr6:coauthVersionMax="47" xr10:uidLastSave="{00000000-0000-0000-0000-000000000000}"/>
  <bookViews>
    <workbookView xWindow="-120" yWindow="-120" windowWidth="29040" windowHeight="15720" tabRatio="806" activeTab="2" xr2:uid="{00000000-000D-0000-FFFF-FFFF00000000}"/>
  </bookViews>
  <sheets>
    <sheet name="Instructions" sheetId="2" r:id="rId1"/>
    <sheet name="Functional Schematic" sheetId="7" r:id="rId2"/>
    <sheet name="Design Information" sheetId="1" r:id="rId3"/>
    <sheet name="Figure of T1 Current" sheetId="8" r:id="rId4"/>
    <sheet name="TABSET Valley Switching" sheetId="9" r:id="rId5"/>
    <sheet name="TCDSET Valley Switching" sheetId="10" r:id="rId6"/>
    <sheet name="Notice and Disclaimer" sheetId="11" r:id="rId7"/>
    <sheet name="Voltage Loop" sheetId="6" state="hidden" r:id="rId8"/>
    <sheet name="Standard R and C Look Up Table" sheetId="3" state="hidden" r:id="rId9"/>
  </sheets>
  <externalReferences>
    <externalReference r:id="rId10"/>
  </externalReferences>
  <definedNames>
    <definedName name="_imp2">'Design Information'!$C$40</definedName>
    <definedName name="_ims2">'Design Information'!$C$32</definedName>
    <definedName name="_ipp1">'Design Information'!$C$112</definedName>
    <definedName name="_st1">'Design Information'!#REF!</definedName>
    <definedName name="_st10">'Standard R and C Look Up Table'!#REF!</definedName>
    <definedName name="_st11">'Standard R and C Look Up Table'!#REF!</definedName>
    <definedName name="_st12">'Standard R and C Look Up Table'!#REF!</definedName>
    <definedName name="_st13">'Standard R and C Look Up Table'!#REF!</definedName>
    <definedName name="_st14">'Standard R and C Look Up Table'!#REF!</definedName>
    <definedName name="_st15">'Standard R and C Look Up Table'!#REF!</definedName>
    <definedName name="_st16">'Standard R and C Look Up Table'!#REF!</definedName>
    <definedName name="_st17">'Standard R and C Look Up Table'!#REF!</definedName>
    <definedName name="_st18">'Standard R and C Look Up Table'!#REF!</definedName>
    <definedName name="_st2">'Design Information'!#REF!</definedName>
    <definedName name="_st3">'Standard R and C Look Up Table'!#REF!</definedName>
    <definedName name="_st4">'Standard R and C Look Up Table'!#REF!</definedName>
    <definedName name="_st5">'Standard R and C Look Up Table'!#REF!</definedName>
    <definedName name="_st6">'Standard R and C Look Up Table'!#REF!</definedName>
    <definedName name="_st7">'Standard R and C Look Up Table'!#REF!</definedName>
    <definedName name="_st8">'Standard R and C Look Up Table'!#REF!</definedName>
    <definedName name="_st9">'Standard R and C Look Up Table'!#REF!</definedName>
    <definedName name="_std2">'Design Information'!#REF!</definedName>
    <definedName name="_ta1">'Design Information'!$C$25</definedName>
    <definedName name="_ta11">'Design Information'!$C$25</definedName>
    <definedName name="_ta2">'Design Information'!$C$111</definedName>
    <definedName name="_taa1">'Design Information'!$C$26</definedName>
    <definedName name="_va1">'Design Information'!$C$120</definedName>
    <definedName name="C_enter">'Standard R and C Look Up Table'!$K$2</definedName>
    <definedName name="C_f1">'Standard R and C Look Up Table'!$K$17</definedName>
    <definedName name="C_f2">'Standard R and C Look Up Table'!$K$24</definedName>
    <definedName name="c_s1">'Standard R and C Look Up Table'!$J$6</definedName>
    <definedName name="C_s2">'Standard R and C Look Up Table'!$J$19</definedName>
    <definedName name="Center">'Standard R and C Look Up Table'!$K$2</definedName>
    <definedName name="constant">'Design Information'!$C$132</definedName>
    <definedName name="cossqaavg">'Design Information'!$C$56</definedName>
    <definedName name="cossqaspec">'Design Information'!$C$53</definedName>
    <definedName name="cossqeavg">'Design Information'!$C$90</definedName>
    <definedName name="cout">'Design Information'!$C$80</definedName>
    <definedName name="Cp">'Design Information'!$C$151</definedName>
    <definedName name="CPC">'[1]Design Information'!$C$87</definedName>
    <definedName name="Cstandard">'Standard R and C Look Up Table'!$K$3</definedName>
    <definedName name="Cz">'Design Information'!$C$146</definedName>
    <definedName name="CZC">'[1]Design Information'!$C$85</definedName>
    <definedName name="d2a">'Design Information'!$C$135</definedName>
    <definedName name="dclamp">'Design Information'!$C$102</definedName>
    <definedName name="dcrlout">'Design Information'!$C$69</definedName>
    <definedName name="dcrp">'Design Information'!$C$45</definedName>
    <definedName name="dcrs">'Design Information'!$C$46</definedName>
    <definedName name="dilmag">'Design Information'!$C$37</definedName>
    <definedName name="dilout">'Design Information'!$C$28</definedName>
    <definedName name="dmax">'Design Information'!$C$24</definedName>
    <definedName name="dtyp">'Design Information'!$C$27</definedName>
    <definedName name="E12_f">'Standard R and C Look Up Table'!$F$21</definedName>
    <definedName name="E12_s">'Standard R and C Look Up Table'!$E$10</definedName>
    <definedName name="E24_f">'Standard R and C Look Up Table'!$F$46</definedName>
    <definedName name="E24_s">'Standard R and C Look Up Table'!$E$23</definedName>
    <definedName name="E48_f">'Standard R and C Look Up Table'!$F$95</definedName>
    <definedName name="E48_s">'Standard R and C Look Up Table'!$E$48</definedName>
    <definedName name="E6_f">'Standard R and C Look Up Table'!$F$8</definedName>
    <definedName name="E6_s">'Standard R and C Look Up Table'!$E$3</definedName>
    <definedName name="E96_f">'Standard R and C Look Up Table'!$H$98</definedName>
    <definedName name="E96_s">'Standard R and C Look Up Table'!$G$3</definedName>
    <definedName name="Eff">'Design Information'!$B$17</definedName>
    <definedName name="esrcout">'Design Information'!$C$81</definedName>
    <definedName name="fc">'Design Information'!$C$130</definedName>
    <definedName name="fpp">'Design Information'!$C$129</definedName>
    <definedName name="fs">'Design Information'!$C$18</definedName>
    <definedName name="iloutrms">'Design Information'!$C$67</definedName>
    <definedName name="imp">'Design Information'!$C$39</definedName>
    <definedName name="ims">'Design Information'!$C$31</definedName>
    <definedName name="ipp">'Design Information'!$C$38</definedName>
    <definedName name="iprms">'Design Information'!$C$43</definedName>
    <definedName name="iprms1">'Design Information'!$C$41</definedName>
    <definedName name="iprms2">'Design Information'!$C$42</definedName>
    <definedName name="ips">'Design Information'!$C$30</definedName>
    <definedName name="isrms">'Design Information'!$C$36</definedName>
    <definedName name="isrms1">'Design Information'!$C$33</definedName>
    <definedName name="isrms2">'Design Information'!$C$34</definedName>
    <definedName name="isrms3">'Design Information'!$C$35</definedName>
    <definedName name="LAVG">'[1]Design Information'!$C$29</definedName>
    <definedName name="llk">'Design Information'!$C$47</definedName>
    <definedName name="lmag">'Design Information'!$C$29</definedName>
    <definedName name="lmag1">'Design Information'!$C$29</definedName>
    <definedName name="lmag2">'Design Information'!$C$44</definedName>
    <definedName name="lout">'Design Information'!$C$68</definedName>
    <definedName name="ls">'Design Information'!$C$61</definedName>
    <definedName name="n1divd1">'Design Information'!$C$134</definedName>
    <definedName name="NCT">'[1]Design Information'!$C$40</definedName>
    <definedName name="pbudget">'Design Information'!$C$22</definedName>
    <definedName name="pout">'Design Information'!$D$16</definedName>
    <definedName name="QAg">'Design Information'!$C$54</definedName>
    <definedName name="qeg">'Design Information'!$C$86</definedName>
    <definedName name="rdsonqa">'Design Information'!$C$52</definedName>
    <definedName name="rdsonqe">'Design Information'!$C$87</definedName>
    <definedName name="rf">'Design Information'!$C$141</definedName>
    <definedName name="RII">'Design Information'!$C$128</definedName>
    <definedName name="rload">'Design Information'!$C$131</definedName>
    <definedName name="RS">'Design Information'!$C$115</definedName>
    <definedName name="RZC">'[1]Design Information'!$C$83</definedName>
    <definedName name="sta">'Standard R and C Look Up Table'!$L$6</definedName>
    <definedName name="stb">'Standard R and C Look Up Table'!$L$19</definedName>
    <definedName name="std">'Design Information'!#REF!</definedName>
    <definedName name="tabset">'Design Information'!$C$182</definedName>
    <definedName name="tafset">'Design Information'!$C$200</definedName>
    <definedName name="tcdset">'Design Information'!$C$194</definedName>
    <definedName name="tdelay">'Design Information'!$C$100</definedName>
    <definedName name="temp">#REF!</definedName>
    <definedName name="thu">'Design Information'!$C$73</definedName>
    <definedName name="tr">'Design Information'!$C$95</definedName>
    <definedName name="vadel">'Design Information'!$C$188</definedName>
    <definedName name="vdsqe">'Design Information'!$C$85</definedName>
    <definedName name="vg">'Design Information'!$C$51</definedName>
    <definedName name="vin">'Design Information'!$C$13</definedName>
    <definedName name="vinerror">'Design Information'!#REF!</definedName>
    <definedName name="VINMAX">'Design Information'!$D$13</definedName>
    <definedName name="VINMIAX">'Design Information'!$D$13</definedName>
    <definedName name="VINMIN">'Design Information'!$B$13</definedName>
    <definedName name="VOUT">'Design Information'!$C$14</definedName>
    <definedName name="voutmin">'Design Information'!$B$14</definedName>
    <definedName name="vrdson">'Design Information'!$C$23</definedName>
    <definedName name="Vslope1">'Design Information'!$C$221</definedName>
    <definedName name="Vslope2">'Design Information'!$C$222</definedName>
    <definedName name="VTRAN">'Design Information'!$D$15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6" i="1" l="1"/>
  <c r="D16" i="1"/>
  <c r="C27" i="1" l="1"/>
  <c r="D27" i="1" s="1"/>
  <c r="C131" i="1"/>
  <c r="C25" i="1"/>
  <c r="C221" i="1"/>
  <c r="C206" i="1"/>
  <c r="C207" i="1" s="1"/>
  <c r="C208" i="1" s="1"/>
  <c r="C202" i="1"/>
  <c r="C203" i="1" s="1"/>
  <c r="C204" i="1" s="1"/>
  <c r="C184" i="1"/>
  <c r="C185" i="1" s="1"/>
  <c r="C186" i="1" s="1"/>
  <c r="C56" i="1"/>
  <c r="C99" i="1" s="1"/>
  <c r="C100" i="1" s="1"/>
  <c r="C181" i="1" s="1"/>
  <c r="C188" i="1"/>
  <c r="C195" i="1" s="1"/>
  <c r="C196" i="1" s="1"/>
  <c r="F18" i="1"/>
  <c r="F13" i="1"/>
  <c r="C81" i="1"/>
  <c r="C95" i="1"/>
  <c r="F17" i="1"/>
  <c r="E121" i="1"/>
  <c r="E120" i="1"/>
  <c r="C199" i="1"/>
  <c r="F14" i="1"/>
  <c r="C101" i="1"/>
  <c r="E104" i="1"/>
  <c r="C4" i="3"/>
  <c r="C216" i="1"/>
  <c r="C80" i="1"/>
  <c r="C129" i="1"/>
  <c r="E2" i="6" s="1"/>
  <c r="E3" i="6"/>
  <c r="I3" i="6"/>
  <c r="J3" i="6"/>
  <c r="I2" i="6"/>
  <c r="J2" i="6"/>
  <c r="R2" i="6"/>
  <c r="C130" i="1"/>
  <c r="C135" i="1"/>
  <c r="A2" i="6"/>
  <c r="A3" i="6" s="1"/>
  <c r="A4" i="6" s="1"/>
  <c r="C7" i="3"/>
  <c r="C217" i="1"/>
  <c r="C212" i="1"/>
  <c r="C213" i="1" s="1"/>
  <c r="C175" i="1"/>
  <c r="C178" i="1" s="1"/>
  <c r="C177" i="1"/>
  <c r="C176" i="1" s="1"/>
  <c r="C147" i="1"/>
  <c r="L6" i="3"/>
  <c r="K3" i="3" s="1"/>
  <c r="L19" i="3"/>
  <c r="C5" i="3"/>
  <c r="C8" i="3"/>
  <c r="C126" i="1"/>
  <c r="C127" i="1" s="1"/>
  <c r="C122" i="1"/>
  <c r="C123" i="1"/>
  <c r="C6" i="3"/>
  <c r="A5" i="6"/>
  <c r="B4" i="6"/>
  <c r="C142" i="1"/>
  <c r="K3" i="6" l="1"/>
  <c r="K2" i="6"/>
  <c r="C133" i="1"/>
  <c r="C85" i="1"/>
  <c r="C90" i="1" s="1"/>
  <c r="C189" i="1"/>
  <c r="C190" i="1" s="1"/>
  <c r="C144" i="1"/>
  <c r="C143" i="1" s="1"/>
  <c r="C145" i="1"/>
  <c r="C22" i="1"/>
  <c r="C73" i="1"/>
  <c r="C75" i="1" s="1"/>
  <c r="C28" i="1"/>
  <c r="C30" i="1" s="1"/>
  <c r="C32" i="1" s="1"/>
  <c r="C34" i="1" s="1"/>
  <c r="C118" i="1"/>
  <c r="C84" i="6"/>
  <c r="C49" i="6"/>
  <c r="C87" i="6"/>
  <c r="C78" i="6"/>
  <c r="C68" i="6"/>
  <c r="C3" i="6"/>
  <c r="C99" i="6"/>
  <c r="C24" i="6"/>
  <c r="C97" i="6"/>
  <c r="C4" i="6"/>
  <c r="C46" i="6"/>
  <c r="C63" i="6"/>
  <c r="C52" i="6"/>
  <c r="C80" i="6"/>
  <c r="C9" i="6"/>
  <c r="C88" i="6"/>
  <c r="C92" i="6"/>
  <c r="C55" i="6"/>
  <c r="C30" i="6"/>
  <c r="D2" i="6"/>
  <c r="F2" i="6" s="1"/>
  <c r="C34" i="6"/>
  <c r="C69" i="6"/>
  <c r="C42" i="6"/>
  <c r="C64" i="6"/>
  <c r="C71" i="6"/>
  <c r="C90" i="6"/>
  <c r="C20" i="6"/>
  <c r="C51" i="6"/>
  <c r="C10" i="6"/>
  <c r="C41" i="6"/>
  <c r="C7" i="6"/>
  <c r="C77" i="6"/>
  <c r="C37" i="6"/>
  <c r="C26" i="6"/>
  <c r="C31" i="6"/>
  <c r="C15" i="6"/>
  <c r="C45" i="6"/>
  <c r="C11" i="6"/>
  <c r="C50" i="6"/>
  <c r="C21" i="6"/>
  <c r="C13" i="6"/>
  <c r="C72" i="6"/>
  <c r="C91" i="6"/>
  <c r="C101" i="6"/>
  <c r="C75" i="6"/>
  <c r="C5" i="6"/>
  <c r="C38" i="6"/>
  <c r="C18" i="6"/>
  <c r="C61" i="6"/>
  <c r="C17" i="6"/>
  <c r="C93" i="6"/>
  <c r="C16" i="6"/>
  <c r="C60" i="6"/>
  <c r="C12" i="6"/>
  <c r="C82" i="6"/>
  <c r="C29" i="6"/>
  <c r="C40" i="6"/>
  <c r="C22" i="6"/>
  <c r="C73" i="6"/>
  <c r="C86" i="6"/>
  <c r="C76" i="6"/>
  <c r="C56" i="6"/>
  <c r="C25" i="6"/>
  <c r="C35" i="1"/>
  <c r="C74" i="1"/>
  <c r="C2" i="6"/>
  <c r="C81" i="6"/>
  <c r="C36" i="6"/>
  <c r="C89" i="6"/>
  <c r="C27" i="6"/>
  <c r="C79" i="6"/>
  <c r="C14" i="6"/>
  <c r="C47" i="6"/>
  <c r="C85" i="6"/>
  <c r="C57" i="6"/>
  <c r="C134" i="1"/>
  <c r="C136" i="1" s="1"/>
  <c r="C19" i="6"/>
  <c r="C95" i="6"/>
  <c r="C94" i="6"/>
  <c r="C23" i="6"/>
  <c r="C43" i="6"/>
  <c r="C48" i="6"/>
  <c r="C74" i="6"/>
  <c r="C96" i="6"/>
  <c r="C53" i="6"/>
  <c r="C39" i="6"/>
  <c r="C98" i="6"/>
  <c r="C28" i="6"/>
  <c r="C59" i="6"/>
  <c r="C100" i="6"/>
  <c r="C6" i="6"/>
  <c r="C58" i="6"/>
  <c r="C62" i="6"/>
  <c r="C8" i="6"/>
  <c r="C65" i="6"/>
  <c r="C32" i="6"/>
  <c r="C54" i="6"/>
  <c r="C44" i="6"/>
  <c r="C67" i="6"/>
  <c r="C132" i="1"/>
  <c r="C70" i="6"/>
  <c r="C83" i="6"/>
  <c r="C35" i="6"/>
  <c r="C33" i="6"/>
  <c r="D3" i="6"/>
  <c r="F3" i="6" s="1"/>
  <c r="C66" i="6"/>
  <c r="C220" i="1"/>
  <c r="C66" i="1"/>
  <c r="E68" i="1" s="1"/>
  <c r="C102" i="1"/>
  <c r="C103" i="1" s="1"/>
  <c r="C104" i="1" s="1"/>
  <c r="C193" i="1"/>
  <c r="C149" i="1"/>
  <c r="C148" i="1" s="1"/>
  <c r="C150" i="1"/>
  <c r="J4" i="6"/>
  <c r="D4" i="6"/>
  <c r="F4" i="6" s="1"/>
  <c r="E4" i="6"/>
  <c r="I4" i="6"/>
  <c r="B5" i="6"/>
  <c r="A6" i="6"/>
  <c r="C228" i="1" l="1"/>
  <c r="C230" i="1" s="1"/>
  <c r="C231" i="1" s="1"/>
  <c r="C29" i="1"/>
  <c r="C37" i="1" s="1"/>
  <c r="C38" i="1" s="1"/>
  <c r="C222" i="1"/>
  <c r="C223" i="1" s="1"/>
  <c r="C224" i="1" s="1"/>
  <c r="C225" i="1" s="1"/>
  <c r="C76" i="1"/>
  <c r="C82" i="1" s="1"/>
  <c r="C112" i="1"/>
  <c r="C113" i="1" s="1"/>
  <c r="C114" i="1" s="1"/>
  <c r="G3" i="6"/>
  <c r="L3" i="6" s="1"/>
  <c r="M3" i="6" s="1"/>
  <c r="K4" i="6"/>
  <c r="G4" i="6"/>
  <c r="H4" i="6" s="1"/>
  <c r="C117" i="1"/>
  <c r="C31" i="1"/>
  <c r="C33" i="1" s="1"/>
  <c r="C36" i="1" s="1"/>
  <c r="C67" i="1"/>
  <c r="C70" i="1" s="1"/>
  <c r="G2" i="6"/>
  <c r="L2" i="6" s="1"/>
  <c r="C137" i="1"/>
  <c r="C138" i="1" s="1"/>
  <c r="C139" i="1" s="1"/>
  <c r="C140" i="1" s="1"/>
  <c r="A7" i="6"/>
  <c r="B6" i="6"/>
  <c r="E5" i="6"/>
  <c r="J5" i="6"/>
  <c r="I5" i="6"/>
  <c r="D5" i="6"/>
  <c r="F5" i="6" s="1"/>
  <c r="G5" i="6" s="1"/>
  <c r="C39" i="1" l="1"/>
  <c r="C41" i="1" s="1"/>
  <c r="E44" i="1"/>
  <c r="H3" i="6"/>
  <c r="K5" i="6"/>
  <c r="L5" i="6" s="1"/>
  <c r="L4" i="6"/>
  <c r="N4" i="6" s="1"/>
  <c r="O4" i="6" s="1"/>
  <c r="N3" i="6"/>
  <c r="O3" i="6" s="1"/>
  <c r="H2" i="6"/>
  <c r="N2" i="6"/>
  <c r="O2" i="6" s="1"/>
  <c r="M2" i="6"/>
  <c r="A8" i="6"/>
  <c r="B7" i="6"/>
  <c r="C91" i="1"/>
  <c r="C96" i="1"/>
  <c r="C40" i="1"/>
  <c r="C42" i="1" s="1"/>
  <c r="C60" i="1"/>
  <c r="E60" i="1" s="1"/>
  <c r="H5" i="6"/>
  <c r="J6" i="6"/>
  <c r="D6" i="6"/>
  <c r="I6" i="6"/>
  <c r="E6" i="6"/>
  <c r="M4" i="6" l="1"/>
  <c r="C43" i="1"/>
  <c r="C48" i="1" s="1"/>
  <c r="C49" i="1" s="1"/>
  <c r="K6" i="6"/>
  <c r="C116" i="1"/>
  <c r="C105" i="1"/>
  <c r="C108" i="1" s="1"/>
  <c r="F6" i="6"/>
  <c r="G6" i="6" s="1"/>
  <c r="M5" i="6"/>
  <c r="N5" i="6"/>
  <c r="O5" i="6" s="1"/>
  <c r="I7" i="6"/>
  <c r="E7" i="6"/>
  <c r="J7" i="6"/>
  <c r="D7" i="6"/>
  <c r="B8" i="6"/>
  <c r="A9" i="6"/>
  <c r="K7" i="6" l="1"/>
  <c r="C57" i="1"/>
  <c r="C58" i="1" s="1"/>
  <c r="C63" i="1"/>
  <c r="E8" i="6"/>
  <c r="J8" i="6"/>
  <c r="I8" i="6"/>
  <c r="D8" i="6"/>
  <c r="F8" i="6" s="1"/>
  <c r="G8" i="6" s="1"/>
  <c r="L6" i="6"/>
  <c r="H6" i="6"/>
  <c r="A10" i="6"/>
  <c r="B9" i="6"/>
  <c r="E49" i="1"/>
  <c r="F7" i="6"/>
  <c r="G7" i="6" s="1"/>
  <c r="K8" i="6" l="1"/>
  <c r="L8" i="6" s="1"/>
  <c r="C64" i="1"/>
  <c r="E58" i="1"/>
  <c r="J9" i="6"/>
  <c r="I9" i="6"/>
  <c r="E9" i="6"/>
  <c r="D9" i="6"/>
  <c r="F9" i="6" s="1"/>
  <c r="G9" i="6" s="1"/>
  <c r="H7" i="6"/>
  <c r="L7" i="6"/>
  <c r="B10" i="6"/>
  <c r="A11" i="6"/>
  <c r="M6" i="6"/>
  <c r="N6" i="6"/>
  <c r="O6" i="6" s="1"/>
  <c r="H8" i="6"/>
  <c r="K9" i="6" l="1"/>
  <c r="L9" i="6" s="1"/>
  <c r="I10" i="6"/>
  <c r="D10" i="6"/>
  <c r="F10" i="6" s="1"/>
  <c r="G10" i="6" s="1"/>
  <c r="J10" i="6"/>
  <c r="E10" i="6"/>
  <c r="E64" i="1"/>
  <c r="C71" i="1"/>
  <c r="N8" i="6"/>
  <c r="O8" i="6" s="1"/>
  <c r="M8" i="6"/>
  <c r="M7" i="6"/>
  <c r="N7" i="6"/>
  <c r="O7" i="6" s="1"/>
  <c r="H9" i="6"/>
  <c r="A12" i="6"/>
  <c r="B11" i="6"/>
  <c r="I11" i="6" l="1"/>
  <c r="D11" i="6"/>
  <c r="F11" i="6" s="1"/>
  <c r="G11" i="6" s="1"/>
  <c r="J11" i="6"/>
  <c r="E11" i="6"/>
  <c r="E71" i="1"/>
  <c r="C83" i="1"/>
  <c r="B12" i="6"/>
  <c r="A13" i="6"/>
  <c r="M9" i="6"/>
  <c r="N9" i="6"/>
  <c r="O9" i="6" s="1"/>
  <c r="H10" i="6"/>
  <c r="K10" i="6"/>
  <c r="L10" i="6" s="1"/>
  <c r="M10" i="6" l="1"/>
  <c r="N10" i="6"/>
  <c r="O10" i="6" s="1"/>
  <c r="B13" i="6"/>
  <c r="A14" i="6"/>
  <c r="E12" i="6"/>
  <c r="J12" i="6"/>
  <c r="I12" i="6"/>
  <c r="K12" i="6" s="1"/>
  <c r="D12" i="6"/>
  <c r="F12" i="6" s="1"/>
  <c r="G12" i="6" s="1"/>
  <c r="E83" i="1"/>
  <c r="C97" i="1"/>
  <c r="H11" i="6"/>
  <c r="K11" i="6"/>
  <c r="L11" i="6" s="1"/>
  <c r="L12" i="6" l="1"/>
  <c r="H12" i="6"/>
  <c r="B14" i="6"/>
  <c r="A15" i="6"/>
  <c r="M11" i="6"/>
  <c r="N11" i="6"/>
  <c r="O11" i="6" s="1"/>
  <c r="D13" i="6"/>
  <c r="F13" i="6" s="1"/>
  <c r="G13" i="6" s="1"/>
  <c r="J13" i="6"/>
  <c r="I13" i="6"/>
  <c r="E13" i="6"/>
  <c r="E97" i="1"/>
  <c r="C109" i="1"/>
  <c r="E109" i="1" s="1"/>
  <c r="H13" i="6" l="1"/>
  <c r="E14" i="6"/>
  <c r="J14" i="6"/>
  <c r="I14" i="6"/>
  <c r="D14" i="6"/>
  <c r="B15" i="6"/>
  <c r="A16" i="6"/>
  <c r="K13" i="6"/>
  <c r="L13" i="6" s="1"/>
  <c r="M12" i="6"/>
  <c r="N12" i="6"/>
  <c r="O12" i="6" s="1"/>
  <c r="M13" i="6" l="1"/>
  <c r="N13" i="6"/>
  <c r="O13" i="6" s="1"/>
  <c r="J15" i="6"/>
  <c r="I15" i="6"/>
  <c r="D15" i="6"/>
  <c r="E15" i="6"/>
  <c r="B16" i="6"/>
  <c r="A17" i="6"/>
  <c r="F14" i="6"/>
  <c r="G14" i="6" s="1"/>
  <c r="K14" i="6"/>
  <c r="K15" i="6" l="1"/>
  <c r="A18" i="6"/>
  <c r="B17" i="6"/>
  <c r="E16" i="6"/>
  <c r="J16" i="6"/>
  <c r="D16" i="6"/>
  <c r="I16" i="6"/>
  <c r="K16" i="6" s="1"/>
  <c r="F15" i="6"/>
  <c r="G15" i="6" s="1"/>
  <c r="H14" i="6"/>
  <c r="L14" i="6"/>
  <c r="L15" i="6" l="1"/>
  <c r="H15" i="6"/>
  <c r="F16" i="6"/>
  <c r="G16" i="6" s="1"/>
  <c r="D17" i="6"/>
  <c r="F17" i="6" s="1"/>
  <c r="G17" i="6" s="1"/>
  <c r="J17" i="6"/>
  <c r="E17" i="6"/>
  <c r="I17" i="6"/>
  <c r="N14" i="6"/>
  <c r="O14" i="6" s="1"/>
  <c r="M14" i="6"/>
  <c r="A19" i="6"/>
  <c r="B18" i="6"/>
  <c r="K17" i="6" l="1"/>
  <c r="L17" i="6" s="1"/>
  <c r="H16" i="6"/>
  <c r="L16" i="6"/>
  <c r="E18" i="6"/>
  <c r="J18" i="6"/>
  <c r="I18" i="6"/>
  <c r="D18" i="6"/>
  <c r="F18" i="6" s="1"/>
  <c r="G18" i="6" s="1"/>
  <c r="A20" i="6"/>
  <c r="B19" i="6"/>
  <c r="H17" i="6"/>
  <c r="M15" i="6"/>
  <c r="N15" i="6"/>
  <c r="O15" i="6" s="1"/>
  <c r="K18" i="6" l="1"/>
  <c r="L18" i="6" s="1"/>
  <c r="D19" i="6"/>
  <c r="F19" i="6" s="1"/>
  <c r="G19" i="6" s="1"/>
  <c r="E19" i="6"/>
  <c r="I19" i="6"/>
  <c r="J19" i="6"/>
  <c r="B20" i="6"/>
  <c r="A21" i="6"/>
  <c r="H18" i="6"/>
  <c r="M16" i="6"/>
  <c r="N16" i="6"/>
  <c r="O16" i="6" s="1"/>
  <c r="M17" i="6"/>
  <c r="N17" i="6"/>
  <c r="O17" i="6" s="1"/>
  <c r="E20" i="6" l="1"/>
  <c r="J20" i="6"/>
  <c r="I20" i="6"/>
  <c r="D20" i="6"/>
  <c r="F20" i="6" s="1"/>
  <c r="G20" i="6" s="1"/>
  <c r="M18" i="6"/>
  <c r="N18" i="6"/>
  <c r="O18" i="6" s="1"/>
  <c r="H19" i="6"/>
  <c r="A22" i="6"/>
  <c r="B21" i="6"/>
  <c r="K19" i="6"/>
  <c r="L19" i="6" s="1"/>
  <c r="K20" i="6" l="1"/>
  <c r="L20" i="6" s="1"/>
  <c r="N19" i="6"/>
  <c r="O19" i="6" s="1"/>
  <c r="M19" i="6"/>
  <c r="D21" i="6"/>
  <c r="I21" i="6"/>
  <c r="J21" i="6"/>
  <c r="E21" i="6"/>
  <c r="B22" i="6"/>
  <c r="A23" i="6"/>
  <c r="H20" i="6"/>
  <c r="K21" i="6" l="1"/>
  <c r="A24" i="6"/>
  <c r="B23" i="6"/>
  <c r="J22" i="6"/>
  <c r="E22" i="6"/>
  <c r="I22" i="6"/>
  <c r="D22" i="6"/>
  <c r="F22" i="6" s="1"/>
  <c r="G22" i="6" s="1"/>
  <c r="F21" i="6"/>
  <c r="G21" i="6" s="1"/>
  <c r="M20" i="6"/>
  <c r="N20" i="6"/>
  <c r="O20" i="6" s="1"/>
  <c r="K22" i="6" l="1"/>
  <c r="L22" i="6" s="1"/>
  <c r="A25" i="6"/>
  <c r="B24" i="6"/>
  <c r="H21" i="6"/>
  <c r="L21" i="6"/>
  <c r="H22" i="6"/>
  <c r="D23" i="6"/>
  <c r="F23" i="6" s="1"/>
  <c r="G23" i="6" s="1"/>
  <c r="J23" i="6"/>
  <c r="E23" i="6"/>
  <c r="I23" i="6"/>
  <c r="H23" i="6" l="1"/>
  <c r="N22" i="6"/>
  <c r="O22" i="6" s="1"/>
  <c r="M22" i="6"/>
  <c r="M21" i="6"/>
  <c r="N21" i="6"/>
  <c r="O21" i="6" s="1"/>
  <c r="K23" i="6"/>
  <c r="L23" i="6" s="1"/>
  <c r="E24" i="6"/>
  <c r="D24" i="6"/>
  <c r="F24" i="6" s="1"/>
  <c r="G24" i="6" s="1"/>
  <c r="I24" i="6"/>
  <c r="J24" i="6"/>
  <c r="B25" i="6"/>
  <c r="A26" i="6"/>
  <c r="K24" i="6" l="1"/>
  <c r="L24" i="6" s="1"/>
  <c r="N23" i="6"/>
  <c r="O23" i="6" s="1"/>
  <c r="M23" i="6"/>
  <c r="B26" i="6"/>
  <c r="A27" i="6"/>
  <c r="J25" i="6"/>
  <c r="D25" i="6"/>
  <c r="I25" i="6"/>
  <c r="R25" i="6"/>
  <c r="E25" i="6"/>
  <c r="H24" i="6"/>
  <c r="K25" i="6" l="1"/>
  <c r="M24" i="6"/>
  <c r="N24" i="6"/>
  <c r="O24" i="6" s="1"/>
  <c r="F25" i="6"/>
  <c r="G25" i="6" s="1"/>
  <c r="A28" i="6"/>
  <c r="B27" i="6"/>
  <c r="E26" i="6"/>
  <c r="I26" i="6"/>
  <c r="J26" i="6"/>
  <c r="D26" i="6"/>
  <c r="F26" i="6" s="1"/>
  <c r="G26" i="6" s="1"/>
  <c r="K26" i="6" l="1"/>
  <c r="L26" i="6" s="1"/>
  <c r="H26" i="6"/>
  <c r="L25" i="6"/>
  <c r="H25" i="6"/>
  <c r="D27" i="6"/>
  <c r="F27" i="6" s="1"/>
  <c r="G27" i="6" s="1"/>
  <c r="E27" i="6"/>
  <c r="I27" i="6"/>
  <c r="J27" i="6"/>
  <c r="A29" i="6"/>
  <c r="B28" i="6"/>
  <c r="M26" i="6" l="1"/>
  <c r="N26" i="6"/>
  <c r="O26" i="6" s="1"/>
  <c r="B29" i="6"/>
  <c r="A30" i="6"/>
  <c r="K27" i="6"/>
  <c r="L27" i="6" s="1"/>
  <c r="J28" i="6"/>
  <c r="E28" i="6"/>
  <c r="I28" i="6"/>
  <c r="D28" i="6"/>
  <c r="F28" i="6" s="1"/>
  <c r="G28" i="6" s="1"/>
  <c r="H27" i="6"/>
  <c r="M25" i="6"/>
  <c r="N25" i="6"/>
  <c r="O25" i="6" s="1"/>
  <c r="K28" i="6" l="1"/>
  <c r="L28" i="6" s="1"/>
  <c r="H28" i="6"/>
  <c r="A31" i="6"/>
  <c r="B30" i="6"/>
  <c r="J29" i="6"/>
  <c r="I29" i="6"/>
  <c r="D29" i="6"/>
  <c r="F29" i="6" s="1"/>
  <c r="G29" i="6" s="1"/>
  <c r="E29" i="6"/>
  <c r="M27" i="6"/>
  <c r="N27" i="6"/>
  <c r="O27" i="6" s="1"/>
  <c r="K29" i="6" l="1"/>
  <c r="L29" i="6" s="1"/>
  <c r="H29" i="6"/>
  <c r="J30" i="6"/>
  <c r="D30" i="6"/>
  <c r="I30" i="6"/>
  <c r="E30" i="6"/>
  <c r="M28" i="6"/>
  <c r="N28" i="6"/>
  <c r="O28" i="6" s="1"/>
  <c r="A32" i="6"/>
  <c r="B31" i="6"/>
  <c r="K30" i="6" l="1"/>
  <c r="F30" i="6"/>
  <c r="G30" i="6" s="1"/>
  <c r="J31" i="6"/>
  <c r="I31" i="6"/>
  <c r="E31" i="6"/>
  <c r="D31" i="6"/>
  <c r="F31" i="6" s="1"/>
  <c r="G31" i="6" s="1"/>
  <c r="N29" i="6"/>
  <c r="O29" i="6" s="1"/>
  <c r="M29" i="6"/>
  <c r="B32" i="6"/>
  <c r="A33" i="6"/>
  <c r="K31" i="6" l="1"/>
  <c r="L31" i="6" s="1"/>
  <c r="H31" i="6"/>
  <c r="E32" i="6"/>
  <c r="J32" i="6"/>
  <c r="I32" i="6"/>
  <c r="D32" i="6"/>
  <c r="F32" i="6" s="1"/>
  <c r="G32" i="6" s="1"/>
  <c r="A34" i="6"/>
  <c r="B33" i="6"/>
  <c r="H30" i="6"/>
  <c r="L30" i="6"/>
  <c r="K32" i="6" l="1"/>
  <c r="L32" i="6" s="1"/>
  <c r="M31" i="6"/>
  <c r="N31" i="6"/>
  <c r="O31" i="6" s="1"/>
  <c r="I33" i="6"/>
  <c r="J33" i="6"/>
  <c r="E33" i="6"/>
  <c r="D33" i="6"/>
  <c r="F33" i="6" s="1"/>
  <c r="G33" i="6" s="1"/>
  <c r="A35" i="6"/>
  <c r="B34" i="6"/>
  <c r="H32" i="6"/>
  <c r="N30" i="6"/>
  <c r="O30" i="6" s="1"/>
  <c r="M30" i="6"/>
  <c r="K33" i="6" l="1"/>
  <c r="L33" i="6" s="1"/>
  <c r="H33" i="6"/>
  <c r="J34" i="6"/>
  <c r="E34" i="6"/>
  <c r="I34" i="6"/>
  <c r="D34" i="6"/>
  <c r="F34" i="6" s="1"/>
  <c r="G34" i="6" s="1"/>
  <c r="B35" i="6"/>
  <c r="A36" i="6"/>
  <c r="M32" i="6"/>
  <c r="N32" i="6"/>
  <c r="O32" i="6" s="1"/>
  <c r="K34" i="6" l="1"/>
  <c r="L34" i="6" s="1"/>
  <c r="A37" i="6"/>
  <c r="B36" i="6"/>
  <c r="H34" i="6"/>
  <c r="E35" i="6"/>
  <c r="J35" i="6"/>
  <c r="D35" i="6"/>
  <c r="F35" i="6" s="1"/>
  <c r="G35" i="6" s="1"/>
  <c r="I35" i="6"/>
  <c r="N33" i="6"/>
  <c r="O33" i="6" s="1"/>
  <c r="M33" i="6"/>
  <c r="K35" i="6" l="1"/>
  <c r="L35" i="6" s="1"/>
  <c r="H35" i="6"/>
  <c r="D36" i="6"/>
  <c r="F36" i="6" s="1"/>
  <c r="G36" i="6" s="1"/>
  <c r="J36" i="6"/>
  <c r="I36" i="6"/>
  <c r="K36" i="6" s="1"/>
  <c r="E36" i="6"/>
  <c r="M34" i="6"/>
  <c r="N34" i="6"/>
  <c r="O34" i="6" s="1"/>
  <c r="A38" i="6"/>
  <c r="B37" i="6"/>
  <c r="L36" i="6" l="1"/>
  <c r="H36" i="6"/>
  <c r="J37" i="6"/>
  <c r="I37" i="6"/>
  <c r="E37" i="6"/>
  <c r="D37" i="6"/>
  <c r="F37" i="6" s="1"/>
  <c r="G37" i="6" s="1"/>
  <c r="M35" i="6"/>
  <c r="N35" i="6"/>
  <c r="O35" i="6" s="1"/>
  <c r="B38" i="6"/>
  <c r="A39" i="6"/>
  <c r="K37" i="6" l="1"/>
  <c r="L37" i="6" s="1"/>
  <c r="H37" i="6"/>
  <c r="B39" i="6"/>
  <c r="A40" i="6"/>
  <c r="J38" i="6"/>
  <c r="D38" i="6"/>
  <c r="F38" i="6" s="1"/>
  <c r="G38" i="6" s="1"/>
  <c r="I38" i="6"/>
  <c r="E38" i="6"/>
  <c r="N36" i="6"/>
  <c r="O36" i="6" s="1"/>
  <c r="M36" i="6"/>
  <c r="K38" i="6" l="1"/>
  <c r="L38" i="6" s="1"/>
  <c r="H38" i="6"/>
  <c r="B40" i="6"/>
  <c r="A41" i="6"/>
  <c r="J39" i="6"/>
  <c r="D39" i="6"/>
  <c r="E39" i="6"/>
  <c r="I39" i="6"/>
  <c r="M37" i="6"/>
  <c r="N37" i="6"/>
  <c r="O37" i="6" s="1"/>
  <c r="K39" i="6" l="1"/>
  <c r="F39" i="6"/>
  <c r="G39" i="6" s="1"/>
  <c r="B41" i="6"/>
  <c r="A42" i="6"/>
  <c r="D40" i="6"/>
  <c r="I40" i="6"/>
  <c r="E40" i="6"/>
  <c r="J40" i="6"/>
  <c r="N38" i="6"/>
  <c r="O38" i="6" s="1"/>
  <c r="M38" i="6"/>
  <c r="K40" i="6" l="1"/>
  <c r="B42" i="6"/>
  <c r="A43" i="6"/>
  <c r="F40" i="6"/>
  <c r="G40" i="6" s="1"/>
  <c r="I41" i="6"/>
  <c r="E41" i="6"/>
  <c r="J41" i="6"/>
  <c r="D41" i="6"/>
  <c r="F41" i="6" s="1"/>
  <c r="G41" i="6" s="1"/>
  <c r="L39" i="6"/>
  <c r="H39" i="6"/>
  <c r="H40" i="6" l="1"/>
  <c r="L40" i="6"/>
  <c r="B43" i="6"/>
  <c r="A44" i="6"/>
  <c r="K41" i="6"/>
  <c r="L41" i="6" s="1"/>
  <c r="J42" i="6"/>
  <c r="E42" i="6"/>
  <c r="I42" i="6"/>
  <c r="D42" i="6"/>
  <c r="H41" i="6"/>
  <c r="M39" i="6"/>
  <c r="N39" i="6"/>
  <c r="O39" i="6" s="1"/>
  <c r="K42" i="6" l="1"/>
  <c r="M41" i="6"/>
  <c r="N41" i="6"/>
  <c r="O41" i="6" s="1"/>
  <c r="B44" i="6"/>
  <c r="A45" i="6"/>
  <c r="E43" i="6"/>
  <c r="J43" i="6"/>
  <c r="I43" i="6"/>
  <c r="D43" i="6"/>
  <c r="F43" i="6" s="1"/>
  <c r="G43" i="6" s="1"/>
  <c r="N40" i="6"/>
  <c r="O40" i="6" s="1"/>
  <c r="M40" i="6"/>
  <c r="F42" i="6"/>
  <c r="G42" i="6" s="1"/>
  <c r="K43" i="6" l="1"/>
  <c r="L43" i="6" s="1"/>
  <c r="H43" i="6"/>
  <c r="B45" i="6"/>
  <c r="A46" i="6"/>
  <c r="D44" i="6"/>
  <c r="F44" i="6" s="1"/>
  <c r="G44" i="6" s="1"/>
  <c r="E44" i="6"/>
  <c r="I44" i="6"/>
  <c r="J44" i="6"/>
  <c r="L42" i="6"/>
  <c r="H42" i="6"/>
  <c r="K44" i="6" l="1"/>
  <c r="L44" i="6" s="1"/>
  <c r="R45" i="6"/>
  <c r="J45" i="6"/>
  <c r="E45" i="6"/>
  <c r="D45" i="6"/>
  <c r="F45" i="6" s="1"/>
  <c r="G45" i="6" s="1"/>
  <c r="I45" i="6"/>
  <c r="H44" i="6"/>
  <c r="A47" i="6"/>
  <c r="B46" i="6"/>
  <c r="N42" i="6"/>
  <c r="O42" i="6" s="1"/>
  <c r="M42" i="6"/>
  <c r="N43" i="6"/>
  <c r="O43" i="6" s="1"/>
  <c r="M43" i="6"/>
  <c r="K45" i="6" l="1"/>
  <c r="L45" i="6" s="1"/>
  <c r="H45" i="6"/>
  <c r="B47" i="6"/>
  <c r="A48" i="6"/>
  <c r="M44" i="6"/>
  <c r="N44" i="6"/>
  <c r="O44" i="6" s="1"/>
  <c r="D46" i="6"/>
  <c r="F46" i="6" s="1"/>
  <c r="G46" i="6" s="1"/>
  <c r="E46" i="6"/>
  <c r="J46" i="6"/>
  <c r="I46" i="6"/>
  <c r="K46" i="6" l="1"/>
  <c r="L46" i="6" s="1"/>
  <c r="H46" i="6"/>
  <c r="A49" i="6"/>
  <c r="B48" i="6"/>
  <c r="J47" i="6"/>
  <c r="I47" i="6"/>
  <c r="E47" i="6"/>
  <c r="D47" i="6"/>
  <c r="F47" i="6" s="1"/>
  <c r="G47" i="6" s="1"/>
  <c r="M45" i="6"/>
  <c r="N45" i="6"/>
  <c r="O45" i="6" s="1"/>
  <c r="K47" i="6" l="1"/>
  <c r="L47" i="6" s="1"/>
  <c r="I48" i="6"/>
  <c r="J48" i="6"/>
  <c r="E48" i="6"/>
  <c r="D48" i="6"/>
  <c r="F48" i="6" s="1"/>
  <c r="G48" i="6" s="1"/>
  <c r="B49" i="6"/>
  <c r="A50" i="6"/>
  <c r="H47" i="6"/>
  <c r="N46" i="6"/>
  <c r="O46" i="6" s="1"/>
  <c r="M46" i="6"/>
  <c r="N47" i="6" l="1"/>
  <c r="O47" i="6" s="1"/>
  <c r="M47" i="6"/>
  <c r="B50" i="6"/>
  <c r="A51" i="6"/>
  <c r="E49" i="6"/>
  <c r="I49" i="6"/>
  <c r="D49" i="6"/>
  <c r="F49" i="6" s="1"/>
  <c r="G49" i="6" s="1"/>
  <c r="J49" i="6"/>
  <c r="H48" i="6"/>
  <c r="K48" i="6"/>
  <c r="L48" i="6" s="1"/>
  <c r="N48" i="6" l="1"/>
  <c r="O48" i="6" s="1"/>
  <c r="M48" i="6"/>
  <c r="H49" i="6"/>
  <c r="D50" i="6"/>
  <c r="F50" i="6" s="1"/>
  <c r="G50" i="6" s="1"/>
  <c r="E50" i="6"/>
  <c r="J50" i="6"/>
  <c r="I50" i="6"/>
  <c r="B51" i="6"/>
  <c r="A52" i="6"/>
  <c r="K49" i="6"/>
  <c r="L49" i="6" s="1"/>
  <c r="K50" i="6" l="1"/>
  <c r="L50" i="6" s="1"/>
  <c r="M49" i="6"/>
  <c r="N49" i="6"/>
  <c r="O49" i="6" s="1"/>
  <c r="H50" i="6"/>
  <c r="A53" i="6"/>
  <c r="B52" i="6"/>
  <c r="E51" i="6"/>
  <c r="D51" i="6"/>
  <c r="F51" i="6" s="1"/>
  <c r="G51" i="6" s="1"/>
  <c r="I51" i="6"/>
  <c r="J51" i="6"/>
  <c r="H51" i="6" l="1"/>
  <c r="J52" i="6"/>
  <c r="I52" i="6"/>
  <c r="D52" i="6"/>
  <c r="F52" i="6" s="1"/>
  <c r="G52" i="6" s="1"/>
  <c r="E52" i="6"/>
  <c r="A54" i="6"/>
  <c r="B53" i="6"/>
  <c r="M50" i="6"/>
  <c r="N50" i="6"/>
  <c r="O50" i="6" s="1"/>
  <c r="K51" i="6"/>
  <c r="L51" i="6" s="1"/>
  <c r="K52" i="6" l="1"/>
  <c r="L52" i="6" s="1"/>
  <c r="N51" i="6"/>
  <c r="O51" i="6" s="1"/>
  <c r="M51" i="6"/>
  <c r="A55" i="6"/>
  <c r="B54" i="6"/>
  <c r="E53" i="6"/>
  <c r="I53" i="6"/>
  <c r="D53" i="6"/>
  <c r="F53" i="6" s="1"/>
  <c r="G53" i="6" s="1"/>
  <c r="J53" i="6"/>
  <c r="H52" i="6"/>
  <c r="K53" i="6" l="1"/>
  <c r="L53" i="6" s="1"/>
  <c r="A56" i="6"/>
  <c r="B55" i="6"/>
  <c r="H53" i="6"/>
  <c r="I54" i="6"/>
  <c r="E54" i="6"/>
  <c r="J54" i="6"/>
  <c r="D54" i="6"/>
  <c r="F54" i="6" s="1"/>
  <c r="G54" i="6" s="1"/>
  <c r="M52" i="6"/>
  <c r="N52" i="6"/>
  <c r="O52" i="6" s="1"/>
  <c r="H54" i="6" l="1"/>
  <c r="N53" i="6"/>
  <c r="O53" i="6" s="1"/>
  <c r="M53" i="6"/>
  <c r="E55" i="6"/>
  <c r="J55" i="6"/>
  <c r="I55" i="6"/>
  <c r="D55" i="6"/>
  <c r="F55" i="6" s="1"/>
  <c r="G55" i="6" s="1"/>
  <c r="K54" i="6"/>
  <c r="L54" i="6" s="1"/>
  <c r="A57" i="6"/>
  <c r="B56" i="6"/>
  <c r="K55" i="6" l="1"/>
  <c r="L55" i="6" s="1"/>
  <c r="N54" i="6"/>
  <c r="O54" i="6" s="1"/>
  <c r="M54" i="6"/>
  <c r="H55" i="6"/>
  <c r="J56" i="6"/>
  <c r="I56" i="6"/>
  <c r="D56" i="6"/>
  <c r="F56" i="6" s="1"/>
  <c r="G56" i="6" s="1"/>
  <c r="E56" i="6"/>
  <c r="B57" i="6"/>
  <c r="A58" i="6"/>
  <c r="K56" i="6" l="1"/>
  <c r="L56" i="6" s="1"/>
  <c r="H56" i="6"/>
  <c r="N55" i="6"/>
  <c r="O55" i="6" s="1"/>
  <c r="M55" i="6"/>
  <c r="A59" i="6"/>
  <c r="B58" i="6"/>
  <c r="E57" i="6"/>
  <c r="J57" i="6"/>
  <c r="I57" i="6"/>
  <c r="D57" i="6"/>
  <c r="A60" i="6" l="1"/>
  <c r="B59" i="6"/>
  <c r="J58" i="6"/>
  <c r="D58" i="6"/>
  <c r="E58" i="6"/>
  <c r="I58" i="6"/>
  <c r="F57" i="6"/>
  <c r="G57" i="6" s="1"/>
  <c r="K57" i="6"/>
  <c r="M56" i="6"/>
  <c r="N56" i="6"/>
  <c r="O56" i="6" s="1"/>
  <c r="K58" i="6" l="1"/>
  <c r="L57" i="6"/>
  <c r="H57" i="6"/>
  <c r="I59" i="6"/>
  <c r="E59" i="6"/>
  <c r="D59" i="6"/>
  <c r="F59" i="6" s="1"/>
  <c r="G59" i="6" s="1"/>
  <c r="J59" i="6"/>
  <c r="F58" i="6"/>
  <c r="G58" i="6" s="1"/>
  <c r="A61" i="6"/>
  <c r="B60" i="6"/>
  <c r="K59" i="6" l="1"/>
  <c r="L59" i="6" s="1"/>
  <c r="B61" i="6"/>
  <c r="A62" i="6"/>
  <c r="L58" i="6"/>
  <c r="H58" i="6"/>
  <c r="H59" i="6"/>
  <c r="J60" i="6"/>
  <c r="D60" i="6"/>
  <c r="F60" i="6" s="1"/>
  <c r="G60" i="6" s="1"/>
  <c r="I60" i="6"/>
  <c r="E60" i="6"/>
  <c r="M57" i="6"/>
  <c r="N57" i="6"/>
  <c r="O57" i="6" s="1"/>
  <c r="M59" i="6" l="1"/>
  <c r="N59" i="6"/>
  <c r="O59" i="6" s="1"/>
  <c r="N58" i="6"/>
  <c r="O58" i="6" s="1"/>
  <c r="M58" i="6"/>
  <c r="H60" i="6"/>
  <c r="A63" i="6"/>
  <c r="B62" i="6"/>
  <c r="K60" i="6"/>
  <c r="L60" i="6" s="1"/>
  <c r="D61" i="6"/>
  <c r="I61" i="6"/>
  <c r="E61" i="6"/>
  <c r="J61" i="6"/>
  <c r="I62" i="6" l="1"/>
  <c r="E62" i="6"/>
  <c r="J62" i="6"/>
  <c r="D62" i="6"/>
  <c r="F62" i="6" s="1"/>
  <c r="G62" i="6" s="1"/>
  <c r="A64" i="6"/>
  <c r="B63" i="6"/>
  <c r="M60" i="6"/>
  <c r="N60" i="6"/>
  <c r="O60" i="6" s="1"/>
  <c r="K61" i="6"/>
  <c r="F61" i="6"/>
  <c r="G61" i="6" s="1"/>
  <c r="I63" i="6" l="1"/>
  <c r="E63" i="6"/>
  <c r="D63" i="6"/>
  <c r="F63" i="6" s="1"/>
  <c r="G63" i="6" s="1"/>
  <c r="J63" i="6"/>
  <c r="A65" i="6"/>
  <c r="B64" i="6"/>
  <c r="H62" i="6"/>
  <c r="H61" i="6"/>
  <c r="L61" i="6"/>
  <c r="K62" i="6"/>
  <c r="L62" i="6" s="1"/>
  <c r="K63" i="6" l="1"/>
  <c r="L63" i="6" s="1"/>
  <c r="M62" i="6"/>
  <c r="N62" i="6"/>
  <c r="O62" i="6" s="1"/>
  <c r="J64" i="6"/>
  <c r="I64" i="6"/>
  <c r="E64" i="6"/>
  <c r="D64" i="6"/>
  <c r="B65" i="6"/>
  <c r="A66" i="6"/>
  <c r="H63" i="6"/>
  <c r="M61" i="6"/>
  <c r="N61" i="6"/>
  <c r="O61" i="6" s="1"/>
  <c r="K64" i="6" l="1"/>
  <c r="E65" i="6"/>
  <c r="D65" i="6"/>
  <c r="F65" i="6" s="1"/>
  <c r="G65" i="6" s="1"/>
  <c r="J65" i="6"/>
  <c r="I65" i="6"/>
  <c r="B66" i="6"/>
  <c r="A67" i="6"/>
  <c r="F64" i="6"/>
  <c r="G64" i="6" s="1"/>
  <c r="M63" i="6"/>
  <c r="N63" i="6"/>
  <c r="O63" i="6" s="1"/>
  <c r="K65" i="6" l="1"/>
  <c r="L65" i="6" s="1"/>
  <c r="A68" i="6"/>
  <c r="B67" i="6"/>
  <c r="H65" i="6"/>
  <c r="L64" i="6"/>
  <c r="H64" i="6"/>
  <c r="I66" i="6"/>
  <c r="D66" i="6"/>
  <c r="F66" i="6" s="1"/>
  <c r="G66" i="6" s="1"/>
  <c r="J66" i="6"/>
  <c r="E66" i="6"/>
  <c r="K66" i="6" l="1"/>
  <c r="L66" i="6" s="1"/>
  <c r="H66" i="6"/>
  <c r="M65" i="6"/>
  <c r="N65" i="6"/>
  <c r="O65" i="6" s="1"/>
  <c r="N64" i="6"/>
  <c r="O64" i="6" s="1"/>
  <c r="M64" i="6"/>
  <c r="J67" i="6"/>
  <c r="I67" i="6"/>
  <c r="E67" i="6"/>
  <c r="D67" i="6"/>
  <c r="F67" i="6" s="1"/>
  <c r="G67" i="6" s="1"/>
  <c r="A69" i="6"/>
  <c r="B68" i="6"/>
  <c r="K67" i="6" l="1"/>
  <c r="L67" i="6" s="1"/>
  <c r="D68" i="6"/>
  <c r="J68" i="6"/>
  <c r="I68" i="6"/>
  <c r="E68" i="6"/>
  <c r="A70" i="6"/>
  <c r="B69" i="6"/>
  <c r="H67" i="6"/>
  <c r="N66" i="6"/>
  <c r="O66" i="6" s="1"/>
  <c r="M66" i="6"/>
  <c r="K68" i="6" l="1"/>
  <c r="M67" i="6"/>
  <c r="N67" i="6"/>
  <c r="O67" i="6" s="1"/>
  <c r="I69" i="6"/>
  <c r="J69" i="6"/>
  <c r="D69" i="6"/>
  <c r="F69" i="6" s="1"/>
  <c r="G69" i="6" s="1"/>
  <c r="E69" i="6"/>
  <c r="B70" i="6"/>
  <c r="A71" i="6"/>
  <c r="F68" i="6"/>
  <c r="G68" i="6" s="1"/>
  <c r="A72" i="6" l="1"/>
  <c r="B71" i="6"/>
  <c r="I70" i="6"/>
  <c r="D70" i="6"/>
  <c r="J70" i="6"/>
  <c r="E70" i="6"/>
  <c r="K69" i="6"/>
  <c r="L69" i="6" s="1"/>
  <c r="H69" i="6"/>
  <c r="L68" i="6"/>
  <c r="H68" i="6"/>
  <c r="N69" i="6" l="1"/>
  <c r="O69" i="6" s="1"/>
  <c r="M69" i="6"/>
  <c r="K70" i="6"/>
  <c r="N68" i="6"/>
  <c r="O68" i="6" s="1"/>
  <c r="M68" i="6"/>
  <c r="E71" i="6"/>
  <c r="J71" i="6"/>
  <c r="I71" i="6"/>
  <c r="D71" i="6"/>
  <c r="F70" i="6"/>
  <c r="G70" i="6" s="1"/>
  <c r="A73" i="6"/>
  <c r="B72" i="6"/>
  <c r="K71" i="6" l="1"/>
  <c r="J72" i="6"/>
  <c r="D72" i="6"/>
  <c r="F72" i="6" s="1"/>
  <c r="G72" i="6" s="1"/>
  <c r="E72" i="6"/>
  <c r="I72" i="6"/>
  <c r="B73" i="6"/>
  <c r="A74" i="6"/>
  <c r="L70" i="6"/>
  <c r="H70" i="6"/>
  <c r="F71" i="6"/>
  <c r="G71" i="6" s="1"/>
  <c r="K72" i="6" l="1"/>
  <c r="L72" i="6" s="1"/>
  <c r="N70" i="6"/>
  <c r="O70" i="6" s="1"/>
  <c r="M70" i="6"/>
  <c r="A75" i="6"/>
  <c r="B74" i="6"/>
  <c r="E73" i="6"/>
  <c r="J73" i="6"/>
  <c r="I73" i="6"/>
  <c r="K73" i="6" s="1"/>
  <c r="D73" i="6"/>
  <c r="F73" i="6" s="1"/>
  <c r="G73" i="6" s="1"/>
  <c r="H72" i="6"/>
  <c r="L71" i="6"/>
  <c r="H71" i="6"/>
  <c r="I74" i="6" l="1"/>
  <c r="J74" i="6"/>
  <c r="E74" i="6"/>
  <c r="D74" i="6"/>
  <c r="F74" i="6" s="1"/>
  <c r="G74" i="6" s="1"/>
  <c r="M71" i="6"/>
  <c r="N71" i="6"/>
  <c r="O71" i="6" s="1"/>
  <c r="B75" i="6"/>
  <c r="A76" i="6"/>
  <c r="L73" i="6"/>
  <c r="H73" i="6"/>
  <c r="M72" i="6"/>
  <c r="N72" i="6"/>
  <c r="O72" i="6" s="1"/>
  <c r="A77" i="6" l="1"/>
  <c r="B76" i="6"/>
  <c r="J75" i="6"/>
  <c r="D75" i="6"/>
  <c r="I75" i="6"/>
  <c r="E75" i="6"/>
  <c r="H74" i="6"/>
  <c r="M73" i="6"/>
  <c r="N73" i="6"/>
  <c r="O73" i="6" s="1"/>
  <c r="K74" i="6"/>
  <c r="L74" i="6" s="1"/>
  <c r="K75" i="6" l="1"/>
  <c r="M74" i="6"/>
  <c r="N74" i="6"/>
  <c r="O74" i="6" s="1"/>
  <c r="F75" i="6"/>
  <c r="G75" i="6" s="1"/>
  <c r="E76" i="6"/>
  <c r="I76" i="6"/>
  <c r="J76" i="6"/>
  <c r="D76" i="6"/>
  <c r="F76" i="6" s="1"/>
  <c r="G76" i="6" s="1"/>
  <c r="A78" i="6"/>
  <c r="B77" i="6"/>
  <c r="K76" i="6" l="1"/>
  <c r="L76" i="6" s="1"/>
  <c r="H76" i="6"/>
  <c r="B78" i="6"/>
  <c r="A79" i="6"/>
  <c r="L75" i="6"/>
  <c r="H75" i="6"/>
  <c r="E77" i="6"/>
  <c r="I77" i="6"/>
  <c r="D77" i="6"/>
  <c r="J77" i="6"/>
  <c r="K77" i="6" l="1"/>
  <c r="M76" i="6"/>
  <c r="N76" i="6"/>
  <c r="O76" i="6" s="1"/>
  <c r="M75" i="6"/>
  <c r="N75" i="6"/>
  <c r="O75" i="6" s="1"/>
  <c r="A80" i="6"/>
  <c r="B79" i="6"/>
  <c r="E78" i="6"/>
  <c r="J78" i="6"/>
  <c r="D78" i="6"/>
  <c r="F78" i="6" s="1"/>
  <c r="G78" i="6" s="1"/>
  <c r="I78" i="6"/>
  <c r="F77" i="6"/>
  <c r="G77" i="6" s="1"/>
  <c r="K78" i="6" l="1"/>
  <c r="L78" i="6" s="1"/>
  <c r="H78" i="6"/>
  <c r="E79" i="6"/>
  <c r="D79" i="6"/>
  <c r="F79" i="6" s="1"/>
  <c r="G79" i="6" s="1"/>
  <c r="J79" i="6"/>
  <c r="I79" i="6"/>
  <c r="A81" i="6"/>
  <c r="B80" i="6"/>
  <c r="L77" i="6"/>
  <c r="H77" i="6"/>
  <c r="K79" i="6" l="1"/>
  <c r="L79" i="6" s="1"/>
  <c r="I80" i="6"/>
  <c r="D80" i="6"/>
  <c r="F80" i="6" s="1"/>
  <c r="G80" i="6" s="1"/>
  <c r="J80" i="6"/>
  <c r="E80" i="6"/>
  <c r="B81" i="6"/>
  <c r="A82" i="6"/>
  <c r="H79" i="6"/>
  <c r="M77" i="6"/>
  <c r="N77" i="6"/>
  <c r="O77" i="6" s="1"/>
  <c r="N78" i="6"/>
  <c r="O78" i="6" s="1"/>
  <c r="M78" i="6"/>
  <c r="M79" i="6" l="1"/>
  <c r="N79" i="6"/>
  <c r="O79" i="6" s="1"/>
  <c r="A83" i="6"/>
  <c r="B82" i="6"/>
  <c r="J81" i="6"/>
  <c r="E81" i="6"/>
  <c r="D81" i="6"/>
  <c r="F81" i="6" s="1"/>
  <c r="G81" i="6" s="1"/>
  <c r="I81" i="6"/>
  <c r="H80" i="6"/>
  <c r="K80" i="6"/>
  <c r="L80" i="6" s="1"/>
  <c r="K81" i="6" l="1"/>
  <c r="L81" i="6" s="1"/>
  <c r="M80" i="6"/>
  <c r="N80" i="6"/>
  <c r="O80" i="6" s="1"/>
  <c r="H81" i="6"/>
  <c r="B83" i="6"/>
  <c r="A84" i="6"/>
  <c r="E82" i="6"/>
  <c r="J82" i="6"/>
  <c r="D82" i="6"/>
  <c r="F82" i="6" s="1"/>
  <c r="G82" i="6" s="1"/>
  <c r="I82" i="6"/>
  <c r="K82" i="6" l="1"/>
  <c r="L82" i="6" s="1"/>
  <c r="B84" i="6"/>
  <c r="A85" i="6"/>
  <c r="E83" i="6"/>
  <c r="I83" i="6"/>
  <c r="D83" i="6"/>
  <c r="F83" i="6" s="1"/>
  <c r="G83" i="6" s="1"/>
  <c r="J83" i="6"/>
  <c r="M81" i="6"/>
  <c r="N81" i="6"/>
  <c r="O81" i="6" s="1"/>
  <c r="H82" i="6"/>
  <c r="H83" i="6" l="1"/>
  <c r="K83" i="6"/>
  <c r="L83" i="6" s="1"/>
  <c r="M82" i="6"/>
  <c r="N82" i="6"/>
  <c r="O82" i="6" s="1"/>
  <c r="B85" i="6"/>
  <c r="A86" i="6"/>
  <c r="D84" i="6"/>
  <c r="F84" i="6" s="1"/>
  <c r="G84" i="6" s="1"/>
  <c r="I84" i="6"/>
  <c r="J84" i="6"/>
  <c r="E84" i="6"/>
  <c r="R84" i="6"/>
  <c r="M83" i="6" l="1"/>
  <c r="N83" i="6"/>
  <c r="O83" i="6" s="1"/>
  <c r="H84" i="6"/>
  <c r="A87" i="6"/>
  <c r="B86" i="6"/>
  <c r="E85" i="6"/>
  <c r="J85" i="6"/>
  <c r="I85" i="6"/>
  <c r="D85" i="6"/>
  <c r="K84" i="6"/>
  <c r="L84" i="6" s="1"/>
  <c r="N84" i="6" l="1"/>
  <c r="O84" i="6" s="1"/>
  <c r="M84" i="6"/>
  <c r="D86" i="6"/>
  <c r="I86" i="6"/>
  <c r="E86" i="6"/>
  <c r="J86" i="6"/>
  <c r="A88" i="6"/>
  <c r="B87" i="6"/>
  <c r="F85" i="6"/>
  <c r="G85" i="6" s="1"/>
  <c r="K85" i="6"/>
  <c r="K86" i="6" l="1"/>
  <c r="A89" i="6"/>
  <c r="B88" i="6"/>
  <c r="F86" i="6"/>
  <c r="G86" i="6" s="1"/>
  <c r="E87" i="6"/>
  <c r="J87" i="6"/>
  <c r="I87" i="6"/>
  <c r="D87" i="6"/>
  <c r="F87" i="6" s="1"/>
  <c r="G87" i="6" s="1"/>
  <c r="H85" i="6"/>
  <c r="L85" i="6"/>
  <c r="K87" i="6" l="1"/>
  <c r="L87" i="6" s="1"/>
  <c r="H87" i="6"/>
  <c r="H86" i="6"/>
  <c r="L86" i="6"/>
  <c r="E88" i="6"/>
  <c r="J88" i="6"/>
  <c r="I88" i="6"/>
  <c r="K88" i="6" s="1"/>
  <c r="D88" i="6"/>
  <c r="F88" i="6" s="1"/>
  <c r="G88" i="6" s="1"/>
  <c r="M85" i="6"/>
  <c r="N85" i="6"/>
  <c r="O85" i="6" s="1"/>
  <c r="A90" i="6"/>
  <c r="B89" i="6"/>
  <c r="H88" i="6" l="1"/>
  <c r="L88" i="6"/>
  <c r="D89" i="6"/>
  <c r="F89" i="6" s="1"/>
  <c r="G89" i="6" s="1"/>
  <c r="J89" i="6"/>
  <c r="I89" i="6"/>
  <c r="E89" i="6"/>
  <c r="N87" i="6"/>
  <c r="O87" i="6" s="1"/>
  <c r="M87" i="6"/>
  <c r="M86" i="6"/>
  <c r="N86" i="6"/>
  <c r="O86" i="6" s="1"/>
  <c r="A91" i="6"/>
  <c r="B90" i="6"/>
  <c r="K89" i="6" l="1"/>
  <c r="L89" i="6" s="1"/>
  <c r="H89" i="6"/>
  <c r="M88" i="6"/>
  <c r="N88" i="6"/>
  <c r="O88" i="6" s="1"/>
  <c r="D90" i="6"/>
  <c r="J90" i="6"/>
  <c r="I90" i="6"/>
  <c r="K90" i="6" s="1"/>
  <c r="E90" i="6"/>
  <c r="A92" i="6"/>
  <c r="B91" i="6"/>
  <c r="F90" i="6" l="1"/>
  <c r="G90" i="6" s="1"/>
  <c r="J91" i="6"/>
  <c r="I91" i="6"/>
  <c r="D91" i="6"/>
  <c r="F91" i="6" s="1"/>
  <c r="G91" i="6" s="1"/>
  <c r="E91" i="6"/>
  <c r="B92" i="6"/>
  <c r="A93" i="6"/>
  <c r="N89" i="6"/>
  <c r="O89" i="6" s="1"/>
  <c r="M89" i="6"/>
  <c r="K91" i="6" l="1"/>
  <c r="L91" i="6" s="1"/>
  <c r="A94" i="6"/>
  <c r="B93" i="6"/>
  <c r="H91" i="6"/>
  <c r="D92" i="6"/>
  <c r="F92" i="6" s="1"/>
  <c r="G92" i="6" s="1"/>
  <c r="J92" i="6"/>
  <c r="I92" i="6"/>
  <c r="E92" i="6"/>
  <c r="L90" i="6"/>
  <c r="H90" i="6"/>
  <c r="K92" i="6" l="1"/>
  <c r="L92" i="6" s="1"/>
  <c r="H92" i="6"/>
  <c r="J93" i="6"/>
  <c r="I93" i="6"/>
  <c r="D93" i="6"/>
  <c r="F93" i="6" s="1"/>
  <c r="G93" i="6" s="1"/>
  <c r="E93" i="6"/>
  <c r="M91" i="6"/>
  <c r="N91" i="6"/>
  <c r="O91" i="6" s="1"/>
  <c r="M90" i="6"/>
  <c r="N90" i="6"/>
  <c r="O90" i="6" s="1"/>
  <c r="B94" i="6"/>
  <c r="A95" i="6"/>
  <c r="K93" i="6" l="1"/>
  <c r="L93" i="6" s="1"/>
  <c r="H93" i="6"/>
  <c r="E94" i="6"/>
  <c r="D94" i="6"/>
  <c r="F94" i="6" s="1"/>
  <c r="G94" i="6" s="1"/>
  <c r="J94" i="6"/>
  <c r="I94" i="6"/>
  <c r="A96" i="6"/>
  <c r="B95" i="6"/>
  <c r="M92" i="6"/>
  <c r="N92" i="6"/>
  <c r="O92" i="6" s="1"/>
  <c r="K94" i="6" l="1"/>
  <c r="L94" i="6" s="1"/>
  <c r="D95" i="6"/>
  <c r="F95" i="6" s="1"/>
  <c r="G95" i="6" s="1"/>
  <c r="J95" i="6"/>
  <c r="I95" i="6"/>
  <c r="E95" i="6"/>
  <c r="H94" i="6"/>
  <c r="A97" i="6"/>
  <c r="B96" i="6"/>
  <c r="N93" i="6"/>
  <c r="O93" i="6" s="1"/>
  <c r="M93" i="6"/>
  <c r="K95" i="6" l="1"/>
  <c r="L95" i="6" s="1"/>
  <c r="E96" i="6"/>
  <c r="J96" i="6"/>
  <c r="I96" i="6"/>
  <c r="D96" i="6"/>
  <c r="F96" i="6" s="1"/>
  <c r="G96" i="6" s="1"/>
  <c r="B97" i="6"/>
  <c r="A98" i="6"/>
  <c r="M94" i="6"/>
  <c r="N94" i="6"/>
  <c r="O94" i="6" s="1"/>
  <c r="H95" i="6"/>
  <c r="K96" i="6" l="1"/>
  <c r="L96" i="6" s="1"/>
  <c r="B98" i="6"/>
  <c r="A99" i="6"/>
  <c r="H96" i="6"/>
  <c r="E97" i="6"/>
  <c r="J97" i="6"/>
  <c r="D97" i="6"/>
  <c r="F97" i="6" s="1"/>
  <c r="G97" i="6" s="1"/>
  <c r="I97" i="6"/>
  <c r="M95" i="6"/>
  <c r="N95" i="6"/>
  <c r="O95" i="6" s="1"/>
  <c r="K97" i="6" l="1"/>
  <c r="L97" i="6" s="1"/>
  <c r="M96" i="6"/>
  <c r="N96" i="6"/>
  <c r="O96" i="6" s="1"/>
  <c r="H97" i="6"/>
  <c r="B99" i="6"/>
  <c r="A100" i="6"/>
  <c r="D98" i="6"/>
  <c r="F98" i="6" s="1"/>
  <c r="G98" i="6" s="1"/>
  <c r="E98" i="6"/>
  <c r="J98" i="6"/>
  <c r="I98" i="6"/>
  <c r="K98" i="6" l="1"/>
  <c r="L98" i="6" s="1"/>
  <c r="B100" i="6"/>
  <c r="A101" i="6"/>
  <c r="B101" i="6" s="1"/>
  <c r="M97" i="6"/>
  <c r="N97" i="6"/>
  <c r="O97" i="6" s="1"/>
  <c r="H98" i="6"/>
  <c r="E99" i="6"/>
  <c r="J99" i="6"/>
  <c r="D99" i="6"/>
  <c r="I99" i="6"/>
  <c r="M98" i="6" l="1"/>
  <c r="N98" i="6"/>
  <c r="O98" i="6" s="1"/>
  <c r="K99" i="6"/>
  <c r="J101" i="6"/>
  <c r="R101" i="6"/>
  <c r="I101" i="6"/>
  <c r="D101" i="6"/>
  <c r="F101" i="6" s="1"/>
  <c r="G101" i="6" s="1"/>
  <c r="E101" i="6"/>
  <c r="F99" i="6"/>
  <c r="G99" i="6" s="1"/>
  <c r="E100" i="6"/>
  <c r="J100" i="6"/>
  <c r="I100" i="6"/>
  <c r="K100" i="6" s="1"/>
  <c r="D100" i="6"/>
  <c r="F100" i="6" s="1"/>
  <c r="G100" i="6" s="1"/>
  <c r="K101" i="6" l="1"/>
  <c r="L101" i="6" s="1"/>
  <c r="H100" i="6"/>
  <c r="L100" i="6"/>
  <c r="H101" i="6"/>
  <c r="L99" i="6"/>
  <c r="H99" i="6"/>
  <c r="M100" i="6" l="1"/>
  <c r="N100" i="6"/>
  <c r="O100" i="6" s="1"/>
  <c r="M99" i="6"/>
  <c r="N99" i="6"/>
  <c r="O99" i="6" s="1"/>
  <c r="N101" i="6"/>
  <c r="O101" i="6" s="1"/>
  <c r="M10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Lok, Weihern</author>
  </authors>
  <commentList>
    <comment ref="C47" authorId="0" shapeId="0" xr:uid="{7E465ABB-AEA8-44E6-B6B8-839BD2EBEA19}">
      <text>
        <r>
          <rPr>
            <b/>
            <sz val="9"/>
            <color indexed="81"/>
            <rFont val="Tahoma"/>
            <family val="2"/>
          </rPr>
          <t>Lok, Weihern:</t>
        </r>
        <r>
          <rPr>
            <sz val="9"/>
            <color indexed="81"/>
            <rFont val="Tahoma"/>
            <family val="2"/>
          </rPr>
          <t xml:space="preserve">
ISE900007573 (T2)</t>
        </r>
      </text>
    </comment>
    <comment ref="C55" authorId="0" shapeId="0" xr:uid="{F39C2FE5-5278-451D-A703-C3BBBA4BA9E4}">
      <text>
        <r>
          <rPr>
            <b/>
            <sz val="9"/>
            <color indexed="81"/>
            <rFont val="Tahoma"/>
            <family val="2"/>
          </rPr>
          <t>Lok, Weihern:</t>
        </r>
        <r>
          <rPr>
            <sz val="9"/>
            <color indexed="81"/>
            <rFont val="Tahoma"/>
            <family val="2"/>
          </rPr>
          <t xml:space="preserve">
STFU28N65M2 (Q1 - Q4)</t>
        </r>
      </text>
    </comment>
    <comment ref="C62" authorId="0" shapeId="0" xr:uid="{F320AA0B-40AF-4F6B-BE59-4684685A7E85}">
      <text>
        <r>
          <rPr>
            <b/>
            <sz val="9"/>
            <color indexed="81"/>
            <rFont val="Tahoma"/>
            <family val="2"/>
          </rPr>
          <t>Lok, Weihern:</t>
        </r>
        <r>
          <rPr>
            <sz val="9"/>
            <color indexed="81"/>
            <rFont val="Tahoma"/>
            <family val="2"/>
          </rPr>
          <t xml:space="preserve">
60P964 (L2)</t>
        </r>
      </text>
    </comment>
    <comment ref="C69" authorId="0" shapeId="0" xr:uid="{D7923F8C-A56C-42E4-8EDE-264BC9FA2BBA}">
      <text>
        <r>
          <rPr>
            <b/>
            <sz val="9"/>
            <color indexed="81"/>
            <rFont val="Tahoma"/>
            <family val="2"/>
          </rPr>
          <t>Lok, Weihern:</t>
        </r>
        <r>
          <rPr>
            <sz val="9"/>
            <color indexed="81"/>
            <rFont val="Tahoma"/>
            <family val="2"/>
          </rPr>
          <t xml:space="preserve">
195A200 (L1)</t>
        </r>
      </text>
    </comment>
    <comment ref="C79" authorId="0" shapeId="0" xr:uid="{D487605D-E9D4-4146-9D85-2B091F4B5DD1}">
      <text>
        <r>
          <rPr>
            <b/>
            <sz val="9"/>
            <color indexed="81"/>
            <rFont val="Tahoma"/>
            <family val="2"/>
          </rPr>
          <t>Lok, Weihern:</t>
        </r>
        <r>
          <rPr>
            <sz val="9"/>
            <color indexed="81"/>
            <rFont val="Tahoma"/>
            <family val="2"/>
          </rPr>
          <t xml:space="preserve">
UPS2A102MHD (C4 - C8, Cx)</t>
        </r>
      </text>
    </comment>
    <comment ref="C93" authorId="0" shapeId="0" xr:uid="{519A7DA9-DCFE-4A1A-9EF5-45BD2F51077C}">
      <text>
        <r>
          <rPr>
            <b/>
            <sz val="9"/>
            <color indexed="81"/>
            <rFont val="Tahoma"/>
            <family val="2"/>
          </rPr>
          <t>Lok, Weihern:</t>
        </r>
        <r>
          <rPr>
            <sz val="9"/>
            <color indexed="81"/>
            <rFont val="Tahoma"/>
            <family val="2"/>
          </rPr>
          <t xml:space="preserve">
FDP032N08B (Q6, Q7)</t>
        </r>
      </text>
    </comment>
    <comment ref="C107" authorId="0" shapeId="0" xr:uid="{345B2153-7B2C-472F-91F6-9DAA9A534F37}">
      <text>
        <r>
          <rPr>
            <b/>
            <sz val="9"/>
            <color indexed="81"/>
            <rFont val="Tahoma"/>
            <family val="2"/>
          </rPr>
          <t>Lok, Weihern:</t>
        </r>
        <r>
          <rPr>
            <sz val="9"/>
            <color indexed="81"/>
            <rFont val="Tahoma"/>
            <family val="2"/>
          </rPr>
          <t xml:space="preserve">
ALC70E621EL600 (C3)</t>
        </r>
      </text>
    </comment>
    <comment ref="C115" authorId="0" shapeId="0" xr:uid="{AE9D3F2A-6977-494B-8DE6-77F3AB8001DC}">
      <text>
        <r>
          <rPr>
            <b/>
            <sz val="9"/>
            <color indexed="81"/>
            <rFont val="Tahoma"/>
            <charset val="1"/>
          </rPr>
          <t>Lok, Weihern:</t>
        </r>
        <r>
          <rPr>
            <sz val="9"/>
            <color indexed="81"/>
            <rFont val="Tahoma"/>
            <charset val="1"/>
          </rPr>
          <t xml:space="preserve">
(R1)</t>
        </r>
      </text>
    </comment>
    <comment ref="C128" authorId="0" shapeId="0" xr:uid="{6DE79FE4-DA91-4750-BDE3-3158F718CD16}">
      <text>
        <r>
          <rPr>
            <b/>
            <sz val="9"/>
            <color indexed="81"/>
            <rFont val="Tahoma"/>
            <family val="2"/>
          </rPr>
          <t>Lok, Weihern:</t>
        </r>
        <r>
          <rPr>
            <sz val="9"/>
            <color indexed="81"/>
            <rFont val="Tahoma"/>
            <family val="2"/>
          </rPr>
          <t xml:space="preserve">
RC0603FR-0742K2L (R6)</t>
        </r>
      </text>
    </comment>
    <comment ref="C141" authorId="0" shapeId="0" xr:uid="{FC7E65AD-BA08-4973-9B3A-9D34D847C43B}">
      <text>
        <r>
          <rPr>
            <b/>
            <sz val="9"/>
            <color indexed="81"/>
            <rFont val="Tahoma"/>
            <family val="2"/>
          </rPr>
          <t>Lok, Weihern:</t>
        </r>
        <r>
          <rPr>
            <sz val="9"/>
            <color indexed="81"/>
            <rFont val="Tahoma"/>
            <family val="2"/>
          </rPr>
          <t xml:space="preserve">
(R9)</t>
        </r>
      </text>
    </comment>
    <comment ref="C146" authorId="0" shapeId="0" xr:uid="{3F18D02D-9B0E-490A-93DA-DC14F89485E9}">
      <text>
        <r>
          <rPr>
            <b/>
            <sz val="9"/>
            <color indexed="81"/>
            <rFont val="Tahoma"/>
            <family val="2"/>
          </rPr>
          <t>Lok, Weihern:</t>
        </r>
        <r>
          <rPr>
            <sz val="9"/>
            <color indexed="81"/>
            <rFont val="Tahoma"/>
            <family val="2"/>
          </rPr>
          <t xml:space="preserve">
(C3)</t>
        </r>
      </text>
    </comment>
    <comment ref="C151" authorId="0" shapeId="0" xr:uid="{CD49E616-1F92-4DC6-BE67-C0019A608BD7}">
      <text>
        <r>
          <rPr>
            <b/>
            <sz val="9"/>
            <color indexed="81"/>
            <rFont val="Tahoma"/>
            <family val="2"/>
          </rPr>
          <t>Lok, Weihern:</t>
        </r>
        <r>
          <rPr>
            <sz val="9"/>
            <color indexed="81"/>
            <rFont val="Tahoma"/>
            <family val="2"/>
          </rPr>
          <t xml:space="preserve">
(C4)</t>
        </r>
      </text>
    </comment>
    <comment ref="C179" authorId="0" shapeId="0" xr:uid="{E386A03D-8C24-4850-844C-41585698785C}">
      <text>
        <r>
          <rPr>
            <b/>
            <sz val="9"/>
            <color indexed="81"/>
            <rFont val="Tahoma"/>
            <family val="2"/>
          </rPr>
          <t>Lok, Weihern:</t>
        </r>
        <r>
          <rPr>
            <sz val="9"/>
            <color indexed="81"/>
            <rFont val="Tahoma"/>
            <family val="2"/>
          </rPr>
          <t xml:space="preserve">
CC0805KRX7R9BB124 (C2)</t>
        </r>
      </text>
    </comment>
    <comment ref="C183" authorId="0" shapeId="0" xr:uid="{0A2FB1A2-1917-4E99-B913-35760A8DDB82}">
      <text>
        <r>
          <rPr>
            <b/>
            <sz val="9"/>
            <color indexed="81"/>
            <rFont val="Tahoma"/>
            <family val="2"/>
          </rPr>
          <t>Lok, Weihern:</t>
        </r>
        <r>
          <rPr>
            <sz val="9"/>
            <color indexed="81"/>
            <rFont val="Tahoma"/>
            <family val="2"/>
          </rPr>
          <t xml:space="preserve">
RT0603FRE078K25L (R19)</t>
        </r>
      </text>
    </comment>
    <comment ref="C187" authorId="0" shapeId="0" xr:uid="{B63170EA-2F2E-412A-AAA1-9D514DC740E0}">
      <text>
        <r>
          <rPr>
            <b/>
            <sz val="9"/>
            <color indexed="81"/>
            <rFont val="Tahoma"/>
            <family val="2"/>
          </rPr>
          <t>Lok, Weihern:</t>
        </r>
        <r>
          <rPr>
            <sz val="9"/>
            <color indexed="81"/>
            <rFont val="Tahoma"/>
            <family val="2"/>
          </rPr>
          <t xml:space="preserve">
RT0603FRE07348RL (R20)</t>
        </r>
      </text>
    </comment>
    <comment ref="C191" authorId="0" shapeId="0" xr:uid="{C278C1D4-9C23-410A-9FB1-17EEE9D8AC2C}">
      <text>
        <r>
          <rPr>
            <b/>
            <sz val="9"/>
            <color indexed="81"/>
            <rFont val="Tahoma"/>
            <family val="2"/>
          </rPr>
          <t>Lok, Weihern:</t>
        </r>
        <r>
          <rPr>
            <sz val="9"/>
            <color indexed="81"/>
            <rFont val="Tahoma"/>
            <family val="2"/>
          </rPr>
          <t xml:space="preserve">
RT0603FRE0730K1L (R3)</t>
        </r>
      </text>
    </comment>
    <comment ref="C197" authorId="0" shapeId="0" xr:uid="{4183F910-6933-4769-9E8D-1C95195033AB}">
      <text>
        <r>
          <rPr>
            <b/>
            <sz val="9"/>
            <color indexed="81"/>
            <rFont val="Tahoma"/>
            <family val="2"/>
          </rPr>
          <t>Lok, Weihern:</t>
        </r>
        <r>
          <rPr>
            <sz val="9"/>
            <color indexed="81"/>
            <rFont val="Tahoma"/>
            <family val="2"/>
          </rPr>
          <t xml:space="preserve">
RT0603FRE0730K1L (R4)</t>
        </r>
      </text>
    </comment>
    <comment ref="C201" authorId="0" shapeId="0" xr:uid="{1B02B4A1-035C-452C-90DF-7D4483587C3E}">
      <text>
        <r>
          <rPr>
            <b/>
            <sz val="9"/>
            <color indexed="81"/>
            <rFont val="Tahoma"/>
            <family val="2"/>
          </rPr>
          <t>Lok, Weihern:</t>
        </r>
        <r>
          <rPr>
            <sz val="9"/>
            <color indexed="81"/>
            <rFont val="Tahoma"/>
            <family val="2"/>
          </rPr>
          <t xml:space="preserve">
RT0603FRE078K25L (R16)</t>
        </r>
      </text>
    </comment>
    <comment ref="C205" authorId="0" shapeId="0" xr:uid="{9B8EECB5-9FED-4128-9604-3472026AF3D5}">
      <text>
        <r>
          <rPr>
            <b/>
            <sz val="9"/>
            <color indexed="81"/>
            <rFont val="Tahoma"/>
            <family val="2"/>
          </rPr>
          <t>Lok, Weihern:</t>
        </r>
        <r>
          <rPr>
            <sz val="9"/>
            <color indexed="81"/>
            <rFont val="Tahoma"/>
            <family val="2"/>
          </rPr>
          <t xml:space="preserve">
RT0603FRE074K22L (R17)</t>
        </r>
      </text>
    </comment>
    <comment ref="C209" authorId="0" shapeId="0" xr:uid="{9B434292-B9AF-4E4D-AF83-FA2418C16D60}">
      <text>
        <r>
          <rPr>
            <b/>
            <sz val="9"/>
            <color indexed="81"/>
            <rFont val="Tahoma"/>
            <family val="2"/>
          </rPr>
          <t>Lok, Weihern:</t>
        </r>
        <r>
          <rPr>
            <sz val="9"/>
            <color indexed="81"/>
            <rFont val="Tahoma"/>
            <family val="2"/>
          </rPr>
          <t xml:space="preserve">
RT0603FRE0714KL (R8)</t>
        </r>
      </text>
    </comment>
    <comment ref="C214" authorId="0" shapeId="0" xr:uid="{9E2D5CA1-6540-445E-9333-60EABC2F7DE0}">
      <text>
        <r>
          <rPr>
            <b/>
            <sz val="9"/>
            <color indexed="81"/>
            <rFont val="Tahoma"/>
            <family val="2"/>
          </rPr>
          <t>Lok, Weihern:</t>
        </r>
        <r>
          <rPr>
            <sz val="9"/>
            <color indexed="81"/>
            <rFont val="Tahoma"/>
            <family val="2"/>
          </rPr>
          <t xml:space="preserve">
RT0603FRE0712K7L (R10)</t>
        </r>
      </text>
    </comment>
    <comment ref="C218" authorId="0" shapeId="0" xr:uid="{018F0C3A-0D54-407A-A0D3-2A8C9A8A5B20}">
      <text>
        <r>
          <rPr>
            <b/>
            <sz val="9"/>
            <color indexed="81"/>
            <rFont val="Tahoma"/>
            <family val="2"/>
          </rPr>
          <t>Lok, Weihern:</t>
        </r>
        <r>
          <rPr>
            <sz val="9"/>
            <color indexed="81"/>
            <rFont val="Tahoma"/>
            <family val="2"/>
          </rPr>
          <t xml:space="preserve">
RT0603FRE0759KL (R11)</t>
        </r>
      </text>
    </comment>
    <comment ref="C232" authorId="0" shapeId="0" xr:uid="{CD1D032D-EB40-4FAD-B231-31CED6655CFB}">
      <text>
        <r>
          <rPr>
            <b/>
            <sz val="9"/>
            <color indexed="81"/>
            <rFont val="Tahoma"/>
            <family val="2"/>
          </rPr>
          <t>Lok, Weihern:</t>
        </r>
        <r>
          <rPr>
            <sz val="9"/>
            <color indexed="81"/>
            <rFont val="Tahoma"/>
            <family val="2"/>
          </rPr>
          <t xml:space="preserve">
(R24)</t>
        </r>
      </text>
    </comment>
  </commentList>
</comments>
</file>

<file path=xl/sharedStrings.xml><?xml version="1.0" encoding="utf-8"?>
<sst xmlns="http://schemas.openxmlformats.org/spreadsheetml/2006/main" count="620" uniqueCount="342">
  <si>
    <t>This spreadsheet guides the User through the design process for a CONTINUOUS CONDUCTION MODE PFC BOOST converter using the UCC28019 controller.</t>
  </si>
  <si>
    <t>1. The Macros must be ENABLED.</t>
  </si>
  <si>
    <t>2. The Analysis ToolPak Add-In must be checked.</t>
  </si>
  <si>
    <t>• This feature can be found in the Tools Menu.</t>
  </si>
  <si>
    <t>• Select Add-Ins</t>
  </si>
  <si>
    <t>• Check the box next to Analysis ToolPak</t>
  </si>
  <si>
    <t>3. Enter the desired design parameters in the YELLOW shaded boxes</t>
  </si>
  <si>
    <t>5. Actual standard values must be entered for the spreadsheet to calculate the gain-phase plots.</t>
  </si>
  <si>
    <t>Design Specifications</t>
  </si>
  <si>
    <t>Description</t>
  </si>
  <si>
    <t xml:space="preserve">Minimum </t>
  </si>
  <si>
    <t>Maximum</t>
  </si>
  <si>
    <t xml:space="preserve">Typical </t>
  </si>
  <si>
    <t>Input Voltage</t>
  </si>
  <si>
    <t>Output Voltage</t>
  </si>
  <si>
    <t>Allowable Output Voltage
Transients (90% Load Step)</t>
  </si>
  <si>
    <t>Unit</t>
  </si>
  <si>
    <t>V</t>
  </si>
  <si>
    <t>W</t>
  </si>
  <si>
    <t xml:space="preserve"> </t>
  </si>
  <si>
    <t>kHz</t>
  </si>
  <si>
    <r>
      <t>Output Power (P</t>
    </r>
    <r>
      <rPr>
        <b/>
        <vertAlign val="subscript"/>
        <sz val="12"/>
        <rFont val="Arial"/>
        <family val="2"/>
      </rPr>
      <t>OUT</t>
    </r>
    <r>
      <rPr>
        <b/>
        <sz val="12"/>
        <rFont val="Arial"/>
        <family val="2"/>
      </rPr>
      <t>)</t>
    </r>
  </si>
  <si>
    <r>
      <t>Inductor (L</t>
    </r>
    <r>
      <rPr>
        <b/>
        <vertAlign val="subscript"/>
        <sz val="12"/>
        <rFont val="Arial"/>
        <family val="2"/>
      </rPr>
      <t>OUT</t>
    </r>
    <r>
      <rPr>
        <b/>
        <sz val="12"/>
        <rFont val="Arial"/>
        <family val="2"/>
      </rPr>
      <t>) Switching Frequency</t>
    </r>
  </si>
  <si>
    <t>Full Load Efficiency</t>
  </si>
  <si>
    <r>
      <t>P</t>
    </r>
    <r>
      <rPr>
        <b/>
        <vertAlign val="subscript"/>
        <sz val="12"/>
        <rFont val="Arial"/>
        <family val="2"/>
      </rPr>
      <t>BUDGET</t>
    </r>
  </si>
  <si>
    <r>
      <t>V</t>
    </r>
    <r>
      <rPr>
        <b/>
        <vertAlign val="subscript"/>
        <sz val="12"/>
        <rFont val="Arial"/>
        <family val="2"/>
      </rPr>
      <t>RDSON</t>
    </r>
  </si>
  <si>
    <t>a1</t>
  </si>
  <si>
    <t>Variable</t>
  </si>
  <si>
    <r>
      <t>T1 Transformer Turns Ratio=N</t>
    </r>
    <r>
      <rPr>
        <b/>
        <vertAlign val="subscript"/>
        <sz val="12"/>
        <rFont val="Arial"/>
        <family val="2"/>
      </rPr>
      <t>P</t>
    </r>
    <r>
      <rPr>
        <b/>
        <sz val="12"/>
        <rFont val="Arial"/>
        <family val="2"/>
      </rPr>
      <t>/N</t>
    </r>
    <r>
      <rPr>
        <b/>
        <vertAlign val="subscript"/>
        <sz val="12"/>
        <rFont val="Arial"/>
        <family val="2"/>
      </rPr>
      <t>S</t>
    </r>
  </si>
  <si>
    <t>Maximum Duty Cycle Nominal</t>
  </si>
  <si>
    <t>Typical Duty Cycle</t>
  </si>
  <si>
    <r>
      <t>D</t>
    </r>
    <r>
      <rPr>
        <b/>
        <vertAlign val="subscript"/>
        <sz val="12"/>
        <rFont val="Arial"/>
        <family val="2"/>
      </rPr>
      <t>MAX</t>
    </r>
  </si>
  <si>
    <r>
      <t>D</t>
    </r>
    <r>
      <rPr>
        <b/>
        <vertAlign val="subscript"/>
        <sz val="12"/>
        <rFont val="Arial"/>
        <family val="2"/>
      </rPr>
      <t>TYP</t>
    </r>
  </si>
  <si>
    <t>Inductor Ripple Current</t>
  </si>
  <si>
    <t>A</t>
  </si>
  <si>
    <r>
      <t>L</t>
    </r>
    <r>
      <rPr>
        <b/>
        <vertAlign val="subscript"/>
        <sz val="12"/>
        <rFont val="Arial"/>
        <family val="2"/>
      </rPr>
      <t>MAG</t>
    </r>
  </si>
  <si>
    <t>mH</t>
  </si>
  <si>
    <r>
      <t>I</t>
    </r>
    <r>
      <rPr>
        <b/>
        <vertAlign val="subscript"/>
        <sz val="12"/>
        <rFont val="Arial"/>
        <family val="2"/>
      </rPr>
      <t>PS</t>
    </r>
  </si>
  <si>
    <r>
      <t>I</t>
    </r>
    <r>
      <rPr>
        <b/>
        <vertAlign val="subscript"/>
        <sz val="12"/>
        <rFont val="Arial"/>
        <family val="2"/>
      </rPr>
      <t>MS</t>
    </r>
  </si>
  <si>
    <r>
      <t>I</t>
    </r>
    <r>
      <rPr>
        <b/>
        <vertAlign val="subscript"/>
        <sz val="12"/>
        <rFont val="Arial"/>
        <family val="2"/>
      </rPr>
      <t>SRMS1</t>
    </r>
  </si>
  <si>
    <r>
      <t>I</t>
    </r>
    <r>
      <rPr>
        <b/>
        <vertAlign val="subscript"/>
        <sz val="12"/>
        <rFont val="Arial"/>
        <family val="2"/>
      </rPr>
      <t>MS2</t>
    </r>
  </si>
  <si>
    <r>
      <t>I</t>
    </r>
    <r>
      <rPr>
        <b/>
        <vertAlign val="subscript"/>
        <sz val="12"/>
        <rFont val="Arial"/>
        <family val="2"/>
      </rPr>
      <t>SRMS2</t>
    </r>
  </si>
  <si>
    <r>
      <t>I</t>
    </r>
    <r>
      <rPr>
        <b/>
        <vertAlign val="subscript"/>
        <sz val="12"/>
        <rFont val="Arial"/>
        <family val="2"/>
      </rPr>
      <t>SRMS3</t>
    </r>
  </si>
  <si>
    <r>
      <t>I</t>
    </r>
    <r>
      <rPr>
        <b/>
        <vertAlign val="subscript"/>
        <sz val="12"/>
        <rFont val="Arial"/>
        <family val="2"/>
      </rPr>
      <t>SRMS</t>
    </r>
  </si>
  <si>
    <r>
      <t>dIL</t>
    </r>
    <r>
      <rPr>
        <b/>
        <vertAlign val="subscript"/>
        <sz val="12"/>
        <rFont val="Arial"/>
        <family val="2"/>
      </rPr>
      <t>MAG</t>
    </r>
  </si>
  <si>
    <r>
      <t>I</t>
    </r>
    <r>
      <rPr>
        <b/>
        <vertAlign val="subscript"/>
        <sz val="12"/>
        <rFont val="Arial"/>
        <family val="2"/>
      </rPr>
      <t>PP</t>
    </r>
  </si>
  <si>
    <r>
      <t>I</t>
    </r>
    <r>
      <rPr>
        <b/>
        <vertAlign val="subscript"/>
        <sz val="12"/>
        <rFont val="Arial"/>
        <family val="2"/>
      </rPr>
      <t>MP</t>
    </r>
  </si>
  <si>
    <r>
      <t>I</t>
    </r>
    <r>
      <rPr>
        <b/>
        <vertAlign val="subscript"/>
        <sz val="12"/>
        <rFont val="Arial"/>
        <family val="2"/>
      </rPr>
      <t>MP2</t>
    </r>
  </si>
  <si>
    <r>
      <t>I</t>
    </r>
    <r>
      <rPr>
        <b/>
        <vertAlign val="subscript"/>
        <sz val="12"/>
        <rFont val="Arial"/>
        <family val="2"/>
      </rPr>
      <t>PRMS1</t>
    </r>
  </si>
  <si>
    <r>
      <t>I</t>
    </r>
    <r>
      <rPr>
        <b/>
        <vertAlign val="subscript"/>
        <sz val="12"/>
        <rFont val="Arial"/>
        <family val="2"/>
      </rPr>
      <t>PRMS2</t>
    </r>
  </si>
  <si>
    <r>
      <t>DCR</t>
    </r>
    <r>
      <rPr>
        <b/>
        <vertAlign val="subscript"/>
        <sz val="12"/>
        <rFont val="Arial"/>
        <family val="2"/>
      </rPr>
      <t>P</t>
    </r>
  </si>
  <si>
    <r>
      <t>I</t>
    </r>
    <r>
      <rPr>
        <b/>
        <vertAlign val="subscript"/>
        <sz val="12"/>
        <rFont val="Arial"/>
        <family val="2"/>
      </rPr>
      <t>PRMS</t>
    </r>
  </si>
  <si>
    <r>
      <t>DCR</t>
    </r>
    <r>
      <rPr>
        <b/>
        <vertAlign val="subscript"/>
        <sz val="12"/>
        <rFont val="Arial"/>
        <family val="2"/>
      </rPr>
      <t>S</t>
    </r>
  </si>
  <si>
    <r>
      <t>P</t>
    </r>
    <r>
      <rPr>
        <b/>
        <vertAlign val="subscript"/>
        <sz val="12"/>
        <rFont val="Arial"/>
        <family val="2"/>
      </rPr>
      <t>T1</t>
    </r>
  </si>
  <si>
    <t>Transformer Primary DC Resistance</t>
  </si>
  <si>
    <t>Transformer Secondary DC Resistance</t>
  </si>
  <si>
    <t>Estimated transform loss, 2X Copper Losses</t>
  </si>
  <si>
    <t>Recalculate Power Budget</t>
  </si>
  <si>
    <t>QA, QB, QC, QD FET selection:</t>
  </si>
  <si>
    <r>
      <t>R</t>
    </r>
    <r>
      <rPr>
        <b/>
        <vertAlign val="subscript"/>
        <sz val="12"/>
        <rFont val="Arial"/>
        <family val="2"/>
      </rPr>
      <t>ds(on)QA</t>
    </r>
  </si>
  <si>
    <t>FET drain to source on resistance</t>
  </si>
  <si>
    <t>FET Specified Coss</t>
  </si>
  <si>
    <t>pF</t>
  </si>
  <si>
    <r>
      <t>C</t>
    </r>
    <r>
      <rPr>
        <b/>
        <vertAlign val="subscript"/>
        <sz val="12"/>
        <rFont val="Arial"/>
        <family val="2"/>
      </rPr>
      <t>OSS_QA_SPEC</t>
    </r>
  </si>
  <si>
    <r>
      <t>V</t>
    </r>
    <r>
      <rPr>
        <b/>
        <vertAlign val="subscript"/>
        <sz val="12"/>
        <rFont val="Arial"/>
        <family val="2"/>
      </rPr>
      <t>dsQA</t>
    </r>
  </si>
  <si>
    <r>
      <t>Calculate average C</t>
    </r>
    <r>
      <rPr>
        <b/>
        <vertAlign val="subscript"/>
        <sz val="12"/>
        <rFont val="Arial"/>
        <family val="2"/>
      </rPr>
      <t xml:space="preserve">OSS </t>
    </r>
  </si>
  <si>
    <r>
      <t>C</t>
    </r>
    <r>
      <rPr>
        <b/>
        <vertAlign val="subscript"/>
        <sz val="12"/>
        <rFont val="Arial"/>
        <family val="2"/>
      </rPr>
      <t>OSS_QA_AVG</t>
    </r>
  </si>
  <si>
    <r>
      <t>P</t>
    </r>
    <r>
      <rPr>
        <b/>
        <vertAlign val="subscript"/>
        <sz val="12"/>
        <rFont val="Arial"/>
        <family val="2"/>
      </rPr>
      <t>QA</t>
    </r>
  </si>
  <si>
    <t xml:space="preserve">Calculate QA losses </t>
  </si>
  <si>
    <r>
      <t>V</t>
    </r>
    <r>
      <rPr>
        <b/>
        <vertAlign val="subscript"/>
        <sz val="12"/>
        <rFont val="Arial"/>
        <family val="2"/>
      </rPr>
      <t>g</t>
    </r>
  </si>
  <si>
    <r>
      <t>QA</t>
    </r>
    <r>
      <rPr>
        <b/>
        <vertAlign val="subscript"/>
        <sz val="12"/>
        <rFont val="Arial"/>
        <family val="2"/>
      </rPr>
      <t>g</t>
    </r>
  </si>
  <si>
    <t>nC</t>
  </si>
  <si>
    <t>Primary Magnetizing Inductance</t>
  </si>
  <si>
    <r>
      <t>L</t>
    </r>
    <r>
      <rPr>
        <b/>
        <vertAlign val="subscript"/>
        <sz val="12"/>
        <rFont val="Arial"/>
        <family val="2"/>
      </rPr>
      <t>S</t>
    </r>
  </si>
  <si>
    <t>uH</t>
  </si>
  <si>
    <r>
      <t>DCR</t>
    </r>
    <r>
      <rPr>
        <b/>
        <vertAlign val="subscript"/>
        <sz val="12"/>
        <rFont val="Arial"/>
        <family val="2"/>
      </rPr>
      <t>LS</t>
    </r>
  </si>
  <si>
    <r>
      <t>L</t>
    </r>
    <r>
      <rPr>
        <b/>
        <vertAlign val="subscript"/>
        <sz val="12"/>
        <rFont val="Arial"/>
        <family val="2"/>
      </rPr>
      <t>S</t>
    </r>
    <r>
      <rPr>
        <b/>
        <sz val="12"/>
        <rFont val="Arial"/>
        <family val="2"/>
      </rPr>
      <t xml:space="preserve"> DC Resistance</t>
    </r>
  </si>
  <si>
    <r>
      <t>Estimate L</t>
    </r>
    <r>
      <rPr>
        <b/>
        <vertAlign val="subscript"/>
        <sz val="12"/>
        <rFont val="Arial"/>
        <family val="2"/>
      </rPr>
      <t xml:space="preserve">S </t>
    </r>
    <r>
      <rPr>
        <b/>
        <sz val="12"/>
        <rFont val="Arial"/>
        <family val="2"/>
      </rPr>
      <t>power loss (P</t>
    </r>
    <r>
      <rPr>
        <b/>
        <vertAlign val="subscript"/>
        <sz val="12"/>
        <rFont val="Arial"/>
        <family val="2"/>
      </rPr>
      <t>LS</t>
    </r>
    <r>
      <rPr>
        <b/>
        <sz val="12"/>
        <rFont val="Arial"/>
        <family val="2"/>
      </rPr>
      <t xml:space="preserve">) </t>
    </r>
  </si>
  <si>
    <r>
      <t>P</t>
    </r>
    <r>
      <rPr>
        <b/>
        <vertAlign val="subscript"/>
        <sz val="12"/>
        <rFont val="Arial"/>
        <family val="2"/>
      </rPr>
      <t>LS</t>
    </r>
  </si>
  <si>
    <r>
      <t>L</t>
    </r>
    <r>
      <rPr>
        <b/>
        <vertAlign val="subscript"/>
        <sz val="12"/>
        <rFont val="Arial"/>
        <family val="2"/>
      </rPr>
      <t>OUT</t>
    </r>
  </si>
  <si>
    <r>
      <t>DCR</t>
    </r>
    <r>
      <rPr>
        <b/>
        <vertAlign val="subscript"/>
        <sz val="12"/>
        <rFont val="Arial"/>
        <family val="2"/>
      </rPr>
      <t>LOUT</t>
    </r>
  </si>
  <si>
    <r>
      <t>Estimate L</t>
    </r>
    <r>
      <rPr>
        <b/>
        <vertAlign val="subscript"/>
        <sz val="12"/>
        <rFont val="Arial"/>
        <family val="2"/>
      </rPr>
      <t xml:space="preserve">OUT </t>
    </r>
    <r>
      <rPr>
        <b/>
        <sz val="12"/>
        <rFont val="Arial"/>
        <family val="2"/>
      </rPr>
      <t>power loss</t>
    </r>
  </si>
  <si>
    <r>
      <t>P</t>
    </r>
    <r>
      <rPr>
        <b/>
        <vertAlign val="subscript"/>
        <sz val="12"/>
        <rFont val="Arial"/>
        <family val="2"/>
      </rPr>
      <t>LOUT</t>
    </r>
  </si>
  <si>
    <r>
      <t>Calculate L</t>
    </r>
    <r>
      <rPr>
        <b/>
        <vertAlign val="subscript"/>
        <sz val="12"/>
        <rFont val="Arial"/>
        <family val="2"/>
      </rPr>
      <t>OUT</t>
    </r>
    <r>
      <rPr>
        <b/>
        <sz val="12"/>
        <rFont val="Arial"/>
        <family val="2"/>
      </rPr>
      <t xml:space="preserve"> RMS Current</t>
    </r>
  </si>
  <si>
    <r>
      <t>I</t>
    </r>
    <r>
      <rPr>
        <b/>
        <vertAlign val="subscript"/>
        <sz val="12"/>
        <rFont val="Arial"/>
        <family val="2"/>
      </rPr>
      <t>LOUT_RMS</t>
    </r>
  </si>
  <si>
    <t>Calculated Shim Inductance</t>
  </si>
  <si>
    <t>Calculate Output Inductance</t>
  </si>
  <si>
    <r>
      <t>t</t>
    </r>
    <r>
      <rPr>
        <b/>
        <vertAlign val="subscript"/>
        <sz val="12"/>
        <rFont val="Arial"/>
        <family val="2"/>
      </rPr>
      <t>HU</t>
    </r>
  </si>
  <si>
    <r>
      <t>Time it takes L</t>
    </r>
    <r>
      <rPr>
        <b/>
        <vertAlign val="subscript"/>
        <sz val="12"/>
        <rFont val="Arial"/>
        <family val="2"/>
      </rPr>
      <t xml:space="preserve">OUT </t>
    </r>
    <r>
      <rPr>
        <b/>
        <sz val="12"/>
        <rFont val="Arial"/>
        <family val="2"/>
      </rPr>
      <t>to change 90% of its full load current</t>
    </r>
  </si>
  <si>
    <t>us</t>
  </si>
  <si>
    <r>
      <t>ESR</t>
    </r>
    <r>
      <rPr>
        <b/>
        <vertAlign val="subscript"/>
        <sz val="12"/>
        <rFont val="Arial"/>
        <family val="2"/>
      </rPr>
      <t>COUT</t>
    </r>
  </si>
  <si>
    <r>
      <t>C</t>
    </r>
    <r>
      <rPr>
        <b/>
        <vertAlign val="subscript"/>
        <sz val="12"/>
        <rFont val="Arial"/>
        <family val="2"/>
      </rPr>
      <t>OUT</t>
    </r>
  </si>
  <si>
    <t>uF</t>
  </si>
  <si>
    <t>n</t>
  </si>
  <si>
    <t>Single Capacitor Capacitance</t>
  </si>
  <si>
    <t>Single Capacitor ESR</t>
  </si>
  <si>
    <t>Total Output Capacitance</t>
  </si>
  <si>
    <r>
      <t>I</t>
    </r>
    <r>
      <rPr>
        <b/>
        <vertAlign val="subscript"/>
        <sz val="12"/>
        <rFont val="Arial"/>
        <family val="2"/>
      </rPr>
      <t>COUT_RMS</t>
    </r>
  </si>
  <si>
    <t>Output Capacitance RMS Current</t>
  </si>
  <si>
    <t>Calculate Output Capacitance Loss</t>
  </si>
  <si>
    <r>
      <t>P</t>
    </r>
    <r>
      <rPr>
        <b/>
        <vertAlign val="subscript"/>
        <sz val="12"/>
        <rFont val="Arial"/>
        <family val="2"/>
      </rPr>
      <t>COUT</t>
    </r>
  </si>
  <si>
    <r>
      <t>V</t>
    </r>
    <r>
      <rPr>
        <b/>
        <vertAlign val="subscript"/>
        <sz val="12"/>
        <rFont val="Arial"/>
        <family val="2"/>
      </rPr>
      <t>DROP</t>
    </r>
  </si>
  <si>
    <t>Minimum Input During Line Dropout</t>
  </si>
  <si>
    <r>
      <t>C</t>
    </r>
    <r>
      <rPr>
        <b/>
        <vertAlign val="subscript"/>
        <sz val="12"/>
        <rFont val="Arial"/>
        <family val="2"/>
      </rPr>
      <t>IN</t>
    </r>
  </si>
  <si>
    <t>Calculate Minimum Input Capacitance</t>
  </si>
  <si>
    <r>
      <t>High Frequency C</t>
    </r>
    <r>
      <rPr>
        <b/>
        <vertAlign val="subscript"/>
        <sz val="12"/>
        <rFont val="Arial"/>
        <family val="2"/>
      </rPr>
      <t>IN</t>
    </r>
    <r>
      <rPr>
        <b/>
        <sz val="12"/>
        <rFont val="Arial"/>
        <family val="2"/>
      </rPr>
      <t xml:space="preserve"> RMS Current</t>
    </r>
  </si>
  <si>
    <r>
      <t>I</t>
    </r>
    <r>
      <rPr>
        <b/>
        <vertAlign val="subscript"/>
        <sz val="12"/>
        <rFont val="Arial"/>
        <family val="2"/>
      </rPr>
      <t>CINRMS</t>
    </r>
  </si>
  <si>
    <r>
      <t>ESR</t>
    </r>
    <r>
      <rPr>
        <b/>
        <vertAlign val="subscript"/>
        <sz val="12"/>
        <rFont val="Arial"/>
        <family val="2"/>
      </rPr>
      <t>CIN</t>
    </r>
  </si>
  <si>
    <r>
      <t>P</t>
    </r>
    <r>
      <rPr>
        <b/>
        <vertAlign val="subscript"/>
        <sz val="12"/>
        <rFont val="Arial"/>
        <family val="2"/>
      </rPr>
      <t>CIN</t>
    </r>
  </si>
  <si>
    <t>Select FETs QE and QF:</t>
  </si>
  <si>
    <r>
      <t>QE</t>
    </r>
    <r>
      <rPr>
        <b/>
        <vertAlign val="subscript"/>
        <sz val="12"/>
        <rFont val="Arial"/>
        <family val="2"/>
      </rPr>
      <t>g</t>
    </r>
  </si>
  <si>
    <r>
      <t>R</t>
    </r>
    <r>
      <rPr>
        <b/>
        <vertAlign val="subscript"/>
        <sz val="12"/>
        <rFont val="Arial"/>
        <family val="2"/>
      </rPr>
      <t>ds(on)QE</t>
    </r>
  </si>
  <si>
    <t>QE and QF Gate Charge</t>
  </si>
  <si>
    <t xml:space="preserve">Set Initial Power Budget </t>
  </si>
  <si>
    <t>Estimated FET Voltage Drop</t>
  </si>
  <si>
    <t>QA FET Gate Charge</t>
  </si>
  <si>
    <r>
      <t>Voltage Across Drain to Source Where C</t>
    </r>
    <r>
      <rPr>
        <b/>
        <vertAlign val="subscript"/>
        <sz val="12"/>
        <rFont val="Arial"/>
        <family val="2"/>
      </rPr>
      <t xml:space="preserve">OSS </t>
    </r>
    <r>
      <rPr>
        <b/>
        <sz val="12"/>
        <color indexed="8"/>
        <rFont val="Arial"/>
        <family val="2"/>
      </rPr>
      <t>was Measured, Data Sheet Parameter</t>
    </r>
  </si>
  <si>
    <r>
      <t>V</t>
    </r>
    <r>
      <rPr>
        <b/>
        <vertAlign val="subscript"/>
        <sz val="12"/>
        <rFont val="Arial"/>
        <family val="2"/>
      </rPr>
      <t>dsQE</t>
    </r>
  </si>
  <si>
    <r>
      <t>V</t>
    </r>
    <r>
      <rPr>
        <b/>
        <vertAlign val="subscript"/>
        <sz val="12"/>
        <rFont val="Arial"/>
        <family val="2"/>
      </rPr>
      <t>dsQE_SPEC</t>
    </r>
  </si>
  <si>
    <r>
      <t>Voltage Specified at C</t>
    </r>
    <r>
      <rPr>
        <b/>
        <vertAlign val="subscript"/>
        <sz val="12"/>
        <rFont val="Arial"/>
        <family val="2"/>
      </rPr>
      <t>OSS</t>
    </r>
    <r>
      <rPr>
        <b/>
        <sz val="12"/>
        <rFont val="Arial"/>
        <family val="2"/>
      </rPr>
      <t xml:space="preserve"> Specified in the Data Sheet</t>
    </r>
  </si>
  <si>
    <r>
      <t>C</t>
    </r>
    <r>
      <rPr>
        <b/>
        <vertAlign val="subscript"/>
        <sz val="12"/>
        <rFont val="Arial"/>
        <family val="2"/>
      </rPr>
      <t>OSS_SPEC</t>
    </r>
  </si>
  <si>
    <r>
      <t>Specified QE and QF C</t>
    </r>
    <r>
      <rPr>
        <b/>
        <vertAlign val="subscript"/>
        <sz val="12"/>
        <rFont val="Arial"/>
        <family val="2"/>
      </rPr>
      <t xml:space="preserve">OSS </t>
    </r>
    <r>
      <rPr>
        <b/>
        <sz val="12"/>
        <rFont val="Arial"/>
        <family val="2"/>
      </rPr>
      <t>From the Data Sheet</t>
    </r>
  </si>
  <si>
    <r>
      <t>C</t>
    </r>
    <r>
      <rPr>
        <b/>
        <vertAlign val="subscript"/>
        <sz val="12"/>
        <rFont val="Arial"/>
        <family val="2"/>
      </rPr>
      <t>OSS_QE_AVG</t>
    </r>
  </si>
  <si>
    <r>
      <t>Average QE and QF C</t>
    </r>
    <r>
      <rPr>
        <b/>
        <vertAlign val="subscript"/>
        <sz val="12"/>
        <rFont val="Arial"/>
        <family val="2"/>
      </rPr>
      <t>OSS</t>
    </r>
  </si>
  <si>
    <t>QE and QF RMS Current</t>
  </si>
  <si>
    <r>
      <t>I</t>
    </r>
    <r>
      <rPr>
        <b/>
        <vertAlign val="subscript"/>
        <sz val="12"/>
        <rFont val="Arial"/>
        <family val="2"/>
      </rPr>
      <t>QE_RMS</t>
    </r>
  </si>
  <si>
    <r>
      <t>QE</t>
    </r>
    <r>
      <rPr>
        <b/>
        <vertAlign val="subscript"/>
        <sz val="12"/>
        <rFont val="Arial"/>
        <family val="2"/>
      </rPr>
      <t>MILLER_MAX</t>
    </r>
  </si>
  <si>
    <r>
      <t>QE</t>
    </r>
    <r>
      <rPr>
        <b/>
        <vertAlign val="subscript"/>
        <sz val="12"/>
        <rFont val="Arial"/>
        <family val="2"/>
      </rPr>
      <t>MILLER_MIN</t>
    </r>
  </si>
  <si>
    <t>Maximum Gate Charge at the end of the Miller Plateau</t>
  </si>
  <si>
    <t>Peak Current Gate of QE and QF is Driven with</t>
  </si>
  <si>
    <r>
      <t>I</t>
    </r>
    <r>
      <rPr>
        <b/>
        <vertAlign val="subscript"/>
        <sz val="12"/>
        <rFont val="Arial"/>
        <family val="2"/>
      </rPr>
      <t>P</t>
    </r>
  </si>
  <si>
    <r>
      <t>t</t>
    </r>
    <r>
      <rPr>
        <b/>
        <vertAlign val="subscript"/>
        <sz val="12"/>
        <rFont val="Arial"/>
        <family val="2"/>
      </rPr>
      <t>r</t>
    </r>
    <r>
      <rPr>
        <b/>
        <sz val="12"/>
        <rFont val="Arial"/>
        <family val="2"/>
      </rPr>
      <t xml:space="preserve"> ≈ t</t>
    </r>
    <r>
      <rPr>
        <b/>
        <vertAlign val="subscript"/>
        <sz val="12"/>
        <rFont val="Arial"/>
        <family val="2"/>
      </rPr>
      <t>f</t>
    </r>
  </si>
  <si>
    <t>ns</t>
  </si>
  <si>
    <t>Estimate QE FET Losses</t>
  </si>
  <si>
    <r>
      <t>P</t>
    </r>
    <r>
      <rPr>
        <b/>
        <vertAlign val="subscript"/>
        <sz val="12"/>
        <rFont val="Arial"/>
        <family val="2"/>
      </rPr>
      <t>QE</t>
    </r>
  </si>
  <si>
    <t>Maximum Voltage Across QE and QF</t>
  </si>
  <si>
    <t>a2</t>
  </si>
  <si>
    <r>
      <t>Select CT and Enter Turns Ratio a2 = I</t>
    </r>
    <r>
      <rPr>
        <b/>
        <vertAlign val="subscript"/>
        <sz val="12"/>
        <rFont val="Arial"/>
        <family val="2"/>
      </rPr>
      <t>P</t>
    </r>
    <r>
      <rPr>
        <b/>
        <sz val="12"/>
        <rFont val="Arial"/>
        <family val="2"/>
      </rPr>
      <t>/I</t>
    </r>
    <r>
      <rPr>
        <b/>
        <vertAlign val="subscript"/>
        <sz val="12"/>
        <rFont val="Arial"/>
        <family val="2"/>
      </rPr>
      <t>S</t>
    </r>
  </si>
  <si>
    <t>Std. Resistors</t>
  </si>
  <si>
    <t>Capacitors</t>
  </si>
  <si>
    <t>Enter resistor value</t>
  </si>
  <si>
    <t>E6</t>
  </si>
  <si>
    <t>E96</t>
  </si>
  <si>
    <t>Cap value</t>
  </si>
  <si>
    <t>Closest E6 Value</t>
  </si>
  <si>
    <t>Closest E12 Value</t>
  </si>
  <si>
    <t>C values up to 10nF</t>
  </si>
  <si>
    <t>Closest E24 Value</t>
  </si>
  <si>
    <t>Closest E48 Value</t>
  </si>
  <si>
    <t>Closest E96 Value</t>
  </si>
  <si>
    <t>E12</t>
  </si>
  <si>
    <t>C values greater than 10nF</t>
  </si>
  <si>
    <t>E24</t>
  </si>
  <si>
    <t>E48</t>
  </si>
  <si>
    <r>
      <t>R</t>
    </r>
    <r>
      <rPr>
        <b/>
        <vertAlign val="subscript"/>
        <sz val="12"/>
        <rFont val="Arial"/>
        <family val="2"/>
      </rPr>
      <t>S</t>
    </r>
  </si>
  <si>
    <t>Calculate Current Sense Resistor</t>
  </si>
  <si>
    <t>Ω</t>
  </si>
  <si>
    <r>
      <t>I</t>
    </r>
    <r>
      <rPr>
        <b/>
        <vertAlign val="subscript"/>
        <sz val="12"/>
        <rFont val="Arial"/>
        <family val="2"/>
      </rPr>
      <t>P1</t>
    </r>
  </si>
  <si>
    <r>
      <t>Calculate nominal peak current (I</t>
    </r>
    <r>
      <rPr>
        <b/>
        <vertAlign val="subscript"/>
        <sz val="12"/>
        <rFont val="Arial"/>
        <family val="2"/>
      </rPr>
      <t>P1</t>
    </r>
    <r>
      <rPr>
        <b/>
        <sz val="12"/>
        <rFont val="Arial"/>
        <family val="2"/>
      </rPr>
      <t>) at V</t>
    </r>
    <r>
      <rPr>
        <b/>
        <vertAlign val="subscript"/>
        <sz val="12"/>
        <rFont val="Arial"/>
        <family val="2"/>
      </rPr>
      <t>INMIN</t>
    </r>
  </si>
  <si>
    <t>Select Current Sense Resistor for Your Design</t>
  </si>
  <si>
    <t>Estimate Rs Power Loss</t>
  </si>
  <si>
    <r>
      <t>P</t>
    </r>
    <r>
      <rPr>
        <b/>
        <vertAlign val="subscript"/>
        <sz val="12"/>
        <rFont val="Arial"/>
        <family val="2"/>
      </rPr>
      <t>RS</t>
    </r>
  </si>
  <si>
    <r>
      <t>V</t>
    </r>
    <r>
      <rPr>
        <b/>
        <vertAlign val="subscript"/>
        <sz val="12"/>
        <rFont val="Arial"/>
        <family val="2"/>
      </rPr>
      <t>DA</t>
    </r>
  </si>
  <si>
    <r>
      <t>Maximum Diode D</t>
    </r>
    <r>
      <rPr>
        <b/>
        <vertAlign val="subscript"/>
        <sz val="12"/>
        <rFont val="Arial"/>
        <family val="2"/>
      </rPr>
      <t>A</t>
    </r>
    <r>
      <rPr>
        <b/>
        <sz val="12"/>
        <rFont val="Arial"/>
        <family val="2"/>
      </rPr>
      <t xml:space="preserve"> Reverse Voltage</t>
    </r>
  </si>
  <si>
    <r>
      <t>t</t>
    </r>
    <r>
      <rPr>
        <b/>
        <vertAlign val="subscript"/>
        <sz val="12"/>
        <rFont val="Arial"/>
        <family val="2"/>
      </rPr>
      <t>DELAY</t>
    </r>
  </si>
  <si>
    <t>fr</t>
  </si>
  <si>
    <t>Calculate Resonant Tank Frequency</t>
  </si>
  <si>
    <t>Possible Delay That will Be Required for ZVS</t>
  </si>
  <si>
    <r>
      <t>D</t>
    </r>
    <r>
      <rPr>
        <b/>
        <vertAlign val="subscript"/>
        <sz val="12"/>
        <rFont val="Arial"/>
        <family val="2"/>
      </rPr>
      <t>CLAMP</t>
    </r>
  </si>
  <si>
    <r>
      <t>t</t>
    </r>
    <r>
      <rPr>
        <b/>
        <vertAlign val="subscript"/>
        <sz val="12"/>
        <rFont val="Arial"/>
        <family val="2"/>
      </rPr>
      <t>DELAY</t>
    </r>
    <r>
      <rPr>
        <b/>
        <sz val="12"/>
        <rFont val="Arial"/>
        <family val="2"/>
      </rPr>
      <t xml:space="preserve"> will act as a duty cycle clamp</t>
    </r>
  </si>
  <si>
    <t>Switching Cycle Period</t>
  </si>
  <si>
    <t>ts</t>
  </si>
  <si>
    <t>Shim Inductance Used</t>
  </si>
  <si>
    <t>Output Inductance Used</t>
  </si>
  <si>
    <t>Selecting Power Transformer (T1)</t>
  </si>
  <si>
    <t>Number of Output Capacitors Used</t>
  </si>
  <si>
    <t>Input Capacitance Used</t>
  </si>
  <si>
    <r>
      <t>Estimate D</t>
    </r>
    <r>
      <rPr>
        <b/>
        <vertAlign val="subscript"/>
        <sz val="12"/>
        <rFont val="Arial"/>
        <family val="2"/>
      </rPr>
      <t>A</t>
    </r>
    <r>
      <rPr>
        <b/>
        <sz val="12"/>
        <rFont val="Arial"/>
        <family val="2"/>
      </rPr>
      <t xml:space="preserve"> Losses</t>
    </r>
  </si>
  <si>
    <r>
      <t>P</t>
    </r>
    <r>
      <rPr>
        <b/>
        <vertAlign val="subscript"/>
        <sz val="12"/>
        <rFont val="Arial"/>
        <family val="2"/>
      </rPr>
      <t>DA</t>
    </r>
  </si>
  <si>
    <t>V1</t>
  </si>
  <si>
    <r>
      <t>R</t>
    </r>
    <r>
      <rPr>
        <b/>
        <vertAlign val="subscript"/>
        <sz val="12"/>
        <rFont val="Arial"/>
        <family val="2"/>
      </rPr>
      <t>B</t>
    </r>
  </si>
  <si>
    <t>Select Standard Resistor</t>
  </si>
  <si>
    <r>
      <t>R</t>
    </r>
    <r>
      <rPr>
        <b/>
        <vertAlign val="subscript"/>
        <sz val="12"/>
        <rFont val="Arial"/>
        <family val="2"/>
      </rPr>
      <t>A</t>
    </r>
  </si>
  <si>
    <t>Calculated Resistance</t>
  </si>
  <si>
    <r>
      <t>R</t>
    </r>
    <r>
      <rPr>
        <b/>
        <vertAlign val="subscript"/>
        <sz val="12"/>
        <rFont val="Arial"/>
        <family val="2"/>
      </rPr>
      <t>C</t>
    </r>
  </si>
  <si>
    <r>
      <t>R</t>
    </r>
    <r>
      <rPr>
        <b/>
        <vertAlign val="subscript"/>
        <sz val="12"/>
        <rFont val="Arial"/>
        <family val="2"/>
      </rPr>
      <t>I</t>
    </r>
  </si>
  <si>
    <r>
      <t>f</t>
    </r>
    <r>
      <rPr>
        <b/>
        <vertAlign val="subscript"/>
        <sz val="12"/>
        <rFont val="Arial"/>
        <family val="2"/>
      </rPr>
      <t>C</t>
    </r>
  </si>
  <si>
    <t>Voltage Loop Crossover Frequency</t>
  </si>
  <si>
    <r>
      <t>R</t>
    </r>
    <r>
      <rPr>
        <b/>
        <vertAlign val="subscript"/>
        <sz val="12"/>
        <rFont val="Arial"/>
        <family val="2"/>
      </rPr>
      <t>LOAD</t>
    </r>
  </si>
  <si>
    <t>a1*a2*rload/rs</t>
  </si>
  <si>
    <t>Constant</t>
  </si>
  <si>
    <t>n1/d1</t>
  </si>
  <si>
    <t>n1divd1</t>
  </si>
  <si>
    <t>1/d2</t>
  </si>
  <si>
    <t>n1/(d1*d2)</t>
  </si>
  <si>
    <t>a1*a2*rload/rs*(n1/(d1*d2))</t>
  </si>
  <si>
    <t>absolute maximum(a1*a2*rload/rs*(n1/(d1*d2)))</t>
  </si>
  <si>
    <t>n1</t>
  </si>
  <si>
    <t>|Gco(fc)|</t>
  </si>
  <si>
    <r>
      <t>R</t>
    </r>
    <r>
      <rPr>
        <b/>
        <vertAlign val="subscript"/>
        <sz val="12"/>
        <rFont val="Arial"/>
        <family val="2"/>
      </rPr>
      <t>F</t>
    </r>
  </si>
  <si>
    <t>Calculate Feedback Resistor</t>
  </si>
  <si>
    <r>
      <t>C</t>
    </r>
    <r>
      <rPr>
        <b/>
        <vertAlign val="subscript"/>
        <sz val="12"/>
        <rFont val="Arial"/>
        <family val="2"/>
      </rPr>
      <t>Z</t>
    </r>
  </si>
  <si>
    <t>nF</t>
  </si>
  <si>
    <t>Calculate Pole Capacitor</t>
  </si>
  <si>
    <t>Calculate Zero Capacitor</t>
  </si>
  <si>
    <t>mΩ</t>
  </si>
  <si>
    <t>Output Capacitance ESR  ≤</t>
  </si>
  <si>
    <t>Output Capacitance Cout  ≥</t>
  </si>
  <si>
    <t>kΩ</t>
  </si>
  <si>
    <r>
      <t>C</t>
    </r>
    <r>
      <rPr>
        <b/>
        <vertAlign val="subscript"/>
        <sz val="12"/>
        <rFont val="Arial"/>
        <family val="2"/>
      </rPr>
      <t>P</t>
    </r>
  </si>
  <si>
    <t>Cz</t>
  </si>
  <si>
    <t>values up to 10 nF</t>
  </si>
  <si>
    <t>values greater than 10nf</t>
  </si>
  <si>
    <r>
      <t>t</t>
    </r>
    <r>
      <rPr>
        <b/>
        <vertAlign val="subscript"/>
        <sz val="12"/>
        <rFont val="Arial"/>
        <family val="2"/>
      </rPr>
      <t>SS</t>
    </r>
  </si>
  <si>
    <t>Soft Start Time</t>
  </si>
  <si>
    <t>ms</t>
  </si>
  <si>
    <r>
      <t>C</t>
    </r>
    <r>
      <rPr>
        <b/>
        <vertAlign val="subscript"/>
        <sz val="12"/>
        <rFont val="Arial"/>
        <family val="2"/>
      </rPr>
      <t>SS</t>
    </r>
  </si>
  <si>
    <t>values greater than 10 nf</t>
  </si>
  <si>
    <r>
      <t>t</t>
    </r>
    <r>
      <rPr>
        <b/>
        <vertAlign val="subscript"/>
        <sz val="12"/>
        <rFont val="Arial"/>
        <family val="2"/>
      </rPr>
      <t>ABSET</t>
    </r>
  </si>
  <si>
    <r>
      <t>R</t>
    </r>
    <r>
      <rPr>
        <b/>
        <vertAlign val="subscript"/>
        <sz val="12"/>
        <rFont val="Arial"/>
        <family val="2"/>
      </rPr>
      <t>DELAB</t>
    </r>
  </si>
  <si>
    <r>
      <t>R</t>
    </r>
    <r>
      <rPr>
        <b/>
        <vertAlign val="subscript"/>
        <sz val="12"/>
        <rFont val="Arial"/>
        <family val="2"/>
      </rPr>
      <t>DELCD</t>
    </r>
  </si>
  <si>
    <r>
      <t>t</t>
    </r>
    <r>
      <rPr>
        <b/>
        <vertAlign val="subscript"/>
        <sz val="12"/>
        <rFont val="Arial"/>
        <family val="2"/>
      </rPr>
      <t>CDSET</t>
    </r>
  </si>
  <si>
    <r>
      <t>Set to half of t</t>
    </r>
    <r>
      <rPr>
        <b/>
        <vertAlign val="subscript"/>
        <sz val="12"/>
        <rFont val="Arial"/>
        <family val="2"/>
      </rPr>
      <t>ABSET</t>
    </r>
  </si>
  <si>
    <r>
      <t>R</t>
    </r>
    <r>
      <rPr>
        <b/>
        <vertAlign val="subscript"/>
        <sz val="12"/>
        <rFont val="Arial"/>
        <family val="2"/>
      </rPr>
      <t>DELEF</t>
    </r>
  </si>
  <si>
    <t>Setting Minimum on Time</t>
  </si>
  <si>
    <t>Minimum on Time</t>
  </si>
  <si>
    <r>
      <t>t</t>
    </r>
    <r>
      <rPr>
        <b/>
        <vertAlign val="subscript"/>
        <sz val="12"/>
        <rFont val="Arial"/>
        <family val="2"/>
      </rPr>
      <t>MIN</t>
    </r>
  </si>
  <si>
    <r>
      <t>R</t>
    </r>
    <r>
      <rPr>
        <b/>
        <vertAlign val="subscript"/>
        <sz val="12"/>
        <rFont val="Arial"/>
        <family val="2"/>
      </rPr>
      <t>TMIN</t>
    </r>
  </si>
  <si>
    <r>
      <t>Calculate R</t>
    </r>
    <r>
      <rPr>
        <b/>
        <vertAlign val="subscript"/>
        <sz val="12"/>
        <rFont val="Arial"/>
        <family val="2"/>
      </rPr>
      <t>TMIN</t>
    </r>
  </si>
  <si>
    <t>Setup PWM Switching Frequency</t>
  </si>
  <si>
    <r>
      <t>Calculate R</t>
    </r>
    <r>
      <rPr>
        <b/>
        <vertAlign val="subscript"/>
        <sz val="12"/>
        <rFont val="Arial"/>
        <family val="2"/>
      </rPr>
      <t>T</t>
    </r>
    <r>
      <rPr>
        <b/>
        <sz val="12"/>
        <rFont val="Arial"/>
        <family val="2"/>
      </rPr>
      <t xml:space="preserve"> Value</t>
    </r>
  </si>
  <si>
    <r>
      <t>R</t>
    </r>
    <r>
      <rPr>
        <b/>
        <vertAlign val="subscript"/>
        <sz val="12"/>
        <rFont val="Arial"/>
        <family val="2"/>
      </rPr>
      <t>T</t>
    </r>
  </si>
  <si>
    <t>Setup Slope Compensation</t>
  </si>
  <si>
    <t>V/us</t>
  </si>
  <si>
    <r>
      <t>Calculate V</t>
    </r>
    <r>
      <rPr>
        <b/>
        <vertAlign val="subscript"/>
        <sz val="12"/>
        <rFont val="Arial"/>
        <family val="2"/>
      </rPr>
      <t>SLOPE</t>
    </r>
  </si>
  <si>
    <r>
      <t>V</t>
    </r>
    <r>
      <rPr>
        <b/>
        <vertAlign val="subscript"/>
        <sz val="12"/>
        <rFont val="Arial"/>
        <family val="2"/>
      </rPr>
      <t>SLOPE</t>
    </r>
  </si>
  <si>
    <r>
      <t>Calculate R</t>
    </r>
    <r>
      <rPr>
        <b/>
        <vertAlign val="subscript"/>
        <sz val="12"/>
        <rFont val="Arial"/>
        <family val="2"/>
      </rPr>
      <t>SUM</t>
    </r>
  </si>
  <si>
    <r>
      <t>R</t>
    </r>
    <r>
      <rPr>
        <b/>
        <vertAlign val="subscript"/>
        <sz val="12"/>
        <rFont val="Arial"/>
        <family val="2"/>
      </rPr>
      <t>SUM</t>
    </r>
  </si>
  <si>
    <r>
      <t>Voltage across R</t>
    </r>
    <r>
      <rPr>
        <b/>
        <vertAlign val="subscript"/>
        <sz val="12"/>
        <rFont val="Arial"/>
        <family val="2"/>
      </rPr>
      <t>S</t>
    </r>
    <r>
      <rPr>
        <b/>
        <sz val="12"/>
        <rFont val="Arial"/>
        <family val="2"/>
      </rPr>
      <t xml:space="preserve"> at 15% load</t>
    </r>
  </si>
  <si>
    <r>
      <t>V</t>
    </r>
    <r>
      <rPr>
        <b/>
        <vertAlign val="subscript"/>
        <sz val="12"/>
        <rFont val="Arial"/>
        <family val="2"/>
      </rPr>
      <t>RS</t>
    </r>
  </si>
  <si>
    <r>
      <t>R</t>
    </r>
    <r>
      <rPr>
        <b/>
        <vertAlign val="subscript"/>
        <sz val="12"/>
        <rFont val="Arial"/>
        <family val="2"/>
      </rPr>
      <t>G</t>
    </r>
  </si>
  <si>
    <r>
      <t>R</t>
    </r>
    <r>
      <rPr>
        <b/>
        <vertAlign val="subscript"/>
        <sz val="12"/>
        <rFont val="Arial"/>
        <family val="2"/>
      </rPr>
      <t>E</t>
    </r>
  </si>
  <si>
    <r>
      <t>Calculate R</t>
    </r>
    <r>
      <rPr>
        <b/>
        <vertAlign val="subscript"/>
        <sz val="12"/>
        <rFont val="Arial"/>
        <family val="2"/>
      </rPr>
      <t xml:space="preserve">E </t>
    </r>
  </si>
  <si>
    <r>
      <t>Δ</t>
    </r>
    <r>
      <rPr>
        <b/>
        <sz val="12"/>
        <rFont val="Arial"/>
        <family val="2"/>
      </rPr>
      <t>I</t>
    </r>
    <r>
      <rPr>
        <b/>
        <vertAlign val="subscript"/>
        <sz val="12"/>
        <rFont val="Arial"/>
        <family val="2"/>
      </rPr>
      <t>LOUT</t>
    </r>
  </si>
  <si>
    <t>Partial RMS Current</t>
  </si>
  <si>
    <t>Counter</t>
  </si>
  <si>
    <t>Gco n1/d1</t>
  </si>
  <si>
    <t>Gco 1/d2</t>
  </si>
  <si>
    <t>Gco n1/(d1*d2)</t>
  </si>
  <si>
    <t>Gco(f)</t>
  </si>
  <si>
    <t>|Gco(f)|</t>
  </si>
  <si>
    <t>Gc n1/n1</t>
  </si>
  <si>
    <t>Gc 1/n2</t>
  </si>
  <si>
    <t>Gc(f)</t>
  </si>
  <si>
    <t>Gc(f)*Gco(f)</t>
  </si>
  <si>
    <t>TvdB(f)</t>
  </si>
  <si>
    <r>
      <t>ӨT</t>
    </r>
    <r>
      <rPr>
        <vertAlign val="subscript"/>
        <sz val="10"/>
        <rFont val="Arial"/>
        <family val="2"/>
      </rPr>
      <t>V</t>
    </r>
    <r>
      <rPr>
        <sz val="10"/>
        <rFont val="Arial"/>
        <family val="2"/>
      </rPr>
      <t>(f)</t>
    </r>
  </si>
  <si>
    <t>frequency</t>
  </si>
  <si>
    <t>TvdB(f)
MathCad Check</t>
  </si>
  <si>
    <r>
      <t>ӨT</t>
    </r>
    <r>
      <rPr>
        <vertAlign val="subscript"/>
        <sz val="10"/>
        <rFont val="Arial"/>
        <family val="2"/>
      </rPr>
      <t>V</t>
    </r>
    <r>
      <rPr>
        <sz val="10"/>
        <rFont val="Arial"/>
        <family val="2"/>
      </rPr>
      <t>(f)
MathCAD
Check</t>
    </r>
  </si>
  <si>
    <t>Frequency</t>
  </si>
  <si>
    <t>ӨTv(f)</t>
  </si>
  <si>
    <t>T1 Primary Magnetizing Inductance &gt; or =</t>
  </si>
  <si>
    <r>
      <t>Calculate T1 Secondary RMS Current (I</t>
    </r>
    <r>
      <rPr>
        <b/>
        <vertAlign val="subscript"/>
        <sz val="12"/>
        <rFont val="Arial"/>
        <family val="2"/>
      </rPr>
      <t>SRMS</t>
    </r>
    <r>
      <rPr>
        <b/>
        <sz val="12"/>
        <rFont val="Arial"/>
        <family val="2"/>
      </rPr>
      <t>)</t>
    </r>
  </si>
  <si>
    <r>
      <t>L</t>
    </r>
    <r>
      <rPr>
        <b/>
        <vertAlign val="subscript"/>
        <sz val="12"/>
        <rFont val="Arial"/>
        <family val="2"/>
      </rPr>
      <t>OUT</t>
    </r>
    <r>
      <rPr>
        <b/>
        <sz val="12"/>
        <rFont val="Arial"/>
        <family val="2"/>
      </rPr>
      <t xml:space="preserve"> equivalent series resistance</t>
    </r>
  </si>
  <si>
    <t>Total Equivalent Series Resistance</t>
  </si>
  <si>
    <t>QE and QF on Resistance</t>
  </si>
  <si>
    <t>Minimum Gate Charge at the beginning of the Miller Plateau</t>
  </si>
  <si>
    <r>
      <t>Approximate QE and QF V</t>
    </r>
    <r>
      <rPr>
        <b/>
        <vertAlign val="subscript"/>
        <sz val="12"/>
        <rFont val="Arial"/>
        <family val="2"/>
      </rPr>
      <t>ds</t>
    </r>
    <r>
      <rPr>
        <b/>
        <sz val="12"/>
        <rFont val="Arial"/>
        <family val="2"/>
      </rPr>
      <t xml:space="preserve"> Rise and Fall Times</t>
    </r>
  </si>
  <si>
    <t>Equivalent Series Resistance</t>
  </si>
  <si>
    <r>
      <t>Estimate C</t>
    </r>
    <r>
      <rPr>
        <b/>
        <vertAlign val="subscript"/>
        <sz val="12"/>
        <rFont val="Arial"/>
        <family val="2"/>
      </rPr>
      <t>IN</t>
    </r>
    <r>
      <rPr>
        <b/>
        <sz val="12"/>
        <rFont val="Arial"/>
        <family val="2"/>
      </rPr>
      <t xml:space="preserve"> Power Dissipation</t>
    </r>
  </si>
  <si>
    <t>Programmed Voltage Reference, Needs to be &lt; 5V</t>
  </si>
  <si>
    <t>Load Impedance at 10% Load</t>
  </si>
  <si>
    <t>Calculate Soft Start Capacitor</t>
  </si>
  <si>
    <t>Calculate 1/4 LC Tank Frequency and set AB Initial Delay</t>
  </si>
  <si>
    <t>Calculate AB timing resistor</t>
  </si>
  <si>
    <r>
      <t>Set Initial CD delay to AB Delay t</t>
    </r>
    <r>
      <rPr>
        <b/>
        <vertAlign val="subscript"/>
        <sz val="12"/>
        <rFont val="Arial"/>
        <family val="2"/>
      </rPr>
      <t>ABSET</t>
    </r>
    <r>
      <rPr>
        <b/>
        <sz val="12"/>
        <rFont val="Arial"/>
        <family val="2"/>
      </rPr>
      <t xml:space="preserve"> = t</t>
    </r>
    <r>
      <rPr>
        <b/>
        <vertAlign val="subscript"/>
        <sz val="12"/>
        <rFont val="Arial"/>
        <family val="2"/>
      </rPr>
      <t>CDSET</t>
    </r>
  </si>
  <si>
    <r>
      <t>Calculate Magnetizing Current during I</t>
    </r>
    <r>
      <rPr>
        <b/>
        <vertAlign val="subscript"/>
        <sz val="12"/>
        <rFont val="Arial"/>
        <family val="2"/>
      </rPr>
      <t>LOUT</t>
    </r>
    <r>
      <rPr>
        <b/>
        <sz val="12"/>
        <rFont val="Arial"/>
        <family val="2"/>
      </rPr>
      <t xml:space="preserve"> down slope</t>
    </r>
  </si>
  <si>
    <t>Setup DCM Comparator</t>
  </si>
  <si>
    <t>Voltage Applied to FET Gate ≈ VDD</t>
  </si>
  <si>
    <r>
      <t>Double pole of G</t>
    </r>
    <r>
      <rPr>
        <b/>
        <vertAlign val="subscript"/>
        <sz val="12"/>
        <rFont val="Arial"/>
        <family val="2"/>
      </rPr>
      <t>CO</t>
    </r>
    <r>
      <rPr>
        <b/>
        <sz val="12"/>
        <rFont val="Arial"/>
        <family val="2"/>
      </rPr>
      <t>(f)</t>
    </r>
  </si>
  <si>
    <r>
      <t>f</t>
    </r>
    <r>
      <rPr>
        <b/>
        <vertAlign val="subscript"/>
        <sz val="12"/>
        <rFont val="Arial"/>
        <family val="2"/>
      </rPr>
      <t>PP</t>
    </r>
  </si>
  <si>
    <r>
      <t>Select Shim Inductor (L</t>
    </r>
    <r>
      <rPr>
        <b/>
        <vertAlign val="subscript"/>
        <sz val="12"/>
        <color indexed="9"/>
        <rFont val="Arial"/>
        <family val="2"/>
      </rPr>
      <t>S</t>
    </r>
    <r>
      <rPr>
        <b/>
        <sz val="12"/>
        <color indexed="9"/>
        <rFont val="Arial"/>
        <family val="2"/>
      </rPr>
      <t>)</t>
    </r>
  </si>
  <si>
    <r>
      <t>Selecting Output Inductor (L</t>
    </r>
    <r>
      <rPr>
        <b/>
        <vertAlign val="subscript"/>
        <sz val="12"/>
        <color indexed="9"/>
        <rFont val="Arial"/>
        <family val="2"/>
      </rPr>
      <t>OUT</t>
    </r>
    <r>
      <rPr>
        <b/>
        <sz val="12"/>
        <color indexed="9"/>
        <rFont val="Arial"/>
        <family val="2"/>
      </rPr>
      <t>)</t>
    </r>
  </si>
  <si>
    <r>
      <t>Selecting Output Capacitance (C</t>
    </r>
    <r>
      <rPr>
        <b/>
        <vertAlign val="subscript"/>
        <sz val="12"/>
        <color indexed="9"/>
        <rFont val="Arial"/>
        <family val="2"/>
      </rPr>
      <t>OUT</t>
    </r>
    <r>
      <rPr>
        <b/>
        <sz val="12"/>
        <color indexed="9"/>
        <rFont val="Arial"/>
        <family val="2"/>
      </rPr>
      <t>)</t>
    </r>
  </si>
  <si>
    <r>
      <t>Input Capacitance Calculations (C</t>
    </r>
    <r>
      <rPr>
        <b/>
        <vertAlign val="subscript"/>
        <sz val="12"/>
        <color indexed="9"/>
        <rFont val="Arial"/>
        <family val="2"/>
      </rPr>
      <t>IN</t>
    </r>
    <r>
      <rPr>
        <b/>
        <sz val="12"/>
        <color indexed="9"/>
        <rFont val="Arial"/>
        <family val="2"/>
      </rPr>
      <t>)</t>
    </r>
  </si>
  <si>
    <t>Recalculate Power Budget 
This is the remaining power left for the CT network, IC and IC sensing resistors</t>
  </si>
  <si>
    <r>
      <t>Setting up Voltage Amplifier Reference G</t>
    </r>
    <r>
      <rPr>
        <b/>
        <vertAlign val="subscript"/>
        <sz val="12"/>
        <color indexed="9"/>
        <rFont val="Arial"/>
        <family val="2"/>
      </rPr>
      <t>C</t>
    </r>
    <r>
      <rPr>
        <b/>
        <sz val="12"/>
        <color indexed="9"/>
        <rFont val="Arial"/>
        <family val="2"/>
      </rPr>
      <t>(f)</t>
    </r>
  </si>
  <si>
    <r>
      <t>Select Soft Start Capacitor (C</t>
    </r>
    <r>
      <rPr>
        <b/>
        <vertAlign val="subscript"/>
        <sz val="12"/>
        <color indexed="9"/>
        <rFont val="Arial"/>
        <family val="2"/>
      </rPr>
      <t>SS</t>
    </r>
    <r>
      <rPr>
        <b/>
        <sz val="12"/>
        <color indexed="9"/>
        <rFont val="Arial"/>
        <family val="2"/>
      </rPr>
      <t>)</t>
    </r>
  </si>
  <si>
    <t>It is recommended that you read this application note before using this design tool</t>
  </si>
  <si>
    <t>Please Refer to Figure of T1 Current</t>
  </si>
  <si>
    <r>
      <t>Primary Magnetizing Current Based on L</t>
    </r>
    <r>
      <rPr>
        <b/>
        <vertAlign val="subscript"/>
        <sz val="12"/>
        <rFont val="Arial"/>
        <family val="2"/>
      </rPr>
      <t>MAG</t>
    </r>
  </si>
  <si>
    <r>
      <t>Calculate T1 Primary RMS Current (I</t>
    </r>
    <r>
      <rPr>
        <b/>
        <vertAlign val="subscript"/>
        <sz val="12"/>
        <rFont val="Arial"/>
        <family val="2"/>
      </rPr>
      <t>PRMS</t>
    </r>
    <r>
      <rPr>
        <b/>
        <sz val="12"/>
        <rFont val="Arial"/>
        <family val="2"/>
      </rPr>
      <t>)</t>
    </r>
  </si>
  <si>
    <r>
      <t>Setting up the current sense network (CT, R</t>
    </r>
    <r>
      <rPr>
        <b/>
        <vertAlign val="subscript"/>
        <sz val="12"/>
        <color indexed="9"/>
        <rFont val="Arial"/>
        <family val="2"/>
      </rPr>
      <t>S</t>
    </r>
    <r>
      <rPr>
        <b/>
        <sz val="12"/>
        <color indexed="9"/>
        <rFont val="Arial"/>
        <family val="2"/>
      </rPr>
      <t>, R</t>
    </r>
    <r>
      <rPr>
        <b/>
        <vertAlign val="subscript"/>
        <sz val="12"/>
        <color indexed="9"/>
        <rFont val="Arial"/>
        <family val="2"/>
      </rPr>
      <t xml:space="preserve">RE, </t>
    </r>
    <r>
      <rPr>
        <b/>
        <sz val="12"/>
        <color indexed="9"/>
        <rFont val="Arial"/>
        <family val="2"/>
      </rPr>
      <t>D</t>
    </r>
    <r>
      <rPr>
        <b/>
        <vertAlign val="subscript"/>
        <sz val="12"/>
        <color indexed="9"/>
        <rFont val="Arial"/>
        <family val="2"/>
      </rPr>
      <t>A</t>
    </r>
    <r>
      <rPr>
        <b/>
        <sz val="12"/>
        <color indexed="9"/>
        <rFont val="Arial"/>
        <family val="2"/>
      </rPr>
      <t>):</t>
    </r>
  </si>
  <si>
    <t>Closest Standard Capacitor Value</t>
  </si>
  <si>
    <t>Closest Standard Resistor Value (E48)</t>
  </si>
  <si>
    <t>4. The spreadsheet will calculate the ideal values and display the results in red type.</t>
  </si>
  <si>
    <r>
      <t>L</t>
    </r>
    <r>
      <rPr>
        <b/>
        <vertAlign val="subscript"/>
        <sz val="12"/>
        <rFont val="Arial"/>
        <family val="2"/>
      </rPr>
      <t>LK</t>
    </r>
  </si>
  <si>
    <t>Measured Transformer Primary Leakage Inductance</t>
  </si>
  <si>
    <t>&gt; Invalid parameters entered in yellow cells</t>
  </si>
  <si>
    <t>&gt; Design cannot calculate realistic values for your design parameters</t>
  </si>
  <si>
    <t>&gt; Efficiency goal with selected components may not be achievable</t>
  </si>
  <si>
    <t>Warning Negative Numbers in Calculated Values Could Indicate</t>
  </si>
  <si>
    <t>Select Transformer Turns Ratio</t>
  </si>
  <si>
    <r>
      <t>R</t>
    </r>
    <r>
      <rPr>
        <b/>
        <vertAlign val="subscript"/>
        <sz val="12"/>
        <rFont val="Arial"/>
        <family val="2"/>
      </rPr>
      <t>DA1</t>
    </r>
  </si>
  <si>
    <r>
      <t>V</t>
    </r>
    <r>
      <rPr>
        <b/>
        <vertAlign val="subscript"/>
        <sz val="12"/>
        <rFont val="Arial"/>
        <family val="2"/>
      </rPr>
      <t>ADEL</t>
    </r>
  </si>
  <si>
    <t>Calculate Voltage at ADEL pin to Meet Delay Range</t>
  </si>
  <si>
    <r>
      <t>Select Standard Resistor for R</t>
    </r>
    <r>
      <rPr>
        <b/>
        <vertAlign val="subscript"/>
        <sz val="12"/>
        <rFont val="Arial"/>
        <family val="2"/>
      </rPr>
      <t xml:space="preserve">DA1 </t>
    </r>
    <r>
      <rPr>
        <b/>
        <sz val="12"/>
        <rFont val="Arial"/>
        <family val="2"/>
      </rPr>
      <t>for t</t>
    </r>
    <r>
      <rPr>
        <b/>
        <vertAlign val="subscript"/>
        <sz val="12"/>
        <rFont val="Arial"/>
        <family val="2"/>
      </rPr>
      <t xml:space="preserve">ABSET </t>
    </r>
    <r>
      <rPr>
        <b/>
        <sz val="12"/>
        <rFont val="Arial"/>
        <family val="2"/>
      </rPr>
      <t>Delay Range</t>
    </r>
  </si>
  <si>
    <r>
      <t>Calculate R</t>
    </r>
    <r>
      <rPr>
        <b/>
        <vertAlign val="subscript"/>
        <sz val="12"/>
        <rFont val="Arial"/>
        <family val="2"/>
      </rPr>
      <t>DA2</t>
    </r>
  </si>
  <si>
    <r>
      <t>R</t>
    </r>
    <r>
      <rPr>
        <b/>
        <vertAlign val="subscript"/>
        <sz val="12"/>
        <rFont val="Arial"/>
        <family val="2"/>
      </rPr>
      <t>DA2</t>
    </r>
  </si>
  <si>
    <r>
      <t>Select Standard Resistor for R</t>
    </r>
    <r>
      <rPr>
        <b/>
        <vertAlign val="subscript"/>
        <sz val="12"/>
        <rFont val="Arial"/>
        <family val="2"/>
      </rPr>
      <t xml:space="preserve">DA2 </t>
    </r>
    <r>
      <rPr>
        <b/>
        <sz val="12"/>
        <rFont val="Arial"/>
        <family val="2"/>
      </rPr>
      <t>for t</t>
    </r>
    <r>
      <rPr>
        <b/>
        <vertAlign val="subscript"/>
        <sz val="12"/>
        <rFont val="Arial"/>
        <family val="2"/>
      </rPr>
      <t xml:space="preserve">ABSET </t>
    </r>
    <r>
      <rPr>
        <b/>
        <sz val="12"/>
        <rFont val="Arial"/>
        <family val="2"/>
      </rPr>
      <t>Delay Range</t>
    </r>
  </si>
  <si>
    <r>
      <t>Recalculate V</t>
    </r>
    <r>
      <rPr>
        <b/>
        <vertAlign val="subscript"/>
        <sz val="12"/>
        <rFont val="Arial"/>
        <family val="2"/>
      </rPr>
      <t>ADEL</t>
    </r>
    <r>
      <rPr>
        <b/>
        <sz val="12"/>
        <rFont val="Arial"/>
        <family val="2"/>
      </rPr>
      <t xml:space="preserve"> Based on R</t>
    </r>
    <r>
      <rPr>
        <b/>
        <vertAlign val="subscript"/>
        <sz val="12"/>
        <rFont val="Arial"/>
        <family val="2"/>
      </rPr>
      <t>DA1</t>
    </r>
    <r>
      <rPr>
        <b/>
        <sz val="12"/>
        <rFont val="Arial"/>
        <family val="2"/>
      </rPr>
      <t xml:space="preserve"> and R</t>
    </r>
    <r>
      <rPr>
        <b/>
        <vertAlign val="subscript"/>
        <sz val="12"/>
        <rFont val="Arial"/>
        <family val="2"/>
      </rPr>
      <t>DA2</t>
    </r>
    <r>
      <rPr>
        <b/>
        <sz val="12"/>
        <rFont val="Arial"/>
        <family val="2"/>
      </rPr>
      <t xml:space="preserve"> Selection</t>
    </r>
  </si>
  <si>
    <r>
      <t>Enter/Fine Tune t</t>
    </r>
    <r>
      <rPr>
        <b/>
        <vertAlign val="subscript"/>
        <sz val="12"/>
        <rFont val="Arial"/>
        <family val="2"/>
      </rPr>
      <t>ABSET</t>
    </r>
    <r>
      <rPr>
        <b/>
        <sz val="12"/>
        <rFont val="Arial"/>
        <family val="2"/>
      </rPr>
      <t xml:space="preserve"> Based on Valley Switching/ZVS</t>
    </r>
  </si>
  <si>
    <r>
      <t>Setting AB Initial Turn-on Delay (t</t>
    </r>
    <r>
      <rPr>
        <b/>
        <vertAlign val="subscript"/>
        <sz val="12"/>
        <color indexed="9"/>
        <rFont val="Arial"/>
        <family val="2"/>
      </rPr>
      <t>ABSET</t>
    </r>
    <r>
      <rPr>
        <b/>
        <sz val="12"/>
        <color indexed="9"/>
        <rFont val="Arial"/>
        <family val="2"/>
      </rPr>
      <t>)</t>
    </r>
  </si>
  <si>
    <r>
      <t>Setting CD Initial Turn-on Delay (t</t>
    </r>
    <r>
      <rPr>
        <b/>
        <vertAlign val="subscript"/>
        <sz val="12"/>
        <color indexed="9"/>
        <rFont val="Arial"/>
        <family val="2"/>
      </rPr>
      <t>CDSET</t>
    </r>
    <r>
      <rPr>
        <b/>
        <sz val="12"/>
        <color indexed="9"/>
        <rFont val="Arial"/>
        <family val="2"/>
      </rPr>
      <t>)</t>
    </r>
  </si>
  <si>
    <r>
      <t>R</t>
    </r>
    <r>
      <rPr>
        <b/>
        <vertAlign val="subscript"/>
        <sz val="12"/>
        <rFont val="Arial"/>
        <family val="2"/>
      </rPr>
      <t>CA1</t>
    </r>
  </si>
  <si>
    <r>
      <t>Select Standard Resistor for R</t>
    </r>
    <r>
      <rPr>
        <b/>
        <vertAlign val="subscript"/>
        <sz val="12"/>
        <rFont val="Arial"/>
        <family val="2"/>
      </rPr>
      <t xml:space="preserve">CA1 </t>
    </r>
    <r>
      <rPr>
        <b/>
        <sz val="12"/>
        <rFont val="Arial"/>
        <family val="2"/>
      </rPr>
      <t>for t</t>
    </r>
    <r>
      <rPr>
        <b/>
        <vertAlign val="subscript"/>
        <sz val="12"/>
        <rFont val="Arial"/>
        <family val="2"/>
      </rPr>
      <t xml:space="preserve">AFSET </t>
    </r>
    <r>
      <rPr>
        <b/>
        <sz val="12"/>
        <rFont val="Arial"/>
        <family val="2"/>
      </rPr>
      <t>Delay Range</t>
    </r>
  </si>
  <si>
    <r>
      <t>Calculate R</t>
    </r>
    <r>
      <rPr>
        <b/>
        <vertAlign val="subscript"/>
        <sz val="12"/>
        <rFont val="Arial"/>
        <family val="2"/>
      </rPr>
      <t>CA2</t>
    </r>
  </si>
  <si>
    <r>
      <t>R</t>
    </r>
    <r>
      <rPr>
        <b/>
        <vertAlign val="subscript"/>
        <sz val="12"/>
        <rFont val="Arial"/>
        <family val="2"/>
      </rPr>
      <t>CA2</t>
    </r>
  </si>
  <si>
    <t>Calculate Voltage at ADELEF pin to Meet Delay Range</t>
  </si>
  <si>
    <r>
      <t>V</t>
    </r>
    <r>
      <rPr>
        <b/>
        <vertAlign val="subscript"/>
        <sz val="12"/>
        <rFont val="Arial"/>
        <family val="2"/>
      </rPr>
      <t>ADELEF</t>
    </r>
  </si>
  <si>
    <r>
      <t>t</t>
    </r>
    <r>
      <rPr>
        <b/>
        <vertAlign val="subscript"/>
        <sz val="12"/>
        <rFont val="Arial"/>
        <family val="2"/>
      </rPr>
      <t xml:space="preserve">AFSET </t>
    </r>
    <r>
      <rPr>
        <b/>
        <sz val="12"/>
        <rFont val="Arial"/>
        <family val="2"/>
      </rPr>
      <t>= t</t>
    </r>
    <r>
      <rPr>
        <b/>
        <vertAlign val="subscript"/>
        <sz val="12"/>
        <rFont val="Arial"/>
        <family val="2"/>
      </rPr>
      <t>BESET</t>
    </r>
  </si>
  <si>
    <r>
      <t>Enter/Fine Tune t</t>
    </r>
    <r>
      <rPr>
        <b/>
        <vertAlign val="subscript"/>
        <sz val="12"/>
        <rFont val="Arial"/>
        <family val="2"/>
      </rPr>
      <t xml:space="preserve">AFSET </t>
    </r>
    <r>
      <rPr>
        <b/>
        <sz val="12"/>
        <rFont val="Arial"/>
        <family val="2"/>
      </rPr>
      <t>and t</t>
    </r>
    <r>
      <rPr>
        <b/>
        <vertAlign val="subscript"/>
        <sz val="12"/>
        <rFont val="Arial"/>
        <family val="2"/>
      </rPr>
      <t>AFSET</t>
    </r>
  </si>
  <si>
    <t>Select Standard Resistor Value</t>
  </si>
  <si>
    <r>
      <t>Setting AF and BE turnoff delay (t</t>
    </r>
    <r>
      <rPr>
        <b/>
        <vertAlign val="subscript"/>
        <sz val="12"/>
        <color indexed="9"/>
        <rFont val="Arial"/>
        <family val="2"/>
      </rPr>
      <t>AFSET</t>
    </r>
    <r>
      <rPr>
        <b/>
        <sz val="12"/>
        <color indexed="9"/>
        <rFont val="Arial"/>
        <family val="2"/>
      </rPr>
      <t>, t</t>
    </r>
    <r>
      <rPr>
        <b/>
        <vertAlign val="subscript"/>
        <sz val="12"/>
        <color indexed="9"/>
        <rFont val="Arial"/>
        <family val="2"/>
      </rPr>
      <t>BESET</t>
    </r>
    <r>
      <rPr>
        <b/>
        <sz val="12"/>
        <color indexed="9"/>
        <rFont val="Arial"/>
        <family val="2"/>
      </rPr>
      <t>)</t>
    </r>
  </si>
  <si>
    <t>Select Standard Capacitor Value</t>
  </si>
  <si>
    <t>Select Standard Resistor Value (Between 13K and 90K ohm)</t>
  </si>
  <si>
    <t>Select Standard Resistor Value(Between 13K and 90K ohm)</t>
  </si>
  <si>
    <t>This design tool was generated based on the information in application report SLUA560</t>
  </si>
  <si>
    <r>
      <t>Δ</t>
    </r>
    <r>
      <rPr>
        <b/>
        <sz val="12"/>
        <rFont val="Arial"/>
        <family val="2"/>
      </rPr>
      <t>I</t>
    </r>
    <r>
      <rPr>
        <b/>
        <vertAlign val="subscript"/>
        <sz val="12"/>
        <rFont val="Arial"/>
        <family val="2"/>
      </rPr>
      <t>LMAG</t>
    </r>
  </si>
  <si>
    <t>6. Note this design tool was generated to accompany application report     SLUA560</t>
  </si>
  <si>
    <t>Enter Design Parameters and Chosen Component Values in Yellow Cells</t>
  </si>
  <si>
    <r>
      <t>V</t>
    </r>
    <r>
      <rPr>
        <b/>
        <vertAlign val="subscript"/>
        <sz val="12"/>
        <rFont val="Arial"/>
        <family val="2"/>
      </rPr>
      <t>SLOPE1</t>
    </r>
  </si>
  <si>
    <r>
      <t>V</t>
    </r>
    <r>
      <rPr>
        <b/>
        <vertAlign val="subscript"/>
        <sz val="12"/>
        <rFont val="Arial"/>
        <family val="2"/>
      </rPr>
      <t>SLOPE2</t>
    </r>
  </si>
  <si>
    <r>
      <t>Calculate V</t>
    </r>
    <r>
      <rPr>
        <b/>
        <vertAlign val="subscript"/>
        <sz val="12"/>
        <rFont val="Arial"/>
        <family val="2"/>
      </rPr>
      <t>SLOPE1</t>
    </r>
  </si>
  <si>
    <r>
      <t>Calculate V</t>
    </r>
    <r>
      <rPr>
        <b/>
        <vertAlign val="subscript"/>
        <sz val="12"/>
        <rFont val="Arial"/>
        <family val="2"/>
      </rPr>
      <t>SLOPE2</t>
    </r>
  </si>
  <si>
    <t>Assumes the centre tapped secondary - as per Functional Schematic</t>
  </si>
  <si>
    <t>UCC28950 and UCC28951 Design Calculator</t>
  </si>
  <si>
    <t>Revision: E</t>
  </si>
  <si>
    <t>UCC28950 and UCC28951 Excel Design Tool: SLUC222E</t>
  </si>
  <si>
    <t>Important Notice and Disclaimer</t>
  </si>
  <si>
    <t xml:space="preserve">
TI PROVIDES TECHNICAL AND RELIABILITY DATA (INCLUDING DATASHEETS), DESIGN RESOURCES (INCLUDING REFERENCE DESIGNS), APPLICATION OR OTHER DESIGN ADVICE, WEB TOOLS, SAFETY INFORMATION, AND OTHER RESOURCES “AS IS” AND WITH ALL FAULTS, AND DISCLAIMS ALL WARRANTIES, EXPRESS AND IMPLIED, INCLUDING WITHOUT LIMITATION ANY IMPLIED WARRANTIES OF MERCHANTABILITY, FITNESS FOR A PARTICULAR PURPOSE OR NON-INFRINGEMENT OF THIRD PARTY INTELLECTUAL PROPERTY RIGHTS.
These resources are intended for skilled developers designing with TI products. You are solely responsible for (1) selecting the appropriate TI products for your application, (2) designing, validating and testing your application, and (3) ensuring your application meets applicable standards, and any other safety, security, regulatory or other requirements.
These resources are subject to change without notice. TI grants you permission to use these resources only for development of an application that uses the TI products described in the resource. Other reproduction and display of these resources is prohibited. No license is granted to any other TI intellectual property right or to any third party intellectual property right. TI disclaims responsibility for, and you will fully indemnify TI and its representatives against, any claims, damages, costs, losses, and liabilities arising out of your use of these resources.
TI’s products are provided subject to TI’s Terms of Sale or other applicable terms available either on ti.com or provided in conjunction with such TI products. TI’s provision of these resources does not expand or otherwise alter TI’s applicable warranties or warranty disclaimers for TI products.  
TI objects to and rejects any additional or different terms you may have proposed.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</si>
</sst>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9" x14ac:knownFonts="1">
    <font>
      <sz val="10"/>
      <name val="Arial"/>
    </font>
    <font>
      <sz val="10"/>
      <name val="Arial"/>
      <family val="2"/>
    </font>
    <font>
      <b/>
      <sz val="12"/>
      <name val="Arial"/>
      <family val="2"/>
    </font>
    <font>
      <b/>
      <sz val="26"/>
      <color indexed="10"/>
      <name val="Arial"/>
      <family val="2"/>
    </font>
    <font>
      <sz val="20"/>
      <name val="Arial"/>
      <family val="2"/>
    </font>
    <font>
      <b/>
      <vertAlign val="subscript"/>
      <sz val="12"/>
      <name val="Arial"/>
      <family val="2"/>
    </font>
    <font>
      <b/>
      <sz val="12"/>
      <color indexed="8"/>
      <name val="Arial"/>
      <family val="2"/>
    </font>
    <font>
      <sz val="10"/>
      <color indexed="10"/>
      <name val="Arial"/>
      <family val="2"/>
    </font>
    <font>
      <b/>
      <sz val="14"/>
      <color indexed="10"/>
      <name val="Arial"/>
      <family val="2"/>
    </font>
    <font>
      <b/>
      <sz val="10"/>
      <color indexed="12"/>
      <name val="Arial"/>
      <family val="2"/>
    </font>
    <font>
      <b/>
      <sz val="10"/>
      <color indexed="8"/>
      <name val="Arial"/>
      <family val="2"/>
    </font>
    <font>
      <b/>
      <sz val="10"/>
      <color indexed="17"/>
      <name val="Arial"/>
      <family val="2"/>
    </font>
    <font>
      <sz val="10"/>
      <color indexed="9"/>
      <name val="Arial"/>
      <family val="2"/>
    </font>
    <font>
      <b/>
      <sz val="10"/>
      <color indexed="9"/>
      <name val="Arial"/>
      <family val="2"/>
    </font>
    <font>
      <b/>
      <sz val="8"/>
      <name val="Arial"/>
      <family val="2"/>
    </font>
    <font>
      <sz val="8"/>
      <name val="Verdana"/>
      <family val="2"/>
    </font>
    <font>
      <sz val="10"/>
      <name val="Arial"/>
      <family val="2"/>
    </font>
    <font>
      <b/>
      <sz val="10"/>
      <color indexed="10"/>
      <name val="Arial"/>
      <family val="2"/>
    </font>
    <font>
      <sz val="10"/>
      <color indexed="22"/>
      <name val="Arial"/>
      <family val="2"/>
    </font>
    <font>
      <sz val="14"/>
      <name val="Arial"/>
      <family val="2"/>
    </font>
    <font>
      <sz val="12"/>
      <name val="Times New Roman"/>
      <family val="1"/>
    </font>
    <font>
      <sz val="8"/>
      <name val="Arial"/>
      <family val="2"/>
    </font>
    <font>
      <sz val="12"/>
      <name val="Arial"/>
      <family val="2"/>
    </font>
    <font>
      <b/>
      <sz val="12"/>
      <name val="Arial"/>
      <family val="2"/>
    </font>
    <font>
      <sz val="12"/>
      <name val="Arial"/>
      <family val="2"/>
    </font>
    <font>
      <vertAlign val="subscript"/>
      <sz val="10"/>
      <name val="Arial"/>
      <family val="2"/>
    </font>
    <font>
      <b/>
      <sz val="12"/>
      <color indexed="9"/>
      <name val="Arial"/>
      <family val="2"/>
    </font>
    <font>
      <b/>
      <vertAlign val="subscript"/>
      <sz val="12"/>
      <color indexed="9"/>
      <name val="Arial"/>
      <family val="2"/>
    </font>
    <font>
      <b/>
      <sz val="12"/>
      <color indexed="10"/>
      <name val="Arial"/>
      <family val="2"/>
    </font>
    <font>
      <b/>
      <sz val="12"/>
      <color indexed="53"/>
      <name val="Arial"/>
      <family val="2"/>
    </font>
    <font>
      <b/>
      <sz val="12"/>
      <color rgb="FFFF0000"/>
      <name val="Arial"/>
      <family val="2"/>
    </font>
    <font>
      <sz val="11"/>
      <color rgb="FF00B050"/>
      <name val="Calibri"/>
      <family val="2"/>
    </font>
    <font>
      <b/>
      <sz val="12"/>
      <color rgb="FF00B050"/>
      <name val="Arial"/>
      <family val="2"/>
    </font>
    <font>
      <sz val="26"/>
      <color rgb="FF000000"/>
      <name val="Arial Nova"/>
      <family val="2"/>
    </font>
    <font>
      <sz val="12"/>
      <color rgb="FF555555"/>
      <name val="Arial Nova"/>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1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6"/>
        <bgColor indexed="64"/>
      </patternFill>
    </fill>
    <fill>
      <patternFill patternType="solid">
        <fgColor indexed="34"/>
        <bgColor indexed="64"/>
      </patternFill>
    </fill>
    <fill>
      <patternFill patternType="solid">
        <fgColor indexed="8"/>
        <bgColor indexed="64"/>
      </patternFill>
    </fill>
    <fill>
      <patternFill patternType="solid">
        <fgColor indexed="12"/>
        <bgColor indexed="64"/>
      </patternFill>
    </fill>
    <fill>
      <patternFill patternType="solid">
        <fgColor indexed="10"/>
        <bgColor indexed="64"/>
      </patternFill>
    </fill>
    <fill>
      <patternFill patternType="solid">
        <fgColor indexed="13"/>
        <bgColor indexed="64"/>
      </patternFill>
    </fill>
    <fill>
      <patternFill patternType="solid">
        <fgColor indexed="23"/>
        <bgColor indexed="64"/>
      </patternFill>
    </fill>
  </fills>
  <borders count="22">
    <border>
      <left/>
      <right/>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9"/>
      </left>
      <right style="medium">
        <color indexed="9"/>
      </right>
      <top style="medium">
        <color indexed="9"/>
      </top>
      <bottom/>
      <diagonal/>
    </border>
    <border>
      <left style="medium">
        <color indexed="9"/>
      </left>
      <right style="medium">
        <color indexed="9"/>
      </right>
      <top/>
      <bottom/>
      <diagonal/>
    </border>
    <border>
      <left style="medium">
        <color indexed="9"/>
      </left>
      <right style="medium">
        <color indexed="9"/>
      </right>
      <top/>
      <bottom style="medium">
        <color indexed="9"/>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9"/>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9"/>
      </left>
      <right/>
      <top/>
      <bottom/>
      <diagonal/>
    </border>
    <border>
      <left style="medium">
        <color indexed="9"/>
      </left>
      <right/>
      <top style="medium">
        <color indexed="9"/>
      </top>
      <bottom/>
      <diagonal/>
    </border>
    <border>
      <left/>
      <right style="medium">
        <color indexed="9"/>
      </right>
      <top style="medium">
        <color indexed="9"/>
      </top>
      <bottom/>
      <diagonal/>
    </border>
  </borders>
  <cellStyleXfs count="1">
    <xf numFmtId="0" fontId="0" fillId="0" borderId="0"/>
  </cellStyleXfs>
  <cellXfs count="119">
    <xf numFmtId="0" fontId="0" fillId="0" borderId="0" xfId="0"/>
    <xf numFmtId="0" fontId="4" fillId="2" borderId="0" xfId="0" applyFont="1" applyFill="1" applyAlignment="1">
      <alignment vertical="center"/>
    </xf>
    <xf numFmtId="0" fontId="7" fillId="3" borderId="0" xfId="0" applyFont="1" applyFill="1" applyProtection="1">
      <protection hidden="1"/>
    </xf>
    <xf numFmtId="0" fontId="1" fillId="3" borderId="0" xfId="0" applyFont="1" applyFill="1" applyProtection="1">
      <protection hidden="1"/>
    </xf>
    <xf numFmtId="0" fontId="8" fillId="3" borderId="0" xfId="0" applyFont="1" applyFill="1" applyProtection="1">
      <protection hidden="1"/>
    </xf>
    <xf numFmtId="49" fontId="1" fillId="3" borderId="0" xfId="0" applyNumberFormat="1" applyFont="1" applyFill="1" applyProtection="1">
      <protection hidden="1"/>
    </xf>
    <xf numFmtId="0" fontId="7" fillId="3" borderId="1" xfId="0" applyFont="1" applyFill="1" applyBorder="1" applyProtection="1">
      <protection hidden="1"/>
    </xf>
    <xf numFmtId="0" fontId="1" fillId="3" borderId="2" xfId="0" applyFont="1" applyFill="1" applyBorder="1" applyProtection="1">
      <protection hidden="1"/>
    </xf>
    <xf numFmtId="0" fontId="9" fillId="4" borderId="3" xfId="0" applyFont="1" applyFill="1" applyBorder="1" applyProtection="1">
      <protection hidden="1"/>
    </xf>
    <xf numFmtId="1" fontId="7" fillId="3" borderId="0" xfId="0" applyNumberFormat="1" applyFont="1" applyFill="1" applyProtection="1">
      <protection hidden="1"/>
    </xf>
    <xf numFmtId="1" fontId="11" fillId="5" borderId="4" xfId="0" applyNumberFormat="1" applyFont="1" applyFill="1" applyBorder="1" applyAlignment="1" applyProtection="1">
      <alignment horizontal="center"/>
      <protection hidden="1"/>
    </xf>
    <xf numFmtId="0" fontId="11" fillId="5" borderId="5" xfId="0" applyFont="1" applyFill="1" applyBorder="1" applyProtection="1">
      <protection hidden="1"/>
    </xf>
    <xf numFmtId="0" fontId="10" fillId="6" borderId="6" xfId="0" applyFont="1" applyFill="1" applyBorder="1" applyAlignment="1">
      <alignment horizontal="center" wrapText="1"/>
    </xf>
    <xf numFmtId="0" fontId="10" fillId="6" borderId="7" xfId="0" applyFont="1" applyFill="1" applyBorder="1" applyAlignment="1">
      <alignment horizontal="center" wrapText="1"/>
    </xf>
    <xf numFmtId="0" fontId="10" fillId="7" borderId="6" xfId="0" applyFont="1" applyFill="1" applyBorder="1" applyAlignment="1">
      <alignment horizontal="center" wrapText="1"/>
    </xf>
    <xf numFmtId="0" fontId="10" fillId="7" borderId="8" xfId="0" applyFont="1" applyFill="1" applyBorder="1" applyAlignment="1">
      <alignment horizontal="center" wrapText="1"/>
    </xf>
    <xf numFmtId="0" fontId="9" fillId="4" borderId="9" xfId="0" applyFont="1" applyFill="1" applyBorder="1" applyAlignment="1" applyProtection="1">
      <alignment horizontal="center"/>
      <protection hidden="1"/>
    </xf>
    <xf numFmtId="0" fontId="9" fillId="4" borderId="10" xfId="0" applyFont="1" applyFill="1" applyBorder="1" applyProtection="1">
      <protection hidden="1"/>
    </xf>
    <xf numFmtId="0" fontId="1" fillId="3" borderId="11" xfId="0" applyFont="1" applyFill="1" applyBorder="1" applyProtection="1">
      <protection hidden="1"/>
    </xf>
    <xf numFmtId="1" fontId="12" fillId="3" borderId="0" xfId="0" applyNumberFormat="1" applyFont="1" applyFill="1" applyProtection="1">
      <protection hidden="1"/>
    </xf>
    <xf numFmtId="165" fontId="13" fillId="3" borderId="0" xfId="0" applyNumberFormat="1" applyFont="1" applyFill="1" applyAlignment="1" applyProtection="1">
      <alignment horizontal="center"/>
      <protection hidden="1"/>
    </xf>
    <xf numFmtId="2" fontId="12" fillId="3" borderId="0" xfId="0" applyNumberFormat="1" applyFont="1" applyFill="1" applyAlignment="1" applyProtection="1">
      <alignment horizontal="center"/>
      <protection hidden="1"/>
    </xf>
    <xf numFmtId="0" fontId="1" fillId="3" borderId="12" xfId="0" applyFont="1" applyFill="1" applyBorder="1" applyProtection="1">
      <protection hidden="1"/>
    </xf>
    <xf numFmtId="0" fontId="14" fillId="3" borderId="0" xfId="0" applyFont="1" applyFill="1" applyProtection="1">
      <protection hidden="1"/>
    </xf>
    <xf numFmtId="0" fontId="15" fillId="3" borderId="0" xfId="0" applyFont="1" applyFill="1" applyAlignment="1" applyProtection="1">
      <alignment horizontal="center" wrapText="1"/>
      <protection hidden="1"/>
    </xf>
    <xf numFmtId="2" fontId="1" fillId="3" borderId="0" xfId="0" applyNumberFormat="1" applyFont="1" applyFill="1" applyAlignment="1" applyProtection="1">
      <alignment horizontal="center"/>
      <protection hidden="1"/>
    </xf>
    <xf numFmtId="1" fontId="16" fillId="3" borderId="0" xfId="0" applyNumberFormat="1" applyFont="1" applyFill="1"/>
    <xf numFmtId="0" fontId="1" fillId="3" borderId="13" xfId="0" applyFont="1" applyFill="1" applyBorder="1" applyProtection="1">
      <protection hidden="1"/>
    </xf>
    <xf numFmtId="0" fontId="10" fillId="8" borderId="14" xfId="0" applyFont="1" applyFill="1" applyBorder="1" applyAlignment="1">
      <alignment horizontal="center" wrapText="1"/>
    </xf>
    <xf numFmtId="0" fontId="16" fillId="3" borderId="0" xfId="0" applyFont="1" applyFill="1" applyProtection="1">
      <protection hidden="1"/>
    </xf>
    <xf numFmtId="0" fontId="10" fillId="8" borderId="6" xfId="0" applyFont="1" applyFill="1" applyBorder="1" applyAlignment="1">
      <alignment horizontal="center" wrapText="1"/>
    </xf>
    <xf numFmtId="0" fontId="10" fillId="8" borderId="7" xfId="0" applyFont="1" applyFill="1" applyBorder="1" applyAlignment="1">
      <alignment horizontal="center" wrapText="1"/>
    </xf>
    <xf numFmtId="0" fontId="1" fillId="3" borderId="0" xfId="0" applyFont="1" applyFill="1" applyAlignment="1" applyProtection="1">
      <alignment horizontal="center"/>
      <protection hidden="1"/>
    </xf>
    <xf numFmtId="0" fontId="0" fillId="3" borderId="0" xfId="0" applyFill="1" applyAlignment="1">
      <alignment horizontal="center"/>
    </xf>
    <xf numFmtId="0" fontId="11" fillId="3" borderId="0" xfId="0" applyFont="1" applyFill="1" applyProtection="1">
      <protection hidden="1"/>
    </xf>
    <xf numFmtId="0" fontId="1" fillId="3" borderId="0" xfId="0" applyFont="1" applyFill="1"/>
    <xf numFmtId="49" fontId="17" fillId="5" borderId="6" xfId="0" applyNumberFormat="1" applyFont="1" applyFill="1" applyBorder="1" applyAlignment="1">
      <alignment horizontal="center" wrapText="1"/>
    </xf>
    <xf numFmtId="49" fontId="17" fillId="5" borderId="7" xfId="0" applyNumberFormat="1" applyFont="1" applyFill="1" applyBorder="1" applyAlignment="1">
      <alignment horizontal="center" wrapText="1"/>
    </xf>
    <xf numFmtId="0" fontId="18" fillId="3" borderId="0" xfId="0" applyFont="1" applyFill="1"/>
    <xf numFmtId="49" fontId="0" fillId="3" borderId="0" xfId="0" applyNumberFormat="1" applyFill="1"/>
    <xf numFmtId="49" fontId="17" fillId="5" borderId="8" xfId="0" applyNumberFormat="1" applyFont="1" applyFill="1" applyBorder="1" applyAlignment="1">
      <alignment horizontal="center" wrapText="1"/>
    </xf>
    <xf numFmtId="49" fontId="12" fillId="3" borderId="0" xfId="0" applyNumberFormat="1" applyFont="1" applyFill="1" applyProtection="1">
      <protection hidden="1"/>
    </xf>
    <xf numFmtId="0" fontId="12" fillId="3" borderId="0" xfId="0" applyFont="1" applyFill="1" applyProtection="1">
      <protection hidden="1"/>
    </xf>
    <xf numFmtId="0" fontId="17" fillId="3" borderId="0" xfId="0" applyFont="1" applyFill="1" applyAlignment="1" applyProtection="1">
      <alignment horizontal="center" wrapText="1"/>
      <protection hidden="1"/>
    </xf>
    <xf numFmtId="0" fontId="12" fillId="3" borderId="0" xfId="0" applyFont="1" applyFill="1"/>
    <xf numFmtId="0" fontId="19" fillId="3" borderId="0" xfId="0" applyFont="1" applyFill="1" applyProtection="1">
      <protection hidden="1"/>
    </xf>
    <xf numFmtId="0" fontId="0" fillId="3" borderId="0" xfId="0" applyFill="1" applyAlignment="1">
      <alignment wrapText="1"/>
    </xf>
    <xf numFmtId="0" fontId="0" fillId="3" borderId="0" xfId="0" applyFill="1" applyProtection="1">
      <protection hidden="1"/>
    </xf>
    <xf numFmtId="0" fontId="2" fillId="3" borderId="15" xfId="0" applyFont="1" applyFill="1" applyBorder="1" applyAlignment="1">
      <alignment horizontal="left"/>
    </xf>
    <xf numFmtId="0" fontId="2" fillId="9" borderId="15" xfId="0" applyFont="1" applyFill="1" applyBorder="1" applyAlignment="1" applyProtection="1">
      <alignment horizontal="left"/>
      <protection locked="0"/>
    </xf>
    <xf numFmtId="9" fontId="2" fillId="9" borderId="15" xfId="0" applyNumberFormat="1" applyFont="1" applyFill="1" applyBorder="1" applyAlignment="1" applyProtection="1">
      <alignment horizontal="left"/>
      <protection locked="0"/>
    </xf>
    <xf numFmtId="0" fontId="22" fillId="0" borderId="15" xfId="0" applyFont="1" applyBorder="1" applyAlignment="1">
      <alignment horizontal="left"/>
    </xf>
    <xf numFmtId="0" fontId="2" fillId="0" borderId="15" xfId="0" applyFont="1" applyBorder="1" applyAlignment="1">
      <alignment horizontal="left"/>
    </xf>
    <xf numFmtId="14" fontId="2" fillId="0" borderId="15" xfId="0" applyNumberFormat="1" applyFont="1" applyBorder="1" applyAlignment="1">
      <alignment horizontal="left"/>
    </xf>
    <xf numFmtId="0" fontId="2" fillId="0" borderId="15" xfId="0" applyFont="1" applyBorder="1" applyAlignment="1">
      <alignment horizontal="left" wrapText="1"/>
    </xf>
    <xf numFmtId="0" fontId="2" fillId="10" borderId="15" xfId="0" applyFont="1" applyFill="1" applyBorder="1" applyAlignment="1">
      <alignment horizontal="left"/>
    </xf>
    <xf numFmtId="0" fontId="2" fillId="11" borderId="15" xfId="0" applyFont="1" applyFill="1" applyBorder="1" applyAlignment="1">
      <alignment horizontal="left"/>
    </xf>
    <xf numFmtId="164" fontId="2" fillId="0" borderId="15" xfId="0" applyNumberFormat="1" applyFont="1" applyBorder="1" applyAlignment="1">
      <alignment horizontal="left"/>
    </xf>
    <xf numFmtId="2" fontId="2" fillId="0" borderId="15" xfId="0" applyNumberFormat="1" applyFont="1" applyBorder="1" applyAlignment="1">
      <alignment horizontal="left"/>
    </xf>
    <xf numFmtId="0" fontId="6" fillId="0" borderId="15" xfId="0" applyFont="1" applyBorder="1" applyAlignment="1">
      <alignment horizontal="left"/>
    </xf>
    <xf numFmtId="0" fontId="6" fillId="3" borderId="15" xfId="0" applyFont="1" applyFill="1" applyBorder="1" applyAlignment="1">
      <alignment horizontal="left"/>
    </xf>
    <xf numFmtId="0" fontId="2" fillId="3" borderId="15" xfId="0" applyFont="1" applyFill="1" applyBorder="1" applyAlignment="1">
      <alignment horizontal="left" wrapText="1"/>
    </xf>
    <xf numFmtId="1" fontId="2" fillId="3" borderId="15" xfId="0" applyNumberFormat="1" applyFont="1" applyFill="1" applyBorder="1" applyAlignment="1">
      <alignment horizontal="left"/>
    </xf>
    <xf numFmtId="0" fontId="22" fillId="3" borderId="15" xfId="0" applyFont="1" applyFill="1" applyBorder="1" applyAlignment="1">
      <alignment horizontal="left" wrapText="1"/>
    </xf>
    <xf numFmtId="0" fontId="2" fillId="0" borderId="15" xfId="0" applyFont="1" applyBorder="1" applyAlignment="1" applyProtection="1">
      <alignment horizontal="left"/>
      <protection locked="0"/>
    </xf>
    <xf numFmtId="0" fontId="2" fillId="11" borderId="15" xfId="0" applyFont="1" applyFill="1" applyBorder="1" applyAlignment="1">
      <alignment horizontal="left" wrapText="1"/>
    </xf>
    <xf numFmtId="164" fontId="11" fillId="5" borderId="16" xfId="0" applyNumberFormat="1" applyFont="1" applyFill="1" applyBorder="1" applyProtection="1">
      <protection hidden="1"/>
    </xf>
    <xf numFmtId="164" fontId="11" fillId="5" borderId="17" xfId="0" applyNumberFormat="1" applyFont="1" applyFill="1" applyBorder="1" applyProtection="1">
      <protection hidden="1"/>
    </xf>
    <xf numFmtId="164" fontId="11" fillId="5" borderId="18" xfId="0" applyNumberFormat="1" applyFont="1" applyFill="1" applyBorder="1" applyProtection="1">
      <protection hidden="1"/>
    </xf>
    <xf numFmtId="0" fontId="23" fillId="0" borderId="15" xfId="0" applyFont="1" applyBorder="1" applyAlignment="1">
      <alignment horizontal="left"/>
    </xf>
    <xf numFmtId="0" fontId="0" fillId="0" borderId="15" xfId="0" applyBorder="1"/>
    <xf numFmtId="0" fontId="0" fillId="0" borderId="15" xfId="0" applyBorder="1" applyAlignment="1">
      <alignment horizontal="left"/>
    </xf>
    <xf numFmtId="165" fontId="0" fillId="0" borderId="15" xfId="0" applyNumberFormat="1" applyBorder="1"/>
    <xf numFmtId="0" fontId="24" fillId="0" borderId="15" xfId="0" applyFont="1" applyBorder="1"/>
    <xf numFmtId="0" fontId="0" fillId="0" borderId="15" xfId="0" applyBorder="1" applyAlignment="1">
      <alignment wrapText="1"/>
    </xf>
    <xf numFmtId="0" fontId="26" fillId="11" borderId="15" xfId="0" applyFont="1" applyFill="1" applyBorder="1" applyAlignment="1">
      <alignment horizontal="left"/>
    </xf>
    <xf numFmtId="0" fontId="26" fillId="12" borderId="15" xfId="0" applyFont="1" applyFill="1" applyBorder="1" applyAlignment="1">
      <alignment horizontal="left"/>
    </xf>
    <xf numFmtId="14" fontId="26" fillId="12" borderId="15" xfId="0" applyNumberFormat="1" applyFont="1" applyFill="1" applyBorder="1" applyAlignment="1">
      <alignment horizontal="left"/>
    </xf>
    <xf numFmtId="0" fontId="28" fillId="0" borderId="15" xfId="0" applyFont="1" applyBorder="1" applyAlignment="1">
      <alignment horizontal="left"/>
    </xf>
    <xf numFmtId="0" fontId="28" fillId="3" borderId="15" xfId="0" applyFont="1" applyFill="1" applyBorder="1" applyAlignment="1">
      <alignment horizontal="left"/>
    </xf>
    <xf numFmtId="0" fontId="4" fillId="2" borderId="0" xfId="0" applyFont="1" applyFill="1" applyAlignment="1">
      <alignment horizontal="left" vertical="center" wrapText="1"/>
    </xf>
    <xf numFmtId="0" fontId="6" fillId="13" borderId="15" xfId="0" applyFont="1" applyFill="1" applyBorder="1" applyAlignment="1">
      <alignment horizontal="left"/>
    </xf>
    <xf numFmtId="14" fontId="6" fillId="13" borderId="15" xfId="0" applyNumberFormat="1" applyFont="1" applyFill="1" applyBorder="1" applyAlignment="1">
      <alignment horizontal="left"/>
    </xf>
    <xf numFmtId="0" fontId="26" fillId="14" borderId="15" xfId="0" applyFont="1" applyFill="1" applyBorder="1" applyAlignment="1">
      <alignment horizontal="left"/>
    </xf>
    <xf numFmtId="14" fontId="26" fillId="14" borderId="15" xfId="0" applyNumberFormat="1" applyFont="1" applyFill="1" applyBorder="1" applyAlignment="1">
      <alignment horizontal="left"/>
    </xf>
    <xf numFmtId="0" fontId="29" fillId="0" borderId="15" xfId="0" applyFont="1" applyBorder="1" applyAlignment="1">
      <alignment horizontal="left"/>
    </xf>
    <xf numFmtId="2" fontId="28" fillId="0" borderId="15" xfId="0" applyNumberFormat="1" applyFont="1" applyBorder="1" applyAlignment="1">
      <alignment horizontal="left"/>
    </xf>
    <xf numFmtId="2" fontId="2" fillId="13" borderId="15" xfId="0" applyNumberFormat="1" applyFont="1" applyFill="1" applyBorder="1" applyAlignment="1" applyProtection="1">
      <alignment horizontal="left"/>
      <protection locked="0"/>
    </xf>
    <xf numFmtId="2" fontId="2" fillId="3" borderId="15" xfId="0" applyNumberFormat="1" applyFont="1" applyFill="1" applyBorder="1" applyAlignment="1">
      <alignment horizontal="left"/>
    </xf>
    <xf numFmtId="2" fontId="26" fillId="12" borderId="15" xfId="0" applyNumberFormat="1" applyFont="1" applyFill="1" applyBorder="1" applyAlignment="1">
      <alignment horizontal="left"/>
    </xf>
    <xf numFmtId="2" fontId="6" fillId="13" borderId="15" xfId="0" applyNumberFormat="1" applyFont="1" applyFill="1" applyBorder="1" applyAlignment="1">
      <alignment horizontal="left"/>
    </xf>
    <xf numFmtId="2" fontId="26" fillId="14" borderId="15" xfId="0" applyNumberFormat="1" applyFont="1" applyFill="1" applyBorder="1" applyAlignment="1">
      <alignment horizontal="left"/>
    </xf>
    <xf numFmtId="2" fontId="2" fillId="9" borderId="15" xfId="0" applyNumberFormat="1" applyFont="1" applyFill="1" applyBorder="1" applyAlignment="1" applyProtection="1">
      <alignment horizontal="left"/>
      <protection locked="0"/>
    </xf>
    <xf numFmtId="2" fontId="2" fillId="10" borderId="15" xfId="0" applyNumberFormat="1" applyFont="1" applyFill="1" applyBorder="1" applyAlignment="1">
      <alignment horizontal="left"/>
    </xf>
    <xf numFmtId="2" fontId="26" fillId="11" borderId="15" xfId="0" applyNumberFormat="1" applyFont="1" applyFill="1" applyBorder="1" applyAlignment="1">
      <alignment horizontal="left"/>
    </xf>
    <xf numFmtId="2" fontId="2" fillId="11" borderId="15" xfId="0" applyNumberFormat="1" applyFont="1" applyFill="1" applyBorder="1" applyAlignment="1">
      <alignment horizontal="left"/>
    </xf>
    <xf numFmtId="2" fontId="22" fillId="0" borderId="15" xfId="0" applyNumberFormat="1" applyFont="1" applyBorder="1" applyAlignment="1">
      <alignment horizontal="left"/>
    </xf>
    <xf numFmtId="2" fontId="6" fillId="3" borderId="15" xfId="0" applyNumberFormat="1" applyFont="1" applyFill="1" applyBorder="1" applyAlignment="1">
      <alignment horizontal="left"/>
    </xf>
    <xf numFmtId="2" fontId="20" fillId="0" borderId="15" xfId="0" applyNumberFormat="1" applyFont="1" applyBorder="1" applyAlignment="1">
      <alignment horizontal="left"/>
    </xf>
    <xf numFmtId="0" fontId="30" fillId="0" borderId="15" xfId="0" applyFont="1" applyBorder="1" applyAlignment="1">
      <alignment horizontal="left"/>
    </xf>
    <xf numFmtId="0" fontId="31" fillId="0" borderId="0" xfId="0" applyFont="1" applyAlignment="1">
      <alignment vertical="center"/>
    </xf>
    <xf numFmtId="0" fontId="32" fillId="0" borderId="15" xfId="0" applyFont="1" applyBorder="1" applyAlignment="1">
      <alignment horizontal="left"/>
    </xf>
    <xf numFmtId="165" fontId="2" fillId="13" borderId="15" xfId="0" applyNumberFormat="1" applyFont="1" applyFill="1" applyBorder="1" applyAlignment="1" applyProtection="1">
      <alignment horizontal="left"/>
      <protection locked="0"/>
    </xf>
    <xf numFmtId="0" fontId="4" fillId="2" borderId="0" xfId="0" applyFont="1" applyFill="1" applyAlignment="1">
      <alignment horizontal="left" vertical="center" wrapText="1"/>
    </xf>
    <xf numFmtId="0" fontId="0" fillId="2" borderId="0" xfId="0" applyFill="1" applyAlignment="1">
      <alignment horizontal="center"/>
    </xf>
    <xf numFmtId="0" fontId="4" fillId="2" borderId="0" xfId="0" applyFont="1" applyFill="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vertical="center" wrapText="1"/>
    </xf>
    <xf numFmtId="0" fontId="33" fillId="0" borderId="0" xfId="0" applyFont="1" applyAlignment="1">
      <alignment horizontal="left" vertical="center"/>
    </xf>
    <xf numFmtId="0" fontId="34" fillId="0" borderId="0" xfId="0" applyFont="1" applyAlignment="1">
      <alignment horizontal="left" vertical="top" wrapText="1"/>
    </xf>
    <xf numFmtId="0" fontId="17" fillId="3" borderId="0" xfId="0" applyFont="1" applyFill="1" applyAlignment="1" applyProtection="1">
      <alignment horizontal="center" wrapText="1"/>
      <protection hidden="1"/>
    </xf>
    <xf numFmtId="0" fontId="10" fillId="6" borderId="19" xfId="0" applyFont="1" applyFill="1" applyBorder="1" applyAlignment="1">
      <alignment horizontal="center" wrapText="1"/>
    </xf>
    <xf numFmtId="0" fontId="10" fillId="6" borderId="14" xfId="0" applyFont="1" applyFill="1" applyBorder="1" applyAlignment="1">
      <alignment horizontal="center" wrapText="1"/>
    </xf>
    <xf numFmtId="0" fontId="10" fillId="7" borderId="20" xfId="0" applyFont="1" applyFill="1" applyBorder="1" applyAlignment="1">
      <alignment horizontal="center" wrapText="1"/>
    </xf>
    <xf numFmtId="0" fontId="10" fillId="7" borderId="21" xfId="0" applyFont="1" applyFill="1" applyBorder="1" applyAlignment="1">
      <alignment horizontal="center" wrapText="1"/>
    </xf>
    <xf numFmtId="0" fontId="10" fillId="8" borderId="19" xfId="0" applyFont="1" applyFill="1" applyBorder="1" applyAlignment="1">
      <alignment horizontal="center" wrapText="1"/>
    </xf>
    <xf numFmtId="0" fontId="10" fillId="8" borderId="14" xfId="0" applyFont="1" applyFill="1" applyBorder="1" applyAlignment="1">
      <alignment horizontal="center" wrapText="1"/>
    </xf>
    <xf numFmtId="49" fontId="17" fillId="5" borderId="19" xfId="0" applyNumberFormat="1" applyFont="1" applyFill="1" applyBorder="1" applyAlignment="1">
      <alignment horizontal="center" wrapText="1"/>
    </xf>
    <xf numFmtId="49" fontId="17" fillId="5" borderId="0" xfId="0" applyNumberFormat="1"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Tv(f) Frequency Response</a:t>
            </a:r>
          </a:p>
        </c:rich>
      </c:tx>
      <c:layout>
        <c:manualLayout>
          <c:xMode val="edge"/>
          <c:yMode val="edge"/>
          <c:x val="0.35753466278671686"/>
          <c:y val="3.0022812568989622E-2"/>
        </c:manualLayout>
      </c:layout>
      <c:overlay val="0"/>
      <c:spPr>
        <a:noFill/>
        <a:ln w="25400">
          <a:noFill/>
        </a:ln>
      </c:spPr>
    </c:title>
    <c:autoTitleDeleted val="0"/>
    <c:plotArea>
      <c:layout>
        <c:manualLayout>
          <c:layoutTarget val="inner"/>
          <c:xMode val="edge"/>
          <c:yMode val="edge"/>
          <c:x val="0.10273979474782932"/>
          <c:y val="0.11778304275115783"/>
          <c:w val="0.78630189580338705"/>
          <c:h val="0.72979297077187988"/>
        </c:manualLayout>
      </c:layout>
      <c:scatterChart>
        <c:scatterStyle val="smoothMarker"/>
        <c:varyColors val="0"/>
        <c:ser>
          <c:idx val="0"/>
          <c:order val="0"/>
          <c:tx>
            <c:strRef>
              <c:f>'Voltage Loop'!$M$1</c:f>
              <c:strCache>
                <c:ptCount val="1"/>
                <c:pt idx="0">
                  <c:v>TvdB(f)</c:v>
                </c:pt>
              </c:strCache>
            </c:strRef>
          </c:tx>
          <c:spPr>
            <a:ln w="25400">
              <a:solidFill>
                <a:srgbClr val="000000"/>
              </a:solidFill>
              <a:prstDash val="solid"/>
            </a:ln>
          </c:spPr>
          <c:marker>
            <c:symbol val="none"/>
          </c:marker>
          <c:xVal>
            <c:numRef>
              <c:f>'Voltage Loop'!$B$2:$B$101</c:f>
              <c:numCache>
                <c:formatCode>General</c:formatCode>
                <c:ptCount val="100"/>
                <c:pt idx="0">
                  <c:v>100</c:v>
                </c:pt>
                <c:pt idx="1">
                  <c:v>1000</c:v>
                </c:pt>
                <c:pt idx="2">
                  <c:v>3000</c:v>
                </c:pt>
                <c:pt idx="3">
                  <c:v>4000</c:v>
                </c:pt>
                <c:pt idx="4">
                  <c:v>5000</c:v>
                </c:pt>
                <c:pt idx="5">
                  <c:v>6000</c:v>
                </c:pt>
                <c:pt idx="6">
                  <c:v>7000.0000000000009</c:v>
                </c:pt>
                <c:pt idx="7">
                  <c:v>8000</c:v>
                </c:pt>
                <c:pt idx="8">
                  <c:v>9000</c:v>
                </c:pt>
                <c:pt idx="9">
                  <c:v>10000</c:v>
                </c:pt>
                <c:pt idx="10">
                  <c:v>11000</c:v>
                </c:pt>
                <c:pt idx="11">
                  <c:v>12000</c:v>
                </c:pt>
                <c:pt idx="12">
                  <c:v>13000</c:v>
                </c:pt>
                <c:pt idx="13">
                  <c:v>14000.000000000002</c:v>
                </c:pt>
                <c:pt idx="14">
                  <c:v>15000</c:v>
                </c:pt>
                <c:pt idx="15">
                  <c:v>16000</c:v>
                </c:pt>
                <c:pt idx="16">
                  <c:v>17000</c:v>
                </c:pt>
                <c:pt idx="17">
                  <c:v>18000</c:v>
                </c:pt>
                <c:pt idx="18">
                  <c:v>19000</c:v>
                </c:pt>
                <c:pt idx="19">
                  <c:v>20000</c:v>
                </c:pt>
                <c:pt idx="20">
                  <c:v>21000</c:v>
                </c:pt>
                <c:pt idx="21">
                  <c:v>22000</c:v>
                </c:pt>
                <c:pt idx="22">
                  <c:v>23000</c:v>
                </c:pt>
                <c:pt idx="23">
                  <c:v>24000</c:v>
                </c:pt>
                <c:pt idx="24">
                  <c:v>25000</c:v>
                </c:pt>
                <c:pt idx="25">
                  <c:v>26000</c:v>
                </c:pt>
                <c:pt idx="26">
                  <c:v>27000</c:v>
                </c:pt>
                <c:pt idx="27">
                  <c:v>28000.000000000004</c:v>
                </c:pt>
                <c:pt idx="28">
                  <c:v>28999.999999999996</c:v>
                </c:pt>
                <c:pt idx="29">
                  <c:v>30000</c:v>
                </c:pt>
                <c:pt idx="30">
                  <c:v>31000</c:v>
                </c:pt>
                <c:pt idx="31">
                  <c:v>32000</c:v>
                </c:pt>
                <c:pt idx="32">
                  <c:v>33000</c:v>
                </c:pt>
                <c:pt idx="33">
                  <c:v>34000</c:v>
                </c:pt>
                <c:pt idx="34">
                  <c:v>35000</c:v>
                </c:pt>
                <c:pt idx="35">
                  <c:v>36000</c:v>
                </c:pt>
                <c:pt idx="36">
                  <c:v>37000</c:v>
                </c:pt>
                <c:pt idx="37">
                  <c:v>38000</c:v>
                </c:pt>
                <c:pt idx="38">
                  <c:v>39000</c:v>
                </c:pt>
                <c:pt idx="39">
                  <c:v>40000</c:v>
                </c:pt>
                <c:pt idx="40">
                  <c:v>41000</c:v>
                </c:pt>
                <c:pt idx="41">
                  <c:v>42000</c:v>
                </c:pt>
                <c:pt idx="42">
                  <c:v>43000</c:v>
                </c:pt>
                <c:pt idx="43">
                  <c:v>44000</c:v>
                </c:pt>
                <c:pt idx="44">
                  <c:v>45000</c:v>
                </c:pt>
                <c:pt idx="45">
                  <c:v>46000</c:v>
                </c:pt>
                <c:pt idx="46">
                  <c:v>47000</c:v>
                </c:pt>
                <c:pt idx="47">
                  <c:v>48000</c:v>
                </c:pt>
                <c:pt idx="48">
                  <c:v>49000</c:v>
                </c:pt>
                <c:pt idx="49">
                  <c:v>50000</c:v>
                </c:pt>
                <c:pt idx="50">
                  <c:v>51000</c:v>
                </c:pt>
                <c:pt idx="51">
                  <c:v>52000</c:v>
                </c:pt>
                <c:pt idx="52">
                  <c:v>53000</c:v>
                </c:pt>
                <c:pt idx="53">
                  <c:v>54000</c:v>
                </c:pt>
                <c:pt idx="54">
                  <c:v>55000.000000000007</c:v>
                </c:pt>
                <c:pt idx="55">
                  <c:v>56000.000000000007</c:v>
                </c:pt>
                <c:pt idx="56">
                  <c:v>56999.999999999993</c:v>
                </c:pt>
                <c:pt idx="57">
                  <c:v>57999.999999999993</c:v>
                </c:pt>
                <c:pt idx="58">
                  <c:v>59000</c:v>
                </c:pt>
                <c:pt idx="59">
                  <c:v>60000</c:v>
                </c:pt>
                <c:pt idx="60">
                  <c:v>61000</c:v>
                </c:pt>
                <c:pt idx="61">
                  <c:v>62000</c:v>
                </c:pt>
                <c:pt idx="62">
                  <c:v>63000</c:v>
                </c:pt>
                <c:pt idx="63">
                  <c:v>64000</c:v>
                </c:pt>
                <c:pt idx="64">
                  <c:v>65000</c:v>
                </c:pt>
                <c:pt idx="65">
                  <c:v>66000</c:v>
                </c:pt>
                <c:pt idx="66">
                  <c:v>67000</c:v>
                </c:pt>
                <c:pt idx="67">
                  <c:v>68000</c:v>
                </c:pt>
                <c:pt idx="68">
                  <c:v>69000</c:v>
                </c:pt>
                <c:pt idx="69">
                  <c:v>70000</c:v>
                </c:pt>
                <c:pt idx="70">
                  <c:v>71000</c:v>
                </c:pt>
                <c:pt idx="71">
                  <c:v>72000</c:v>
                </c:pt>
                <c:pt idx="72">
                  <c:v>73000</c:v>
                </c:pt>
                <c:pt idx="73">
                  <c:v>74000</c:v>
                </c:pt>
                <c:pt idx="74">
                  <c:v>75000</c:v>
                </c:pt>
                <c:pt idx="75">
                  <c:v>76000</c:v>
                </c:pt>
                <c:pt idx="76">
                  <c:v>77000</c:v>
                </c:pt>
                <c:pt idx="77">
                  <c:v>78000</c:v>
                </c:pt>
                <c:pt idx="78">
                  <c:v>79000</c:v>
                </c:pt>
                <c:pt idx="79">
                  <c:v>80000</c:v>
                </c:pt>
                <c:pt idx="80">
                  <c:v>81000</c:v>
                </c:pt>
                <c:pt idx="81">
                  <c:v>82000</c:v>
                </c:pt>
                <c:pt idx="82">
                  <c:v>83000</c:v>
                </c:pt>
                <c:pt idx="83">
                  <c:v>84000</c:v>
                </c:pt>
                <c:pt idx="84">
                  <c:v>85000</c:v>
                </c:pt>
                <c:pt idx="85">
                  <c:v>86000</c:v>
                </c:pt>
                <c:pt idx="86">
                  <c:v>87000</c:v>
                </c:pt>
                <c:pt idx="87">
                  <c:v>88000</c:v>
                </c:pt>
                <c:pt idx="88">
                  <c:v>89000</c:v>
                </c:pt>
                <c:pt idx="89">
                  <c:v>90000</c:v>
                </c:pt>
                <c:pt idx="90">
                  <c:v>91000</c:v>
                </c:pt>
                <c:pt idx="91">
                  <c:v>92000</c:v>
                </c:pt>
                <c:pt idx="92">
                  <c:v>93000</c:v>
                </c:pt>
                <c:pt idx="93">
                  <c:v>94000</c:v>
                </c:pt>
                <c:pt idx="94">
                  <c:v>95000</c:v>
                </c:pt>
                <c:pt idx="95">
                  <c:v>96000</c:v>
                </c:pt>
                <c:pt idx="96">
                  <c:v>97000</c:v>
                </c:pt>
                <c:pt idx="97">
                  <c:v>98000</c:v>
                </c:pt>
                <c:pt idx="98">
                  <c:v>99000</c:v>
                </c:pt>
                <c:pt idx="99">
                  <c:v>100000</c:v>
                </c:pt>
              </c:numCache>
            </c:numRef>
          </c:xVal>
          <c:yVal>
            <c:numRef>
              <c:f>'Voltage Loop'!$M$2:$M$101</c:f>
              <c:numCache>
                <c:formatCode>General</c:formatCode>
                <c:ptCount val="100"/>
                <c:pt idx="0">
                  <c:v>52.8583601424534</c:v>
                </c:pt>
                <c:pt idx="1">
                  <c:v>15.577603307720953</c:v>
                </c:pt>
                <c:pt idx="2">
                  <c:v>3.2806474274486246</c:v>
                </c:pt>
                <c:pt idx="3">
                  <c:v>0.57639046847752806</c:v>
                </c:pt>
                <c:pt idx="4">
                  <c:v>-1.4511899080175787</c:v>
                </c:pt>
                <c:pt idx="5">
                  <c:v>-3.0743274521262558</c:v>
                </c:pt>
                <c:pt idx="6">
                  <c:v>-4.4269469183063048</c:v>
                </c:pt>
                <c:pt idx="7">
                  <c:v>-5.5850215211517806</c:v>
                </c:pt>
                <c:pt idx="8">
                  <c:v>-6.5959480542344213</c:v>
                </c:pt>
                <c:pt idx="9">
                  <c:v>-7.4913710060375109</c:v>
                </c:pt>
                <c:pt idx="10">
                  <c:v>-8.2935222040334455</c:v>
                </c:pt>
                <c:pt idx="11">
                  <c:v>-9.0186557686618674</c:v>
                </c:pt>
                <c:pt idx="12">
                  <c:v>-9.6790449951798205</c:v>
                </c:pt>
                <c:pt idx="13">
                  <c:v>-10.284209883195901</c:v>
                </c:pt>
                <c:pt idx="14">
                  <c:v>-10.841706828741025</c:v>
                </c:pt>
                <c:pt idx="15">
                  <c:v>-11.357656248653354</c:v>
                </c:pt>
                <c:pt idx="16">
                  <c:v>-11.837106615547182</c:v>
                </c:pt>
                <c:pt idx="17">
                  <c:v>-12.284292679107141</c:v>
                </c:pt>
                <c:pt idx="18">
                  <c:v>-12.702823117627005</c:v>
                </c:pt>
                <c:pt idx="19">
                  <c:v>-13.095819846414338</c:v>
                </c:pt>
                <c:pt idx="20">
                  <c:v>-13.466023404788876</c:v>
                </c:pt>
                <c:pt idx="21">
                  <c:v>-13.815874007867484</c:v>
                </c:pt>
                <c:pt idx="22">
                  <c:v>-14.147574764056863</c:v>
                </c:pt>
                <c:pt idx="23">
                  <c:v>-14.463141537162802</c:v>
                </c:pt>
                <c:pt idx="24">
                  <c:v>-14.764442573750546</c:v>
                </c:pt>
                <c:pt idx="25">
                  <c:v>-15.053230083119093</c:v>
                </c:pt>
                <c:pt idx="26">
                  <c:v>-15.331165303186394</c:v>
                </c:pt>
                <c:pt idx="27">
                  <c:v>-15.599838120239554</c:v>
                </c:pt>
                <c:pt idx="28">
                  <c:v>-15.860781977310731</c:v>
                </c:pt>
                <c:pt idx="29">
                  <c:v>-16.11548456961809</c:v>
                </c:pt>
                <c:pt idx="30">
                  <c:v>-16.365394664423583</c:v>
                </c:pt>
                <c:pt idx="31">
                  <c:v>-16.61192528380003</c:v>
                </c:pt>
                <c:pt idx="32">
                  <c:v>-16.856453444430329</c:v>
                </c:pt>
                <c:pt idx="33">
                  <c:v>-17.10031665346914</c:v>
                </c:pt>
                <c:pt idx="34">
                  <c:v>-17.344806408904169</c:v>
                </c:pt>
                <c:pt idx="35">
                  <c:v>-17.591159040463655</c:v>
                </c:pt>
                <c:pt idx="36">
                  <c:v>-17.840544343702941</c:v>
                </c:pt>
                <c:pt idx="37">
                  <c:v>-18.094052592370179</c:v>
                </c:pt>
                <c:pt idx="38">
                  <c:v>-18.352680645542051</c:v>
                </c:pt>
                <c:pt idx="39">
                  <c:v>-18.617317976505948</c:v>
                </c:pt>
                <c:pt idx="40">
                  <c:v>-18.888733519418409</c:v>
                </c:pt>
                <c:pt idx="41">
                  <c:v>-19.167564239275496</c:v>
                </c:pt>
                <c:pt idx="42">
                  <c:v>-19.45430626838797</c:v>
                </c:pt>
                <c:pt idx="43">
                  <c:v>-19.749309315048439</c:v>
                </c:pt>
                <c:pt idx="44">
                  <c:v>-20.052774844773662</c:v>
                </c:pt>
                <c:pt idx="45">
                  <c:v>-20.364758279410907</c:v>
                </c:pt>
                <c:pt idx="46">
                  <c:v>-20.68517518075852</c:v>
                </c:pt>
                <c:pt idx="47">
                  <c:v>-21.01381111350495</c:v>
                </c:pt>
                <c:pt idx="48">
                  <c:v>-21.350334646608925</c:v>
                </c:pt>
                <c:pt idx="49">
                  <c:v>-21.694312776204356</c:v>
                </c:pt>
                <c:pt idx="50">
                  <c:v>-22.045227950860532</c:v>
                </c:pt>
                <c:pt idx="51">
                  <c:v>-22.402495854871454</c:v>
                </c:pt>
                <c:pt idx="52">
                  <c:v>-22.765483150400989</c:v>
                </c:pt>
                <c:pt idx="53">
                  <c:v>-23.133524480318041</c:v>
                </c:pt>
                <c:pt idx="54">
                  <c:v>-23.505938171684463</c:v>
                </c:pt>
                <c:pt idx="55">
                  <c:v>-23.882040235552815</c:v>
                </c:pt>
                <c:pt idx="56">
                  <c:v>-24.261156414491655</c:v>
                </c:pt>
                <c:pt idx="57">
                  <c:v>-24.642632171449186</c:v>
                </c:pt>
                <c:pt idx="58">
                  <c:v>-25.025840633259484</c:v>
                </c:pt>
                <c:pt idx="59">
                  <c:v>-25.410188594867048</c:v>
                </c:pt>
                <c:pt idx="60">
                  <c:v>-25.795120755600969</c:v>
                </c:pt>
                <c:pt idx="61">
                  <c:v>-26.180122398704636</c:v>
                </c:pt>
                <c:pt idx="62">
                  <c:v>-26.564720743679096</c:v>
                </c:pt>
                <c:pt idx="63">
                  <c:v>-26.948485202396316</c:v>
                </c:pt>
                <c:pt idx="64">
                  <c:v>-27.331026759027075</c:v>
                </c:pt>
                <c:pt idx="65">
                  <c:v>-27.711996674795376</c:v>
                </c:pt>
                <c:pt idx="66">
                  <c:v>-28.091084694936363</c:v>
                </c:pt>
                <c:pt idx="67">
                  <c:v>-28.468016909748947</c:v>
                </c:pt>
                <c:pt idx="68">
                  <c:v>-28.84255339628065</c:v>
                </c:pt>
                <c:pt idx="69">
                  <c:v>-29.214485743328162</c:v>
                </c:pt>
                <c:pt idx="70">
                  <c:v>-29.583634540873966</c:v>
                </c:pt>
                <c:pt idx="71">
                  <c:v>-29.949846896211216</c:v>
                </c:pt>
                <c:pt idx="72">
                  <c:v>-30.312994022955362</c:v>
                </c:pt>
                <c:pt idx="73">
                  <c:v>-30.672968935783949</c:v>
                </c:pt>
                <c:pt idx="74">
                  <c:v>-31.029684272897015</c:v>
                </c:pt>
                <c:pt idx="75">
                  <c:v>-31.383070259547363</c:v>
                </c:pt>
                <c:pt idx="76">
                  <c:v>-31.733072819267463</c:v>
                </c:pt>
                <c:pt idx="77">
                  <c:v>-32.079651834302737</c:v>
                </c:pt>
                <c:pt idx="78">
                  <c:v>-32.422779552979762</c:v>
                </c:pt>
                <c:pt idx="79">
                  <c:v>-32.762439139028743</c:v>
                </c:pt>
                <c:pt idx="80">
                  <c:v>-33.098623356040214</c:v>
                </c:pt>
                <c:pt idx="81">
                  <c:v>-33.431333379055424</c:v>
                </c:pt>
                <c:pt idx="82">
                  <c:v>-33.760577724636612</c:v>
                </c:pt>
                <c:pt idx="83">
                  <c:v>-34.086371290496579</c:v>
                </c:pt>
                <c:pt idx="84">
                  <c:v>-34.408734495781182</c:v>
                </c:pt>
                <c:pt idx="85">
                  <c:v>-34.727692513328293</c:v>
                </c:pt>
                <c:pt idx="86">
                  <c:v>-35.043274585585074</c:v>
                </c:pt>
                <c:pt idx="87">
                  <c:v>-35.355513416327383</c:v>
                </c:pt>
                <c:pt idx="88">
                  <c:v>-35.664444630831021</c:v>
                </c:pt>
                <c:pt idx="89">
                  <c:v>-35.970106297681326</c:v>
                </c:pt>
                <c:pt idx="90">
                  <c:v>-36.272538505950187</c:v>
                </c:pt>
                <c:pt idx="91">
                  <c:v>-36.571782991998425</c:v>
                </c:pt>
                <c:pt idx="92">
                  <c:v>-36.867882810673549</c:v>
                </c:pt>
                <c:pt idx="93">
                  <c:v>-37.160882046161333</c:v>
                </c:pt>
                <c:pt idx="94">
                  <c:v>-37.450825558199654</c:v>
                </c:pt>
                <c:pt idx="95">
                  <c:v>-37.737758759790111</c:v>
                </c:pt>
                <c:pt idx="96">
                  <c:v>-38.021727422929033</c:v>
                </c:pt>
                <c:pt idx="97">
                  <c:v>-38.302777509238609</c:v>
                </c:pt>
                <c:pt idx="98">
                  <c:v>-38.580955022703066</c:v>
                </c:pt>
                <c:pt idx="99">
                  <c:v>-38.856305882010716</c:v>
                </c:pt>
              </c:numCache>
            </c:numRef>
          </c:yVal>
          <c:smooth val="1"/>
          <c:extLst>
            <c:ext xmlns:c16="http://schemas.microsoft.com/office/drawing/2014/chart" uri="{C3380CC4-5D6E-409C-BE32-E72D297353CC}">
              <c16:uniqueId val="{00000000-DD8C-4A46-9E2F-53DC836CF80D}"/>
            </c:ext>
          </c:extLst>
        </c:ser>
        <c:dLbls>
          <c:showLegendKey val="0"/>
          <c:showVal val="0"/>
          <c:showCatName val="0"/>
          <c:showSerName val="0"/>
          <c:showPercent val="0"/>
          <c:showBubbleSize val="0"/>
        </c:dLbls>
        <c:axId val="507584992"/>
        <c:axId val="1"/>
      </c:scatterChart>
      <c:scatterChart>
        <c:scatterStyle val="lineMarker"/>
        <c:varyColors val="0"/>
        <c:ser>
          <c:idx val="2"/>
          <c:order val="1"/>
          <c:tx>
            <c:strRef>
              <c:f>'Voltage Loop'!$O$1</c:f>
              <c:strCache>
                <c:ptCount val="1"/>
                <c:pt idx="0">
                  <c:v>ӨTv(f)</c:v>
                </c:pt>
              </c:strCache>
            </c:strRef>
          </c:tx>
          <c:spPr>
            <a:ln w="25400">
              <a:solidFill>
                <a:srgbClr val="FF0000"/>
              </a:solidFill>
              <a:prstDash val="solid"/>
            </a:ln>
          </c:spPr>
          <c:marker>
            <c:symbol val="none"/>
          </c:marker>
          <c:xVal>
            <c:numRef>
              <c:f>'Voltage Loop'!$B$2:$B$101</c:f>
              <c:numCache>
                <c:formatCode>General</c:formatCode>
                <c:ptCount val="100"/>
                <c:pt idx="0">
                  <c:v>100</c:v>
                </c:pt>
                <c:pt idx="1">
                  <c:v>1000</c:v>
                </c:pt>
                <c:pt idx="2">
                  <c:v>3000</c:v>
                </c:pt>
                <c:pt idx="3">
                  <c:v>4000</c:v>
                </c:pt>
                <c:pt idx="4">
                  <c:v>5000</c:v>
                </c:pt>
                <c:pt idx="5">
                  <c:v>6000</c:v>
                </c:pt>
                <c:pt idx="6">
                  <c:v>7000.0000000000009</c:v>
                </c:pt>
                <c:pt idx="7">
                  <c:v>8000</c:v>
                </c:pt>
                <c:pt idx="8">
                  <c:v>9000</c:v>
                </c:pt>
                <c:pt idx="9">
                  <c:v>10000</c:v>
                </c:pt>
                <c:pt idx="10">
                  <c:v>11000</c:v>
                </c:pt>
                <c:pt idx="11">
                  <c:v>12000</c:v>
                </c:pt>
                <c:pt idx="12">
                  <c:v>13000</c:v>
                </c:pt>
                <c:pt idx="13">
                  <c:v>14000.000000000002</c:v>
                </c:pt>
                <c:pt idx="14">
                  <c:v>15000</c:v>
                </c:pt>
                <c:pt idx="15">
                  <c:v>16000</c:v>
                </c:pt>
                <c:pt idx="16">
                  <c:v>17000</c:v>
                </c:pt>
                <c:pt idx="17">
                  <c:v>18000</c:v>
                </c:pt>
                <c:pt idx="18">
                  <c:v>19000</c:v>
                </c:pt>
                <c:pt idx="19">
                  <c:v>20000</c:v>
                </c:pt>
                <c:pt idx="20">
                  <c:v>21000</c:v>
                </c:pt>
                <c:pt idx="21">
                  <c:v>22000</c:v>
                </c:pt>
                <c:pt idx="22">
                  <c:v>23000</c:v>
                </c:pt>
                <c:pt idx="23">
                  <c:v>24000</c:v>
                </c:pt>
                <c:pt idx="24">
                  <c:v>25000</c:v>
                </c:pt>
                <c:pt idx="25">
                  <c:v>26000</c:v>
                </c:pt>
                <c:pt idx="26">
                  <c:v>27000</c:v>
                </c:pt>
                <c:pt idx="27">
                  <c:v>28000.000000000004</c:v>
                </c:pt>
                <c:pt idx="28">
                  <c:v>28999.999999999996</c:v>
                </c:pt>
                <c:pt idx="29">
                  <c:v>30000</c:v>
                </c:pt>
                <c:pt idx="30">
                  <c:v>31000</c:v>
                </c:pt>
                <c:pt idx="31">
                  <c:v>32000</c:v>
                </c:pt>
                <c:pt idx="32">
                  <c:v>33000</c:v>
                </c:pt>
                <c:pt idx="33">
                  <c:v>34000</c:v>
                </c:pt>
                <c:pt idx="34">
                  <c:v>35000</c:v>
                </c:pt>
                <c:pt idx="35">
                  <c:v>36000</c:v>
                </c:pt>
                <c:pt idx="36">
                  <c:v>37000</c:v>
                </c:pt>
                <c:pt idx="37">
                  <c:v>38000</c:v>
                </c:pt>
                <c:pt idx="38">
                  <c:v>39000</c:v>
                </c:pt>
                <c:pt idx="39">
                  <c:v>40000</c:v>
                </c:pt>
                <c:pt idx="40">
                  <c:v>41000</c:v>
                </c:pt>
                <c:pt idx="41">
                  <c:v>42000</c:v>
                </c:pt>
                <c:pt idx="42">
                  <c:v>43000</c:v>
                </c:pt>
                <c:pt idx="43">
                  <c:v>44000</c:v>
                </c:pt>
                <c:pt idx="44">
                  <c:v>45000</c:v>
                </c:pt>
                <c:pt idx="45">
                  <c:v>46000</c:v>
                </c:pt>
                <c:pt idx="46">
                  <c:v>47000</c:v>
                </c:pt>
                <c:pt idx="47">
                  <c:v>48000</c:v>
                </c:pt>
                <c:pt idx="48">
                  <c:v>49000</c:v>
                </c:pt>
                <c:pt idx="49">
                  <c:v>50000</c:v>
                </c:pt>
                <c:pt idx="50">
                  <c:v>51000</c:v>
                </c:pt>
                <c:pt idx="51">
                  <c:v>52000</c:v>
                </c:pt>
                <c:pt idx="52">
                  <c:v>53000</c:v>
                </c:pt>
                <c:pt idx="53">
                  <c:v>54000</c:v>
                </c:pt>
                <c:pt idx="54">
                  <c:v>55000.000000000007</c:v>
                </c:pt>
                <c:pt idx="55">
                  <c:v>56000.000000000007</c:v>
                </c:pt>
                <c:pt idx="56">
                  <c:v>56999.999999999993</c:v>
                </c:pt>
                <c:pt idx="57">
                  <c:v>57999.999999999993</c:v>
                </c:pt>
                <c:pt idx="58">
                  <c:v>59000</c:v>
                </c:pt>
                <c:pt idx="59">
                  <c:v>60000</c:v>
                </c:pt>
                <c:pt idx="60">
                  <c:v>61000</c:v>
                </c:pt>
                <c:pt idx="61">
                  <c:v>62000</c:v>
                </c:pt>
                <c:pt idx="62">
                  <c:v>63000</c:v>
                </c:pt>
                <c:pt idx="63">
                  <c:v>64000</c:v>
                </c:pt>
                <c:pt idx="64">
                  <c:v>65000</c:v>
                </c:pt>
                <c:pt idx="65">
                  <c:v>66000</c:v>
                </c:pt>
                <c:pt idx="66">
                  <c:v>67000</c:v>
                </c:pt>
                <c:pt idx="67">
                  <c:v>68000</c:v>
                </c:pt>
                <c:pt idx="68">
                  <c:v>69000</c:v>
                </c:pt>
                <c:pt idx="69">
                  <c:v>70000</c:v>
                </c:pt>
                <c:pt idx="70">
                  <c:v>71000</c:v>
                </c:pt>
                <c:pt idx="71">
                  <c:v>72000</c:v>
                </c:pt>
                <c:pt idx="72">
                  <c:v>73000</c:v>
                </c:pt>
                <c:pt idx="73">
                  <c:v>74000</c:v>
                </c:pt>
                <c:pt idx="74">
                  <c:v>75000</c:v>
                </c:pt>
                <c:pt idx="75">
                  <c:v>76000</c:v>
                </c:pt>
                <c:pt idx="76">
                  <c:v>77000</c:v>
                </c:pt>
                <c:pt idx="77">
                  <c:v>78000</c:v>
                </c:pt>
                <c:pt idx="78">
                  <c:v>79000</c:v>
                </c:pt>
                <c:pt idx="79">
                  <c:v>80000</c:v>
                </c:pt>
                <c:pt idx="80">
                  <c:v>81000</c:v>
                </c:pt>
                <c:pt idx="81">
                  <c:v>82000</c:v>
                </c:pt>
                <c:pt idx="82">
                  <c:v>83000</c:v>
                </c:pt>
                <c:pt idx="83">
                  <c:v>84000</c:v>
                </c:pt>
                <c:pt idx="84">
                  <c:v>85000</c:v>
                </c:pt>
                <c:pt idx="85">
                  <c:v>86000</c:v>
                </c:pt>
                <c:pt idx="86">
                  <c:v>87000</c:v>
                </c:pt>
                <c:pt idx="87">
                  <c:v>88000</c:v>
                </c:pt>
                <c:pt idx="88">
                  <c:v>89000</c:v>
                </c:pt>
                <c:pt idx="89">
                  <c:v>90000</c:v>
                </c:pt>
                <c:pt idx="90">
                  <c:v>91000</c:v>
                </c:pt>
                <c:pt idx="91">
                  <c:v>92000</c:v>
                </c:pt>
                <c:pt idx="92">
                  <c:v>93000</c:v>
                </c:pt>
                <c:pt idx="93">
                  <c:v>94000</c:v>
                </c:pt>
                <c:pt idx="94">
                  <c:v>95000</c:v>
                </c:pt>
                <c:pt idx="95">
                  <c:v>96000</c:v>
                </c:pt>
                <c:pt idx="96">
                  <c:v>97000</c:v>
                </c:pt>
                <c:pt idx="97">
                  <c:v>98000</c:v>
                </c:pt>
                <c:pt idx="98">
                  <c:v>99000</c:v>
                </c:pt>
                <c:pt idx="99">
                  <c:v>100000</c:v>
                </c:pt>
              </c:numCache>
            </c:numRef>
          </c:xVal>
          <c:yVal>
            <c:numRef>
              <c:f>'Voltage Loop'!$O$2:$O$101</c:f>
              <c:numCache>
                <c:formatCode>General</c:formatCode>
                <c:ptCount val="100"/>
                <c:pt idx="0">
                  <c:v>5.6581406688694358</c:v>
                </c:pt>
                <c:pt idx="1">
                  <c:v>42.155680345968591</c:v>
                </c:pt>
                <c:pt idx="2">
                  <c:v>67.047734904469223</c:v>
                </c:pt>
                <c:pt idx="3">
                  <c:v>70.507745339127126</c:v>
                </c:pt>
                <c:pt idx="4">
                  <c:v>72.21479984080122</c:v>
                </c:pt>
                <c:pt idx="5">
                  <c:v>72.990375325126422</c:v>
                </c:pt>
                <c:pt idx="6">
                  <c:v>73.212456411716772</c:v>
                </c:pt>
                <c:pt idx="7">
                  <c:v>73.076783582771384</c:v>
                </c:pt>
                <c:pt idx="8">
                  <c:v>72.69386944561488</c:v>
                </c:pt>
                <c:pt idx="9">
                  <c:v>72.130247809380052</c:v>
                </c:pt>
                <c:pt idx="10">
                  <c:v>71.427953761078854</c:v>
                </c:pt>
                <c:pt idx="11">
                  <c:v>70.614516339971345</c:v>
                </c:pt>
                <c:pt idx="12">
                  <c:v>69.708436979401455</c:v>
                </c:pt>
                <c:pt idx="13">
                  <c:v>68.722361765745063</c:v>
                </c:pt>
                <c:pt idx="14">
                  <c:v>67.66500463417627</c:v>
                </c:pt>
                <c:pt idx="15">
                  <c:v>66.54236034832654</c:v>
                </c:pt>
                <c:pt idx="16">
                  <c:v>65.358496863967673</c:v>
                </c:pt>
                <c:pt idx="17">
                  <c:v>64.116089948688483</c:v>
                </c:pt>
                <c:pt idx="18">
                  <c:v>62.81679535117452</c:v>
                </c:pt>
                <c:pt idx="19">
                  <c:v>61.461516259373099</c:v>
                </c:pt>
                <c:pt idx="20">
                  <c:v>60.050602147644909</c:v>
                </c:pt>
                <c:pt idx="21">
                  <c:v>58.584002232719214</c:v>
                </c:pt>
                <c:pt idx="22">
                  <c:v>57.061388856595869</c:v>
                </c:pt>
                <c:pt idx="23">
                  <c:v>55.482261120006015</c:v>
                </c:pt>
                <c:pt idx="24">
                  <c:v>53.846035829044354</c:v>
                </c:pt>
                <c:pt idx="25">
                  <c:v>52.152130604178609</c:v>
                </c:pt>
                <c:pt idx="26">
                  <c:v>50.400042422650756</c:v>
                </c:pt>
                <c:pt idx="27">
                  <c:v>48.589423668387695</c:v>
                </c:pt>
                <c:pt idx="28">
                  <c:v>46.720156789860908</c:v>
                </c:pt>
                <c:pt idx="29">
                  <c:v>44.79242781880302</c:v>
                </c:pt>
                <c:pt idx="30">
                  <c:v>42.806798226751539</c:v>
                </c:pt>
                <c:pt idx="31">
                  <c:v>40.764273869709825</c:v>
                </c:pt>
                <c:pt idx="32">
                  <c:v>38.666369098413526</c:v>
                </c:pt>
                <c:pt idx="33">
                  <c:v>36.515163520695609</c:v>
                </c:pt>
                <c:pt idx="34">
                  <c:v>34.313348440683228</c:v>
                </c:pt>
                <c:pt idx="35">
                  <c:v>32.064259727894381</c:v>
                </c:pt>
                <c:pt idx="36">
                  <c:v>29.771893853637437</c:v>
                </c:pt>
                <c:pt idx="37">
                  <c:v>27.440904130915044</c:v>
                </c:pt>
                <c:pt idx="38">
                  <c:v>25.076574844330423</c:v>
                </c:pt>
                <c:pt idx="39">
                  <c:v>22.684771959054558</c:v>
                </c:pt>
                <c:pt idx="40">
                  <c:v>20.271870405992701</c:v>
                </c:pt>
                <c:pt idx="41">
                  <c:v>17.844659454893844</c:v>
                </c:pt>
                <c:pt idx="42">
                  <c:v>15.410229262569942</c:v>
                </c:pt>
                <c:pt idx="43">
                  <c:v>12.975843143635274</c:v>
                </c:pt>
                <c:pt idx="44">
                  <c:v>10.548801276158741</c:v>
                </c:pt>
                <c:pt idx="45">
                  <c:v>8.1363022707369055</c:v>
                </c:pt>
                <c:pt idx="46">
                  <c:v>5.7453092002922688</c:v>
                </c:pt>
                <c:pt idx="47">
                  <c:v>3.3824262850844491</c:v>
                </c:pt>
                <c:pt idx="48">
                  <c:v>1.053791507790578</c:v>
                </c:pt>
                <c:pt idx="49">
                  <c:v>-1.2350108801102806</c:v>
                </c:pt>
                <c:pt idx="50">
                  <c:v>-3.4790155397419653</c:v>
                </c:pt>
                <c:pt idx="51">
                  <c:v>-5.6739180788234762</c:v>
                </c:pt>
                <c:pt idx="52">
                  <c:v>-7.8160945683605405</c:v>
                </c:pt>
                <c:pt idx="53">
                  <c:v>-9.902600389677616</c:v>
                </c:pt>
                <c:pt idx="54">
                  <c:v>-11.93115115235986</c:v>
                </c:pt>
                <c:pt idx="55">
                  <c:v>-13.900088967133456</c:v>
                </c:pt>
                <c:pt idx="56">
                  <c:v>-15.808337571156244</c:v>
                </c:pt>
                <c:pt idx="57">
                  <c:v>-17.655349737660345</c:v>
                </c:pt>
                <c:pt idx="58">
                  <c:v>-19.44105012553365</c:v>
                </c:pt>
                <c:pt idx="59">
                  <c:v>-21.165776309630814</c:v>
                </c:pt>
                <c:pt idx="60">
                  <c:v>-22.830220246082263</c:v>
                </c:pt>
                <c:pt idx="61">
                  <c:v>-24.435371923730713</c:v>
                </c:pt>
                <c:pt idx="62">
                  <c:v>-25.982466473930629</c:v>
                </c:pt>
                <c:pt idx="63">
                  <c:v>-27.472935583050457</c:v>
                </c:pt>
                <c:pt idx="64">
                  <c:v>-28.908363689558087</c:v>
                </c:pt>
                <c:pt idx="65">
                  <c:v>-30.290449155244517</c:v>
                </c:pt>
                <c:pt idx="66">
                  <c:v>-31.620970375804518</c:v>
                </c:pt>
                <c:pt idx="67">
                  <c:v>-32.901756633056095</c:v>
                </c:pt>
                <c:pt idx="68">
                  <c:v>-34.134663380772167</c:v>
                </c:pt>
                <c:pt idx="69">
                  <c:v>-35.321551588751902</c:v>
                </c:pt>
                <c:pt idx="70">
                  <c:v>-36.464270736133244</c:v>
                </c:pt>
                <c:pt idx="71">
                  <c:v>-37.564645036588615</c:v>
                </c:pt>
                <c:pt idx="72">
                  <c:v>-38.624462487790993</c:v>
                </c:pt>
                <c:pt idx="73">
                  <c:v>-39.645466359460556</c:v>
                </c:pt>
                <c:pt idx="74">
                  <c:v>-40.629348763777614</c:v>
                </c:pt>
                <c:pt idx="75">
                  <c:v>-41.577745985424485</c:v>
                </c:pt>
                <c:pt idx="76">
                  <c:v>-42.492235283399623</c:v>
                </c:pt>
                <c:pt idx="77">
                  <c:v>-43.374332911232045</c:v>
                </c:pt>
                <c:pt idx="78">
                  <c:v>-44.225493135078636</c:v>
                </c:pt>
                <c:pt idx="79">
                  <c:v>-45.047108059679772</c:v>
                </c:pt>
                <c:pt idx="80">
                  <c:v>-45.840508099881163</c:v>
                </c:pt>
                <c:pt idx="81">
                  <c:v>-46.606962960238548</c:v>
                </c:pt>
                <c:pt idx="82">
                  <c:v>-47.347683007132446</c:v>
                </c:pt>
                <c:pt idx="83">
                  <c:v>-48.063820936956176</c:v>
                </c:pt>
                <c:pt idx="84">
                  <c:v>-48.756473660494407</c:v>
                </c:pt>
                <c:pt idx="85">
                  <c:v>-49.426684337825009</c:v>
                </c:pt>
                <c:pt idx="86">
                  <c:v>-50.075444510184525</c:v>
                </c:pt>
                <c:pt idx="87">
                  <c:v>-50.703696285485421</c:v>
                </c:pt>
                <c:pt idx="88">
                  <c:v>-51.3123345428167</c:v>
                </c:pt>
                <c:pt idx="89">
                  <c:v>-51.902209128455866</c:v>
                </c:pt>
                <c:pt idx="90">
                  <c:v>-52.474127021957656</c:v>
                </c:pt>
                <c:pt idx="91">
                  <c:v>-53.02885445584144</c:v>
                </c:pt>
                <c:pt idx="92">
                  <c:v>-53.567118976507118</c:v>
                </c:pt>
                <c:pt idx="93">
                  <c:v>-54.089611437361327</c:v>
                </c:pt>
                <c:pt idx="94">
                  <c:v>-54.596987917862691</c:v>
                </c:pt>
                <c:pt idx="95">
                  <c:v>-55.089871564409464</c:v>
                </c:pt>
                <c:pt idx="96">
                  <c:v>-55.56885435075327</c:v>
                </c:pt>
                <c:pt idx="97">
                  <c:v>-56.034498757039159</c:v>
                </c:pt>
                <c:pt idx="98">
                  <c:v>-56.487339367670927</c:v>
                </c:pt>
                <c:pt idx="99">
                  <c:v>-56.927884389070186</c:v>
                </c:pt>
              </c:numCache>
            </c:numRef>
          </c:yVal>
          <c:smooth val="0"/>
          <c:extLst>
            <c:ext xmlns:c16="http://schemas.microsoft.com/office/drawing/2014/chart" uri="{C3380CC4-5D6E-409C-BE32-E72D297353CC}">
              <c16:uniqueId val="{00000001-DD8C-4A46-9E2F-53DC836CF80D}"/>
            </c:ext>
          </c:extLst>
        </c:ser>
        <c:dLbls>
          <c:showLegendKey val="0"/>
          <c:showVal val="0"/>
          <c:showCatName val="0"/>
          <c:showSerName val="0"/>
          <c:showPercent val="0"/>
          <c:showBubbleSize val="0"/>
        </c:dLbls>
        <c:axId val="3"/>
        <c:axId val="4"/>
      </c:scatterChart>
      <c:valAx>
        <c:axId val="507584992"/>
        <c:scaling>
          <c:logBase val="10"/>
          <c:orientation val="minMax"/>
          <c:min val="100"/>
        </c:scaling>
        <c:delete val="0"/>
        <c:axPos val="b"/>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100" b="1" i="0" u="none" strike="noStrike" baseline="0">
                    <a:solidFill>
                      <a:srgbClr val="000000"/>
                    </a:solidFill>
                    <a:latin typeface="Arial"/>
                    <a:ea typeface="Arial"/>
                    <a:cs typeface="Arial"/>
                  </a:defRPr>
                </a:pPr>
                <a:r>
                  <a:rPr lang="en-US"/>
                  <a:t>Frequency in Hz</a:t>
                </a:r>
              </a:p>
            </c:rich>
          </c:tx>
          <c:layout>
            <c:manualLayout>
              <c:xMode val="edge"/>
              <c:yMode val="edge"/>
              <c:x val="0.41506875499258244"/>
              <c:y val="0.926097824220570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1"/>
        <c:crossesAt val="-80"/>
        <c:crossBetween val="midCat"/>
      </c:valAx>
      <c:valAx>
        <c:axId val="1"/>
        <c:scaling>
          <c:orientation val="minMax"/>
          <c:max val="80"/>
          <c:min val="-80"/>
        </c:scaling>
        <c:delete val="0"/>
        <c:axPos val="l"/>
        <c:majorGridlines>
          <c:spPr>
            <a:ln w="3175">
              <a:solidFill>
                <a:srgbClr val="000000"/>
              </a:solidFill>
              <a:prstDash val="solid"/>
            </a:ln>
          </c:spPr>
        </c:majorGridlines>
        <c:title>
          <c:tx>
            <c:rich>
              <a:bodyPr/>
              <a:lstStyle/>
              <a:p>
                <a:pPr>
                  <a:defRPr sz="1100" b="1" i="0" u="none" strike="noStrike" baseline="0">
                    <a:solidFill>
                      <a:srgbClr val="000000"/>
                    </a:solidFill>
                    <a:latin typeface="Arial"/>
                    <a:ea typeface="Arial"/>
                    <a:cs typeface="Arial"/>
                  </a:defRPr>
                </a:pPr>
                <a:r>
                  <a:rPr lang="en-US"/>
                  <a:t>Gain in dB</a:t>
                </a:r>
              </a:p>
            </c:rich>
          </c:tx>
          <c:layout>
            <c:manualLayout>
              <c:xMode val="edge"/>
              <c:yMode val="edge"/>
              <c:x val="1.6438434326144013E-2"/>
              <c:y val="0.3926101994260063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507584992"/>
        <c:crosses val="autoZero"/>
        <c:crossBetween val="midCat"/>
      </c:valAx>
      <c:valAx>
        <c:axId val="3"/>
        <c:scaling>
          <c:logBase val="10"/>
          <c:orientation val="minMax"/>
        </c:scaling>
        <c:delete val="1"/>
        <c:axPos val="b"/>
        <c:numFmt formatCode="General" sourceLinked="1"/>
        <c:majorTickMark val="out"/>
        <c:minorTickMark val="none"/>
        <c:tickLblPos val="nextTo"/>
        <c:crossAx val="4"/>
        <c:crosses val="autoZero"/>
        <c:crossBetween val="midCat"/>
      </c:valAx>
      <c:valAx>
        <c:axId val="4"/>
        <c:scaling>
          <c:orientation val="minMax"/>
          <c:max val="180"/>
          <c:min val="-180"/>
        </c:scaling>
        <c:delete val="0"/>
        <c:axPos val="r"/>
        <c:title>
          <c:tx>
            <c:rich>
              <a:bodyPr/>
              <a:lstStyle/>
              <a:p>
                <a:pPr>
                  <a:defRPr sz="1050" b="1" i="0" u="none" strike="noStrike" baseline="0">
                    <a:solidFill>
                      <a:srgbClr val="000000"/>
                    </a:solidFill>
                    <a:latin typeface="Arial"/>
                    <a:ea typeface="Arial"/>
                    <a:cs typeface="Arial"/>
                  </a:defRPr>
                </a:pPr>
                <a:r>
                  <a:rPr lang="en-US"/>
                  <a:t>Phase in Degrees</a:t>
                </a:r>
              </a:p>
            </c:rich>
          </c:tx>
          <c:layout>
            <c:manualLayout>
              <c:xMode val="edge"/>
              <c:yMode val="edge"/>
              <c:x val="0.94794576629008331"/>
              <c:y val="0.33487354968479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3"/>
        <c:crosses val="max"/>
        <c:crossBetween val="midCat"/>
        <c:majorUnit val="45"/>
      </c:valAx>
      <c:spPr>
        <a:solidFill>
          <a:srgbClr val="FFFFFF"/>
        </a:solidFill>
        <a:ln w="12700">
          <a:solidFill>
            <a:srgbClr val="808080"/>
          </a:solidFill>
          <a:prstDash val="solid"/>
        </a:ln>
      </c:spPr>
    </c:plotArea>
    <c:legend>
      <c:legendPos val="r"/>
      <c:layout>
        <c:manualLayout>
          <c:xMode val="edge"/>
          <c:yMode val="edge"/>
          <c:x val="0.13547914881563894"/>
          <c:y val="0.70303894083732177"/>
          <c:w val="0.13408245655980763"/>
          <c:h val="0.11137250547917968"/>
        </c:manualLayout>
      </c:layout>
      <c:overlay val="0"/>
      <c:spPr>
        <a:solidFill>
          <a:srgbClr val="FFFFFF"/>
        </a:solidFill>
        <a:ln w="3175">
          <a:solidFill>
            <a:srgbClr val="000000"/>
          </a:solidFill>
          <a:prstDash val="solid"/>
        </a:ln>
      </c:spPr>
      <c:txPr>
        <a:bodyPr/>
        <a:lstStyle/>
        <a:p>
          <a:pPr>
            <a:defRPr sz="1010" b="1"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200" b="1"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Tv(f) Frequency Response</a:t>
            </a:r>
          </a:p>
        </c:rich>
      </c:tx>
      <c:layout>
        <c:manualLayout>
          <c:xMode val="edge"/>
          <c:yMode val="edge"/>
          <c:x val="0.32948960997709681"/>
          <c:y val="3.3163501621120889E-2"/>
        </c:manualLayout>
      </c:layout>
      <c:overlay val="0"/>
      <c:spPr>
        <a:noFill/>
        <a:ln w="25400">
          <a:noFill/>
        </a:ln>
      </c:spPr>
    </c:title>
    <c:autoTitleDeleted val="0"/>
    <c:plotArea>
      <c:layout>
        <c:manualLayout>
          <c:layoutTarget val="inner"/>
          <c:xMode val="edge"/>
          <c:yMode val="edge"/>
          <c:x val="0.10708410590965584"/>
          <c:y val="0.11734693877551021"/>
          <c:w val="0.79406983151467858"/>
          <c:h val="0.73979591836734693"/>
        </c:manualLayout>
      </c:layout>
      <c:scatterChart>
        <c:scatterStyle val="smoothMarker"/>
        <c:varyColors val="0"/>
        <c:ser>
          <c:idx val="0"/>
          <c:order val="0"/>
          <c:tx>
            <c:strRef>
              <c:f>'Voltage Loop'!$M$1</c:f>
              <c:strCache>
                <c:ptCount val="1"/>
                <c:pt idx="0">
                  <c:v>TvdB(f)</c:v>
                </c:pt>
              </c:strCache>
            </c:strRef>
          </c:tx>
          <c:spPr>
            <a:ln w="25400">
              <a:solidFill>
                <a:srgbClr val="000000"/>
              </a:solidFill>
              <a:prstDash val="solid"/>
            </a:ln>
          </c:spPr>
          <c:marker>
            <c:symbol val="none"/>
          </c:marker>
          <c:xVal>
            <c:numRef>
              <c:f>'Voltage Loop'!$B$2:$B$101</c:f>
              <c:numCache>
                <c:formatCode>General</c:formatCode>
                <c:ptCount val="100"/>
                <c:pt idx="0">
                  <c:v>100</c:v>
                </c:pt>
                <c:pt idx="1">
                  <c:v>1000</c:v>
                </c:pt>
                <c:pt idx="2">
                  <c:v>3000</c:v>
                </c:pt>
                <c:pt idx="3">
                  <c:v>4000</c:v>
                </c:pt>
                <c:pt idx="4">
                  <c:v>5000</c:v>
                </c:pt>
                <c:pt idx="5">
                  <c:v>6000</c:v>
                </c:pt>
                <c:pt idx="6">
                  <c:v>7000.0000000000009</c:v>
                </c:pt>
                <c:pt idx="7">
                  <c:v>8000</c:v>
                </c:pt>
                <c:pt idx="8">
                  <c:v>9000</c:v>
                </c:pt>
                <c:pt idx="9">
                  <c:v>10000</c:v>
                </c:pt>
                <c:pt idx="10">
                  <c:v>11000</c:v>
                </c:pt>
                <c:pt idx="11">
                  <c:v>12000</c:v>
                </c:pt>
                <c:pt idx="12">
                  <c:v>13000</c:v>
                </c:pt>
                <c:pt idx="13">
                  <c:v>14000.000000000002</c:v>
                </c:pt>
                <c:pt idx="14">
                  <c:v>15000</c:v>
                </c:pt>
                <c:pt idx="15">
                  <c:v>16000</c:v>
                </c:pt>
                <c:pt idx="16">
                  <c:v>17000</c:v>
                </c:pt>
                <c:pt idx="17">
                  <c:v>18000</c:v>
                </c:pt>
                <c:pt idx="18">
                  <c:v>19000</c:v>
                </c:pt>
                <c:pt idx="19">
                  <c:v>20000</c:v>
                </c:pt>
                <c:pt idx="20">
                  <c:v>21000</c:v>
                </c:pt>
                <c:pt idx="21">
                  <c:v>22000</c:v>
                </c:pt>
                <c:pt idx="22">
                  <c:v>23000</c:v>
                </c:pt>
                <c:pt idx="23">
                  <c:v>24000</c:v>
                </c:pt>
                <c:pt idx="24">
                  <c:v>25000</c:v>
                </c:pt>
                <c:pt idx="25">
                  <c:v>26000</c:v>
                </c:pt>
                <c:pt idx="26">
                  <c:v>27000</c:v>
                </c:pt>
                <c:pt idx="27">
                  <c:v>28000.000000000004</c:v>
                </c:pt>
                <c:pt idx="28">
                  <c:v>28999.999999999996</c:v>
                </c:pt>
                <c:pt idx="29">
                  <c:v>30000</c:v>
                </c:pt>
                <c:pt idx="30">
                  <c:v>31000</c:v>
                </c:pt>
                <c:pt idx="31">
                  <c:v>32000</c:v>
                </c:pt>
                <c:pt idx="32">
                  <c:v>33000</c:v>
                </c:pt>
                <c:pt idx="33">
                  <c:v>34000</c:v>
                </c:pt>
                <c:pt idx="34">
                  <c:v>35000</c:v>
                </c:pt>
                <c:pt idx="35">
                  <c:v>36000</c:v>
                </c:pt>
                <c:pt idx="36">
                  <c:v>37000</c:v>
                </c:pt>
                <c:pt idx="37">
                  <c:v>38000</c:v>
                </c:pt>
                <c:pt idx="38">
                  <c:v>39000</c:v>
                </c:pt>
                <c:pt idx="39">
                  <c:v>40000</c:v>
                </c:pt>
                <c:pt idx="40">
                  <c:v>41000</c:v>
                </c:pt>
                <c:pt idx="41">
                  <c:v>42000</c:v>
                </c:pt>
                <c:pt idx="42">
                  <c:v>43000</c:v>
                </c:pt>
                <c:pt idx="43">
                  <c:v>44000</c:v>
                </c:pt>
                <c:pt idx="44">
                  <c:v>45000</c:v>
                </c:pt>
                <c:pt idx="45">
                  <c:v>46000</c:v>
                </c:pt>
                <c:pt idx="46">
                  <c:v>47000</c:v>
                </c:pt>
                <c:pt idx="47">
                  <c:v>48000</c:v>
                </c:pt>
                <c:pt idx="48">
                  <c:v>49000</c:v>
                </c:pt>
                <c:pt idx="49">
                  <c:v>50000</c:v>
                </c:pt>
                <c:pt idx="50">
                  <c:v>51000</c:v>
                </c:pt>
                <c:pt idx="51">
                  <c:v>52000</c:v>
                </c:pt>
                <c:pt idx="52">
                  <c:v>53000</c:v>
                </c:pt>
                <c:pt idx="53">
                  <c:v>54000</c:v>
                </c:pt>
                <c:pt idx="54">
                  <c:v>55000.000000000007</c:v>
                </c:pt>
                <c:pt idx="55">
                  <c:v>56000.000000000007</c:v>
                </c:pt>
                <c:pt idx="56">
                  <c:v>56999.999999999993</c:v>
                </c:pt>
                <c:pt idx="57">
                  <c:v>57999.999999999993</c:v>
                </c:pt>
                <c:pt idx="58">
                  <c:v>59000</c:v>
                </c:pt>
                <c:pt idx="59">
                  <c:v>60000</c:v>
                </c:pt>
                <c:pt idx="60">
                  <c:v>61000</c:v>
                </c:pt>
                <c:pt idx="61">
                  <c:v>62000</c:v>
                </c:pt>
                <c:pt idx="62">
                  <c:v>63000</c:v>
                </c:pt>
                <c:pt idx="63">
                  <c:v>64000</c:v>
                </c:pt>
                <c:pt idx="64">
                  <c:v>65000</c:v>
                </c:pt>
                <c:pt idx="65">
                  <c:v>66000</c:v>
                </c:pt>
                <c:pt idx="66">
                  <c:v>67000</c:v>
                </c:pt>
                <c:pt idx="67">
                  <c:v>68000</c:v>
                </c:pt>
                <c:pt idx="68">
                  <c:v>69000</c:v>
                </c:pt>
                <c:pt idx="69">
                  <c:v>70000</c:v>
                </c:pt>
                <c:pt idx="70">
                  <c:v>71000</c:v>
                </c:pt>
                <c:pt idx="71">
                  <c:v>72000</c:v>
                </c:pt>
                <c:pt idx="72">
                  <c:v>73000</c:v>
                </c:pt>
                <c:pt idx="73">
                  <c:v>74000</c:v>
                </c:pt>
                <c:pt idx="74">
                  <c:v>75000</c:v>
                </c:pt>
                <c:pt idx="75">
                  <c:v>76000</c:v>
                </c:pt>
                <c:pt idx="76">
                  <c:v>77000</c:v>
                </c:pt>
                <c:pt idx="77">
                  <c:v>78000</c:v>
                </c:pt>
                <c:pt idx="78">
                  <c:v>79000</c:v>
                </c:pt>
                <c:pt idx="79">
                  <c:v>80000</c:v>
                </c:pt>
                <c:pt idx="80">
                  <c:v>81000</c:v>
                </c:pt>
                <c:pt idx="81">
                  <c:v>82000</c:v>
                </c:pt>
                <c:pt idx="82">
                  <c:v>83000</c:v>
                </c:pt>
                <c:pt idx="83">
                  <c:v>84000</c:v>
                </c:pt>
                <c:pt idx="84">
                  <c:v>85000</c:v>
                </c:pt>
                <c:pt idx="85">
                  <c:v>86000</c:v>
                </c:pt>
                <c:pt idx="86">
                  <c:v>87000</c:v>
                </c:pt>
                <c:pt idx="87">
                  <c:v>88000</c:v>
                </c:pt>
                <c:pt idx="88">
                  <c:v>89000</c:v>
                </c:pt>
                <c:pt idx="89">
                  <c:v>90000</c:v>
                </c:pt>
                <c:pt idx="90">
                  <c:v>91000</c:v>
                </c:pt>
                <c:pt idx="91">
                  <c:v>92000</c:v>
                </c:pt>
                <c:pt idx="92">
                  <c:v>93000</c:v>
                </c:pt>
                <c:pt idx="93">
                  <c:v>94000</c:v>
                </c:pt>
                <c:pt idx="94">
                  <c:v>95000</c:v>
                </c:pt>
                <c:pt idx="95">
                  <c:v>96000</c:v>
                </c:pt>
                <c:pt idx="96">
                  <c:v>97000</c:v>
                </c:pt>
                <c:pt idx="97">
                  <c:v>98000</c:v>
                </c:pt>
                <c:pt idx="98">
                  <c:v>99000</c:v>
                </c:pt>
                <c:pt idx="99">
                  <c:v>100000</c:v>
                </c:pt>
              </c:numCache>
            </c:numRef>
          </c:xVal>
          <c:yVal>
            <c:numRef>
              <c:f>'Voltage Loop'!$M$2:$M$101</c:f>
              <c:numCache>
                <c:formatCode>General</c:formatCode>
                <c:ptCount val="100"/>
                <c:pt idx="0">
                  <c:v>52.8583601424534</c:v>
                </c:pt>
                <c:pt idx="1">
                  <c:v>15.577603307720953</c:v>
                </c:pt>
                <c:pt idx="2">
                  <c:v>3.2806474274486246</c:v>
                </c:pt>
                <c:pt idx="3">
                  <c:v>0.57639046847752806</c:v>
                </c:pt>
                <c:pt idx="4">
                  <c:v>-1.4511899080175787</c:v>
                </c:pt>
                <c:pt idx="5">
                  <c:v>-3.0743274521262558</c:v>
                </c:pt>
                <c:pt idx="6">
                  <c:v>-4.4269469183063048</c:v>
                </c:pt>
                <c:pt idx="7">
                  <c:v>-5.5850215211517806</c:v>
                </c:pt>
                <c:pt idx="8">
                  <c:v>-6.5959480542344213</c:v>
                </c:pt>
                <c:pt idx="9">
                  <c:v>-7.4913710060375109</c:v>
                </c:pt>
                <c:pt idx="10">
                  <c:v>-8.2935222040334455</c:v>
                </c:pt>
                <c:pt idx="11">
                  <c:v>-9.0186557686618674</c:v>
                </c:pt>
                <c:pt idx="12">
                  <c:v>-9.6790449951798205</c:v>
                </c:pt>
                <c:pt idx="13">
                  <c:v>-10.284209883195901</c:v>
                </c:pt>
                <c:pt idx="14">
                  <c:v>-10.841706828741025</c:v>
                </c:pt>
                <c:pt idx="15">
                  <c:v>-11.357656248653354</c:v>
                </c:pt>
                <c:pt idx="16">
                  <c:v>-11.837106615547182</c:v>
                </c:pt>
                <c:pt idx="17">
                  <c:v>-12.284292679107141</c:v>
                </c:pt>
                <c:pt idx="18">
                  <c:v>-12.702823117627005</c:v>
                </c:pt>
                <c:pt idx="19">
                  <c:v>-13.095819846414338</c:v>
                </c:pt>
                <c:pt idx="20">
                  <c:v>-13.466023404788876</c:v>
                </c:pt>
                <c:pt idx="21">
                  <c:v>-13.815874007867484</c:v>
                </c:pt>
                <c:pt idx="22">
                  <c:v>-14.147574764056863</c:v>
                </c:pt>
                <c:pt idx="23">
                  <c:v>-14.463141537162802</c:v>
                </c:pt>
                <c:pt idx="24">
                  <c:v>-14.764442573750546</c:v>
                </c:pt>
                <c:pt idx="25">
                  <c:v>-15.053230083119093</c:v>
                </c:pt>
                <c:pt idx="26">
                  <c:v>-15.331165303186394</c:v>
                </c:pt>
                <c:pt idx="27">
                  <c:v>-15.599838120239554</c:v>
                </c:pt>
                <c:pt idx="28">
                  <c:v>-15.860781977310731</c:v>
                </c:pt>
                <c:pt idx="29">
                  <c:v>-16.11548456961809</c:v>
                </c:pt>
                <c:pt idx="30">
                  <c:v>-16.365394664423583</c:v>
                </c:pt>
                <c:pt idx="31">
                  <c:v>-16.61192528380003</c:v>
                </c:pt>
                <c:pt idx="32">
                  <c:v>-16.856453444430329</c:v>
                </c:pt>
                <c:pt idx="33">
                  <c:v>-17.10031665346914</c:v>
                </c:pt>
                <c:pt idx="34">
                  <c:v>-17.344806408904169</c:v>
                </c:pt>
                <c:pt idx="35">
                  <c:v>-17.591159040463655</c:v>
                </c:pt>
                <c:pt idx="36">
                  <c:v>-17.840544343702941</c:v>
                </c:pt>
                <c:pt idx="37">
                  <c:v>-18.094052592370179</c:v>
                </c:pt>
                <c:pt idx="38">
                  <c:v>-18.352680645542051</c:v>
                </c:pt>
                <c:pt idx="39">
                  <c:v>-18.617317976505948</c:v>
                </c:pt>
                <c:pt idx="40">
                  <c:v>-18.888733519418409</c:v>
                </c:pt>
                <c:pt idx="41">
                  <c:v>-19.167564239275496</c:v>
                </c:pt>
                <c:pt idx="42">
                  <c:v>-19.45430626838797</c:v>
                </c:pt>
                <c:pt idx="43">
                  <c:v>-19.749309315048439</c:v>
                </c:pt>
                <c:pt idx="44">
                  <c:v>-20.052774844773662</c:v>
                </c:pt>
                <c:pt idx="45">
                  <c:v>-20.364758279410907</c:v>
                </c:pt>
                <c:pt idx="46">
                  <c:v>-20.68517518075852</c:v>
                </c:pt>
                <c:pt idx="47">
                  <c:v>-21.01381111350495</c:v>
                </c:pt>
                <c:pt idx="48">
                  <c:v>-21.350334646608925</c:v>
                </c:pt>
                <c:pt idx="49">
                  <c:v>-21.694312776204356</c:v>
                </c:pt>
                <c:pt idx="50">
                  <c:v>-22.045227950860532</c:v>
                </c:pt>
                <c:pt idx="51">
                  <c:v>-22.402495854871454</c:v>
                </c:pt>
                <c:pt idx="52">
                  <c:v>-22.765483150400989</c:v>
                </c:pt>
                <c:pt idx="53">
                  <c:v>-23.133524480318041</c:v>
                </c:pt>
                <c:pt idx="54">
                  <c:v>-23.505938171684463</c:v>
                </c:pt>
                <c:pt idx="55">
                  <c:v>-23.882040235552815</c:v>
                </c:pt>
                <c:pt idx="56">
                  <c:v>-24.261156414491655</c:v>
                </c:pt>
                <c:pt idx="57">
                  <c:v>-24.642632171449186</c:v>
                </c:pt>
                <c:pt idx="58">
                  <c:v>-25.025840633259484</c:v>
                </c:pt>
                <c:pt idx="59">
                  <c:v>-25.410188594867048</c:v>
                </c:pt>
                <c:pt idx="60">
                  <c:v>-25.795120755600969</c:v>
                </c:pt>
                <c:pt idx="61">
                  <c:v>-26.180122398704636</c:v>
                </c:pt>
                <c:pt idx="62">
                  <c:v>-26.564720743679096</c:v>
                </c:pt>
                <c:pt idx="63">
                  <c:v>-26.948485202396316</c:v>
                </c:pt>
                <c:pt idx="64">
                  <c:v>-27.331026759027075</c:v>
                </c:pt>
                <c:pt idx="65">
                  <c:v>-27.711996674795376</c:v>
                </c:pt>
                <c:pt idx="66">
                  <c:v>-28.091084694936363</c:v>
                </c:pt>
                <c:pt idx="67">
                  <c:v>-28.468016909748947</c:v>
                </c:pt>
                <c:pt idx="68">
                  <c:v>-28.84255339628065</c:v>
                </c:pt>
                <c:pt idx="69">
                  <c:v>-29.214485743328162</c:v>
                </c:pt>
                <c:pt idx="70">
                  <c:v>-29.583634540873966</c:v>
                </c:pt>
                <c:pt idx="71">
                  <c:v>-29.949846896211216</c:v>
                </c:pt>
                <c:pt idx="72">
                  <c:v>-30.312994022955362</c:v>
                </c:pt>
                <c:pt idx="73">
                  <c:v>-30.672968935783949</c:v>
                </c:pt>
                <c:pt idx="74">
                  <c:v>-31.029684272897015</c:v>
                </c:pt>
                <c:pt idx="75">
                  <c:v>-31.383070259547363</c:v>
                </c:pt>
                <c:pt idx="76">
                  <c:v>-31.733072819267463</c:v>
                </c:pt>
                <c:pt idx="77">
                  <c:v>-32.079651834302737</c:v>
                </c:pt>
                <c:pt idx="78">
                  <c:v>-32.422779552979762</c:v>
                </c:pt>
                <c:pt idx="79">
                  <c:v>-32.762439139028743</c:v>
                </c:pt>
                <c:pt idx="80">
                  <c:v>-33.098623356040214</c:v>
                </c:pt>
                <c:pt idx="81">
                  <c:v>-33.431333379055424</c:v>
                </c:pt>
                <c:pt idx="82">
                  <c:v>-33.760577724636612</c:v>
                </c:pt>
                <c:pt idx="83">
                  <c:v>-34.086371290496579</c:v>
                </c:pt>
                <c:pt idx="84">
                  <c:v>-34.408734495781182</c:v>
                </c:pt>
                <c:pt idx="85">
                  <c:v>-34.727692513328293</c:v>
                </c:pt>
                <c:pt idx="86">
                  <c:v>-35.043274585585074</c:v>
                </c:pt>
                <c:pt idx="87">
                  <c:v>-35.355513416327383</c:v>
                </c:pt>
                <c:pt idx="88">
                  <c:v>-35.664444630831021</c:v>
                </c:pt>
                <c:pt idx="89">
                  <c:v>-35.970106297681326</c:v>
                </c:pt>
                <c:pt idx="90">
                  <c:v>-36.272538505950187</c:v>
                </c:pt>
                <c:pt idx="91">
                  <c:v>-36.571782991998425</c:v>
                </c:pt>
                <c:pt idx="92">
                  <c:v>-36.867882810673549</c:v>
                </c:pt>
                <c:pt idx="93">
                  <c:v>-37.160882046161333</c:v>
                </c:pt>
                <c:pt idx="94">
                  <c:v>-37.450825558199654</c:v>
                </c:pt>
                <c:pt idx="95">
                  <c:v>-37.737758759790111</c:v>
                </c:pt>
                <c:pt idx="96">
                  <c:v>-38.021727422929033</c:v>
                </c:pt>
                <c:pt idx="97">
                  <c:v>-38.302777509238609</c:v>
                </c:pt>
                <c:pt idx="98">
                  <c:v>-38.580955022703066</c:v>
                </c:pt>
                <c:pt idx="99">
                  <c:v>-38.856305882010716</c:v>
                </c:pt>
              </c:numCache>
            </c:numRef>
          </c:yVal>
          <c:smooth val="1"/>
          <c:extLst>
            <c:ext xmlns:c16="http://schemas.microsoft.com/office/drawing/2014/chart" uri="{C3380CC4-5D6E-409C-BE32-E72D297353CC}">
              <c16:uniqueId val="{00000000-8A5E-4502-B1A0-DC91060BAB8A}"/>
            </c:ext>
          </c:extLst>
        </c:ser>
        <c:dLbls>
          <c:showLegendKey val="0"/>
          <c:showVal val="0"/>
          <c:showCatName val="0"/>
          <c:showSerName val="0"/>
          <c:showPercent val="0"/>
          <c:showBubbleSize val="0"/>
        </c:dLbls>
        <c:axId val="507661520"/>
        <c:axId val="1"/>
      </c:scatterChart>
      <c:scatterChart>
        <c:scatterStyle val="lineMarker"/>
        <c:varyColors val="0"/>
        <c:ser>
          <c:idx val="2"/>
          <c:order val="1"/>
          <c:tx>
            <c:strRef>
              <c:f>'Voltage Loop'!$O$1</c:f>
              <c:strCache>
                <c:ptCount val="1"/>
                <c:pt idx="0">
                  <c:v>ӨTv(f)</c:v>
                </c:pt>
              </c:strCache>
            </c:strRef>
          </c:tx>
          <c:spPr>
            <a:ln w="25400">
              <a:solidFill>
                <a:srgbClr val="FF0000"/>
              </a:solidFill>
              <a:prstDash val="solid"/>
            </a:ln>
          </c:spPr>
          <c:marker>
            <c:symbol val="none"/>
          </c:marker>
          <c:xVal>
            <c:numRef>
              <c:f>'Voltage Loop'!$B$2:$B$101</c:f>
              <c:numCache>
                <c:formatCode>General</c:formatCode>
                <c:ptCount val="100"/>
                <c:pt idx="0">
                  <c:v>100</c:v>
                </c:pt>
                <c:pt idx="1">
                  <c:v>1000</c:v>
                </c:pt>
                <c:pt idx="2">
                  <c:v>3000</c:v>
                </c:pt>
                <c:pt idx="3">
                  <c:v>4000</c:v>
                </c:pt>
                <c:pt idx="4">
                  <c:v>5000</c:v>
                </c:pt>
                <c:pt idx="5">
                  <c:v>6000</c:v>
                </c:pt>
                <c:pt idx="6">
                  <c:v>7000.0000000000009</c:v>
                </c:pt>
                <c:pt idx="7">
                  <c:v>8000</c:v>
                </c:pt>
                <c:pt idx="8">
                  <c:v>9000</c:v>
                </c:pt>
                <c:pt idx="9">
                  <c:v>10000</c:v>
                </c:pt>
                <c:pt idx="10">
                  <c:v>11000</c:v>
                </c:pt>
                <c:pt idx="11">
                  <c:v>12000</c:v>
                </c:pt>
                <c:pt idx="12">
                  <c:v>13000</c:v>
                </c:pt>
                <c:pt idx="13">
                  <c:v>14000.000000000002</c:v>
                </c:pt>
                <c:pt idx="14">
                  <c:v>15000</c:v>
                </c:pt>
                <c:pt idx="15">
                  <c:v>16000</c:v>
                </c:pt>
                <c:pt idx="16">
                  <c:v>17000</c:v>
                </c:pt>
                <c:pt idx="17">
                  <c:v>18000</c:v>
                </c:pt>
                <c:pt idx="18">
                  <c:v>19000</c:v>
                </c:pt>
                <c:pt idx="19">
                  <c:v>20000</c:v>
                </c:pt>
                <c:pt idx="20">
                  <c:v>21000</c:v>
                </c:pt>
                <c:pt idx="21">
                  <c:v>22000</c:v>
                </c:pt>
                <c:pt idx="22">
                  <c:v>23000</c:v>
                </c:pt>
                <c:pt idx="23">
                  <c:v>24000</c:v>
                </c:pt>
                <c:pt idx="24">
                  <c:v>25000</c:v>
                </c:pt>
                <c:pt idx="25">
                  <c:v>26000</c:v>
                </c:pt>
                <c:pt idx="26">
                  <c:v>27000</c:v>
                </c:pt>
                <c:pt idx="27">
                  <c:v>28000.000000000004</c:v>
                </c:pt>
                <c:pt idx="28">
                  <c:v>28999.999999999996</c:v>
                </c:pt>
                <c:pt idx="29">
                  <c:v>30000</c:v>
                </c:pt>
                <c:pt idx="30">
                  <c:v>31000</c:v>
                </c:pt>
                <c:pt idx="31">
                  <c:v>32000</c:v>
                </c:pt>
                <c:pt idx="32">
                  <c:v>33000</c:v>
                </c:pt>
                <c:pt idx="33">
                  <c:v>34000</c:v>
                </c:pt>
                <c:pt idx="34">
                  <c:v>35000</c:v>
                </c:pt>
                <c:pt idx="35">
                  <c:v>36000</c:v>
                </c:pt>
                <c:pt idx="36">
                  <c:v>37000</c:v>
                </c:pt>
                <c:pt idx="37">
                  <c:v>38000</c:v>
                </c:pt>
                <c:pt idx="38">
                  <c:v>39000</c:v>
                </c:pt>
                <c:pt idx="39">
                  <c:v>40000</c:v>
                </c:pt>
                <c:pt idx="40">
                  <c:v>41000</c:v>
                </c:pt>
                <c:pt idx="41">
                  <c:v>42000</c:v>
                </c:pt>
                <c:pt idx="42">
                  <c:v>43000</c:v>
                </c:pt>
                <c:pt idx="43">
                  <c:v>44000</c:v>
                </c:pt>
                <c:pt idx="44">
                  <c:v>45000</c:v>
                </c:pt>
                <c:pt idx="45">
                  <c:v>46000</c:v>
                </c:pt>
                <c:pt idx="46">
                  <c:v>47000</c:v>
                </c:pt>
                <c:pt idx="47">
                  <c:v>48000</c:v>
                </c:pt>
                <c:pt idx="48">
                  <c:v>49000</c:v>
                </c:pt>
                <c:pt idx="49">
                  <c:v>50000</c:v>
                </c:pt>
                <c:pt idx="50">
                  <c:v>51000</c:v>
                </c:pt>
                <c:pt idx="51">
                  <c:v>52000</c:v>
                </c:pt>
                <c:pt idx="52">
                  <c:v>53000</c:v>
                </c:pt>
                <c:pt idx="53">
                  <c:v>54000</c:v>
                </c:pt>
                <c:pt idx="54">
                  <c:v>55000.000000000007</c:v>
                </c:pt>
                <c:pt idx="55">
                  <c:v>56000.000000000007</c:v>
                </c:pt>
                <c:pt idx="56">
                  <c:v>56999.999999999993</c:v>
                </c:pt>
                <c:pt idx="57">
                  <c:v>57999.999999999993</c:v>
                </c:pt>
                <c:pt idx="58">
                  <c:v>59000</c:v>
                </c:pt>
                <c:pt idx="59">
                  <c:v>60000</c:v>
                </c:pt>
                <c:pt idx="60">
                  <c:v>61000</c:v>
                </c:pt>
                <c:pt idx="61">
                  <c:v>62000</c:v>
                </c:pt>
                <c:pt idx="62">
                  <c:v>63000</c:v>
                </c:pt>
                <c:pt idx="63">
                  <c:v>64000</c:v>
                </c:pt>
                <c:pt idx="64">
                  <c:v>65000</c:v>
                </c:pt>
                <c:pt idx="65">
                  <c:v>66000</c:v>
                </c:pt>
                <c:pt idx="66">
                  <c:v>67000</c:v>
                </c:pt>
                <c:pt idx="67">
                  <c:v>68000</c:v>
                </c:pt>
                <c:pt idx="68">
                  <c:v>69000</c:v>
                </c:pt>
                <c:pt idx="69">
                  <c:v>70000</c:v>
                </c:pt>
                <c:pt idx="70">
                  <c:v>71000</c:v>
                </c:pt>
                <c:pt idx="71">
                  <c:v>72000</c:v>
                </c:pt>
                <c:pt idx="72">
                  <c:v>73000</c:v>
                </c:pt>
                <c:pt idx="73">
                  <c:v>74000</c:v>
                </c:pt>
                <c:pt idx="74">
                  <c:v>75000</c:v>
                </c:pt>
                <c:pt idx="75">
                  <c:v>76000</c:v>
                </c:pt>
                <c:pt idx="76">
                  <c:v>77000</c:v>
                </c:pt>
                <c:pt idx="77">
                  <c:v>78000</c:v>
                </c:pt>
                <c:pt idx="78">
                  <c:v>79000</c:v>
                </c:pt>
                <c:pt idx="79">
                  <c:v>80000</c:v>
                </c:pt>
                <c:pt idx="80">
                  <c:v>81000</c:v>
                </c:pt>
                <c:pt idx="81">
                  <c:v>82000</c:v>
                </c:pt>
                <c:pt idx="82">
                  <c:v>83000</c:v>
                </c:pt>
                <c:pt idx="83">
                  <c:v>84000</c:v>
                </c:pt>
                <c:pt idx="84">
                  <c:v>85000</c:v>
                </c:pt>
                <c:pt idx="85">
                  <c:v>86000</c:v>
                </c:pt>
                <c:pt idx="86">
                  <c:v>87000</c:v>
                </c:pt>
                <c:pt idx="87">
                  <c:v>88000</c:v>
                </c:pt>
                <c:pt idx="88">
                  <c:v>89000</c:v>
                </c:pt>
                <c:pt idx="89">
                  <c:v>90000</c:v>
                </c:pt>
                <c:pt idx="90">
                  <c:v>91000</c:v>
                </c:pt>
                <c:pt idx="91">
                  <c:v>92000</c:v>
                </c:pt>
                <c:pt idx="92">
                  <c:v>93000</c:v>
                </c:pt>
                <c:pt idx="93">
                  <c:v>94000</c:v>
                </c:pt>
                <c:pt idx="94">
                  <c:v>95000</c:v>
                </c:pt>
                <c:pt idx="95">
                  <c:v>96000</c:v>
                </c:pt>
                <c:pt idx="96">
                  <c:v>97000</c:v>
                </c:pt>
                <c:pt idx="97">
                  <c:v>98000</c:v>
                </c:pt>
                <c:pt idx="98">
                  <c:v>99000</c:v>
                </c:pt>
                <c:pt idx="99">
                  <c:v>100000</c:v>
                </c:pt>
              </c:numCache>
            </c:numRef>
          </c:xVal>
          <c:yVal>
            <c:numRef>
              <c:f>'Voltage Loop'!$O$2:$O$101</c:f>
              <c:numCache>
                <c:formatCode>General</c:formatCode>
                <c:ptCount val="100"/>
                <c:pt idx="0">
                  <c:v>5.6581406688694358</c:v>
                </c:pt>
                <c:pt idx="1">
                  <c:v>42.155680345968591</c:v>
                </c:pt>
                <c:pt idx="2">
                  <c:v>67.047734904469223</c:v>
                </c:pt>
                <c:pt idx="3">
                  <c:v>70.507745339127126</c:v>
                </c:pt>
                <c:pt idx="4">
                  <c:v>72.21479984080122</c:v>
                </c:pt>
                <c:pt idx="5">
                  <c:v>72.990375325126422</c:v>
                </c:pt>
                <c:pt idx="6">
                  <c:v>73.212456411716772</c:v>
                </c:pt>
                <c:pt idx="7">
                  <c:v>73.076783582771384</c:v>
                </c:pt>
                <c:pt idx="8">
                  <c:v>72.69386944561488</c:v>
                </c:pt>
                <c:pt idx="9">
                  <c:v>72.130247809380052</c:v>
                </c:pt>
                <c:pt idx="10">
                  <c:v>71.427953761078854</c:v>
                </c:pt>
                <c:pt idx="11">
                  <c:v>70.614516339971345</c:v>
                </c:pt>
                <c:pt idx="12">
                  <c:v>69.708436979401455</c:v>
                </c:pt>
                <c:pt idx="13">
                  <c:v>68.722361765745063</c:v>
                </c:pt>
                <c:pt idx="14">
                  <c:v>67.66500463417627</c:v>
                </c:pt>
                <c:pt idx="15">
                  <c:v>66.54236034832654</c:v>
                </c:pt>
                <c:pt idx="16">
                  <c:v>65.358496863967673</c:v>
                </c:pt>
                <c:pt idx="17">
                  <c:v>64.116089948688483</c:v>
                </c:pt>
                <c:pt idx="18">
                  <c:v>62.81679535117452</c:v>
                </c:pt>
                <c:pt idx="19">
                  <c:v>61.461516259373099</c:v>
                </c:pt>
                <c:pt idx="20">
                  <c:v>60.050602147644909</c:v>
                </c:pt>
                <c:pt idx="21">
                  <c:v>58.584002232719214</c:v>
                </c:pt>
                <c:pt idx="22">
                  <c:v>57.061388856595869</c:v>
                </c:pt>
                <c:pt idx="23">
                  <c:v>55.482261120006015</c:v>
                </c:pt>
                <c:pt idx="24">
                  <c:v>53.846035829044354</c:v>
                </c:pt>
                <c:pt idx="25">
                  <c:v>52.152130604178609</c:v>
                </c:pt>
                <c:pt idx="26">
                  <c:v>50.400042422650756</c:v>
                </c:pt>
                <c:pt idx="27">
                  <c:v>48.589423668387695</c:v>
                </c:pt>
                <c:pt idx="28">
                  <c:v>46.720156789860908</c:v>
                </c:pt>
                <c:pt idx="29">
                  <c:v>44.79242781880302</c:v>
                </c:pt>
                <c:pt idx="30">
                  <c:v>42.806798226751539</c:v>
                </c:pt>
                <c:pt idx="31">
                  <c:v>40.764273869709825</c:v>
                </c:pt>
                <c:pt idx="32">
                  <c:v>38.666369098413526</c:v>
                </c:pt>
                <c:pt idx="33">
                  <c:v>36.515163520695609</c:v>
                </c:pt>
                <c:pt idx="34">
                  <c:v>34.313348440683228</c:v>
                </c:pt>
                <c:pt idx="35">
                  <c:v>32.064259727894381</c:v>
                </c:pt>
                <c:pt idx="36">
                  <c:v>29.771893853637437</c:v>
                </c:pt>
                <c:pt idx="37">
                  <c:v>27.440904130915044</c:v>
                </c:pt>
                <c:pt idx="38">
                  <c:v>25.076574844330423</c:v>
                </c:pt>
                <c:pt idx="39">
                  <c:v>22.684771959054558</c:v>
                </c:pt>
                <c:pt idx="40">
                  <c:v>20.271870405992701</c:v>
                </c:pt>
                <c:pt idx="41">
                  <c:v>17.844659454893844</c:v>
                </c:pt>
                <c:pt idx="42">
                  <c:v>15.410229262569942</c:v>
                </c:pt>
                <c:pt idx="43">
                  <c:v>12.975843143635274</c:v>
                </c:pt>
                <c:pt idx="44">
                  <c:v>10.548801276158741</c:v>
                </c:pt>
                <c:pt idx="45">
                  <c:v>8.1363022707369055</c:v>
                </c:pt>
                <c:pt idx="46">
                  <c:v>5.7453092002922688</c:v>
                </c:pt>
                <c:pt idx="47">
                  <c:v>3.3824262850844491</c:v>
                </c:pt>
                <c:pt idx="48">
                  <c:v>1.053791507790578</c:v>
                </c:pt>
                <c:pt idx="49">
                  <c:v>-1.2350108801102806</c:v>
                </c:pt>
                <c:pt idx="50">
                  <c:v>-3.4790155397419653</c:v>
                </c:pt>
                <c:pt idx="51">
                  <c:v>-5.6739180788234762</c:v>
                </c:pt>
                <c:pt idx="52">
                  <c:v>-7.8160945683605405</c:v>
                </c:pt>
                <c:pt idx="53">
                  <c:v>-9.902600389677616</c:v>
                </c:pt>
                <c:pt idx="54">
                  <c:v>-11.93115115235986</c:v>
                </c:pt>
                <c:pt idx="55">
                  <c:v>-13.900088967133456</c:v>
                </c:pt>
                <c:pt idx="56">
                  <c:v>-15.808337571156244</c:v>
                </c:pt>
                <c:pt idx="57">
                  <c:v>-17.655349737660345</c:v>
                </c:pt>
                <c:pt idx="58">
                  <c:v>-19.44105012553365</c:v>
                </c:pt>
                <c:pt idx="59">
                  <c:v>-21.165776309630814</c:v>
                </c:pt>
                <c:pt idx="60">
                  <c:v>-22.830220246082263</c:v>
                </c:pt>
                <c:pt idx="61">
                  <c:v>-24.435371923730713</c:v>
                </c:pt>
                <c:pt idx="62">
                  <c:v>-25.982466473930629</c:v>
                </c:pt>
                <c:pt idx="63">
                  <c:v>-27.472935583050457</c:v>
                </c:pt>
                <c:pt idx="64">
                  <c:v>-28.908363689558087</c:v>
                </c:pt>
                <c:pt idx="65">
                  <c:v>-30.290449155244517</c:v>
                </c:pt>
                <c:pt idx="66">
                  <c:v>-31.620970375804518</c:v>
                </c:pt>
                <c:pt idx="67">
                  <c:v>-32.901756633056095</c:v>
                </c:pt>
                <c:pt idx="68">
                  <c:v>-34.134663380772167</c:v>
                </c:pt>
                <c:pt idx="69">
                  <c:v>-35.321551588751902</c:v>
                </c:pt>
                <c:pt idx="70">
                  <c:v>-36.464270736133244</c:v>
                </c:pt>
                <c:pt idx="71">
                  <c:v>-37.564645036588615</c:v>
                </c:pt>
                <c:pt idx="72">
                  <c:v>-38.624462487790993</c:v>
                </c:pt>
                <c:pt idx="73">
                  <c:v>-39.645466359460556</c:v>
                </c:pt>
                <c:pt idx="74">
                  <c:v>-40.629348763777614</c:v>
                </c:pt>
                <c:pt idx="75">
                  <c:v>-41.577745985424485</c:v>
                </c:pt>
                <c:pt idx="76">
                  <c:v>-42.492235283399623</c:v>
                </c:pt>
                <c:pt idx="77">
                  <c:v>-43.374332911232045</c:v>
                </c:pt>
                <c:pt idx="78">
                  <c:v>-44.225493135078636</c:v>
                </c:pt>
                <c:pt idx="79">
                  <c:v>-45.047108059679772</c:v>
                </c:pt>
                <c:pt idx="80">
                  <c:v>-45.840508099881163</c:v>
                </c:pt>
                <c:pt idx="81">
                  <c:v>-46.606962960238548</c:v>
                </c:pt>
                <c:pt idx="82">
                  <c:v>-47.347683007132446</c:v>
                </c:pt>
                <c:pt idx="83">
                  <c:v>-48.063820936956176</c:v>
                </c:pt>
                <c:pt idx="84">
                  <c:v>-48.756473660494407</c:v>
                </c:pt>
                <c:pt idx="85">
                  <c:v>-49.426684337825009</c:v>
                </c:pt>
                <c:pt idx="86">
                  <c:v>-50.075444510184525</c:v>
                </c:pt>
                <c:pt idx="87">
                  <c:v>-50.703696285485421</c:v>
                </c:pt>
                <c:pt idx="88">
                  <c:v>-51.3123345428167</c:v>
                </c:pt>
                <c:pt idx="89">
                  <c:v>-51.902209128455866</c:v>
                </c:pt>
                <c:pt idx="90">
                  <c:v>-52.474127021957656</c:v>
                </c:pt>
                <c:pt idx="91">
                  <c:v>-53.02885445584144</c:v>
                </c:pt>
                <c:pt idx="92">
                  <c:v>-53.567118976507118</c:v>
                </c:pt>
                <c:pt idx="93">
                  <c:v>-54.089611437361327</c:v>
                </c:pt>
                <c:pt idx="94">
                  <c:v>-54.596987917862691</c:v>
                </c:pt>
                <c:pt idx="95">
                  <c:v>-55.089871564409464</c:v>
                </c:pt>
                <c:pt idx="96">
                  <c:v>-55.56885435075327</c:v>
                </c:pt>
                <c:pt idx="97">
                  <c:v>-56.034498757039159</c:v>
                </c:pt>
                <c:pt idx="98">
                  <c:v>-56.487339367670927</c:v>
                </c:pt>
                <c:pt idx="99">
                  <c:v>-56.927884389070186</c:v>
                </c:pt>
              </c:numCache>
            </c:numRef>
          </c:yVal>
          <c:smooth val="0"/>
          <c:extLst>
            <c:ext xmlns:c16="http://schemas.microsoft.com/office/drawing/2014/chart" uri="{C3380CC4-5D6E-409C-BE32-E72D297353CC}">
              <c16:uniqueId val="{00000001-8A5E-4502-B1A0-DC91060BAB8A}"/>
            </c:ext>
          </c:extLst>
        </c:ser>
        <c:dLbls>
          <c:showLegendKey val="0"/>
          <c:showVal val="0"/>
          <c:showCatName val="0"/>
          <c:showSerName val="0"/>
          <c:showPercent val="0"/>
          <c:showBubbleSize val="0"/>
        </c:dLbls>
        <c:axId val="3"/>
        <c:axId val="4"/>
      </c:scatterChart>
      <c:valAx>
        <c:axId val="507661520"/>
        <c:scaling>
          <c:logBase val="10"/>
          <c:orientation val="minMax"/>
          <c:min val="100"/>
        </c:scaling>
        <c:delete val="0"/>
        <c:axPos val="b"/>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975" b="1" i="0" u="none" strike="noStrike" baseline="0">
                    <a:solidFill>
                      <a:srgbClr val="000000"/>
                    </a:solidFill>
                    <a:latin typeface="Arial"/>
                    <a:ea typeface="Arial"/>
                    <a:cs typeface="Arial"/>
                  </a:defRPr>
                </a:pPr>
                <a:r>
                  <a:rPr lang="en-US"/>
                  <a:t>Frequency in Hz</a:t>
                </a:r>
              </a:p>
            </c:rich>
          </c:tx>
          <c:layout>
            <c:manualLayout>
              <c:xMode val="edge"/>
              <c:yMode val="edge"/>
              <c:x val="0.41680425297156326"/>
              <c:y val="0.9311225929416023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75" b="1" i="0" u="none" strike="noStrike" baseline="0">
                <a:solidFill>
                  <a:srgbClr val="000000"/>
                </a:solidFill>
                <a:latin typeface="Arial"/>
                <a:ea typeface="Arial"/>
                <a:cs typeface="Arial"/>
              </a:defRPr>
            </a:pPr>
            <a:endParaRPr lang="en-US"/>
          </a:p>
        </c:txPr>
        <c:crossAx val="1"/>
        <c:crossesAt val="-80"/>
        <c:crossBetween val="midCat"/>
      </c:valAx>
      <c:valAx>
        <c:axId val="1"/>
        <c:scaling>
          <c:orientation val="minMax"/>
          <c:max val="80"/>
          <c:min val="-80"/>
        </c:scaling>
        <c:delete val="0"/>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US"/>
                  <a:t>Gain in dB</a:t>
                </a:r>
              </a:p>
            </c:rich>
          </c:tx>
          <c:layout>
            <c:manualLayout>
              <c:xMode val="edge"/>
              <c:yMode val="edge"/>
              <c:x val="1.9769296353879334E-2"/>
              <c:y val="0.397959091320481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75" b="1" i="0" u="none" strike="noStrike" baseline="0">
                <a:solidFill>
                  <a:srgbClr val="000000"/>
                </a:solidFill>
                <a:latin typeface="Arial"/>
                <a:ea typeface="Arial"/>
                <a:cs typeface="Arial"/>
              </a:defRPr>
            </a:pPr>
            <a:endParaRPr lang="en-US"/>
          </a:p>
        </c:txPr>
        <c:crossAx val="507661520"/>
        <c:crosses val="autoZero"/>
        <c:crossBetween val="midCat"/>
      </c:valAx>
      <c:valAx>
        <c:axId val="3"/>
        <c:scaling>
          <c:logBase val="10"/>
          <c:orientation val="minMax"/>
        </c:scaling>
        <c:delete val="1"/>
        <c:axPos val="b"/>
        <c:numFmt formatCode="General" sourceLinked="1"/>
        <c:majorTickMark val="out"/>
        <c:minorTickMark val="none"/>
        <c:tickLblPos val="nextTo"/>
        <c:crossAx val="4"/>
        <c:crosses val="autoZero"/>
        <c:crossBetween val="midCat"/>
      </c:valAx>
      <c:valAx>
        <c:axId val="4"/>
        <c:scaling>
          <c:orientation val="minMax"/>
          <c:max val="180"/>
          <c:min val="-180"/>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sz="975" b="1" i="0" u="none" strike="noStrike" baseline="0">
                <a:solidFill>
                  <a:srgbClr val="000000"/>
                </a:solidFill>
                <a:latin typeface="Arial"/>
                <a:ea typeface="Arial"/>
                <a:cs typeface="Arial"/>
              </a:defRPr>
            </a:pPr>
            <a:endParaRPr lang="en-US"/>
          </a:p>
        </c:txPr>
        <c:crossAx val="3"/>
        <c:crosses val="max"/>
        <c:crossBetween val="midCat"/>
        <c:majorUnit val="45"/>
      </c:valAx>
      <c:spPr>
        <a:solidFill>
          <a:srgbClr val="FFFFFF"/>
        </a:solidFill>
        <a:ln w="12700">
          <a:solidFill>
            <a:srgbClr val="808080"/>
          </a:solidFill>
          <a:prstDash val="solid"/>
        </a:ln>
      </c:spPr>
    </c:plotArea>
    <c:legend>
      <c:legendPos val="r"/>
      <c:layout>
        <c:manualLayout>
          <c:xMode val="edge"/>
          <c:yMode val="edge"/>
          <c:x val="0.12275352704108956"/>
          <c:y val="0.70078936087776"/>
          <c:w val="0.16203465569423822"/>
          <c:h val="0.12276601942384117"/>
        </c:manualLayout>
      </c:layout>
      <c:overlay val="0"/>
      <c:spPr>
        <a:solidFill>
          <a:srgbClr val="FFFFFF"/>
        </a:solidFill>
        <a:ln w="3175">
          <a:solidFill>
            <a:srgbClr val="000000"/>
          </a:solidFill>
          <a:prstDash val="solid"/>
        </a:ln>
      </c:spPr>
      <c:txPr>
        <a:bodyPr/>
        <a:lstStyle/>
        <a:p>
          <a:pPr>
            <a:defRPr sz="1010" b="1"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200" b="1"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14</xdr:col>
      <xdr:colOff>466725</xdr:colOff>
      <xdr:row>38</xdr:row>
      <xdr:rowOff>19050</xdr:rowOff>
    </xdr:to>
    <xdr:pic>
      <xdr:nvPicPr>
        <xdr:cNvPr id="4149" name="Picture 2">
          <a:extLst>
            <a:ext uri="{FF2B5EF4-FFF2-40B4-BE49-F238E27FC236}">
              <a16:creationId xmlns:a16="http://schemas.microsoft.com/office/drawing/2014/main" id="{7A47A581-D9A2-4F09-A4D6-3C564BEB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171450"/>
          <a:ext cx="8382000" cy="600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151</xdr:row>
      <xdr:rowOff>28575</xdr:rowOff>
    </xdr:from>
    <xdr:to>
      <xdr:col>3</xdr:col>
      <xdr:colOff>552450</xdr:colOff>
      <xdr:row>171</xdr:row>
      <xdr:rowOff>133350</xdr:rowOff>
    </xdr:to>
    <xdr:graphicFrame macro="">
      <xdr:nvGraphicFramePr>
        <xdr:cNvPr id="1088" name="Chart 12">
          <a:extLst>
            <a:ext uri="{FF2B5EF4-FFF2-40B4-BE49-F238E27FC236}">
              <a16:creationId xmlns:a16="http://schemas.microsoft.com/office/drawing/2014/main" id="{8F061212-D095-47E7-B34B-038C55133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8</xdr:col>
      <xdr:colOff>419100</xdr:colOff>
      <xdr:row>4</xdr:row>
      <xdr:rowOff>76200</xdr:rowOff>
    </xdr:to>
    <xdr:pic>
      <xdr:nvPicPr>
        <xdr:cNvPr id="5176" name="Picture 2">
          <a:extLst>
            <a:ext uri="{FF2B5EF4-FFF2-40B4-BE49-F238E27FC236}">
              <a16:creationId xmlns:a16="http://schemas.microsoft.com/office/drawing/2014/main" id="{19012F2F-12DE-46D8-913B-847B5B2736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5295900"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pic>
    <xdr:clientData fLocksWithSheet="0"/>
  </xdr:twoCellAnchor>
  <mc:AlternateContent xmlns:mc="http://schemas.openxmlformats.org/markup-compatibility/2006">
    <mc:Choice xmlns:a14="http://schemas.microsoft.com/office/drawing/2010/main" Requires="a14">
      <xdr:twoCellAnchor editAs="oneCell">
        <xdr:from>
          <xdr:col>0</xdr:col>
          <xdr:colOff>38100</xdr:colOff>
          <xdr:row>5</xdr:row>
          <xdr:rowOff>47625</xdr:rowOff>
        </xdr:from>
        <xdr:to>
          <xdr:col>8</xdr:col>
          <xdr:colOff>428625</xdr:colOff>
          <xdr:row>46</xdr:row>
          <xdr:rowOff>47625</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285750</xdr:colOff>
      <xdr:row>34</xdr:row>
      <xdr:rowOff>104775</xdr:rowOff>
    </xdr:to>
    <xdr:pic>
      <xdr:nvPicPr>
        <xdr:cNvPr id="6198" name="Picture 3">
          <a:extLst>
            <a:ext uri="{FF2B5EF4-FFF2-40B4-BE49-F238E27FC236}">
              <a16:creationId xmlns:a16="http://schemas.microsoft.com/office/drawing/2014/main" id="{CFDE352D-37CD-4AD8-8BDE-770E3C27C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52950" cy="5610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314325</xdr:colOff>
      <xdr:row>34</xdr:row>
      <xdr:rowOff>104775</xdr:rowOff>
    </xdr:to>
    <xdr:pic>
      <xdr:nvPicPr>
        <xdr:cNvPr id="7222" name="Picture 3">
          <a:extLst>
            <a:ext uri="{FF2B5EF4-FFF2-40B4-BE49-F238E27FC236}">
              <a16:creationId xmlns:a16="http://schemas.microsoft.com/office/drawing/2014/main" id="{FD865A7B-6D2A-42F3-B3CF-DD7EA92F7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81525" cy="5610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219075</xdr:colOff>
      <xdr:row>85</xdr:row>
      <xdr:rowOff>95250</xdr:rowOff>
    </xdr:from>
    <xdr:to>
      <xdr:col>7</xdr:col>
      <xdr:colOff>47625</xdr:colOff>
      <xdr:row>105</xdr:row>
      <xdr:rowOff>123825</xdr:rowOff>
    </xdr:to>
    <xdr:graphicFrame macro="">
      <xdr:nvGraphicFramePr>
        <xdr:cNvPr id="3127" name="Chart 4">
          <a:extLst>
            <a:ext uri="{FF2B5EF4-FFF2-40B4-BE49-F238E27FC236}">
              <a16:creationId xmlns:a16="http://schemas.microsoft.com/office/drawing/2014/main" id="{E1810966-47A1-472B-BA5C-8A0FC8491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0799388/My%20Documents/Applications%20Information/UCC28070/Design%20Tool/UCC28070%20Design%20Tool%208%2015%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ign Information"/>
      <sheetName val="Current Loop Calaculations"/>
      <sheetName val="Voltage Loop Calaclations"/>
    </sheetNames>
    <sheetDataSet>
      <sheetData sheetId="0">
        <row r="29">
          <cell r="C29">
            <v>2.4499999999999999E-4</v>
          </cell>
        </row>
        <row r="40">
          <cell r="C40">
            <v>50</v>
          </cell>
        </row>
        <row r="83">
          <cell r="C83">
            <v>4020</v>
          </cell>
        </row>
        <row r="85">
          <cell r="C85">
            <v>2.1999999999999998E-9</v>
          </cell>
        </row>
        <row r="87">
          <cell r="C87">
            <v>3.3E-10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workbookViewId="0">
      <selection activeCell="A16" sqref="A16:N16"/>
    </sheetView>
  </sheetViews>
  <sheetFormatPr defaultRowHeight="12.75" x14ac:dyDescent="0.2"/>
  <sheetData>
    <row r="1" spans="1:14" ht="33.75" x14ac:dyDescent="0.2">
      <c r="A1" s="106" t="s">
        <v>337</v>
      </c>
      <c r="B1" s="106"/>
      <c r="C1" s="106"/>
      <c r="D1" s="106"/>
      <c r="E1" s="106"/>
      <c r="F1" s="106"/>
      <c r="G1" s="106"/>
      <c r="H1" s="106"/>
      <c r="I1" s="106"/>
      <c r="J1" s="106"/>
      <c r="K1" s="106"/>
      <c r="L1" s="106"/>
      <c r="M1" s="106"/>
      <c r="N1" s="106"/>
    </row>
    <row r="2" spans="1:14" ht="25.5" x14ac:dyDescent="0.2">
      <c r="A2" s="107" t="s">
        <v>0</v>
      </c>
      <c r="B2" s="107"/>
      <c r="C2" s="107"/>
      <c r="D2" s="107"/>
      <c r="E2" s="107"/>
      <c r="F2" s="107"/>
      <c r="G2" s="107"/>
      <c r="H2" s="107"/>
      <c r="I2" s="107"/>
      <c r="J2" s="107"/>
      <c r="K2" s="107"/>
      <c r="L2" s="107"/>
      <c r="M2" s="107"/>
      <c r="N2" s="107"/>
    </row>
    <row r="3" spans="1:14" x14ac:dyDescent="0.2">
      <c r="A3" s="104"/>
      <c r="B3" s="104"/>
      <c r="C3" s="104"/>
      <c r="D3" s="104"/>
      <c r="E3" s="104"/>
      <c r="F3" s="104"/>
      <c r="G3" s="104"/>
      <c r="H3" s="104"/>
      <c r="I3" s="104"/>
      <c r="J3" s="104"/>
      <c r="K3" s="104"/>
      <c r="L3" s="104"/>
      <c r="M3" s="104"/>
      <c r="N3" s="104"/>
    </row>
    <row r="4" spans="1:14" ht="25.5" x14ac:dyDescent="0.2">
      <c r="A4" s="105" t="s">
        <v>1</v>
      </c>
      <c r="B4" s="105"/>
      <c r="C4" s="105"/>
      <c r="D4" s="105"/>
      <c r="E4" s="105"/>
      <c r="F4" s="105"/>
      <c r="G4" s="105"/>
      <c r="H4" s="105"/>
      <c r="I4" s="105"/>
      <c r="J4" s="105"/>
      <c r="K4" s="105"/>
      <c r="L4" s="105"/>
      <c r="M4" s="105"/>
      <c r="N4" s="105"/>
    </row>
    <row r="5" spans="1:14" x14ac:dyDescent="0.2">
      <c r="A5" s="104"/>
      <c r="B5" s="104"/>
      <c r="C5" s="104"/>
      <c r="D5" s="104"/>
      <c r="E5" s="104"/>
      <c r="F5" s="104"/>
      <c r="G5" s="104"/>
      <c r="H5" s="104"/>
      <c r="I5" s="104"/>
      <c r="J5" s="104"/>
      <c r="K5" s="104"/>
      <c r="L5" s="104"/>
      <c r="M5" s="104"/>
      <c r="N5" s="104"/>
    </row>
    <row r="6" spans="1:14" ht="25.5" x14ac:dyDescent="0.2">
      <c r="A6" s="1" t="s">
        <v>2</v>
      </c>
      <c r="B6" s="1"/>
      <c r="C6" s="1"/>
      <c r="D6" s="1"/>
      <c r="E6" s="1"/>
      <c r="F6" s="1"/>
      <c r="G6" s="1"/>
      <c r="H6" s="1"/>
      <c r="I6" s="1"/>
      <c r="J6" s="1"/>
      <c r="K6" s="1"/>
      <c r="L6" s="1"/>
      <c r="M6" s="1"/>
      <c r="N6" s="1"/>
    </row>
    <row r="7" spans="1:14" ht="25.5" x14ac:dyDescent="0.2">
      <c r="A7" s="1"/>
      <c r="B7" s="105" t="s">
        <v>3</v>
      </c>
      <c r="C7" s="105"/>
      <c r="D7" s="105"/>
      <c r="E7" s="105"/>
      <c r="F7" s="105"/>
      <c r="G7" s="105"/>
      <c r="H7" s="105"/>
      <c r="I7" s="105"/>
      <c r="J7" s="105"/>
      <c r="K7" s="105"/>
      <c r="L7" s="105"/>
      <c r="M7" s="105"/>
      <c r="N7" s="105"/>
    </row>
    <row r="8" spans="1:14" ht="25.5" x14ac:dyDescent="0.2">
      <c r="A8" s="1"/>
      <c r="B8" s="105" t="s">
        <v>4</v>
      </c>
      <c r="C8" s="105"/>
      <c r="D8" s="105"/>
      <c r="E8" s="105"/>
      <c r="F8" s="105"/>
      <c r="G8" s="105"/>
      <c r="H8" s="105"/>
      <c r="I8" s="105"/>
      <c r="J8" s="105"/>
      <c r="K8" s="105"/>
      <c r="L8" s="105"/>
      <c r="M8" s="105"/>
      <c r="N8" s="105"/>
    </row>
    <row r="9" spans="1:14" ht="25.5" x14ac:dyDescent="0.2">
      <c r="A9" s="1"/>
      <c r="B9" s="105" t="s">
        <v>5</v>
      </c>
      <c r="C9" s="105"/>
      <c r="D9" s="105"/>
      <c r="E9" s="105"/>
      <c r="F9" s="105"/>
      <c r="G9" s="105"/>
      <c r="H9" s="105"/>
      <c r="I9" s="105"/>
      <c r="J9" s="105"/>
      <c r="K9" s="105"/>
      <c r="L9" s="105"/>
      <c r="M9" s="105"/>
      <c r="N9" s="105"/>
    </row>
    <row r="10" spans="1:14" ht="25.5" x14ac:dyDescent="0.2">
      <c r="A10" s="1" t="s">
        <v>6</v>
      </c>
      <c r="B10" s="1"/>
      <c r="C10" s="1"/>
      <c r="D10" s="1"/>
      <c r="E10" s="1"/>
      <c r="F10" s="1"/>
      <c r="G10" s="1"/>
      <c r="H10" s="1"/>
      <c r="I10" s="1"/>
      <c r="J10" s="1"/>
      <c r="K10" s="1"/>
      <c r="L10" s="1"/>
      <c r="M10" s="1"/>
      <c r="N10" s="1"/>
    </row>
    <row r="11" spans="1:14" ht="25.5" x14ac:dyDescent="0.2">
      <c r="A11" s="1"/>
      <c r="B11" s="1"/>
      <c r="C11" s="1"/>
      <c r="D11" s="1"/>
      <c r="E11" s="1"/>
      <c r="F11" s="1"/>
      <c r="G11" s="1"/>
      <c r="H11" s="1"/>
      <c r="I11" s="1"/>
      <c r="J11" s="1"/>
      <c r="K11" s="1"/>
      <c r="L11" s="1"/>
      <c r="M11" s="1"/>
      <c r="N11" s="1"/>
    </row>
    <row r="12" spans="1:14" ht="25.5" x14ac:dyDescent="0.2">
      <c r="A12" s="103" t="s">
        <v>296</v>
      </c>
      <c r="B12" s="103"/>
      <c r="C12" s="103"/>
      <c r="D12" s="103"/>
      <c r="E12" s="103"/>
      <c r="F12" s="103"/>
      <c r="G12" s="103"/>
      <c r="H12" s="103"/>
      <c r="I12" s="103"/>
      <c r="J12" s="103"/>
      <c r="K12" s="103"/>
      <c r="L12" s="103"/>
      <c r="M12" s="103"/>
      <c r="N12" s="103"/>
    </row>
    <row r="13" spans="1:14" ht="25.5" x14ac:dyDescent="0.2">
      <c r="A13" s="80"/>
      <c r="B13" s="80"/>
      <c r="C13" s="80"/>
      <c r="D13" s="80"/>
      <c r="E13" s="80"/>
      <c r="F13" s="80"/>
      <c r="G13" s="80"/>
      <c r="H13" s="80"/>
      <c r="I13" s="80"/>
      <c r="J13" s="80"/>
      <c r="K13" s="80"/>
      <c r="L13" s="80"/>
      <c r="M13" s="80"/>
      <c r="N13" s="80"/>
    </row>
    <row r="14" spans="1:14" ht="25.5" x14ac:dyDescent="0.2">
      <c r="A14" s="103" t="s">
        <v>7</v>
      </c>
      <c r="B14" s="103"/>
      <c r="C14" s="103"/>
      <c r="D14" s="103"/>
      <c r="E14" s="103"/>
      <c r="F14" s="103"/>
      <c r="G14" s="103"/>
      <c r="H14" s="103"/>
      <c r="I14" s="103"/>
      <c r="J14" s="103"/>
      <c r="K14" s="103"/>
      <c r="L14" s="103"/>
      <c r="M14" s="103"/>
      <c r="N14" s="103"/>
    </row>
    <row r="15" spans="1:14" ht="25.5" x14ac:dyDescent="0.2">
      <c r="A15" s="80"/>
      <c r="B15" s="80"/>
      <c r="C15" s="80"/>
      <c r="D15" s="80"/>
      <c r="E15" s="80"/>
      <c r="F15" s="80"/>
      <c r="G15" s="80"/>
      <c r="H15" s="80"/>
      <c r="I15" s="80"/>
      <c r="J15" s="80"/>
      <c r="K15" s="80"/>
      <c r="L15" s="80"/>
      <c r="M15" s="80"/>
      <c r="N15" s="80"/>
    </row>
    <row r="16" spans="1:14" ht="45.75" customHeight="1" x14ac:dyDescent="0.2">
      <c r="A16" s="103" t="s">
        <v>330</v>
      </c>
      <c r="B16" s="103"/>
      <c r="C16" s="103"/>
      <c r="D16" s="103"/>
      <c r="E16" s="103"/>
      <c r="F16" s="103"/>
      <c r="G16" s="103"/>
      <c r="H16" s="103"/>
      <c r="I16" s="103"/>
      <c r="J16" s="103"/>
      <c r="K16" s="103"/>
      <c r="L16" s="103"/>
      <c r="M16" s="103"/>
      <c r="N16" s="103"/>
    </row>
    <row r="17" spans="1:1" x14ac:dyDescent="0.2">
      <c r="A17" t="s">
        <v>19</v>
      </c>
    </row>
  </sheetData>
  <sheetProtection password="ECDD" sheet="1"/>
  <mergeCells count="11">
    <mergeCell ref="A1:N1"/>
    <mergeCell ref="A2:N2"/>
    <mergeCell ref="A3:N3"/>
    <mergeCell ref="A4:N4"/>
    <mergeCell ref="A12:N12"/>
    <mergeCell ref="A16:N16"/>
    <mergeCell ref="A5:N5"/>
    <mergeCell ref="B7:N7"/>
    <mergeCell ref="B8:N8"/>
    <mergeCell ref="B9:N9"/>
    <mergeCell ref="A14:N14"/>
  </mergeCells>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43"/>
  <sheetViews>
    <sheetView workbookViewId="0">
      <selection activeCell="S21" sqref="S21"/>
    </sheetView>
  </sheetViews>
  <sheetFormatPr defaultRowHeight="12.75" x14ac:dyDescent="0.2"/>
  <sheetData>
    <row r="43" spans="4:4" x14ac:dyDescent="0.2">
      <c r="D43" t="s">
        <v>19</v>
      </c>
    </row>
  </sheetData>
  <sheetProtection password="ECDD" sheet="1"/>
  <phoneticPr fontId="21" type="noConversion"/>
  <pageMargins left="0.75" right="0.75"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32"/>
  <sheetViews>
    <sheetView tabSelected="1" zoomScale="115" zoomScaleNormal="115" workbookViewId="0">
      <selection activeCell="C232" sqref="C232"/>
    </sheetView>
  </sheetViews>
  <sheetFormatPr defaultRowHeight="15.75" x14ac:dyDescent="0.25"/>
  <cols>
    <col min="1" max="1" width="66.140625" style="52" customWidth="1"/>
    <col min="2" max="2" width="15" style="52" customWidth="1"/>
    <col min="3" max="3" width="13.42578125" style="58" customWidth="1"/>
    <col min="4" max="5" width="11.5703125" style="52" customWidth="1"/>
    <col min="6" max="16384" width="9.140625" style="52"/>
  </cols>
  <sheetData>
    <row r="1" spans="1:8" x14ac:dyDescent="0.25">
      <c r="A1" s="52" t="s">
        <v>339</v>
      </c>
    </row>
    <row r="2" spans="1:8" x14ac:dyDescent="0.25">
      <c r="A2" s="52" t="s">
        <v>338</v>
      </c>
      <c r="B2" s="53">
        <v>45723</v>
      </c>
      <c r="H2" s="100"/>
    </row>
    <row r="3" spans="1:8" x14ac:dyDescent="0.25">
      <c r="B3" s="53"/>
      <c r="H3" s="100"/>
    </row>
    <row r="4" spans="1:8" x14ac:dyDescent="0.25">
      <c r="A4" s="76" t="s">
        <v>328</v>
      </c>
      <c r="B4" s="77"/>
      <c r="C4" s="89"/>
      <c r="D4" s="76"/>
      <c r="E4" s="76"/>
      <c r="F4" s="76"/>
    </row>
    <row r="5" spans="1:8" x14ac:dyDescent="0.25">
      <c r="A5" s="76" t="s">
        <v>289</v>
      </c>
      <c r="B5" s="77"/>
      <c r="C5" s="89"/>
      <c r="D5" s="76"/>
      <c r="E5" s="76"/>
      <c r="F5" s="76"/>
    </row>
    <row r="6" spans="1:8" x14ac:dyDescent="0.25">
      <c r="A6" s="81" t="s">
        <v>331</v>
      </c>
      <c r="B6" s="82"/>
      <c r="C6" s="90"/>
      <c r="D6" s="81"/>
      <c r="E6" s="81"/>
      <c r="F6" s="81"/>
    </row>
    <row r="7" spans="1:8" x14ac:dyDescent="0.25">
      <c r="A7" s="83" t="s">
        <v>302</v>
      </c>
      <c r="B7" s="84"/>
      <c r="C7" s="91"/>
      <c r="D7" s="83"/>
      <c r="E7" s="83"/>
      <c r="F7" s="83"/>
    </row>
    <row r="8" spans="1:8" s="48" customFormat="1" x14ac:dyDescent="0.25">
      <c r="A8" s="83" t="s">
        <v>301</v>
      </c>
      <c r="B8" s="84"/>
      <c r="C8" s="91"/>
      <c r="D8" s="83"/>
      <c r="E8" s="83"/>
      <c r="F8" s="83"/>
    </row>
    <row r="9" spans="1:8" s="48" customFormat="1" x14ac:dyDescent="0.25">
      <c r="A9" s="83" t="s">
        <v>299</v>
      </c>
      <c r="B9" s="84"/>
      <c r="C9" s="91"/>
      <c r="D9" s="83"/>
      <c r="E9" s="83"/>
      <c r="F9" s="83"/>
    </row>
    <row r="10" spans="1:8" s="48" customFormat="1" x14ac:dyDescent="0.25">
      <c r="A10" s="83" t="s">
        <v>300</v>
      </c>
      <c r="B10" s="84"/>
      <c r="C10" s="91"/>
      <c r="D10" s="83"/>
      <c r="E10" s="83"/>
      <c r="F10" s="83"/>
    </row>
    <row r="11" spans="1:8" x14ac:dyDescent="0.25">
      <c r="A11" s="52" t="s">
        <v>8</v>
      </c>
    </row>
    <row r="12" spans="1:8" x14ac:dyDescent="0.25">
      <c r="A12" s="52" t="s">
        <v>9</v>
      </c>
      <c r="B12" s="52" t="s">
        <v>10</v>
      </c>
      <c r="C12" s="58" t="s">
        <v>12</v>
      </c>
      <c r="D12" s="52" t="s">
        <v>11</v>
      </c>
      <c r="E12" s="52" t="s">
        <v>16</v>
      </c>
    </row>
    <row r="13" spans="1:8" x14ac:dyDescent="0.25">
      <c r="A13" s="52" t="s">
        <v>13</v>
      </c>
      <c r="B13" s="49">
        <v>384.161</v>
      </c>
      <c r="C13" s="92">
        <v>389.61500000000001</v>
      </c>
      <c r="D13" s="49">
        <v>395.07</v>
      </c>
      <c r="E13" s="52" t="s">
        <v>17</v>
      </c>
      <c r="F13" s="85" t="str">
        <f>IF(VINMAX/VINMIN&gt;3,"Please Keep Input Voltage &lt; 3:1","")</f>
        <v/>
      </c>
    </row>
    <row r="14" spans="1:8" x14ac:dyDescent="0.25">
      <c r="A14" s="52" t="s">
        <v>14</v>
      </c>
      <c r="B14" s="49">
        <v>47.1</v>
      </c>
      <c r="C14" s="92">
        <v>48</v>
      </c>
      <c r="D14" s="49">
        <v>48.9</v>
      </c>
      <c r="E14" s="52" t="s">
        <v>17</v>
      </c>
      <c r="F14" s="79" t="str">
        <f>IF(VOUT&lt;1.5,"The Minimum Output Voltage &gt; 1.5 V","")</f>
        <v/>
      </c>
      <c r="G14" s="48"/>
      <c r="H14" s="48"/>
    </row>
    <row r="15" spans="1:8" ht="31.5" x14ac:dyDescent="0.25">
      <c r="A15" s="54" t="s">
        <v>15</v>
      </c>
      <c r="D15" s="49">
        <v>0.6</v>
      </c>
      <c r="E15" s="52" t="s">
        <v>17</v>
      </c>
      <c r="F15" s="79"/>
    </row>
    <row r="16" spans="1:8" ht="18.75" x14ac:dyDescent="0.35">
      <c r="A16" s="54" t="s">
        <v>21</v>
      </c>
      <c r="D16" s="49">
        <f>48*10</f>
        <v>480</v>
      </c>
      <c r="E16" s="52" t="s">
        <v>18</v>
      </c>
    </row>
    <row r="17" spans="1:6" x14ac:dyDescent="0.25">
      <c r="A17" s="52" t="s">
        <v>23</v>
      </c>
      <c r="B17" s="50">
        <v>0.9</v>
      </c>
      <c r="D17" s="52" t="s">
        <v>19</v>
      </c>
      <c r="F17" s="79" t="str">
        <f>IF(Eff&gt;96%,"Please be Realistic with Efficiency Goal","")</f>
        <v/>
      </c>
    </row>
    <row r="18" spans="1:6" ht="18.75" x14ac:dyDescent="0.35">
      <c r="A18" s="52" t="s">
        <v>22</v>
      </c>
      <c r="C18" s="92">
        <v>200</v>
      </c>
      <c r="E18" s="52" t="s">
        <v>20</v>
      </c>
      <c r="F18" s="78" t="str">
        <f>IF(fs&gt;1000,"UCC28950 Can Only Achieve 1MHz Switching Frequency","")</f>
        <v/>
      </c>
    </row>
    <row r="19" spans="1:6" x14ac:dyDescent="0.25">
      <c r="A19" s="55"/>
      <c r="B19" s="55"/>
      <c r="C19" s="93"/>
      <c r="D19" s="55"/>
      <c r="E19" s="55"/>
      <c r="F19" s="55"/>
    </row>
    <row r="20" spans="1:6" x14ac:dyDescent="0.25">
      <c r="A20" s="75" t="s">
        <v>174</v>
      </c>
      <c r="B20" s="75"/>
      <c r="C20" s="94"/>
      <c r="D20" s="75"/>
      <c r="E20" s="75"/>
      <c r="F20" s="75"/>
    </row>
    <row r="21" spans="1:6" x14ac:dyDescent="0.25">
      <c r="A21" s="52" t="s">
        <v>9</v>
      </c>
      <c r="B21" s="52" t="s">
        <v>27</v>
      </c>
      <c r="D21" s="52" t="s">
        <v>16</v>
      </c>
    </row>
    <row r="22" spans="1:6" ht="18.75" x14ac:dyDescent="0.35">
      <c r="A22" s="52" t="s">
        <v>113</v>
      </c>
      <c r="B22" s="57" t="s">
        <v>24</v>
      </c>
      <c r="C22" s="58">
        <f>pout*(1-Eff)/Eff</f>
        <v>53.333333333333314</v>
      </c>
      <c r="D22" s="52" t="s">
        <v>18</v>
      </c>
    </row>
    <row r="23" spans="1:6" ht="18.75" x14ac:dyDescent="0.35">
      <c r="A23" s="52" t="s">
        <v>114</v>
      </c>
      <c r="B23" s="52" t="s">
        <v>25</v>
      </c>
      <c r="C23" s="58">
        <v>0.3</v>
      </c>
      <c r="D23" s="52" t="s">
        <v>17</v>
      </c>
    </row>
    <row r="24" spans="1:6" ht="18.75" x14ac:dyDescent="0.35">
      <c r="A24" s="52" t="s">
        <v>29</v>
      </c>
      <c r="B24" s="52" t="s">
        <v>31</v>
      </c>
      <c r="C24" s="58">
        <v>0.66</v>
      </c>
    </row>
    <row r="25" spans="1:6" ht="18.75" x14ac:dyDescent="0.35">
      <c r="A25" s="52" t="s">
        <v>28</v>
      </c>
      <c r="B25" s="52" t="s">
        <v>26</v>
      </c>
      <c r="C25" s="58">
        <f>((VINMIN-2*vrdson)*dmax)/(VOUT+vrdson)</f>
        <v>5.241206211180125</v>
      </c>
      <c r="D25" s="52" t="s">
        <v>19</v>
      </c>
      <c r="E25" s="52" t="s">
        <v>19</v>
      </c>
    </row>
    <row r="26" spans="1:6" x14ac:dyDescent="0.25">
      <c r="A26" s="52" t="s">
        <v>303</v>
      </c>
      <c r="B26" s="52" t="s">
        <v>26</v>
      </c>
      <c r="C26" s="102">
        <v>5.17</v>
      </c>
    </row>
    <row r="27" spans="1:6" s="58" customFormat="1" ht="18.75" x14ac:dyDescent="0.35">
      <c r="A27" s="58" t="s">
        <v>30</v>
      </c>
      <c r="B27" s="58" t="s">
        <v>32</v>
      </c>
      <c r="C27" s="58">
        <f>((VOUT+vrdson)*_taa1)/((vin-2*vrdson))</f>
        <v>0.64190583910646115</v>
      </c>
      <c r="D27" s="86" t="str">
        <f>IF(dtyp&gt;1,"Turns Ratio a1 in Error, Pleast Adjust","")</f>
        <v/>
      </c>
    </row>
    <row r="28" spans="1:6" ht="18.75" x14ac:dyDescent="0.35">
      <c r="A28" s="52" t="s">
        <v>33</v>
      </c>
      <c r="B28" s="69" t="s">
        <v>243</v>
      </c>
      <c r="C28" s="58">
        <f>pout*0.2/VOUT</f>
        <v>2</v>
      </c>
      <c r="D28" s="52" t="s">
        <v>34</v>
      </c>
    </row>
    <row r="29" spans="1:6" ht="18.75" x14ac:dyDescent="0.35">
      <c r="A29" s="52" t="s">
        <v>262</v>
      </c>
      <c r="B29" s="52" t="s">
        <v>35</v>
      </c>
      <c r="C29" s="58">
        <f>(vin*(1-dtyp)*_taa1)/(dilout*0.5*fs)</f>
        <v>3.606562440435459</v>
      </c>
      <c r="D29" s="52" t="s">
        <v>36</v>
      </c>
      <c r="E29" s="101"/>
    </row>
    <row r="30" spans="1:6" ht="18.75" x14ac:dyDescent="0.35">
      <c r="A30" s="52" t="s">
        <v>290</v>
      </c>
      <c r="B30" s="52" t="s">
        <v>37</v>
      </c>
      <c r="C30" s="58">
        <f>(pout/VOUT)+(dilout/2)</f>
        <v>11</v>
      </c>
      <c r="D30" s="52" t="s">
        <v>34</v>
      </c>
      <c r="E30" s="52" t="s">
        <v>19</v>
      </c>
    </row>
    <row r="31" spans="1:6" ht="18.75" x14ac:dyDescent="0.35">
      <c r="A31" s="52" t="s">
        <v>290</v>
      </c>
      <c r="B31" s="52" t="s">
        <v>38</v>
      </c>
      <c r="C31" s="58">
        <f>(pout/VOUT)-(dilout/2)</f>
        <v>9</v>
      </c>
      <c r="D31" s="52" t="s">
        <v>34</v>
      </c>
      <c r="E31" s="64"/>
    </row>
    <row r="32" spans="1:6" ht="18.75" x14ac:dyDescent="0.35">
      <c r="A32" s="52" t="s">
        <v>290</v>
      </c>
      <c r="B32" s="52" t="s">
        <v>40</v>
      </c>
      <c r="C32" s="58">
        <f>ips-(dilout/2)</f>
        <v>10</v>
      </c>
      <c r="D32" s="52" t="s">
        <v>34</v>
      </c>
      <c r="E32" s="58" t="s">
        <v>19</v>
      </c>
    </row>
    <row r="33" spans="1:5" ht="18.75" x14ac:dyDescent="0.35">
      <c r="A33" s="52" t="s">
        <v>244</v>
      </c>
      <c r="B33" s="52" t="s">
        <v>39</v>
      </c>
      <c r="C33" s="58">
        <f>((dmax/2)*(ips*ims+(((ips-ims)^2)/3)))^0.5</f>
        <v>5.7541289523263206</v>
      </c>
      <c r="D33" s="52" t="s">
        <v>34</v>
      </c>
      <c r="E33" s="57" t="s">
        <v>19</v>
      </c>
    </row>
    <row r="34" spans="1:5" ht="18.75" x14ac:dyDescent="0.35">
      <c r="A34" s="52" t="s">
        <v>244</v>
      </c>
      <c r="B34" s="52" t="s">
        <v>41</v>
      </c>
      <c r="C34" s="58">
        <f>(((1-dmax)/2)*(ips*_ims2+(((ips-_ims2)^2)/3)))^0.5</f>
        <v>4.3308967508665761</v>
      </c>
      <c r="D34" s="52" t="s">
        <v>34</v>
      </c>
      <c r="E34" s="52" t="s">
        <v>19</v>
      </c>
    </row>
    <row r="35" spans="1:5" ht="18.75" x14ac:dyDescent="0.35">
      <c r="A35" s="52" t="s">
        <v>244</v>
      </c>
      <c r="B35" s="52" t="s">
        <v>42</v>
      </c>
      <c r="C35" s="58">
        <f>(dilout/2)*((1-dmax)/6)^0.5</f>
        <v>0.23804761428476165</v>
      </c>
      <c r="D35" s="52" t="s">
        <v>34</v>
      </c>
      <c r="E35" s="52" t="s">
        <v>19</v>
      </c>
    </row>
    <row r="36" spans="1:5" ht="18.75" x14ac:dyDescent="0.35">
      <c r="A36" s="52" t="s">
        <v>263</v>
      </c>
      <c r="B36" s="52" t="s">
        <v>43</v>
      </c>
      <c r="C36" s="58">
        <f>(isrms1^2+isrms2^2+isrms3^2)^0.5</f>
        <v>7.2057847132240447</v>
      </c>
      <c r="D36" s="52" t="s">
        <v>34</v>
      </c>
    </row>
    <row r="37" spans="1:5" ht="18.75" x14ac:dyDescent="0.35">
      <c r="A37" s="52" t="s">
        <v>291</v>
      </c>
      <c r="B37" s="69" t="s">
        <v>329</v>
      </c>
      <c r="C37" s="58">
        <f>(VINMIN*dmax)/(lmag*fs)</f>
        <v>0.35150682150589174</v>
      </c>
      <c r="D37" s="52" t="s">
        <v>34</v>
      </c>
    </row>
    <row r="38" spans="1:5" ht="18.75" x14ac:dyDescent="0.35">
      <c r="A38" s="52" t="s">
        <v>290</v>
      </c>
      <c r="B38" s="52" t="s">
        <v>45</v>
      </c>
      <c r="C38" s="58">
        <f>(((pout/(VOUT*Eff))+dilout/2)/_taa1)+dilmag</f>
        <v>2.6940815045061068</v>
      </c>
      <c r="D38" s="52" t="s">
        <v>34</v>
      </c>
    </row>
    <row r="39" spans="1:5" ht="18.75" x14ac:dyDescent="0.35">
      <c r="A39" s="52" t="s">
        <v>290</v>
      </c>
      <c r="B39" s="52" t="s">
        <v>46</v>
      </c>
      <c r="C39" s="58">
        <f>(((pout/(VOUT*Eff))-dilout/2)/_taa1)+dilmag</f>
        <v>2.307234309148273</v>
      </c>
      <c r="D39" s="52" t="s">
        <v>34</v>
      </c>
    </row>
    <row r="40" spans="1:5" ht="18.75" x14ac:dyDescent="0.35">
      <c r="A40" s="52" t="s">
        <v>290</v>
      </c>
      <c r="B40" s="52" t="s">
        <v>47</v>
      </c>
      <c r="C40" s="58">
        <f>ipp-((dilout/2)/_ta1)</f>
        <v>2.5032857296963158</v>
      </c>
      <c r="D40" s="52" t="s">
        <v>34</v>
      </c>
    </row>
    <row r="41" spans="1:5" ht="18.75" x14ac:dyDescent="0.35">
      <c r="A41" s="52" t="s">
        <v>244</v>
      </c>
      <c r="B41" s="52" t="s">
        <v>48</v>
      </c>
      <c r="C41" s="58">
        <f>((dmax)*(ipp*imp+(((ipp-imp)^2)/3)))^0.5</f>
        <v>2.03356882588115</v>
      </c>
      <c r="D41" s="52" t="s">
        <v>34</v>
      </c>
    </row>
    <row r="42" spans="1:5" ht="18.75" x14ac:dyDescent="0.35">
      <c r="A42" s="52" t="s">
        <v>244</v>
      </c>
      <c r="B42" s="52" t="s">
        <v>49</v>
      </c>
      <c r="C42" s="58">
        <f>(((1-dmax))*(ipp*_imp2+(((ipp-_imp2)^2)/3)))^0.5</f>
        <v>1.5156202173784925</v>
      </c>
      <c r="D42" s="52" t="s">
        <v>34</v>
      </c>
    </row>
    <row r="43" spans="1:5" ht="18.75" x14ac:dyDescent="0.35">
      <c r="A43" s="52" t="s">
        <v>292</v>
      </c>
      <c r="B43" s="52" t="s">
        <v>51</v>
      </c>
      <c r="C43" s="58">
        <f>((iprms1)^2+(iprms2)^2)^0.5</f>
        <v>2.5362387137101403</v>
      </c>
      <c r="D43" s="52" t="s">
        <v>34</v>
      </c>
    </row>
    <row r="44" spans="1:5" ht="18.75" x14ac:dyDescent="0.35">
      <c r="A44" s="52" t="s">
        <v>72</v>
      </c>
      <c r="B44" s="52" t="s">
        <v>35</v>
      </c>
      <c r="C44" s="87">
        <v>5.2</v>
      </c>
      <c r="D44" s="52" t="s">
        <v>36</v>
      </c>
      <c r="E44" s="78" t="str">
        <f>IF(lmag2&lt;lmag,"Please make Lmag &gt; or = Calculated Lmag","")</f>
        <v/>
      </c>
    </row>
    <row r="45" spans="1:5" ht="18.75" x14ac:dyDescent="0.35">
      <c r="A45" s="52" t="s">
        <v>54</v>
      </c>
      <c r="B45" s="52" t="s">
        <v>50</v>
      </c>
      <c r="C45" s="87">
        <v>100</v>
      </c>
      <c r="D45" s="52" t="s">
        <v>205</v>
      </c>
    </row>
    <row r="46" spans="1:5" ht="18.75" x14ac:dyDescent="0.35">
      <c r="A46" s="52" t="s">
        <v>55</v>
      </c>
      <c r="B46" s="52" t="s">
        <v>52</v>
      </c>
      <c r="C46" s="87">
        <v>3.95</v>
      </c>
      <c r="D46" s="52" t="s">
        <v>205</v>
      </c>
    </row>
    <row r="47" spans="1:5" ht="18.75" x14ac:dyDescent="0.35">
      <c r="A47" s="52" t="s">
        <v>298</v>
      </c>
      <c r="B47" s="52" t="s">
        <v>297</v>
      </c>
      <c r="C47" s="87">
        <v>6</v>
      </c>
      <c r="D47" s="52" t="s">
        <v>74</v>
      </c>
    </row>
    <row r="48" spans="1:5" ht="18.75" x14ac:dyDescent="0.35">
      <c r="A48" s="59" t="s">
        <v>56</v>
      </c>
      <c r="B48" s="52" t="s">
        <v>53</v>
      </c>
      <c r="C48" s="58">
        <f>2*((iprms^2*(dcrp/1000))+2*(isrms^2*(dcrs/1000)))</f>
        <v>2.1068900292510802</v>
      </c>
      <c r="D48" s="52" t="s">
        <v>18</v>
      </c>
    </row>
    <row r="49" spans="1:6" ht="18.75" x14ac:dyDescent="0.35">
      <c r="A49" s="52" t="s">
        <v>57</v>
      </c>
      <c r="B49" s="52" t="s">
        <v>24</v>
      </c>
      <c r="C49" s="58">
        <f>pbudget-C48</f>
        <v>51.226443304082231</v>
      </c>
      <c r="D49" s="52" t="s">
        <v>18</v>
      </c>
      <c r="E49" s="78" t="str">
        <f>IF(C49&lt;0,"PBudget Cannot be Made with Selected Components","")</f>
        <v/>
      </c>
    </row>
    <row r="50" spans="1:6" x14ac:dyDescent="0.25">
      <c r="A50" s="75" t="s">
        <v>58</v>
      </c>
      <c r="B50" s="75"/>
      <c r="C50" s="94" t="s">
        <v>19</v>
      </c>
      <c r="D50" s="75"/>
      <c r="E50" s="75"/>
      <c r="F50" s="75"/>
    </row>
    <row r="51" spans="1:6" ht="18.75" x14ac:dyDescent="0.35">
      <c r="A51" s="59" t="s">
        <v>279</v>
      </c>
      <c r="B51" s="52" t="s">
        <v>69</v>
      </c>
      <c r="C51" s="87">
        <v>12</v>
      </c>
      <c r="D51" s="52" t="s">
        <v>17</v>
      </c>
    </row>
    <row r="52" spans="1:6" ht="18.75" x14ac:dyDescent="0.35">
      <c r="A52" s="52" t="s">
        <v>60</v>
      </c>
      <c r="B52" s="52" t="s">
        <v>59</v>
      </c>
      <c r="C52" s="87">
        <v>180</v>
      </c>
      <c r="D52" s="52" t="s">
        <v>205</v>
      </c>
    </row>
    <row r="53" spans="1:6" ht="18.75" x14ac:dyDescent="0.35">
      <c r="A53" s="52" t="s">
        <v>61</v>
      </c>
      <c r="B53" s="52" t="s">
        <v>63</v>
      </c>
      <c r="C53" s="87">
        <v>60</v>
      </c>
      <c r="D53" s="52" t="s">
        <v>62</v>
      </c>
    </row>
    <row r="54" spans="1:6" ht="18.75" x14ac:dyDescent="0.35">
      <c r="A54" s="52" t="s">
        <v>115</v>
      </c>
      <c r="B54" s="52" t="s">
        <v>70</v>
      </c>
      <c r="C54" s="87">
        <v>35</v>
      </c>
      <c r="D54" s="52" t="s">
        <v>71</v>
      </c>
    </row>
    <row r="55" spans="1:6" ht="36" x14ac:dyDescent="0.35">
      <c r="A55" s="54" t="s">
        <v>116</v>
      </c>
      <c r="B55" s="52" t="s">
        <v>64</v>
      </c>
      <c r="C55" s="87">
        <v>100</v>
      </c>
      <c r="D55" s="52" t="s">
        <v>17</v>
      </c>
    </row>
    <row r="56" spans="1:6" ht="18.75" x14ac:dyDescent="0.35">
      <c r="A56" s="52" t="s">
        <v>65</v>
      </c>
      <c r="B56" s="52" t="s">
        <v>66</v>
      </c>
      <c r="C56" s="58">
        <f>C53*((C55/VINMAX)^0.5)</f>
        <v>30.186601681914929</v>
      </c>
      <c r="D56" s="52" t="s">
        <v>62</v>
      </c>
    </row>
    <row r="57" spans="1:6" ht="18.75" x14ac:dyDescent="0.35">
      <c r="A57" s="52" t="s">
        <v>68</v>
      </c>
      <c r="B57" s="52" t="s">
        <v>67</v>
      </c>
      <c r="C57" s="58">
        <f>((iprms^2)*(rdsonqa/1000))+(2*(QAg*0.000000001)*vg*(fs*1000/2))</f>
        <v>1.2418512263259722</v>
      </c>
      <c r="D57" s="52" t="s">
        <v>18</v>
      </c>
    </row>
    <row r="58" spans="1:6" ht="18.75" x14ac:dyDescent="0.35">
      <c r="A58" s="52" t="s">
        <v>57</v>
      </c>
      <c r="B58" s="52" t="s">
        <v>24</v>
      </c>
      <c r="C58" s="58">
        <f>C49-4*C57</f>
        <v>46.259038398778344</v>
      </c>
      <c r="D58" s="52" t="s">
        <v>18</v>
      </c>
      <c r="E58" s="78" t="str">
        <f>IF(C58&lt;0,"PBudget Cannot be Made with Selected Components","")</f>
        <v/>
      </c>
    </row>
    <row r="59" spans="1:6" ht="18.75" x14ac:dyDescent="0.35">
      <c r="A59" s="75" t="s">
        <v>282</v>
      </c>
      <c r="B59" s="56"/>
      <c r="C59" s="95"/>
      <c r="D59" s="56"/>
      <c r="E59" s="75"/>
      <c r="F59" s="75"/>
    </row>
    <row r="60" spans="1:6" ht="18.75" x14ac:dyDescent="0.35">
      <c r="A60" s="52" t="s">
        <v>85</v>
      </c>
      <c r="B60" s="52" t="s">
        <v>73</v>
      </c>
      <c r="C60" s="58">
        <f>(((2*cossqaavg*0.000000000001)*((vin)^2)/((ipp/2)-(dilout/(2*_ta1)))^2)*1000000)-llk</f>
        <v>0.85513226648467988</v>
      </c>
      <c r="D60" s="52" t="s">
        <v>74</v>
      </c>
      <c r="E60" s="78" t="str">
        <f>IF(C60&lt;0,"Calculated Ls is Negative and Ls Might Not be Needed, However, Leave a Place Holder for Ls Just in Case","")</f>
        <v/>
      </c>
    </row>
    <row r="61" spans="1:6" ht="18.75" x14ac:dyDescent="0.35">
      <c r="A61" s="52" t="s">
        <v>172</v>
      </c>
      <c r="B61" s="52" t="s">
        <v>73</v>
      </c>
      <c r="C61" s="87">
        <v>23.92</v>
      </c>
      <c r="D61" s="52" t="s">
        <v>74</v>
      </c>
    </row>
    <row r="62" spans="1:6" ht="18.75" x14ac:dyDescent="0.35">
      <c r="A62" s="52" t="s">
        <v>76</v>
      </c>
      <c r="B62" s="52" t="s">
        <v>75</v>
      </c>
      <c r="C62" s="87">
        <v>27</v>
      </c>
      <c r="D62" s="52" t="s">
        <v>205</v>
      </c>
    </row>
    <row r="63" spans="1:6" ht="18.75" x14ac:dyDescent="0.35">
      <c r="A63" s="52" t="s">
        <v>77</v>
      </c>
      <c r="B63" s="52" t="s">
        <v>78</v>
      </c>
      <c r="C63" s="58">
        <f>2*iprms^2*(C62*0.001)</f>
        <v>0.34735536789779164</v>
      </c>
      <c r="D63" s="52" t="s">
        <v>18</v>
      </c>
    </row>
    <row r="64" spans="1:6" ht="18.75" x14ac:dyDescent="0.35">
      <c r="A64" s="52" t="s">
        <v>57</v>
      </c>
      <c r="B64" s="52" t="s">
        <v>24</v>
      </c>
      <c r="C64" s="58">
        <f>C58-C63</f>
        <v>45.911683030880553</v>
      </c>
      <c r="D64" s="52" t="s">
        <v>18</v>
      </c>
      <c r="E64" s="78" t="str">
        <f>IF(C64&lt;0,"PBudget Cannot be Made with Selected Components","")</f>
        <v/>
      </c>
    </row>
    <row r="65" spans="1:6" ht="18.75" x14ac:dyDescent="0.35">
      <c r="A65" s="75" t="s">
        <v>283</v>
      </c>
      <c r="B65" s="56"/>
      <c r="C65" s="95"/>
      <c r="D65" s="56"/>
      <c r="E65" s="75"/>
      <c r="F65" s="75"/>
    </row>
    <row r="66" spans="1:6" ht="18.75" x14ac:dyDescent="0.35">
      <c r="A66" s="52" t="s">
        <v>86</v>
      </c>
      <c r="B66" s="52" t="s">
        <v>79</v>
      </c>
      <c r="C66" s="58">
        <f>((VOUT*(1-dtyp))/(dilout*fs))*1000</f>
        <v>42.971299307224662</v>
      </c>
      <c r="D66" s="52" t="s">
        <v>74</v>
      </c>
    </row>
    <row r="67" spans="1:6" ht="18.75" x14ac:dyDescent="0.35">
      <c r="A67" s="52" t="s">
        <v>83</v>
      </c>
      <c r="B67" s="52" t="s">
        <v>84</v>
      </c>
      <c r="C67" s="58">
        <f>((pout/VOUT)^2+(dilout/(3^0.5))^2)^0.5</f>
        <v>10.066445913694333</v>
      </c>
      <c r="D67" s="52" t="s">
        <v>34</v>
      </c>
    </row>
    <row r="68" spans="1:6" ht="18.75" x14ac:dyDescent="0.35">
      <c r="A68" s="52" t="s">
        <v>173</v>
      </c>
      <c r="B68" s="52" t="s">
        <v>79</v>
      </c>
      <c r="C68" s="87">
        <v>47</v>
      </c>
      <c r="D68" s="52" t="s">
        <v>74</v>
      </c>
      <c r="E68" s="52" t="str">
        <f>IF(lout&lt;(C66*0.9),"Lout needs to be &gt; or = Lout Calculated","")</f>
        <v/>
      </c>
    </row>
    <row r="69" spans="1:6" ht="18.75" x14ac:dyDescent="0.35">
      <c r="A69" s="52" t="s">
        <v>264</v>
      </c>
      <c r="B69" s="52" t="s">
        <v>80</v>
      </c>
      <c r="C69" s="87">
        <v>2.95</v>
      </c>
      <c r="D69" s="52" t="s">
        <v>205</v>
      </c>
    </row>
    <row r="70" spans="1:6" ht="18.75" x14ac:dyDescent="0.35">
      <c r="A70" s="52" t="s">
        <v>81</v>
      </c>
      <c r="B70" s="52" t="s">
        <v>82</v>
      </c>
      <c r="C70" s="58">
        <f>2*iloutrms^2*dcrlout*0.001</f>
        <v>0.59786666666666666</v>
      </c>
      <c r="D70" s="52" t="s">
        <v>18</v>
      </c>
    </row>
    <row r="71" spans="1:6" ht="18.75" x14ac:dyDescent="0.35">
      <c r="A71" s="52" t="s">
        <v>57</v>
      </c>
      <c r="B71" s="52" t="s">
        <v>24</v>
      </c>
      <c r="C71" s="58">
        <f>C64-C70</f>
        <v>45.313816364213885</v>
      </c>
      <c r="D71" s="52" t="s">
        <v>18</v>
      </c>
      <c r="E71" s="78" t="str">
        <f>IF(C71&lt;0,"PBudget Cannot be Made with Selected Components","")</f>
        <v/>
      </c>
    </row>
    <row r="72" spans="1:6" ht="18.75" x14ac:dyDescent="0.35">
      <c r="A72" s="75" t="s">
        <v>284</v>
      </c>
      <c r="B72" s="56"/>
      <c r="C72" s="95"/>
      <c r="D72" s="56"/>
      <c r="E72" s="75"/>
      <c r="F72" s="75"/>
    </row>
    <row r="73" spans="1:6" ht="18.75" x14ac:dyDescent="0.35">
      <c r="A73" s="52" t="s">
        <v>88</v>
      </c>
      <c r="B73" s="52" t="s">
        <v>87</v>
      </c>
      <c r="C73" s="58">
        <f>((lout*pout*0.9)/VOUT)/VOUT</f>
        <v>8.8125</v>
      </c>
      <c r="D73" s="52" t="s">
        <v>89</v>
      </c>
    </row>
    <row r="74" spans="1:6" ht="18.75" x14ac:dyDescent="0.35">
      <c r="A74" s="52" t="s">
        <v>206</v>
      </c>
      <c r="B74" s="52" t="s">
        <v>90</v>
      </c>
      <c r="C74" s="58">
        <f>((VTRAN*0.9)/((pout*0.9)/VOUT))*10^3</f>
        <v>60.000000000000007</v>
      </c>
      <c r="D74" s="52" t="s">
        <v>205</v>
      </c>
    </row>
    <row r="75" spans="1:6" ht="18.75" x14ac:dyDescent="0.35">
      <c r="A75" s="52" t="s">
        <v>207</v>
      </c>
      <c r="B75" s="52" t="s">
        <v>91</v>
      </c>
      <c r="C75" s="58">
        <f>(pout*0.9*thu)/(VOUT*VTRAN*0.1)</f>
        <v>1321.875</v>
      </c>
      <c r="D75" s="52" t="s">
        <v>92</v>
      </c>
    </row>
    <row r="76" spans="1:6" ht="18.75" x14ac:dyDescent="0.35">
      <c r="A76" s="52" t="s">
        <v>98</v>
      </c>
      <c r="B76" s="52" t="s">
        <v>97</v>
      </c>
      <c r="C76" s="58">
        <f>dilout/(3^0.5)</f>
        <v>1.1547005383792517</v>
      </c>
      <c r="D76" s="52" t="s">
        <v>34</v>
      </c>
    </row>
    <row r="77" spans="1:6" x14ac:dyDescent="0.25">
      <c r="A77" s="52" t="s">
        <v>175</v>
      </c>
      <c r="B77" s="52" t="s">
        <v>93</v>
      </c>
      <c r="C77" s="87">
        <v>6</v>
      </c>
    </row>
    <row r="78" spans="1:6" x14ac:dyDescent="0.25">
      <c r="A78" s="52" t="s">
        <v>94</v>
      </c>
      <c r="C78" s="87">
        <v>800</v>
      </c>
      <c r="D78" s="52" t="s">
        <v>92</v>
      </c>
    </row>
    <row r="79" spans="1:6" x14ac:dyDescent="0.25">
      <c r="A79" s="52" t="s">
        <v>95</v>
      </c>
      <c r="C79" s="87">
        <v>17</v>
      </c>
      <c r="D79" s="52" t="s">
        <v>205</v>
      </c>
    </row>
    <row r="80" spans="1:6" ht="18.75" x14ac:dyDescent="0.35">
      <c r="A80" s="52" t="s">
        <v>96</v>
      </c>
      <c r="B80" s="52" t="s">
        <v>91</v>
      </c>
      <c r="C80" s="58">
        <f>C77*C78</f>
        <v>4800</v>
      </c>
      <c r="D80" s="52" t="s">
        <v>92</v>
      </c>
    </row>
    <row r="81" spans="1:7" ht="18.75" x14ac:dyDescent="0.35">
      <c r="A81" s="52" t="s">
        <v>265</v>
      </c>
      <c r="B81" s="52" t="s">
        <v>90</v>
      </c>
      <c r="C81" s="58">
        <f>C79/C77</f>
        <v>2.8333333333333335</v>
      </c>
      <c r="D81" s="52" t="s">
        <v>205</v>
      </c>
    </row>
    <row r="82" spans="1:7" ht="18.75" x14ac:dyDescent="0.35">
      <c r="A82" s="52" t="s">
        <v>99</v>
      </c>
      <c r="B82" s="52" t="s">
        <v>100</v>
      </c>
      <c r="C82" s="58">
        <f>(C76^2)*C81*0.001</f>
        <v>3.7777777777777792E-3</v>
      </c>
      <c r="D82" s="52" t="s">
        <v>18</v>
      </c>
    </row>
    <row r="83" spans="1:7" ht="18.75" x14ac:dyDescent="0.35">
      <c r="A83" s="52" t="s">
        <v>57</v>
      </c>
      <c r="B83" s="52" t="s">
        <v>24</v>
      </c>
      <c r="C83" s="58">
        <f>C71-C82</f>
        <v>45.310038586436107</v>
      </c>
      <c r="D83" s="52" t="s">
        <v>18</v>
      </c>
      <c r="E83" s="78" t="str">
        <f>IF(C83&lt;0,"PBudget Cannot be Made with Selected Components","")</f>
        <v/>
      </c>
    </row>
    <row r="84" spans="1:7" x14ac:dyDescent="0.25">
      <c r="A84" s="75" t="s">
        <v>109</v>
      </c>
      <c r="B84" s="56"/>
      <c r="C84" s="95"/>
      <c r="D84" s="56"/>
      <c r="E84" s="75"/>
      <c r="F84" s="75"/>
    </row>
    <row r="85" spans="1:7" ht="18.75" x14ac:dyDescent="0.35">
      <c r="A85" s="52" t="s">
        <v>135</v>
      </c>
      <c r="B85" s="52" t="s">
        <v>117</v>
      </c>
      <c r="C85" s="88">
        <f>2*VINMAX/_taa1</f>
        <v>152.83172147001935</v>
      </c>
      <c r="D85" s="52" t="s">
        <v>17</v>
      </c>
      <c r="E85" s="99" t="s">
        <v>336</v>
      </c>
    </row>
    <row r="86" spans="1:7" ht="18.75" x14ac:dyDescent="0.35">
      <c r="A86" s="52" t="s">
        <v>112</v>
      </c>
      <c r="B86" s="52" t="s">
        <v>110</v>
      </c>
      <c r="C86" s="87">
        <v>96</v>
      </c>
      <c r="D86" s="52" t="s">
        <v>71</v>
      </c>
    </row>
    <row r="87" spans="1:7" ht="18.75" x14ac:dyDescent="0.35">
      <c r="A87" s="52" t="s">
        <v>266</v>
      </c>
      <c r="B87" s="52" t="s">
        <v>111</v>
      </c>
      <c r="C87" s="87">
        <v>55</v>
      </c>
      <c r="D87" s="52" t="s">
        <v>205</v>
      </c>
    </row>
    <row r="88" spans="1:7" ht="18.75" x14ac:dyDescent="0.35">
      <c r="A88" s="52" t="s">
        <v>119</v>
      </c>
      <c r="B88" s="52" t="s">
        <v>118</v>
      </c>
      <c r="C88" s="87">
        <v>400</v>
      </c>
      <c r="D88" s="52" t="s">
        <v>17</v>
      </c>
    </row>
    <row r="89" spans="1:7" ht="18.75" x14ac:dyDescent="0.35">
      <c r="A89" s="52" t="s">
        <v>121</v>
      </c>
      <c r="B89" s="52" t="s">
        <v>120</v>
      </c>
      <c r="C89" s="87">
        <v>73</v>
      </c>
      <c r="D89" s="52" t="s">
        <v>62</v>
      </c>
    </row>
    <row r="90" spans="1:7" ht="18.75" x14ac:dyDescent="0.35">
      <c r="A90" s="52" t="s">
        <v>123</v>
      </c>
      <c r="B90" s="52" t="s">
        <v>122</v>
      </c>
      <c r="C90" s="58">
        <f>C89*((C85/C88)^0.5)</f>
        <v>45.123171533972794</v>
      </c>
      <c r="D90" s="52" t="s">
        <v>62</v>
      </c>
    </row>
    <row r="91" spans="1:7" ht="18.75" x14ac:dyDescent="0.35">
      <c r="A91" s="52" t="s">
        <v>124</v>
      </c>
      <c r="B91" s="52" t="s">
        <v>125</v>
      </c>
      <c r="C91" s="58">
        <f>isrms</f>
        <v>7.2057847132240447</v>
      </c>
      <c r="D91" s="52" t="s">
        <v>34</v>
      </c>
    </row>
    <row r="92" spans="1:7" ht="18.75" x14ac:dyDescent="0.35">
      <c r="A92" s="52" t="s">
        <v>128</v>
      </c>
      <c r="B92" s="52" t="s">
        <v>126</v>
      </c>
      <c r="C92" s="87">
        <v>50</v>
      </c>
      <c r="D92" s="52" t="s">
        <v>71</v>
      </c>
    </row>
    <row r="93" spans="1:7" ht="18.75" x14ac:dyDescent="0.35">
      <c r="A93" s="52" t="s">
        <v>267</v>
      </c>
      <c r="B93" s="52" t="s">
        <v>127</v>
      </c>
      <c r="C93" s="87">
        <v>25</v>
      </c>
      <c r="D93" s="52" t="s">
        <v>71</v>
      </c>
    </row>
    <row r="94" spans="1:7" ht="18.75" x14ac:dyDescent="0.35">
      <c r="A94" s="52" t="s">
        <v>129</v>
      </c>
      <c r="B94" s="52" t="s">
        <v>130</v>
      </c>
      <c r="C94" s="87">
        <v>5</v>
      </c>
      <c r="D94" s="52" t="s">
        <v>34</v>
      </c>
    </row>
    <row r="95" spans="1:7" ht="18.75" x14ac:dyDescent="0.35">
      <c r="A95" s="52" t="s">
        <v>268</v>
      </c>
      <c r="B95" s="52" t="s">
        <v>131</v>
      </c>
      <c r="C95" s="58">
        <f>(C92-C93)/(C94/2)</f>
        <v>10</v>
      </c>
      <c r="D95" s="52" t="s">
        <v>132</v>
      </c>
    </row>
    <row r="96" spans="1:7" ht="18.75" x14ac:dyDescent="0.35">
      <c r="A96" s="52" t="s">
        <v>133</v>
      </c>
      <c r="B96" s="52" t="s">
        <v>134</v>
      </c>
      <c r="C96" s="58">
        <f>((isrms^2)*(rdsonqe*0.001))+(pout/VOUT)*vdsqe*(2*tr*0.000000001)*((fs*1000)/2)+(2*(cossqeavg*0.000000000001)*(vdsqe^2)*((fs*1000)/2))+(2*(qeg*0.000000001)*vg*((fs*1000)/2))</f>
        <v>6.3536109752064354</v>
      </c>
      <c r="D96" s="52" t="s">
        <v>18</v>
      </c>
      <c r="G96" s="52">
        <v>7.66</v>
      </c>
    </row>
    <row r="97" spans="1:6" ht="18.75" x14ac:dyDescent="0.35">
      <c r="A97" s="54" t="s">
        <v>57</v>
      </c>
      <c r="B97" s="52" t="s">
        <v>24</v>
      </c>
      <c r="C97" s="58">
        <f>C83-2*C96</f>
        <v>32.602816636023235</v>
      </c>
      <c r="D97" s="52" t="s">
        <v>18</v>
      </c>
      <c r="E97" s="78" t="str">
        <f>IF(C97&lt;0,"PBudget Cannot be Made with Selected Components","")</f>
        <v/>
      </c>
    </row>
    <row r="98" spans="1:6" ht="18.75" x14ac:dyDescent="0.35">
      <c r="A98" s="75" t="s">
        <v>285</v>
      </c>
      <c r="B98" s="56"/>
      <c r="C98" s="95"/>
      <c r="D98" s="56"/>
      <c r="E98" s="75"/>
      <c r="F98" s="75"/>
    </row>
    <row r="99" spans="1:6" hidden="1" x14ac:dyDescent="0.25">
      <c r="A99" s="54" t="s">
        <v>166</v>
      </c>
      <c r="B99" s="52" t="s">
        <v>165</v>
      </c>
      <c r="C99" s="58">
        <f>1/(2*PI()*(ls*0.000001*2*cossqaavg*0.000000000001)^0.5)</f>
        <v>4188103.7725246088</v>
      </c>
      <c r="D99" s="52" t="s">
        <v>19</v>
      </c>
    </row>
    <row r="100" spans="1:6" ht="18.75" x14ac:dyDescent="0.35">
      <c r="A100" s="54" t="s">
        <v>167</v>
      </c>
      <c r="B100" s="52" t="s">
        <v>164</v>
      </c>
      <c r="C100" s="58">
        <f>2.2*1000000000/(C99*4)</f>
        <v>131.32434864871016</v>
      </c>
      <c r="D100" s="52" t="s">
        <v>132</v>
      </c>
    </row>
    <row r="101" spans="1:6" hidden="1" x14ac:dyDescent="0.25">
      <c r="A101" s="54" t="s">
        <v>170</v>
      </c>
      <c r="B101" s="52" t="s">
        <v>171</v>
      </c>
      <c r="C101" s="58">
        <f>1/(fs*1000)</f>
        <v>5.0000000000000004E-6</v>
      </c>
      <c r="E101" s="52" t="s">
        <v>19</v>
      </c>
    </row>
    <row r="102" spans="1:6" ht="18.75" x14ac:dyDescent="0.35">
      <c r="A102" s="54" t="s">
        <v>169</v>
      </c>
      <c r="B102" s="52" t="s">
        <v>168</v>
      </c>
      <c r="C102" s="58">
        <f>(C101-C100*0.000000001)/C101</f>
        <v>0.97373513027025804</v>
      </c>
    </row>
    <row r="103" spans="1:6" ht="18.75" x14ac:dyDescent="0.35">
      <c r="A103" s="52" t="s">
        <v>102</v>
      </c>
      <c r="B103" s="52" t="s">
        <v>101</v>
      </c>
      <c r="C103" s="58">
        <f>((2*dclamp*vrdson)+(_taa1*(VOUT+vrdson)))/dclamp</f>
        <v>257.04653482995241</v>
      </c>
      <c r="D103" s="52" t="s">
        <v>17</v>
      </c>
    </row>
    <row r="104" spans="1:6" ht="18.75" x14ac:dyDescent="0.35">
      <c r="A104" s="52" t="s">
        <v>104</v>
      </c>
      <c r="B104" s="52" t="s">
        <v>103</v>
      </c>
      <c r="C104" s="58">
        <f>((2*pout*(1/60))/(vin^2-C103^2))*1000000</f>
        <v>186.63914047349087</v>
      </c>
      <c r="D104" s="52" t="s">
        <v>92</v>
      </c>
      <c r="E104" s="78" t="str">
        <f>IF(VINMIN&lt;200,"Non-PFC Cin Capacitance Cannot Be Calculated, Use Other Method","")</f>
        <v/>
      </c>
    </row>
    <row r="105" spans="1:6" ht="18.75" x14ac:dyDescent="0.35">
      <c r="A105" s="52" t="s">
        <v>105</v>
      </c>
      <c r="B105" s="52" t="s">
        <v>106</v>
      </c>
      <c r="C105" s="58">
        <f>(    (iprms1^2)    -(        ( pout/(VINMIN*Eff)       )   ^2)           )^0.5</f>
        <v>1.4859361912345159</v>
      </c>
      <c r="D105" s="52" t="s">
        <v>34</v>
      </c>
    </row>
    <row r="106" spans="1:6" ht="18.75" x14ac:dyDescent="0.35">
      <c r="A106" s="52" t="s">
        <v>176</v>
      </c>
      <c r="B106" s="52" t="s">
        <v>103</v>
      </c>
      <c r="C106" s="87">
        <f>510*0.8</f>
        <v>408</v>
      </c>
      <c r="D106" s="52" t="s">
        <v>92</v>
      </c>
    </row>
    <row r="107" spans="1:6" ht="18.75" x14ac:dyDescent="0.35">
      <c r="A107" s="52" t="s">
        <v>269</v>
      </c>
      <c r="B107" s="52" t="s">
        <v>107</v>
      </c>
      <c r="C107" s="87">
        <v>860</v>
      </c>
      <c r="D107" s="52" t="s">
        <v>205</v>
      </c>
    </row>
    <row r="108" spans="1:6" ht="18.75" x14ac:dyDescent="0.35">
      <c r="A108" s="52" t="s">
        <v>270</v>
      </c>
      <c r="B108" s="52" t="s">
        <v>108</v>
      </c>
      <c r="C108" s="58">
        <f>(C105^2)*(C107*0.001)</f>
        <v>1.898885473401664</v>
      </c>
      <c r="D108" s="52" t="s">
        <v>18</v>
      </c>
    </row>
    <row r="109" spans="1:6" ht="54.75" customHeight="1" x14ac:dyDescent="0.35">
      <c r="A109" s="54" t="s">
        <v>286</v>
      </c>
      <c r="B109" s="52" t="s">
        <v>24</v>
      </c>
      <c r="C109" s="58">
        <f>C97-C108</f>
        <v>30.703931162621572</v>
      </c>
      <c r="D109" s="52" t="s">
        <v>18</v>
      </c>
      <c r="E109" s="78" t="str">
        <f>IF(C109&lt;0,"PBudget Cannot be Made with Selected Components","")</f>
        <v/>
      </c>
    </row>
    <row r="110" spans="1:6" ht="18.75" x14ac:dyDescent="0.35">
      <c r="A110" s="75" t="s">
        <v>293</v>
      </c>
      <c r="B110" s="75"/>
      <c r="C110" s="94" t="s">
        <v>19</v>
      </c>
      <c r="D110" s="75" t="s">
        <v>19</v>
      </c>
      <c r="E110" s="75" t="s">
        <v>19</v>
      </c>
      <c r="F110" s="75"/>
    </row>
    <row r="111" spans="1:6" ht="18.75" x14ac:dyDescent="0.35">
      <c r="A111" s="52" t="s">
        <v>137</v>
      </c>
      <c r="B111" s="52" t="s">
        <v>136</v>
      </c>
      <c r="C111" s="87">
        <v>100</v>
      </c>
    </row>
    <row r="112" spans="1:6" ht="18.75" x14ac:dyDescent="0.35">
      <c r="A112" s="52" t="s">
        <v>158</v>
      </c>
      <c r="B112" s="52" t="s">
        <v>157</v>
      </c>
      <c r="C112" s="88">
        <f>((pout/(VOUT)+(dilout/2))/(Eff*_taa1))+((VINMIN*dmax)/(lmag2*fs))</f>
        <v>2.6078606746226587</v>
      </c>
      <c r="D112" s="52" t="s">
        <v>34</v>
      </c>
      <c r="E112" s="52" t="s">
        <v>19</v>
      </c>
    </row>
    <row r="113" spans="1:6" ht="18.75" x14ac:dyDescent="0.35">
      <c r="A113" s="52" t="s">
        <v>155</v>
      </c>
      <c r="B113" s="52" t="s">
        <v>154</v>
      </c>
      <c r="C113" s="58">
        <f>(2-0.2)/((_ipp1/_ta2)*1.1)</f>
        <v>62.747356570358498</v>
      </c>
      <c r="D113" s="52" t="s">
        <v>156</v>
      </c>
    </row>
    <row r="114" spans="1:6" ht="18.75" x14ac:dyDescent="0.35">
      <c r="A114" s="52" t="s">
        <v>295</v>
      </c>
      <c r="B114" s="52" t="s">
        <v>154</v>
      </c>
      <c r="C114" s="58">
        <f>(IF((10^(LOG(C113)-INT(LOG(C113)))*100)-VLOOKUP((10^(LOG(C113)-INT(LOG(C113)))*100),E48_s:E48_f,1)&lt;VLOOKUP((10^(LOG(C113)-INT(LOG(C113)))*100),E48_s:E48_f,2)-(10^(LOG(C113)-INT(LOG(C113)))*100),VLOOKUP((10^(LOG(C113)-INT(LOG(C113)))*100),E48_s:E48_f,1),VLOOKUP((10^(LOG(C113)-INT(LOG(C113)))*100),E48_s:E48_f,2)))*10^INT(LOG(C113))/100</f>
        <v>61.9</v>
      </c>
      <c r="D114" s="52" t="s">
        <v>156</v>
      </c>
    </row>
    <row r="115" spans="1:6" ht="18.75" x14ac:dyDescent="0.35">
      <c r="A115" s="52" t="s">
        <v>159</v>
      </c>
      <c r="B115" s="52" t="s">
        <v>154</v>
      </c>
      <c r="C115" s="87">
        <v>61.9</v>
      </c>
      <c r="D115" s="52" t="s">
        <v>156</v>
      </c>
      <c r="E115" s="52" t="s">
        <v>19</v>
      </c>
    </row>
    <row r="116" spans="1:6" ht="18.75" x14ac:dyDescent="0.35">
      <c r="A116" s="52" t="s">
        <v>160</v>
      </c>
      <c r="B116" s="52" t="s">
        <v>161</v>
      </c>
      <c r="C116" s="58">
        <f>((iprms1/_ta2)^2)*C115</f>
        <v>2.5598139429797006E-2</v>
      </c>
      <c r="D116" s="52" t="s">
        <v>18</v>
      </c>
    </row>
    <row r="117" spans="1:6" ht="18.75" x14ac:dyDescent="0.35">
      <c r="A117" s="52" t="s">
        <v>163</v>
      </c>
      <c r="B117" s="52" t="s">
        <v>162</v>
      </c>
      <c r="C117" s="58">
        <f>(2*(dclamp))/(1-dclamp)</f>
        <v>74.147341318629458</v>
      </c>
      <c r="D117" s="52" t="s">
        <v>17</v>
      </c>
    </row>
    <row r="118" spans="1:6" ht="18.75" x14ac:dyDescent="0.35">
      <c r="A118" s="52" t="s">
        <v>177</v>
      </c>
      <c r="B118" s="52" t="s">
        <v>178</v>
      </c>
      <c r="C118" s="58">
        <f>(pout*0.6)/(VINMIN*Eff*_ta2)</f>
        <v>8.3298408740085528E-3</v>
      </c>
      <c r="D118" s="52" t="s">
        <v>18</v>
      </c>
    </row>
    <row r="119" spans="1:6" ht="18.75" x14ac:dyDescent="0.35">
      <c r="A119" s="75" t="s">
        <v>287</v>
      </c>
      <c r="B119" s="56"/>
      <c r="C119" s="95"/>
      <c r="D119" s="56"/>
      <c r="E119" s="75" t="s">
        <v>19</v>
      </c>
      <c r="F119" s="75"/>
    </row>
    <row r="120" spans="1:6" x14ac:dyDescent="0.25">
      <c r="A120" s="52" t="s">
        <v>271</v>
      </c>
      <c r="B120" s="52" t="s">
        <v>179</v>
      </c>
      <c r="C120" s="87">
        <v>2.5</v>
      </c>
      <c r="D120" s="52" t="s">
        <v>17</v>
      </c>
      <c r="E120" s="78" t="str">
        <f>IF(_va1&gt;VOUT,"V1 Needs to be &lt; VOUT",IF(_va1=VOUT,"V1 Needs to be &lt; VOUT",""))</f>
        <v/>
      </c>
      <c r="F120" s="78"/>
    </row>
    <row r="121" spans="1:6" ht="18.75" x14ac:dyDescent="0.35">
      <c r="A121" s="52" t="s">
        <v>181</v>
      </c>
      <c r="B121" s="52" t="s">
        <v>180</v>
      </c>
      <c r="C121" s="87">
        <v>2.37</v>
      </c>
      <c r="D121" s="52" t="s">
        <v>208</v>
      </c>
      <c r="E121" s="78" t="str">
        <f>IF(_va1&lt;0.5,"V1 Needs to be Greater than 0.5","")</f>
        <v/>
      </c>
    </row>
    <row r="122" spans="1:6" ht="18.75" x14ac:dyDescent="0.35">
      <c r="A122" s="52" t="s">
        <v>183</v>
      </c>
      <c r="B122" s="52" t="s">
        <v>182</v>
      </c>
      <c r="C122" s="58">
        <f>C121*(5-C120)/C120</f>
        <v>2.37</v>
      </c>
      <c r="D122" s="52" t="s">
        <v>208</v>
      </c>
    </row>
    <row r="123" spans="1:6" ht="18.75" x14ac:dyDescent="0.35">
      <c r="A123" s="52" t="s">
        <v>295</v>
      </c>
      <c r="B123" s="52" t="s">
        <v>182</v>
      </c>
      <c r="C123" s="58">
        <f>(IF((10^(LOG(C122)-INT(LOG(C122)))*100)-VLOOKUP((10^(LOG(C122)-INT(LOG(C122)))*100),E48_s:E48_f,1)&lt;VLOOKUP((10^(LOG(C122)-INT(LOG(C122)))*100),E48_s:E48_f,2)-(10^(LOG(C122)-INT(LOG(C122)))*100),VLOOKUP((10^(LOG(C122)-INT(LOG(C122)))*100),E48_s:E48_f,1),VLOOKUP((10^(LOG(C122)-INT(LOG(C122)))*100),E48_s:E48_f,2)))*10^INT(LOG(C122))/100</f>
        <v>2.37</v>
      </c>
      <c r="D123" s="52" t="s">
        <v>208</v>
      </c>
    </row>
    <row r="124" spans="1:6" ht="18.75" x14ac:dyDescent="0.35">
      <c r="A124" s="52" t="s">
        <v>323</v>
      </c>
      <c r="B124" s="52" t="s">
        <v>182</v>
      </c>
      <c r="C124" s="87">
        <v>2.37</v>
      </c>
      <c r="D124" s="52" t="s">
        <v>208</v>
      </c>
    </row>
    <row r="125" spans="1:6" ht="18.75" x14ac:dyDescent="0.35">
      <c r="A125" s="52" t="s">
        <v>181</v>
      </c>
      <c r="B125" s="52" t="s">
        <v>184</v>
      </c>
      <c r="C125" s="87">
        <v>2.37</v>
      </c>
      <c r="D125" s="52" t="s">
        <v>208</v>
      </c>
    </row>
    <row r="126" spans="1:6" ht="18.75" x14ac:dyDescent="0.35">
      <c r="A126" s="52" t="s">
        <v>183</v>
      </c>
      <c r="B126" s="52" t="s">
        <v>185</v>
      </c>
      <c r="C126" s="58">
        <f>C125*(VOUT-_va1)/_va1</f>
        <v>43.134</v>
      </c>
      <c r="D126" s="52" t="s">
        <v>208</v>
      </c>
    </row>
    <row r="127" spans="1:6" ht="18.75" x14ac:dyDescent="0.35">
      <c r="A127" s="52" t="s">
        <v>295</v>
      </c>
      <c r="B127" s="52" t="s">
        <v>185</v>
      </c>
      <c r="C127" s="58">
        <f>(IF((10^(LOG(C126)-INT(LOG(C126)))*100)-VLOOKUP((10^(LOG(C126)-INT(LOG(C126)))*100),E48_s:E48_f,1)&lt;VLOOKUP((10^(LOG(C126)-INT(LOG(C126)))*100),E48_s:E48_f,2)-(10^(LOG(C126)-INT(LOG(C126)))*100),VLOOKUP((10^(LOG(C126)-INT(LOG(C126)))*100),E48_s:E48_f,1),VLOOKUP((10^(LOG(C126)-INT(LOG(C126)))*100),E48_s:E48_f,2)))*10^INT(LOG(C126))/100</f>
        <v>42.2</v>
      </c>
      <c r="D127" s="52" t="s">
        <v>208</v>
      </c>
    </row>
    <row r="128" spans="1:6" ht="18.75" x14ac:dyDescent="0.35">
      <c r="A128" s="52" t="s">
        <v>323</v>
      </c>
      <c r="B128" s="52" t="s">
        <v>185</v>
      </c>
      <c r="C128" s="87">
        <v>42.2</v>
      </c>
      <c r="D128" s="52" t="s">
        <v>208</v>
      </c>
    </row>
    <row r="129" spans="1:5" ht="18.75" x14ac:dyDescent="0.35">
      <c r="A129" s="52" t="s">
        <v>280</v>
      </c>
      <c r="B129" s="52" t="s">
        <v>281</v>
      </c>
      <c r="C129" s="58">
        <f>fs/4</f>
        <v>50</v>
      </c>
      <c r="D129" s="52" t="s">
        <v>20</v>
      </c>
    </row>
    <row r="130" spans="1:5" ht="18.75" x14ac:dyDescent="0.35">
      <c r="A130" s="52" t="s">
        <v>187</v>
      </c>
      <c r="B130" s="52" t="s">
        <v>186</v>
      </c>
      <c r="C130" s="58">
        <f>fs/40</f>
        <v>5</v>
      </c>
      <c r="D130" s="52" t="s">
        <v>20</v>
      </c>
    </row>
    <row r="131" spans="1:5" ht="18.75" x14ac:dyDescent="0.35">
      <c r="A131" s="52" t="s">
        <v>272</v>
      </c>
      <c r="B131" s="52" t="s">
        <v>188</v>
      </c>
      <c r="C131" s="58">
        <f>(VOUT^2)/(pout*0.1)</f>
        <v>48</v>
      </c>
      <c r="D131" s="52" t="s">
        <v>156</v>
      </c>
    </row>
    <row r="132" spans="1:5" hidden="1" x14ac:dyDescent="0.25">
      <c r="A132" s="51" t="s">
        <v>189</v>
      </c>
      <c r="B132" s="51" t="s">
        <v>190</v>
      </c>
      <c r="C132" s="96">
        <f>_ta1*_ta2*(rload/RS)</f>
        <v>406.42632978456544</v>
      </c>
      <c r="D132" s="52" t="s">
        <v>19</v>
      </c>
    </row>
    <row r="133" spans="1:5" hidden="1" x14ac:dyDescent="0.25">
      <c r="A133" s="51" t="s">
        <v>197</v>
      </c>
      <c r="B133" s="51"/>
      <c r="C133" s="96" t="str">
        <f>(COMPLEX(1,2*PI()*fc*1000*esrcout*0.001*cout*0.000001))</f>
        <v>1+0.427256600888212i</v>
      </c>
    </row>
    <row r="134" spans="1:5" hidden="1" x14ac:dyDescent="0.25">
      <c r="A134" s="51" t="s">
        <v>191</v>
      </c>
      <c r="B134" s="51" t="s">
        <v>192</v>
      </c>
      <c r="C134" s="96" t="str">
        <f>IMDIV((COMPLEX(1,2*PI()*fc*1000*esrcout*0.001*cout*0.000001)),(COMPLEX(1,2*PI()*fc*1000*rload*cout*0.000001)))</f>
        <v>0.0000590468635466671-0.000138147174905979i</v>
      </c>
    </row>
    <row r="135" spans="1:5" hidden="1" x14ac:dyDescent="0.25">
      <c r="A135" s="51" t="s">
        <v>193</v>
      </c>
      <c r="B135" s="51" t="s">
        <v>193</v>
      </c>
      <c r="C135" s="96" t="str">
        <f>IMDIV(1,(COMPLEX((1-(fc/fpp)^2),(fc/fpp))))</f>
        <v>0.999899000101-0.100999899000101i</v>
      </c>
    </row>
    <row r="136" spans="1:5" hidden="1" x14ac:dyDescent="0.25">
      <c r="A136" s="51" t="s">
        <v>194</v>
      </c>
      <c r="C136" s="96" t="str">
        <f>IMPRODUCT(n1divd1,d2a)</f>
        <v>0.0000450880491067594-0.000144096949309752i</v>
      </c>
      <c r="E136" s="51"/>
    </row>
    <row r="137" spans="1:5" hidden="1" x14ac:dyDescent="0.25">
      <c r="A137" s="51" t="s">
        <v>195</v>
      </c>
      <c r="C137" s="96" t="str">
        <f>IMPRODUCT(constant,C136)</f>
        <v>0.0183249703156065-0.0585647942411151i</v>
      </c>
    </row>
    <row r="138" spans="1:5" hidden="1" x14ac:dyDescent="0.25">
      <c r="A138" s="51" t="s">
        <v>196</v>
      </c>
      <c r="B138" s="51" t="s">
        <v>198</v>
      </c>
      <c r="C138" s="96">
        <f>IMABS(C137)</f>
        <v>6.1364808005664032E-2</v>
      </c>
    </row>
    <row r="139" spans="1:5" ht="18.75" x14ac:dyDescent="0.35">
      <c r="A139" s="52" t="s">
        <v>200</v>
      </c>
      <c r="B139" s="52" t="s">
        <v>199</v>
      </c>
      <c r="C139" s="58">
        <f>RII/C138</f>
        <v>687.69057333488115</v>
      </c>
      <c r="D139" s="52" t="s">
        <v>208</v>
      </c>
    </row>
    <row r="140" spans="1:5" ht="18.75" x14ac:dyDescent="0.35">
      <c r="A140" s="52" t="s">
        <v>295</v>
      </c>
      <c r="B140" s="52" t="s">
        <v>199</v>
      </c>
      <c r="C140" s="58">
        <f>(IF((10^(LOG(C139)-INT(LOG(C139)))*100)-VLOOKUP((10^(LOG(C139)-INT(LOG(C139)))*100),E48_s:E48_f,1)&lt;VLOOKUP((10^(LOG(C139)-INT(LOG(C139)))*100),E48_s:E48_f,2)-(10^(LOG(C139)-INT(LOG(C139)))*100),VLOOKUP((10^(LOG(C139)-INT(LOG(C139)))*100),E48_s:E48_f,1),VLOOKUP((10^(LOG(C139)-INT(LOG(C139)))*100),E48_s:E48_f,2)))*10^INT(LOG(C139))/100</f>
        <v>681</v>
      </c>
      <c r="D140" s="52" t="s">
        <v>208</v>
      </c>
    </row>
    <row r="141" spans="1:5" ht="18.75" x14ac:dyDescent="0.35">
      <c r="A141" s="52" t="s">
        <v>323</v>
      </c>
      <c r="B141" s="52" t="s">
        <v>199</v>
      </c>
      <c r="C141" s="87">
        <v>681</v>
      </c>
      <c r="D141" s="52" t="s">
        <v>208</v>
      </c>
    </row>
    <row r="142" spans="1:5" ht="18.75" x14ac:dyDescent="0.35">
      <c r="A142" s="52" t="s">
        <v>204</v>
      </c>
      <c r="B142" s="52" t="s">
        <v>201</v>
      </c>
      <c r="C142" s="58">
        <f>(1/(2*PI()*C141*(fc/5)))*10^3</f>
        <v>0.23370769910704162</v>
      </c>
      <c r="D142" s="52" t="s">
        <v>202</v>
      </c>
      <c r="E142" s="57"/>
    </row>
    <row r="143" spans="1:5" ht="18" customHeight="1" x14ac:dyDescent="0.25">
      <c r="A143" s="52" t="s">
        <v>294</v>
      </c>
      <c r="B143" s="52" t="s">
        <v>210</v>
      </c>
      <c r="C143" s="97">
        <f>IF(C142&lt;10000,C144*10^INT(LOG(C142)),C145*10^INT(LOG(C142)))</f>
        <v>0.22000000000000003</v>
      </c>
      <c r="D143" s="52" t="s">
        <v>202</v>
      </c>
    </row>
    <row r="144" spans="1:5" ht="18" hidden="1" customHeight="1" x14ac:dyDescent="0.25">
      <c r="A144" s="51" t="s">
        <v>211</v>
      </c>
      <c r="C144" s="98">
        <f>IF((10^(LOG(C142)-INT(LOG(C142))))-VLOOKUP((10^(LOG(C142)-INT(LOG(C142)))),c_s1:C_f1,1)&lt;VLOOKUP((10^(LOG(C142)-INT(LOG(C142)))),c_s1:C_f1,2)-(10^(LOG(C142)-INT(LOG(C142)))),VLOOKUP((10^(LOG(C142)-INT(LOG(C142)))),c_s1:C_f1,1),VLOOKUP((10^(LOG(C142)-INT(LOG(C142)))),c_s1:C_f1,2))</f>
        <v>2.2000000000000002</v>
      </c>
    </row>
    <row r="145" spans="1:5" ht="18" hidden="1" customHeight="1" x14ac:dyDescent="0.25">
      <c r="A145" s="51" t="s">
        <v>212</v>
      </c>
      <c r="C145" s="98">
        <f>IF((10^(LOG(C142)-INT(LOG(C142))))-VLOOKUP((10^(LOG(C142)-INT(LOG(C142)))),C_s2:C_f2,1)&lt;VLOOKUP((10^(LOG(C142)-INT(LOG(C142)))),C_s2:C_f2,2)-(10^(LOG(C142)-INT(LOG(C142)))),VLOOKUP((10^(LOG(C142)-INT(LOG(C142)))),C_s2:C_f2,1),VLOOKUP((10^(LOG(C142)-INT(LOG(C142)))),C_s2:C_f2,2))</f>
        <v>2.2000000000000002</v>
      </c>
    </row>
    <row r="146" spans="1:5" ht="18.75" x14ac:dyDescent="0.35">
      <c r="A146" s="52" t="s">
        <v>325</v>
      </c>
      <c r="B146" s="52" t="s">
        <v>201</v>
      </c>
      <c r="C146" s="87">
        <v>0.22</v>
      </c>
      <c r="D146" s="52" t="s">
        <v>202</v>
      </c>
    </row>
    <row r="147" spans="1:5" ht="18.75" x14ac:dyDescent="0.35">
      <c r="A147" s="61" t="s">
        <v>203</v>
      </c>
      <c r="B147" s="61" t="s">
        <v>209</v>
      </c>
      <c r="C147" s="88">
        <f>1000000/(2*PI()*rf*fc*2)</f>
        <v>23.370769910704166</v>
      </c>
      <c r="D147" s="52" t="s">
        <v>62</v>
      </c>
      <c r="E147" s="62" t="s">
        <v>19</v>
      </c>
    </row>
    <row r="148" spans="1:5" ht="18.75" x14ac:dyDescent="0.35">
      <c r="A148" s="52" t="s">
        <v>294</v>
      </c>
      <c r="B148" s="61" t="s">
        <v>209</v>
      </c>
      <c r="C148" s="97">
        <f>IF(C147&lt;10000,C149*10^INT(LOG(C147)),C150*10^INT(LOG(C147)))</f>
        <v>22</v>
      </c>
      <c r="D148" s="52" t="s">
        <v>62</v>
      </c>
      <c r="E148" s="60"/>
    </row>
    <row r="149" spans="1:5" hidden="1" x14ac:dyDescent="0.25">
      <c r="A149" s="51" t="s">
        <v>211</v>
      </c>
      <c r="B149" s="63"/>
      <c r="C149" s="98">
        <f>IF((10^(LOG(C147)-INT(LOG(C147))))-VLOOKUP((10^(LOG(C147)-INT(LOG(C147)))),c_s1:C_f1,1)&lt;VLOOKUP((10^(LOG(C147)-INT(LOG(C147)))),c_s1:C_f1,2)-(10^(LOG(C147)-INT(LOG(C147)))),VLOOKUP((10^(LOG(C147)-INT(LOG(C147)))),c_s1:C_f1,1),VLOOKUP((10^(LOG(C147)-INT(LOG(C147)))),c_s1:C_f1,2))</f>
        <v>2.2000000000000002</v>
      </c>
    </row>
    <row r="150" spans="1:5" hidden="1" x14ac:dyDescent="0.25">
      <c r="A150" s="51" t="s">
        <v>212</v>
      </c>
      <c r="B150" s="63"/>
      <c r="C150" s="98">
        <f>IF((10^(LOG(C147)-INT(LOG(C147))))-VLOOKUP((10^(LOG(C147)-INT(LOG(C147)))),C_s2:C_f2,1)&lt;VLOOKUP((10^(LOG(C147)-INT(LOG(C147)))),C_s2:C_f2,2)-(10^(LOG(C147)-INT(LOG(C147)))),VLOOKUP((10^(LOG(C147)-INT(LOG(C147)))),C_s2:C_f2,1),VLOOKUP((10^(LOG(C147)-INT(LOG(C147)))),C_s2:C_f2,2))</f>
        <v>2.2000000000000002</v>
      </c>
    </row>
    <row r="151" spans="1:5" ht="18.75" x14ac:dyDescent="0.35">
      <c r="A151" s="52" t="s">
        <v>325</v>
      </c>
      <c r="B151" s="52" t="s">
        <v>209</v>
      </c>
      <c r="C151" s="87">
        <v>22</v>
      </c>
      <c r="D151" s="52" t="s">
        <v>62</v>
      </c>
    </row>
    <row r="152" spans="1:5" x14ac:dyDescent="0.25">
      <c r="C152" s="87"/>
    </row>
    <row r="153" spans="1:5" x14ac:dyDescent="0.25">
      <c r="C153" s="87"/>
    </row>
    <row r="154" spans="1:5" x14ac:dyDescent="0.25">
      <c r="C154" s="87"/>
    </row>
    <row r="155" spans="1:5" x14ac:dyDescent="0.25">
      <c r="C155" s="87"/>
    </row>
    <row r="156" spans="1:5" x14ac:dyDescent="0.25">
      <c r="C156" s="87"/>
    </row>
    <row r="157" spans="1:5" x14ac:dyDescent="0.25">
      <c r="C157" s="87"/>
    </row>
    <row r="158" spans="1:5" x14ac:dyDescent="0.25">
      <c r="C158" s="87"/>
    </row>
    <row r="159" spans="1:5" x14ac:dyDescent="0.25">
      <c r="C159" s="87"/>
    </row>
    <row r="160" spans="1:5" x14ac:dyDescent="0.25">
      <c r="C160" s="87"/>
    </row>
    <row r="161" spans="1:6" x14ac:dyDescent="0.25">
      <c r="C161" s="87"/>
    </row>
    <row r="162" spans="1:6" x14ac:dyDescent="0.25">
      <c r="C162" s="87"/>
    </row>
    <row r="163" spans="1:6" x14ac:dyDescent="0.25">
      <c r="C163" s="87"/>
    </row>
    <row r="164" spans="1:6" x14ac:dyDescent="0.25">
      <c r="C164" s="87"/>
    </row>
    <row r="165" spans="1:6" x14ac:dyDescent="0.25">
      <c r="C165" s="87"/>
    </row>
    <row r="166" spans="1:6" x14ac:dyDescent="0.25">
      <c r="C166" s="87"/>
    </row>
    <row r="167" spans="1:6" x14ac:dyDescent="0.25">
      <c r="C167" s="87"/>
    </row>
    <row r="168" spans="1:6" x14ac:dyDescent="0.25">
      <c r="C168" s="87"/>
    </row>
    <row r="169" spans="1:6" x14ac:dyDescent="0.25">
      <c r="C169" s="87"/>
    </row>
    <row r="170" spans="1:6" x14ac:dyDescent="0.25">
      <c r="C170" s="87"/>
    </row>
    <row r="171" spans="1:6" x14ac:dyDescent="0.25">
      <c r="C171" s="87"/>
    </row>
    <row r="172" spans="1:6" x14ac:dyDescent="0.25">
      <c r="C172" s="87"/>
    </row>
    <row r="173" spans="1:6" ht="18.75" x14ac:dyDescent="0.35">
      <c r="A173" s="75" t="s">
        <v>288</v>
      </c>
      <c r="B173" s="56"/>
      <c r="C173" s="95"/>
      <c r="D173" s="56"/>
      <c r="E173" s="75" t="s">
        <v>19</v>
      </c>
      <c r="F173" s="75"/>
    </row>
    <row r="174" spans="1:6" ht="18.75" x14ac:dyDescent="0.35">
      <c r="A174" s="61" t="s">
        <v>214</v>
      </c>
      <c r="B174" s="61" t="s">
        <v>213</v>
      </c>
      <c r="C174" s="87">
        <v>15</v>
      </c>
      <c r="D174" s="52" t="s">
        <v>215</v>
      </c>
    </row>
    <row r="175" spans="1:6" ht="18.75" x14ac:dyDescent="0.35">
      <c r="A175" s="61" t="s">
        <v>273</v>
      </c>
      <c r="B175" s="61" t="s">
        <v>216</v>
      </c>
      <c r="C175" s="88">
        <f>(C174)*(25)/(_va1+0.55)</f>
        <v>122.95081967213116</v>
      </c>
      <c r="D175" s="52" t="s">
        <v>202</v>
      </c>
    </row>
    <row r="176" spans="1:6" ht="18.75" x14ac:dyDescent="0.35">
      <c r="A176" s="52" t="s">
        <v>294</v>
      </c>
      <c r="B176" s="61" t="s">
        <v>216</v>
      </c>
      <c r="C176" s="97">
        <f>IF(C175&lt;10000,C177*10^INT(LOG(C175)),C178*10^INT(LOG(C175)))</f>
        <v>120</v>
      </c>
      <c r="D176" s="52" t="s">
        <v>202</v>
      </c>
    </row>
    <row r="177" spans="1:6" hidden="1" x14ac:dyDescent="0.25">
      <c r="A177" s="51" t="s">
        <v>211</v>
      </c>
      <c r="B177" s="63"/>
      <c r="C177" s="98">
        <f>IF((10^(LOG(C175)-INT(LOG(C175))))-VLOOKUP((10^(LOG(C175)-INT(LOG(C175)))),c_s1:C_f1,1)&lt;VLOOKUP((10^(LOG(C175)-INT(LOG(C175)))),c_s1:C_f1,2)-(10^(LOG(C175)-INT(LOG(C175)))),VLOOKUP((10^(LOG(C175)-INT(LOG(C175)))),c_s1:C_f1,1),VLOOKUP((10^(LOG(C175)-INT(LOG(C175)))),c_s1:C_f1,2))</f>
        <v>1.2</v>
      </c>
    </row>
    <row r="178" spans="1:6" hidden="1" x14ac:dyDescent="0.25">
      <c r="A178" s="51" t="s">
        <v>217</v>
      </c>
      <c r="B178" s="63"/>
      <c r="C178" s="98">
        <f>IF((10^(LOG(C175)-INT(LOG(C175))))-VLOOKUP((10^(LOG(C175)-INT(LOG(C175)))),C_s2:C_f2,1)&lt;VLOOKUP((10^(LOG(C175)-INT(LOG(C175)))),C_s2:C_f2,2)-(10^(LOG(C175)-INT(LOG(C175)))),VLOOKUP((10^(LOG(C175)-INT(LOG(C175)))),C_s2:C_f2,1),VLOOKUP((10^(LOG(C175)-INT(LOG(C175)))),C_s2:C_f2,2))</f>
        <v>1</v>
      </c>
    </row>
    <row r="179" spans="1:6" ht="18.75" x14ac:dyDescent="0.35">
      <c r="A179" s="52" t="s">
        <v>325</v>
      </c>
      <c r="B179" s="52" t="s">
        <v>216</v>
      </c>
      <c r="C179" s="87">
        <v>120</v>
      </c>
      <c r="D179" s="52" t="s">
        <v>202</v>
      </c>
    </row>
    <row r="180" spans="1:6" ht="18.75" x14ac:dyDescent="0.35">
      <c r="A180" s="75" t="s">
        <v>313</v>
      </c>
      <c r="B180" s="56"/>
      <c r="C180" s="95"/>
      <c r="D180" s="56"/>
      <c r="E180" s="75" t="s">
        <v>19</v>
      </c>
      <c r="F180" s="75"/>
    </row>
    <row r="181" spans="1:6" ht="18.75" x14ac:dyDescent="0.35">
      <c r="A181" s="61" t="s">
        <v>274</v>
      </c>
      <c r="B181" s="61" t="s">
        <v>218</v>
      </c>
      <c r="C181" s="88">
        <f>tdelay</f>
        <v>131.32434864871016</v>
      </c>
      <c r="D181" s="52" t="s">
        <v>132</v>
      </c>
    </row>
    <row r="182" spans="1:6" ht="18.75" x14ac:dyDescent="0.35">
      <c r="A182" s="61" t="s">
        <v>312</v>
      </c>
      <c r="B182" s="61" t="s">
        <v>218</v>
      </c>
      <c r="C182" s="87">
        <v>346</v>
      </c>
      <c r="D182" s="52" t="s">
        <v>132</v>
      </c>
    </row>
    <row r="183" spans="1:6" ht="18.75" x14ac:dyDescent="0.35">
      <c r="A183" s="61" t="s">
        <v>307</v>
      </c>
      <c r="B183" s="61" t="s">
        <v>304</v>
      </c>
      <c r="C183" s="87">
        <v>8.25</v>
      </c>
      <c r="D183" s="52" t="s">
        <v>208</v>
      </c>
    </row>
    <row r="184" spans="1:6" ht="18.75" x14ac:dyDescent="0.35">
      <c r="A184" s="61" t="s">
        <v>306</v>
      </c>
      <c r="B184" s="61" t="s">
        <v>305</v>
      </c>
      <c r="C184" s="88">
        <f>IF(tabset&gt;155, 0.2, 1.8)</f>
        <v>0.2</v>
      </c>
      <c r="D184" s="52" t="s">
        <v>17</v>
      </c>
    </row>
    <row r="185" spans="1:6" ht="18.75" x14ac:dyDescent="0.35">
      <c r="A185" s="61" t="s">
        <v>308</v>
      </c>
      <c r="B185" s="61" t="s">
        <v>309</v>
      </c>
      <c r="C185" s="88">
        <f>C183*C184/(5-C184)</f>
        <v>0.34375000000000006</v>
      </c>
      <c r="D185" s="52" t="s">
        <v>208</v>
      </c>
    </row>
    <row r="186" spans="1:6" ht="18.75" x14ac:dyDescent="0.35">
      <c r="A186" s="52" t="s">
        <v>295</v>
      </c>
      <c r="B186" s="61" t="s">
        <v>309</v>
      </c>
      <c r="C186" s="58">
        <f>(IF((10^(LOG(C185)-INT(LOG(C185)))*100)-VLOOKUP((10^(LOG(C185)-INT(LOG(C185)))*100),E48_s:E48_f,1)&lt;VLOOKUP((10^(LOG(C185)-INT(LOG(C185)))*100),E48_s:E48_f,2)-(10^(LOG(C185)-INT(LOG(C185)))*100),VLOOKUP((10^(LOG(C185)-INT(LOG(C185)))*100),E48_s:E48_f,1),VLOOKUP((10^(LOG(C185)-INT(LOG(C185)))*100),E48_s:E48_f,2)))*10^INT(LOG(C185))/100</f>
        <v>0.34800000000000003</v>
      </c>
      <c r="D186" s="52" t="s">
        <v>208</v>
      </c>
    </row>
    <row r="187" spans="1:6" ht="18.75" x14ac:dyDescent="0.35">
      <c r="A187" s="61" t="s">
        <v>310</v>
      </c>
      <c r="B187" s="61" t="s">
        <v>309</v>
      </c>
      <c r="C187" s="87">
        <v>0.34799999999999998</v>
      </c>
      <c r="D187" s="52" t="s">
        <v>208</v>
      </c>
    </row>
    <row r="188" spans="1:6" ht="18.75" x14ac:dyDescent="0.35">
      <c r="A188" s="61" t="s">
        <v>311</v>
      </c>
      <c r="B188" s="61" t="s">
        <v>305</v>
      </c>
      <c r="C188" s="88">
        <f>5*C187/(C183+C187)</f>
        <v>0.2023726448011165</v>
      </c>
      <c r="D188" s="52" t="s">
        <v>17</v>
      </c>
    </row>
    <row r="189" spans="1:6" ht="18.75" x14ac:dyDescent="0.35">
      <c r="A189" s="52" t="s">
        <v>275</v>
      </c>
      <c r="B189" s="61" t="s">
        <v>219</v>
      </c>
      <c r="C189" s="88">
        <f>(tabset-5)*(0.15+(C188*1.46))/5</f>
        <v>30.380648988136766</v>
      </c>
      <c r="D189" s="52" t="s">
        <v>208</v>
      </c>
    </row>
    <row r="190" spans="1:6" ht="18.75" x14ac:dyDescent="0.35">
      <c r="A190" s="52" t="s">
        <v>295</v>
      </c>
      <c r="B190" s="61" t="s">
        <v>219</v>
      </c>
      <c r="C190" s="58">
        <f>(IF((10^(LOG(C189)-INT(LOG(C189)))*100)-VLOOKUP((10^(LOG(C189)-INT(LOG(C189)))*100),E48_s:E48_f,1)&lt;VLOOKUP((10^(LOG(C189)-INT(LOG(C189)))*100),E48_s:E48_f,2)-(10^(LOG(C189)-INT(LOG(C189)))*100),VLOOKUP((10^(LOG(C189)-INT(LOG(C189)))*100),E48_s:E48_f,1),VLOOKUP((10^(LOG(C189)-INT(LOG(C189)))*100),E48_s:E48_f,2)))*10^INT(LOG(C189))/100</f>
        <v>30.1</v>
      </c>
      <c r="D190" s="52" t="s">
        <v>208</v>
      </c>
    </row>
    <row r="191" spans="1:6" ht="18.75" x14ac:dyDescent="0.35">
      <c r="A191" s="52" t="s">
        <v>326</v>
      </c>
      <c r="B191" s="61" t="s">
        <v>219</v>
      </c>
      <c r="C191" s="87">
        <v>30.1</v>
      </c>
      <c r="D191" s="52" t="s">
        <v>208</v>
      </c>
    </row>
    <row r="192" spans="1:6" ht="18.75" x14ac:dyDescent="0.35">
      <c r="A192" s="75" t="s">
        <v>314</v>
      </c>
      <c r="B192" s="56"/>
      <c r="C192" s="95"/>
      <c r="D192" s="56"/>
      <c r="E192" s="75" t="s">
        <v>19</v>
      </c>
      <c r="F192" s="75"/>
    </row>
    <row r="193" spans="1:6" ht="18.75" x14ac:dyDescent="0.35">
      <c r="A193" s="52" t="s">
        <v>276</v>
      </c>
      <c r="B193" s="61" t="s">
        <v>221</v>
      </c>
      <c r="C193" s="88">
        <f>tdelay</f>
        <v>131.32434864871016</v>
      </c>
      <c r="D193" s="52" t="s">
        <v>132</v>
      </c>
    </row>
    <row r="194" spans="1:6" ht="18.75" x14ac:dyDescent="0.35">
      <c r="A194" s="61" t="s">
        <v>312</v>
      </c>
      <c r="B194" s="61" t="s">
        <v>221</v>
      </c>
      <c r="C194" s="87">
        <v>346</v>
      </c>
      <c r="D194" s="52" t="s">
        <v>132</v>
      </c>
    </row>
    <row r="195" spans="1:6" ht="18.75" x14ac:dyDescent="0.35">
      <c r="A195" s="52" t="s">
        <v>275</v>
      </c>
      <c r="B195" s="61" t="s">
        <v>220</v>
      </c>
      <c r="C195" s="88">
        <f>(tcdset-5)*(0.15+(vadel*1.46))/5</f>
        <v>30.380648988136766</v>
      </c>
      <c r="D195" s="52" t="s">
        <v>208</v>
      </c>
    </row>
    <row r="196" spans="1:6" ht="18.75" x14ac:dyDescent="0.35">
      <c r="A196" s="52" t="s">
        <v>295</v>
      </c>
      <c r="B196" s="61" t="s">
        <v>220</v>
      </c>
      <c r="C196" s="58">
        <f>(IF((10^(LOG(C195)-INT(LOG(C195)))*100)-VLOOKUP((10^(LOG(C195)-INT(LOG(C195)))*100),E48_s:E48_f,1)&lt;VLOOKUP((10^(LOG(C195)-INT(LOG(C195)))*100),E48_s:E48_f,2)-(10^(LOG(C195)-INT(LOG(C195)))*100),VLOOKUP((10^(LOG(C195)-INT(LOG(C195)))*100),E48_s:E48_f,1),VLOOKUP((10^(LOG(C195)-INT(LOG(C195)))*100),E48_s:E48_f,2)))*10^INT(LOG(C195))/100</f>
        <v>30.1</v>
      </c>
      <c r="D196" s="52" t="s">
        <v>208</v>
      </c>
    </row>
    <row r="197" spans="1:6" ht="18.75" x14ac:dyDescent="0.35">
      <c r="A197" s="52" t="s">
        <v>326</v>
      </c>
      <c r="B197" s="61" t="s">
        <v>220</v>
      </c>
      <c r="C197" s="87">
        <v>30.1</v>
      </c>
      <c r="D197" s="52" t="s">
        <v>208</v>
      </c>
    </row>
    <row r="198" spans="1:6" ht="18.75" x14ac:dyDescent="0.35">
      <c r="A198" s="75" t="s">
        <v>324</v>
      </c>
      <c r="B198" s="56"/>
      <c r="C198" s="95"/>
      <c r="D198" s="56"/>
      <c r="E198" s="75" t="s">
        <v>19</v>
      </c>
      <c r="F198" s="75"/>
    </row>
    <row r="199" spans="1:6" ht="18.75" x14ac:dyDescent="0.35">
      <c r="A199" s="52" t="s">
        <v>222</v>
      </c>
      <c r="B199" s="52" t="s">
        <v>321</v>
      </c>
      <c r="C199" s="58">
        <f>C182/2</f>
        <v>173</v>
      </c>
      <c r="D199" s="52" t="s">
        <v>132</v>
      </c>
    </row>
    <row r="200" spans="1:6" ht="18.75" x14ac:dyDescent="0.35">
      <c r="A200" s="52" t="s">
        <v>322</v>
      </c>
      <c r="B200" s="52" t="s">
        <v>321</v>
      </c>
      <c r="C200" s="87">
        <v>173</v>
      </c>
      <c r="D200" s="52" t="s">
        <v>132</v>
      </c>
    </row>
    <row r="201" spans="1:6" ht="18.75" x14ac:dyDescent="0.35">
      <c r="A201" s="61" t="s">
        <v>316</v>
      </c>
      <c r="B201" s="52" t="s">
        <v>315</v>
      </c>
      <c r="C201" s="87">
        <v>8.25</v>
      </c>
      <c r="D201" s="52" t="s">
        <v>208</v>
      </c>
    </row>
    <row r="202" spans="1:6" ht="18.75" x14ac:dyDescent="0.35">
      <c r="A202" s="61" t="s">
        <v>319</v>
      </c>
      <c r="B202" s="52" t="s">
        <v>320</v>
      </c>
      <c r="C202" s="88">
        <f>IF(tafset&lt;170, 0.2,1.7)</f>
        <v>1.7</v>
      </c>
      <c r="D202" s="52" t="s">
        <v>17</v>
      </c>
    </row>
    <row r="203" spans="1:6" ht="18.75" x14ac:dyDescent="0.35">
      <c r="A203" s="61" t="s">
        <v>317</v>
      </c>
      <c r="B203" s="52" t="s">
        <v>318</v>
      </c>
      <c r="C203" s="88">
        <f>C202*C201/(5-C202)</f>
        <v>4.25</v>
      </c>
      <c r="D203" s="52" t="s">
        <v>208</v>
      </c>
    </row>
    <row r="204" spans="1:6" ht="18.75" x14ac:dyDescent="0.35">
      <c r="A204" s="52" t="s">
        <v>295</v>
      </c>
      <c r="B204" s="52" t="s">
        <v>318</v>
      </c>
      <c r="C204" s="58">
        <f>(IF((10^(LOG(C203)-INT(LOG(C203)))*100)-VLOOKUP((10^(LOG(C203)-INT(LOG(C203)))*100),E48_s:E48_f,1)&lt;VLOOKUP((10^(LOG(C203)-INT(LOG(C203)))*100),E48_s:E48_f,2)-(10^(LOG(C203)-INT(LOG(C203)))*100),VLOOKUP((10^(LOG(C203)-INT(LOG(C203)))*100),E48_s:E48_f,1),VLOOKUP((10^(LOG(C203)-INT(LOG(C203)))*100),E48_s:E48_f,2)))*10^INT(LOG(C203))/100</f>
        <v>4.22</v>
      </c>
      <c r="D204" s="52" t="s">
        <v>208</v>
      </c>
    </row>
    <row r="205" spans="1:6" ht="18.75" x14ac:dyDescent="0.35">
      <c r="A205" s="52" t="s">
        <v>323</v>
      </c>
      <c r="B205" s="52" t="s">
        <v>318</v>
      </c>
      <c r="C205" s="87">
        <v>4.22</v>
      </c>
      <c r="D205" s="52" t="s">
        <v>208</v>
      </c>
    </row>
    <row r="206" spans="1:6" ht="18.75" x14ac:dyDescent="0.35">
      <c r="A206" s="61" t="s">
        <v>319</v>
      </c>
      <c r="B206" s="52" t="s">
        <v>320</v>
      </c>
      <c r="C206" s="58">
        <f>5*C205/(C205+C201)</f>
        <v>1.6920609462710505</v>
      </c>
      <c r="D206" s="52" t="s">
        <v>17</v>
      </c>
    </row>
    <row r="207" spans="1:6" ht="18.75" x14ac:dyDescent="0.35">
      <c r="A207" s="52" t="s">
        <v>275</v>
      </c>
      <c r="B207" s="61" t="s">
        <v>223</v>
      </c>
      <c r="C207" s="88">
        <f>(tafset-4)*(2.65-(C206*1.32))/5</f>
        <v>14.077008821170798</v>
      </c>
      <c r="D207" s="52" t="s">
        <v>208</v>
      </c>
    </row>
    <row r="208" spans="1:6" ht="18.75" x14ac:dyDescent="0.35">
      <c r="A208" s="52" t="s">
        <v>295</v>
      </c>
      <c r="B208" s="61" t="s">
        <v>223</v>
      </c>
      <c r="C208" s="58">
        <f>(IF((10^(LOG(C207)-INT(LOG(C207)))*100)-VLOOKUP((10^(LOG(C207)-INT(LOG(C207)))*100),E48_s:E48_f,1)&lt;VLOOKUP((10^(LOG(C207)-INT(LOG(C207)))*100),E48_s:E48_f,2)-(10^(LOG(C207)-INT(LOG(C207)))*100),VLOOKUP((10^(LOG(C207)-INT(LOG(C207)))*100),E48_s:E48_f,1),VLOOKUP((10^(LOG(C207)-INT(LOG(C207)))*100),E48_s:E48_f,2)))*10^INT(LOG(C207))/100</f>
        <v>14</v>
      </c>
      <c r="D208" s="52" t="s">
        <v>208</v>
      </c>
    </row>
    <row r="209" spans="1:6" ht="18.75" x14ac:dyDescent="0.35">
      <c r="A209" s="52" t="s">
        <v>327</v>
      </c>
      <c r="B209" s="61" t="s">
        <v>223</v>
      </c>
      <c r="C209" s="87">
        <v>14</v>
      </c>
      <c r="D209" s="52" t="s">
        <v>208</v>
      </c>
    </row>
    <row r="210" spans="1:6" x14ac:dyDescent="0.25">
      <c r="A210" s="75" t="s">
        <v>224</v>
      </c>
      <c r="B210" s="65"/>
      <c r="C210" s="95"/>
      <c r="D210" s="56"/>
      <c r="E210" s="75" t="s">
        <v>19</v>
      </c>
      <c r="F210" s="75"/>
    </row>
    <row r="211" spans="1:6" ht="18.75" x14ac:dyDescent="0.35">
      <c r="A211" s="52" t="s">
        <v>225</v>
      </c>
      <c r="B211" s="52" t="s">
        <v>226</v>
      </c>
      <c r="C211" s="87">
        <v>100</v>
      </c>
      <c r="D211" s="52" t="s">
        <v>132</v>
      </c>
    </row>
    <row r="212" spans="1:6" ht="18.75" x14ac:dyDescent="0.35">
      <c r="A212" s="52" t="s">
        <v>228</v>
      </c>
      <c r="B212" s="52" t="s">
        <v>227</v>
      </c>
      <c r="C212" s="58">
        <f>(C211-15)/6.6</f>
        <v>12.878787878787879</v>
      </c>
      <c r="D212" s="52" t="s">
        <v>208</v>
      </c>
    </row>
    <row r="213" spans="1:6" ht="18.75" x14ac:dyDescent="0.35">
      <c r="A213" s="52" t="s">
        <v>295</v>
      </c>
      <c r="B213" s="52" t="s">
        <v>227</v>
      </c>
      <c r="C213" s="58">
        <f>(IF((10^(LOG(C212)-INT(LOG(C212)))*100)-VLOOKUP((10^(LOG(C212)-INT(LOG(C212)))*100),E48_s:E48_f,1)&lt;VLOOKUP((10^(LOG(C212)-INT(LOG(C212)))*100),E48_s:E48_f,2)-(10^(LOG(C212)-INT(LOG(C212)))*100),VLOOKUP((10^(LOG(C212)-INT(LOG(C212)))*100),E48_s:E48_f,1),VLOOKUP((10^(LOG(C212)-INT(LOG(C212)))*100),E48_s:E48_f,2)))*10^INT(LOG(C212))/100</f>
        <v>12.7</v>
      </c>
      <c r="D213" s="52" t="s">
        <v>208</v>
      </c>
    </row>
    <row r="214" spans="1:6" ht="18.75" x14ac:dyDescent="0.35">
      <c r="A214" s="52" t="s">
        <v>323</v>
      </c>
      <c r="B214" s="52" t="s">
        <v>227</v>
      </c>
      <c r="C214" s="87">
        <v>12.7</v>
      </c>
      <c r="D214" s="52" t="s">
        <v>208</v>
      </c>
    </row>
    <row r="215" spans="1:6" x14ac:dyDescent="0.25">
      <c r="A215" s="75" t="s">
        <v>229</v>
      </c>
      <c r="B215" s="65"/>
      <c r="C215" s="95"/>
      <c r="D215" s="56"/>
      <c r="E215" s="75" t="s">
        <v>19</v>
      </c>
      <c r="F215" s="75"/>
    </row>
    <row r="216" spans="1:6" ht="18.75" x14ac:dyDescent="0.35">
      <c r="A216" s="52" t="s">
        <v>230</v>
      </c>
      <c r="B216" s="52" t="s">
        <v>231</v>
      </c>
      <c r="C216" s="58">
        <f>(((2.5*10^3)/(fs/2))-1)*2.5</f>
        <v>60</v>
      </c>
      <c r="D216" s="52" t="s">
        <v>208</v>
      </c>
      <c r="E216" s="52" t="s">
        <v>19</v>
      </c>
    </row>
    <row r="217" spans="1:6" ht="18.75" x14ac:dyDescent="0.35">
      <c r="A217" s="52" t="s">
        <v>295</v>
      </c>
      <c r="B217" s="52" t="s">
        <v>231</v>
      </c>
      <c r="C217" s="58">
        <f>(IF((10^(LOG(C216)-INT(LOG(C216)))*100)-VLOOKUP((10^(LOG(C216)-INT(LOG(C216)))*100),E48_s:E48_f,1)&lt;VLOOKUP((10^(LOG(C216)-INT(LOG(C216)))*100),E48_s:E48_f,2)-(10^(LOG(C216)-INT(LOG(C216)))*100),VLOOKUP((10^(LOG(C216)-INT(LOG(C216)))*100),E48_s:E48_f,1),VLOOKUP((10^(LOG(C216)-INT(LOG(C216)))*100),E48_s:E48_f,2)))*10^INT(LOG(C216))/100</f>
        <v>59</v>
      </c>
      <c r="D217" s="52" t="s">
        <v>208</v>
      </c>
    </row>
    <row r="218" spans="1:6" ht="18.75" x14ac:dyDescent="0.35">
      <c r="A218" s="52" t="s">
        <v>323</v>
      </c>
      <c r="B218" s="52" t="s">
        <v>231</v>
      </c>
      <c r="C218" s="87">
        <v>59</v>
      </c>
      <c r="D218" s="52" t="s">
        <v>208</v>
      </c>
    </row>
    <row r="219" spans="1:6" x14ac:dyDescent="0.25">
      <c r="A219" s="75" t="s">
        <v>232</v>
      </c>
      <c r="B219" s="65"/>
      <c r="C219" s="95"/>
      <c r="D219" s="56"/>
      <c r="E219" s="75" t="s">
        <v>19</v>
      </c>
      <c r="F219" s="75"/>
    </row>
    <row r="220" spans="1:6" ht="18.75" x14ac:dyDescent="0.35">
      <c r="A220" s="52" t="s">
        <v>277</v>
      </c>
      <c r="B220" s="52" t="s">
        <v>44</v>
      </c>
      <c r="C220" s="58">
        <f>(vin*(1-dtyp))/(lmag2*fs)</f>
        <v>0.13415274663128474</v>
      </c>
      <c r="D220" s="52" t="s">
        <v>34</v>
      </c>
    </row>
    <row r="221" spans="1:6" ht="18.75" x14ac:dyDescent="0.35">
      <c r="A221" s="52" t="s">
        <v>334</v>
      </c>
      <c r="B221" s="52" t="s">
        <v>332</v>
      </c>
      <c r="C221" s="58">
        <f>fs*0.2*0.001</f>
        <v>0.04</v>
      </c>
      <c r="D221" s="52" t="s">
        <v>233</v>
      </c>
    </row>
    <row r="222" spans="1:6" ht="18.75" x14ac:dyDescent="0.35">
      <c r="A222" s="52" t="s">
        <v>335</v>
      </c>
      <c r="B222" s="52" t="s">
        <v>333</v>
      </c>
      <c r="C222" s="58">
        <f>((((dilout/(_taa1*2))-C220)*RS*(1-dtyp)*fs)/_ta2)*0.001</f>
        <v>2.6275987541128508E-3</v>
      </c>
      <c r="D222" s="52" t="s">
        <v>233</v>
      </c>
      <c r="E222" s="52" t="s">
        <v>19</v>
      </c>
    </row>
    <row r="223" spans="1:6" ht="18.75" x14ac:dyDescent="0.35">
      <c r="A223" s="52" t="s">
        <v>234</v>
      </c>
      <c r="B223" s="52" t="s">
        <v>235</v>
      </c>
      <c r="C223" s="88">
        <f>IF(Vslope1&gt;Vslope2, Vslope1, Vslope2)</f>
        <v>0.04</v>
      </c>
      <c r="D223" s="52" t="s">
        <v>233</v>
      </c>
      <c r="E223" s="52" t="s">
        <v>19</v>
      </c>
    </row>
    <row r="224" spans="1:6" ht="18.75" x14ac:dyDescent="0.35">
      <c r="A224" s="52" t="s">
        <v>236</v>
      </c>
      <c r="B224" s="52" t="s">
        <v>237</v>
      </c>
      <c r="C224" s="58">
        <f>2.5/(C223*0.5)</f>
        <v>125</v>
      </c>
      <c r="D224" s="52" t="s">
        <v>208</v>
      </c>
      <c r="E224" s="57"/>
    </row>
    <row r="225" spans="1:6" ht="18.75" x14ac:dyDescent="0.35">
      <c r="A225" s="52" t="s">
        <v>295</v>
      </c>
      <c r="B225" s="52" t="s">
        <v>237</v>
      </c>
      <c r="C225" s="58">
        <f>(IF((10^(LOG(C224)-INT(LOG(C224)))*100)-VLOOKUP((10^(LOG(C224)-INT(LOG(C224)))*100),E48_s:E48_f,1)&lt;VLOOKUP((10^(LOG(C224)-INT(LOG(C224)))*100),E48_s:E48_f,2)-(10^(LOG(C224)-INT(LOG(C224)))*100),VLOOKUP((10^(LOG(C224)-INT(LOG(C224)))*100),E48_s:E48_f,1),VLOOKUP((10^(LOG(C224)-INT(LOG(C224)))*100),E48_s:E48_f,2)))*10^INT(LOG(C224))/100</f>
        <v>127</v>
      </c>
      <c r="D225" s="52" t="s">
        <v>208</v>
      </c>
    </row>
    <row r="226" spans="1:6" ht="18.75" x14ac:dyDescent="0.35">
      <c r="A226" s="52" t="s">
        <v>323</v>
      </c>
      <c r="B226" s="52" t="s">
        <v>237</v>
      </c>
      <c r="C226" s="87">
        <v>127</v>
      </c>
      <c r="D226" s="52" t="s">
        <v>208</v>
      </c>
    </row>
    <row r="227" spans="1:6" x14ac:dyDescent="0.25">
      <c r="A227" s="75" t="s">
        <v>278</v>
      </c>
      <c r="B227" s="65"/>
      <c r="C227" s="95"/>
      <c r="D227" s="56"/>
      <c r="E227" s="75" t="s">
        <v>19</v>
      </c>
      <c r="F227" s="75"/>
    </row>
    <row r="228" spans="1:6" ht="18.75" x14ac:dyDescent="0.35">
      <c r="A228" s="52" t="s">
        <v>238</v>
      </c>
      <c r="B228" s="52" t="s">
        <v>239</v>
      </c>
      <c r="C228" s="58">
        <f>(((pout*0.15/VOUT)+(dilout/2))*RS)/(_ta1*_ta2)</f>
        <v>0.29525646151815127</v>
      </c>
      <c r="D228" s="52" t="s">
        <v>17</v>
      </c>
    </row>
    <row r="229" spans="1:6" ht="18.75" x14ac:dyDescent="0.35">
      <c r="A229" s="52" t="s">
        <v>181</v>
      </c>
      <c r="B229" s="52" t="s">
        <v>240</v>
      </c>
      <c r="C229" s="87">
        <v>1</v>
      </c>
      <c r="D229" s="52" t="s">
        <v>208</v>
      </c>
    </row>
    <row r="230" spans="1:6" ht="18.75" x14ac:dyDescent="0.35">
      <c r="A230" s="52" t="s">
        <v>242</v>
      </c>
      <c r="B230" s="52" t="s">
        <v>241</v>
      </c>
      <c r="C230" s="58">
        <f>(C229*(5-C228)/C228)</f>
        <v>15.934430407690227</v>
      </c>
      <c r="D230" s="52" t="s">
        <v>208</v>
      </c>
    </row>
    <row r="231" spans="1:6" ht="18.75" x14ac:dyDescent="0.35">
      <c r="A231" s="52" t="s">
        <v>295</v>
      </c>
      <c r="B231" s="52" t="s">
        <v>241</v>
      </c>
      <c r="C231" s="58">
        <f>(IF((10^(LOG(C230)-INT(LOG(C230)))*100)-VLOOKUP((10^(LOG(C230)-INT(LOG(C230)))*100),E48_s:E48_f,1)&lt;VLOOKUP((10^(LOG(C230)-INT(LOG(C230)))*100),E48_s:E48_f,2)-(10^(LOG(C230)-INT(LOG(C230)))*100),VLOOKUP((10^(LOG(C230)-INT(LOG(C230)))*100),E48_s:E48_f,1),VLOOKUP((10^(LOG(C230)-INT(LOG(C230)))*100),E48_s:E48_f,2)))*10^INT(LOG(C230))/100</f>
        <v>16.2</v>
      </c>
      <c r="D231" s="52" t="s">
        <v>208</v>
      </c>
    </row>
    <row r="232" spans="1:6" ht="18.75" x14ac:dyDescent="0.35">
      <c r="A232" s="52" t="s">
        <v>323</v>
      </c>
      <c r="B232" s="52" t="s">
        <v>241</v>
      </c>
      <c r="C232" s="87">
        <v>16.2</v>
      </c>
      <c r="D232" s="52" t="s">
        <v>208</v>
      </c>
    </row>
  </sheetData>
  <sheetProtection password="ECDD" sheet="1" formatColumns="0" formatRows="0" selectLockedCells="1"/>
  <phoneticPr fontId="0" type="noConversion"/>
  <pageMargins left="0.75" right="0.75" top="1" bottom="1" header="0.5" footer="0.5"/>
  <pageSetup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L30"/>
  <sheetViews>
    <sheetView workbookViewId="0">
      <selection activeCell="K19" sqref="K19"/>
    </sheetView>
  </sheetViews>
  <sheetFormatPr defaultRowHeight="12.75" x14ac:dyDescent="0.2"/>
  <sheetData>
    <row r="30" spans="12:12" x14ac:dyDescent="0.2">
      <c r="L30" t="s">
        <v>19</v>
      </c>
    </row>
  </sheetData>
  <sheetProtection password="ECDD" sheet="1"/>
  <phoneticPr fontId="21"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Visio.Drawing.6" shapeId="5125" r:id="rId4">
          <objectPr defaultSize="0" autoPict="0" r:id="rId5">
            <anchor moveWithCells="1">
              <from>
                <xdr:col>0</xdr:col>
                <xdr:colOff>38100</xdr:colOff>
                <xdr:row>5</xdr:row>
                <xdr:rowOff>47625</xdr:rowOff>
              </from>
              <to>
                <xdr:col>8</xdr:col>
                <xdr:colOff>428625</xdr:colOff>
                <xdr:row>46</xdr:row>
                <xdr:rowOff>47625</xdr:rowOff>
              </to>
            </anchor>
          </objectPr>
        </oleObject>
      </mc:Choice>
      <mc:Fallback>
        <oleObject progId="Visio.Drawing.6" shapeId="5125"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I22" sqref="I22"/>
    </sheetView>
  </sheetViews>
  <sheetFormatPr defaultRowHeight="12.75" x14ac:dyDescent="0.2"/>
  <sheetData/>
  <sheetProtection password="ECDD" sheet="1"/>
  <phoneticPr fontId="21"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31"/>
  <sheetViews>
    <sheetView workbookViewId="0">
      <selection activeCell="I3" sqref="I3"/>
    </sheetView>
  </sheetViews>
  <sheetFormatPr defaultRowHeight="12.75" x14ac:dyDescent="0.2"/>
  <sheetData>
    <row r="31" spans="7:7" x14ac:dyDescent="0.2">
      <c r="G31" t="s">
        <v>19</v>
      </c>
    </row>
  </sheetData>
  <sheetProtection password="ECDD" sheet="1"/>
  <phoneticPr fontId="21" type="noConversion"/>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3"/>
  <sheetViews>
    <sheetView workbookViewId="0">
      <selection activeCell="A3" sqref="A3:U3"/>
    </sheetView>
  </sheetViews>
  <sheetFormatPr defaultRowHeight="12.75" x14ac:dyDescent="0.2"/>
  <sheetData>
    <row r="1" spans="1:21" x14ac:dyDescent="0.2">
      <c r="A1" s="108" t="s">
        <v>340</v>
      </c>
      <c r="B1" s="108"/>
      <c r="C1" s="108"/>
      <c r="D1" s="108"/>
      <c r="E1" s="108"/>
      <c r="F1" s="108"/>
      <c r="G1" s="108"/>
      <c r="H1" s="108"/>
      <c r="I1" s="108"/>
      <c r="J1" s="108"/>
      <c r="K1" s="108"/>
      <c r="L1" s="108"/>
      <c r="M1" s="108"/>
      <c r="N1" s="108"/>
      <c r="O1" s="108"/>
      <c r="P1" s="108"/>
      <c r="Q1" s="108"/>
      <c r="R1" s="108"/>
      <c r="S1" s="108"/>
      <c r="T1" s="108"/>
      <c r="U1" s="108"/>
    </row>
    <row r="2" spans="1:21" x14ac:dyDescent="0.2">
      <c r="A2" s="108"/>
      <c r="B2" s="108"/>
      <c r="C2" s="108"/>
      <c r="D2" s="108"/>
      <c r="E2" s="108"/>
      <c r="F2" s="108"/>
      <c r="G2" s="108"/>
      <c r="H2" s="108"/>
      <c r="I2" s="108"/>
      <c r="J2" s="108"/>
      <c r="K2" s="108"/>
      <c r="L2" s="108"/>
      <c r="M2" s="108"/>
      <c r="N2" s="108"/>
      <c r="O2" s="108"/>
      <c r="P2" s="108"/>
      <c r="Q2" s="108"/>
      <c r="R2" s="108"/>
      <c r="S2" s="108"/>
      <c r="T2" s="108"/>
      <c r="U2" s="108"/>
    </row>
    <row r="3" spans="1:21" ht="387" customHeight="1" x14ac:dyDescent="0.2">
      <c r="A3" s="109" t="s">
        <v>341</v>
      </c>
      <c r="B3" s="109"/>
      <c r="C3" s="109"/>
      <c r="D3" s="109"/>
      <c r="E3" s="109"/>
      <c r="F3" s="109"/>
      <c r="G3" s="109"/>
      <c r="H3" s="109"/>
      <c r="I3" s="109"/>
      <c r="J3" s="109"/>
      <c r="K3" s="109"/>
      <c r="L3" s="109"/>
      <c r="M3" s="109"/>
      <c r="N3" s="109"/>
      <c r="O3" s="109"/>
      <c r="P3" s="109"/>
      <c r="Q3" s="109"/>
      <c r="R3" s="109"/>
      <c r="S3" s="109"/>
      <c r="T3" s="109"/>
      <c r="U3" s="109"/>
    </row>
  </sheetData>
  <sheetProtection algorithmName="SHA-512" hashValue="+PcoHR4I2iULuSXVLYlvHInwmbIr8mvl29gW/turBkgZWMMUOwL6rLVWXa7SRfRK/NPJDZ//14B7PXso5Ci7sA==" saltValue="2yqKKuZ4bA/xqIUehV6iRQ==" spinCount="100000" sheet="1" formatCells="0" formatRows="0" insertColumns="0" insertRows="0" insertHyperlinks="0" deleteColumns="0" deleteRows="0" sort="0" autoFilter="0" pivotTables="0"/>
  <mergeCells count="2">
    <mergeCell ref="A1:U2"/>
    <mergeCell ref="A3:U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01"/>
  <sheetViews>
    <sheetView workbookViewId="0">
      <selection sqref="A1:IV65536"/>
    </sheetView>
  </sheetViews>
  <sheetFormatPr defaultRowHeight="12.75" x14ac:dyDescent="0.2"/>
  <cols>
    <col min="1" max="1" width="9.140625" style="70"/>
    <col min="2" max="2" width="10.140625" style="70" customWidth="1"/>
    <col min="3" max="3" width="9.140625" style="70"/>
    <col min="4" max="4" width="12.42578125" style="70" customWidth="1"/>
    <col min="5" max="5" width="21.5703125" style="70" customWidth="1"/>
    <col min="6" max="6" width="15.42578125" style="70" customWidth="1"/>
    <col min="7" max="7" width="21.140625" style="70" customWidth="1"/>
    <col min="8" max="8" width="9.140625" style="70"/>
    <col min="9" max="9" width="14.28515625" style="70" customWidth="1"/>
    <col min="10" max="10" width="17.140625" style="70" customWidth="1"/>
    <col min="11" max="11" width="11.85546875" style="70" customWidth="1"/>
    <col min="12" max="12" width="13.5703125" style="70" customWidth="1"/>
    <col min="13" max="16384" width="9.140625" style="70"/>
  </cols>
  <sheetData>
    <row r="1" spans="1:18" ht="42.75" x14ac:dyDescent="0.3">
      <c r="A1" s="70" t="s">
        <v>245</v>
      </c>
      <c r="B1" s="70" t="s">
        <v>260</v>
      </c>
      <c r="C1" s="70" t="s">
        <v>190</v>
      </c>
      <c r="D1" s="70" t="s">
        <v>246</v>
      </c>
      <c r="E1" s="51" t="s">
        <v>247</v>
      </c>
      <c r="F1" s="70" t="s">
        <v>248</v>
      </c>
      <c r="G1" s="70" t="s">
        <v>249</v>
      </c>
      <c r="H1" s="70" t="s">
        <v>250</v>
      </c>
      <c r="I1" s="70" t="s">
        <v>251</v>
      </c>
      <c r="J1" s="70" t="s">
        <v>252</v>
      </c>
      <c r="K1" s="70" t="s">
        <v>253</v>
      </c>
      <c r="L1" s="70" t="s">
        <v>254</v>
      </c>
      <c r="M1" s="70" t="s">
        <v>255</v>
      </c>
      <c r="N1" s="70" t="s">
        <v>256</v>
      </c>
      <c r="O1" s="70" t="s">
        <v>261</v>
      </c>
      <c r="P1" s="74" t="s">
        <v>258</v>
      </c>
      <c r="Q1" s="74" t="s">
        <v>259</v>
      </c>
      <c r="R1" s="70" t="s">
        <v>257</v>
      </c>
    </row>
    <row r="2" spans="1:18" ht="15" x14ac:dyDescent="0.2">
      <c r="A2" s="71">
        <f>1</f>
        <v>1</v>
      </c>
      <c r="B2" s="70">
        <v>100</v>
      </c>
      <c r="C2" s="70">
        <f t="shared" ref="C2:C33" si="0">_ta1*_ta2*(rload/RS)</f>
        <v>406.42632978456544</v>
      </c>
      <c r="D2" s="51" t="str">
        <f t="shared" ref="D2:D33" si="1">IMDIV((COMPLEX(1,2*PI()*(B2)*(esrcout*0.001)*(cout*0.000001))),(COMPLEX(1,2*PI()*(B2)*rload*(cout*0.000001))))</f>
        <v>0.000106739924219802-0.00690702929276606i</v>
      </c>
      <c r="E2" s="51" t="str">
        <f t="shared" ref="E2:E33" si="2">IMDIV(1,(COMPLEX((1-(B2/(fpp*1000))^2),(B2/(fpp*1000)))))</f>
        <v>0.999999999984-0.002000008i</v>
      </c>
      <c r="F2" s="70" t="str">
        <f t="shared" ref="F2:F33" si="3">IMPRODUCT(D2,E2)</f>
        <v>0.0000929258103763277-0.00690724277335791i</v>
      </c>
      <c r="G2" s="70" t="str">
        <f t="shared" ref="G2:G33" si="4">IMPRODUCT(C2,F2)</f>
        <v>0.0377674960535074-2.80728532930682i</v>
      </c>
      <c r="H2" s="72">
        <f t="shared" ref="H2:H33" si="5">IMABS(G2)</f>
        <v>2.8075393681833658</v>
      </c>
      <c r="I2" s="51" t="str">
        <f t="shared" ref="I2:I33" si="6">IMDIV((COMPLEX(1,(2*PI()*B2*(rf*1000)*(Cz*0.000000001)))),(COMPLEX(0,2*PI()*B2*((Cz*0.000000001)+(Cp*0.000000000001))*(RII*1000))))</f>
        <v>14.670400689358-155.844799549465i</v>
      </c>
      <c r="J2" s="73" t="str">
        <f t="shared" ref="J2:J33" si="7">IMDIV(1,(COMPLEX(1,2*PI()*B2*(((Cz*0.000000001)*(Cp*0.000000000001))/((Cz*0.000000001)+(Cp*0.000000000001)))*(rf*1000))))</f>
        <v>0.999926771161149-0.00855707171806238i</v>
      </c>
      <c r="K2" s="73" t="str">
        <f t="shared" ref="K2:K33" si="8">IMPRODUCT(I2,J2)</f>
        <v>13.3357512663182-155.958922886585i</v>
      </c>
      <c r="L2" s="73" t="str">
        <f t="shared" ref="L2:L33" si="9">IMPRODUCT(G2,K2)</f>
        <v>-437.317538260682-43.3274368898483i</v>
      </c>
      <c r="M2" s="70">
        <f t="shared" ref="M2:M33" si="10">20*LOG(IMABS(L2))</f>
        <v>52.8583601424534</v>
      </c>
      <c r="N2" s="70">
        <f t="shared" ref="N2:N33" si="11">(180/PI())*IMARGUMENT(L2)+180</f>
        <v>5.6581406688694358</v>
      </c>
      <c r="O2" s="70">
        <f t="shared" ref="O2:O55" si="12">IF(N2&gt;180,-(360-N2),N2)</f>
        <v>5.6581406688694358</v>
      </c>
      <c r="P2" s="70">
        <v>48.311999999999998</v>
      </c>
      <c r="Q2" s="70">
        <v>11.617000000000001</v>
      </c>
      <c r="R2" s="70">
        <f>B2</f>
        <v>100</v>
      </c>
    </row>
    <row r="3" spans="1:18" ht="15" x14ac:dyDescent="0.2">
      <c r="A3" s="71">
        <f>1+A2</f>
        <v>2</v>
      </c>
      <c r="B3" s="70">
        <v>1000</v>
      </c>
      <c r="C3" s="70">
        <f t="shared" si="0"/>
        <v>406.42632978456544</v>
      </c>
      <c r="D3" s="51" t="str">
        <f t="shared" si="1"/>
        <v>0.0000595049217814373-0.000690735558113955i</v>
      </c>
      <c r="E3" s="51" t="str">
        <f t="shared" si="2"/>
        <v>0.999999839936-0.0200079999987195i</v>
      </c>
      <c r="F3" s="70" t="str">
        <f t="shared" si="3"/>
        <v>0.000045684675210982-0.000691926022026985i</v>
      </c>
      <c r="G3" s="70" t="str">
        <f t="shared" si="4"/>
        <v>0.0185674548733993-0.281216953614862i</v>
      </c>
      <c r="H3" s="72">
        <f t="shared" si="5"/>
        <v>0.28182924862565129</v>
      </c>
      <c r="I3" s="51" t="str">
        <f t="shared" si="6"/>
        <v>14.670400689358-15.5844799549465i</v>
      </c>
      <c r="J3" s="73" t="str">
        <f t="shared" si="7"/>
        <v>0.992729822394673-0.0849548240120227i</v>
      </c>
      <c r="K3" s="73" t="str">
        <f t="shared" si="8"/>
        <v>13.2397675189137-16.7174993265376i</v>
      </c>
      <c r="L3" s="73" t="str">
        <f t="shared" si="9"/>
        <v>-4.45541544672568-4.03364850257948i</v>
      </c>
      <c r="M3" s="70">
        <f t="shared" si="10"/>
        <v>15.577603307720953</v>
      </c>
      <c r="N3" s="70">
        <f t="shared" si="11"/>
        <v>42.155680345968591</v>
      </c>
      <c r="O3" s="70">
        <f t="shared" si="12"/>
        <v>42.155680345968591</v>
      </c>
    </row>
    <row r="4" spans="1:18" ht="15" x14ac:dyDescent="0.2">
      <c r="A4" s="71">
        <f t="shared" ref="A4:A67" si="13">1+A3</f>
        <v>3</v>
      </c>
      <c r="B4" s="70">
        <f t="shared" ref="B4:B35" si="14">(fs*1000/2)*(A4/100)</f>
        <v>3000</v>
      </c>
      <c r="C4" s="70">
        <f t="shared" si="0"/>
        <v>406.42632978456544</v>
      </c>
      <c r="D4" s="51" t="str">
        <f t="shared" si="1"/>
        <v>0.0000590807938006713-0.000230245283697222i</v>
      </c>
      <c r="E4" s="51" t="str">
        <f t="shared" si="2"/>
        <v>0.999986993344607-0.0602159971905624i</v>
      </c>
      <c r="F4" s="70" t="str">
        <f t="shared" si="3"/>
        <v>0.0000452155760008938-0.000233799897889678i</v>
      </c>
      <c r="G4" s="70" t="str">
        <f t="shared" si="4"/>
        <v>0.0183768006031383-0.095022434403308i</v>
      </c>
      <c r="H4" s="72">
        <f t="shared" si="5"/>
        <v>9.6783107205433733E-2</v>
      </c>
      <c r="I4" s="51" t="str">
        <f t="shared" si="6"/>
        <v>14.6704006893581-5.19482665164884i</v>
      </c>
      <c r="J4" s="73" t="str">
        <f t="shared" si="7"/>
        <v>0.938164823287701-0.24085594788848i</v>
      </c>
      <c r="K4" s="73" t="str">
        <f t="shared" si="8"/>
        <v>12.5120489729922-8.40705689159353i</v>
      </c>
      <c r="L4" s="73" t="str">
        <f t="shared" si="9"/>
        <v>-0.568927582892946-1.34342016094318i</v>
      </c>
      <c r="M4" s="70">
        <f t="shared" si="10"/>
        <v>3.2806474274486246</v>
      </c>
      <c r="N4" s="70">
        <f t="shared" si="11"/>
        <v>67.047734904469223</v>
      </c>
      <c r="O4" s="70">
        <f t="shared" si="12"/>
        <v>67.047734904469223</v>
      </c>
    </row>
    <row r="5" spans="1:18" ht="15" x14ac:dyDescent="0.2">
      <c r="A5" s="71">
        <f t="shared" si="13"/>
        <v>4</v>
      </c>
      <c r="B5" s="70">
        <f t="shared" si="14"/>
        <v>4000</v>
      </c>
      <c r="C5" s="70">
        <f t="shared" si="0"/>
        <v>406.42632978456544</v>
      </c>
      <c r="D5" s="51" t="str">
        <f t="shared" si="1"/>
        <v>0.000059057599291347-0.000172683966778473i</v>
      </c>
      <c r="E5" s="51" t="str">
        <f t="shared" si="2"/>
        <v>0.999958777866806-0.0805119788942678i</v>
      </c>
      <c r="F5" s="70" t="str">
        <f t="shared" si="3"/>
        <v>0.000045152036922476-0.000177431692564685i</v>
      </c>
      <c r="G5" s="70" t="str">
        <f t="shared" si="4"/>
        <v>0.0183509766486991-0.0721129115965283i</v>
      </c>
      <c r="H5" s="72">
        <f t="shared" si="5"/>
        <v>7.4411224710320467E-2</v>
      </c>
      <c r="I5" s="51" t="str">
        <f t="shared" si="6"/>
        <v>14.670400689358-3.89611998873662i</v>
      </c>
      <c r="J5" s="73" t="str">
        <f t="shared" si="7"/>
        <v>0.895115132533645-0.306405013083859i</v>
      </c>
      <c r="K5" s="73" t="str">
        <f t="shared" si="8"/>
        <v>11.9379069612512-7.98256027525315i</v>
      </c>
      <c r="L5" s="73" t="str">
        <f t="shared" si="9"/>
        <v>-0.356573411563026-1.00736500655229i</v>
      </c>
      <c r="M5" s="70">
        <f t="shared" si="10"/>
        <v>0.57639046847752806</v>
      </c>
      <c r="N5" s="70">
        <f t="shared" si="11"/>
        <v>70.507745339127126</v>
      </c>
      <c r="O5" s="70">
        <f t="shared" si="12"/>
        <v>70.507745339127126</v>
      </c>
    </row>
    <row r="6" spans="1:18" ht="15" x14ac:dyDescent="0.2">
      <c r="A6" s="71">
        <f t="shared" si="13"/>
        <v>5</v>
      </c>
      <c r="B6" s="70">
        <f t="shared" si="14"/>
        <v>5000</v>
      </c>
      <c r="C6" s="70">
        <f t="shared" si="0"/>
        <v>406.42632978456544</v>
      </c>
      <c r="D6" s="51" t="str">
        <f t="shared" si="1"/>
        <v>0.0000590468635466671-0.000138147174905979i</v>
      </c>
      <c r="E6" s="51" t="str">
        <f t="shared" si="2"/>
        <v>0.999899000101-0.100999899000101i</v>
      </c>
      <c r="F6" s="70" t="str">
        <f t="shared" si="3"/>
        <v>0.0000450880491067594-0.000144096949309752i</v>
      </c>
      <c r="G6" s="70" t="str">
        <f t="shared" si="4"/>
        <v>0.0183249703156065-0.0585647942411151i</v>
      </c>
      <c r="H6" s="72">
        <f t="shared" si="5"/>
        <v>6.1364808005664032E-2</v>
      </c>
      <c r="I6" s="51" t="str">
        <f t="shared" si="6"/>
        <v>14.670400689358-3.11689599098929i</v>
      </c>
      <c r="J6" s="73" t="str">
        <f t="shared" si="7"/>
        <v>0.845247445255692-0.361668635002288i</v>
      </c>
      <c r="K6" s="73" t="str">
        <f t="shared" si="8"/>
        <v>11.272835185052-7.94037216576814i</v>
      </c>
      <c r="L6" s="73" t="str">
        <f t="shared" si="9"/>
        <v>-0.258451891947286-0.805698357359142i</v>
      </c>
      <c r="M6" s="70">
        <f t="shared" si="10"/>
        <v>-1.4511899080175787</v>
      </c>
      <c r="N6" s="70">
        <f t="shared" si="11"/>
        <v>72.21479984080122</v>
      </c>
      <c r="O6" s="70">
        <f t="shared" si="12"/>
        <v>72.21479984080122</v>
      </c>
    </row>
    <row r="7" spans="1:18" ht="15" x14ac:dyDescent="0.2">
      <c r="A7" s="71">
        <f t="shared" si="13"/>
        <v>6</v>
      </c>
      <c r="B7" s="70">
        <f t="shared" si="14"/>
        <v>6000</v>
      </c>
      <c r="C7" s="70">
        <f t="shared" si="0"/>
        <v>406.42632978456544</v>
      </c>
      <c r="D7" s="51" t="str">
        <f t="shared" si="1"/>
        <v>0.0000590410317840282-0.00011512264642639i</v>
      </c>
      <c r="E7" s="51" t="str">
        <f t="shared" si="2"/>
        <v>0.999789654644088-0.121727636523225i</v>
      </c>
      <c r="F7" s="70" t="str">
        <f t="shared" si="3"/>
        <v>0.0000450150051174008-0.000122285356169316i</v>
      </c>
      <c r="G7" s="70" t="str">
        <f t="shared" si="4"/>
        <v>0.0182952833150986-0.0496999884942935i</v>
      </c>
      <c r="H7" s="72">
        <f t="shared" si="5"/>
        <v>5.2960421523177405E-2</v>
      </c>
      <c r="I7" s="51" t="str">
        <f t="shared" si="6"/>
        <v>14.670400689358-2.59741332582441i</v>
      </c>
      <c r="J7" s="73" t="str">
        <f t="shared" si="7"/>
        <v>0.791362671399234-0.406334583459373i</v>
      </c>
      <c r="K7" s="73" t="str">
        <f t="shared" si="8"/>
        <v>10.5541886182068-8.01658710154476i</v>
      </c>
      <c r="L7" s="73" t="str">
        <f t="shared" si="9"/>
        <v>-0.205332415779194-0.671208785134408i</v>
      </c>
      <c r="M7" s="70">
        <f t="shared" si="10"/>
        <v>-3.0743274521262558</v>
      </c>
      <c r="N7" s="70">
        <f t="shared" si="11"/>
        <v>72.990375325126422</v>
      </c>
      <c r="O7" s="70">
        <f t="shared" si="12"/>
        <v>72.990375325126422</v>
      </c>
    </row>
    <row r="8" spans="1:18" ht="15" x14ac:dyDescent="0.2">
      <c r="A8" s="71">
        <f t="shared" si="13"/>
        <v>7</v>
      </c>
      <c r="B8" s="70">
        <f t="shared" si="14"/>
        <v>7000.0000000000009</v>
      </c>
      <c r="C8" s="70">
        <f t="shared" si="0"/>
        <v>406.42632978456544</v>
      </c>
      <c r="D8" s="51" t="str">
        <f t="shared" si="1"/>
        <v>0.0000590375154150575-0.000098676554426767i</v>
      </c>
      <c r="E8" s="51" t="str">
        <f t="shared" si="2"/>
        <v>0.999608313413218-0.142742925212006i</v>
      </c>
      <c r="F8" s="70" t="str">
        <f t="shared" si="3"/>
        <v>0.000044929011183434-0.000107065091791562i</v>
      </c>
      <c r="G8" s="70" t="str">
        <f t="shared" si="4"/>
        <v>0.0182603331161328-0.0435140723048921i</v>
      </c>
      <c r="H8" s="72">
        <f t="shared" si="5"/>
        <v>4.7190192350397488E-2</v>
      </c>
      <c r="I8" s="51" t="str">
        <f t="shared" si="6"/>
        <v>14.670400689358-2.22635427927807i</v>
      </c>
      <c r="J8" s="73" t="str">
        <f t="shared" si="7"/>
        <v>0.735917705977383-0.440843323649535i</v>
      </c>
      <c r="K8" s="73" t="str">
        <f t="shared" si="8"/>
        <v>9.81473420098305-8.10576173306626i</v>
      </c>
      <c r="L8" s="73" t="str">
        <f t="shared" si="9"/>
        <v>-0.173494386182621-0.575092963080666i</v>
      </c>
      <c r="M8" s="70">
        <f t="shared" si="10"/>
        <v>-4.4269469183063048</v>
      </c>
      <c r="N8" s="70">
        <f t="shared" si="11"/>
        <v>73.212456411716772</v>
      </c>
      <c r="O8" s="70">
        <f t="shared" si="12"/>
        <v>73.212456411716772</v>
      </c>
    </row>
    <row r="9" spans="1:18" ht="15" x14ac:dyDescent="0.2">
      <c r="A9" s="71">
        <f t="shared" si="13"/>
        <v>8</v>
      </c>
      <c r="B9" s="70">
        <f t="shared" si="14"/>
        <v>8000</v>
      </c>
      <c r="C9" s="70">
        <f t="shared" si="0"/>
        <v>406.42632978456544</v>
      </c>
      <c r="D9" s="51" t="str">
        <f t="shared" si="1"/>
        <v>0.0000590352331563369-0.0000863419853204872i</v>
      </c>
      <c r="E9" s="51" t="str">
        <f t="shared" si="2"/>
        <v>0.999327874060402-0.164093246972151i</v>
      </c>
      <c r="F9" s="70" t="str">
        <f t="shared" si="3"/>
        <v>0.0000448274173235218-0.0000959712357268582i</v>
      </c>
      <c r="G9" s="70" t="str">
        <f t="shared" si="4"/>
        <v>0.01821904269652-0.0390052371013563i</v>
      </c>
      <c r="H9" s="72">
        <f t="shared" si="5"/>
        <v>4.3050459209056535E-2</v>
      </c>
      <c r="I9" s="51" t="str">
        <f t="shared" si="6"/>
        <v>14.6704006893581-1.94805999436831i</v>
      </c>
      <c r="J9" s="73" t="str">
        <f t="shared" si="7"/>
        <v>0.68087475668528-0.466137664637863i</v>
      </c>
      <c r="K9" s="73" t="str">
        <f t="shared" si="8"/>
        <v>9.08064136349297-8.16481119131293i</v>
      </c>
      <c r="L9" s="73" t="str">
        <f t="shared" si="9"/>
        <v>-0.153029803691704-0.502947613118981i</v>
      </c>
      <c r="M9" s="70">
        <f t="shared" si="10"/>
        <v>-5.5850215211517806</v>
      </c>
      <c r="N9" s="70">
        <f t="shared" si="11"/>
        <v>73.076783582771384</v>
      </c>
      <c r="O9" s="70">
        <f t="shared" si="12"/>
        <v>73.076783582771384</v>
      </c>
    </row>
    <row r="10" spans="1:18" ht="15" x14ac:dyDescent="0.2">
      <c r="A10" s="71">
        <f t="shared" si="13"/>
        <v>9</v>
      </c>
      <c r="B10" s="70">
        <f t="shared" si="14"/>
        <v>9000</v>
      </c>
      <c r="C10" s="70">
        <f t="shared" si="0"/>
        <v>406.42632978456544</v>
      </c>
      <c r="D10" s="51" t="str">
        <f t="shared" si="1"/>
        <v>0.0000590336684472657-0.0000767484315160846i</v>
      </c>
      <c r="E10" s="51" t="str">
        <f t="shared" si="2"/>
        <v>0.99891626463625-0.185825679655359i</v>
      </c>
      <c r="F10" s="70" t="str">
        <f t="shared" si="3"/>
        <v>0.0000447078621241583-0.0000876352280885006i</v>
      </c>
      <c r="G10" s="70" t="str">
        <f t="shared" si="4"/>
        <v>0.018170452315636-0.0356172641118426i</v>
      </c>
      <c r="H10" s="72">
        <f t="shared" si="5"/>
        <v>3.99844324727456E-2</v>
      </c>
      <c r="I10" s="51" t="str">
        <f t="shared" si="6"/>
        <v>14.670400689358-1.73160888388294i</v>
      </c>
      <c r="J10" s="73" t="str">
        <f t="shared" si="7"/>
        <v>0.627668755822911-0.483425991012719i</v>
      </c>
      <c r="K10" s="73" t="str">
        <f t="shared" si="8"/>
        <v>8.37104740737537-8.17892978552527i</v>
      </c>
      <c r="L10" s="73" t="str">
        <f t="shared" si="9"/>
        <v>-0.139205384575627-0.446768660062066i</v>
      </c>
      <c r="M10" s="70">
        <f t="shared" si="10"/>
        <v>-6.5959480542344213</v>
      </c>
      <c r="N10" s="70">
        <f t="shared" si="11"/>
        <v>72.69386944561488</v>
      </c>
      <c r="O10" s="70">
        <f t="shared" si="12"/>
        <v>72.69386944561488</v>
      </c>
    </row>
    <row r="11" spans="1:18" ht="15" x14ac:dyDescent="0.2">
      <c r="A11" s="71">
        <f t="shared" si="13"/>
        <v>10</v>
      </c>
      <c r="B11" s="70">
        <f t="shared" si="14"/>
        <v>10000</v>
      </c>
      <c r="C11" s="70">
        <f t="shared" si="0"/>
        <v>406.42632978456544</v>
      </c>
      <c r="D11" s="51" t="str">
        <f t="shared" si="1"/>
        <v>0.0000590325492200683-0.0000690735884417896i</v>
      </c>
      <c r="E11" s="51" t="str">
        <f t="shared" si="2"/>
        <v>0.998336106489185-0.207986688851913i</v>
      </c>
      <c r="F11" s="70" t="str">
        <f t="shared" si="3"/>
        <v>0.0000445679383973666-0.0000812366417929822i</v>
      </c>
      <c r="G11" s="70" t="str">
        <f t="shared" si="4"/>
        <v>0.0181135836289063-0.0330167101679452i</v>
      </c>
      <c r="H11" s="72">
        <f t="shared" si="5"/>
        <v>3.7659063480063835E-2</v>
      </c>
      <c r="I11" s="51" t="str">
        <f t="shared" si="6"/>
        <v>14.670400689358-1.55844799549465i</v>
      </c>
      <c r="J11" s="73" t="str">
        <f t="shared" si="7"/>
        <v>0.577253215675322-0.493995891347106i</v>
      </c>
      <c r="K11" s="73" t="str">
        <f t="shared" si="8"/>
        <v>7.69866906652488-8.14673678182065i</v>
      </c>
      <c r="L11" s="73" t="str">
        <f t="shared" si="9"/>
        <v>-0.129527961172139-0.401751323248572i</v>
      </c>
      <c r="M11" s="70">
        <f t="shared" si="10"/>
        <v>-7.4913710060375109</v>
      </c>
      <c r="N11" s="70">
        <f t="shared" si="11"/>
        <v>72.130247809380052</v>
      </c>
      <c r="O11" s="70">
        <f t="shared" si="12"/>
        <v>72.130247809380052</v>
      </c>
    </row>
    <row r="12" spans="1:18" ht="15" x14ac:dyDescent="0.2">
      <c r="A12" s="71">
        <f t="shared" si="13"/>
        <v>11</v>
      </c>
      <c r="B12" s="70">
        <f t="shared" si="14"/>
        <v>11000</v>
      </c>
      <c r="C12" s="70">
        <f t="shared" si="0"/>
        <v>406.42632978456544</v>
      </c>
      <c r="D12" s="51" t="str">
        <f t="shared" si="1"/>
        <v>0.0000590317211185172-0.0000627941713627212i</v>
      </c>
      <c r="E12" s="51" t="str">
        <f t="shared" si="2"/>
        <v>0.997544338518663-0.230621852116547i</v>
      </c>
      <c r="F12" s="70" t="str">
        <f t="shared" si="3"/>
        <v>0.0000444050510929948-0.0000762539749928332i</v>
      </c>
      <c r="G12" s="70" t="str">
        <f t="shared" si="4"/>
        <v>0.018047381939622-0.0309916231878212i</v>
      </c>
      <c r="H12" s="72">
        <f t="shared" si="5"/>
        <v>3.5863473098550994E-2</v>
      </c>
      <c r="I12" s="51" t="str">
        <f t="shared" si="6"/>
        <v>14.670400689358-1.41677090499513i</v>
      </c>
      <c r="J12" s="73" t="str">
        <f t="shared" si="7"/>
        <v>0.530185068762865-0.49908802993438i</v>
      </c>
      <c r="K12" s="73" t="str">
        <f t="shared" si="8"/>
        <v>7.07093399842369-8.07297215808572i</v>
      </c>
      <c r="L12" s="73" t="str">
        <f t="shared" si="9"/>
        <v>-0.122582664589753-0.364835733990008i</v>
      </c>
      <c r="M12" s="70">
        <f t="shared" si="10"/>
        <v>-8.2935222040334455</v>
      </c>
      <c r="N12" s="70">
        <f t="shared" si="11"/>
        <v>71.427953761078854</v>
      </c>
      <c r="O12" s="70">
        <f t="shared" si="12"/>
        <v>71.427953761078854</v>
      </c>
    </row>
    <row r="13" spans="1:18" ht="15" x14ac:dyDescent="0.2">
      <c r="A13" s="71">
        <f t="shared" si="13"/>
        <v>12</v>
      </c>
      <c r="B13" s="70">
        <f t="shared" si="14"/>
        <v>12000</v>
      </c>
      <c r="C13" s="70">
        <f t="shared" si="0"/>
        <v>406.42632978456544</v>
      </c>
      <c r="D13" s="51" t="str">
        <f t="shared" si="1"/>
        <v>0.0000590310912793735-0.0000575613237854175i</v>
      </c>
      <c r="E13" s="51" t="str">
        <f t="shared" si="2"/>
        <v>0.996491807450037-0.253775502746189i</v>
      </c>
      <c r="F13" s="70" t="str">
        <f t="shared" si="3"/>
        <v>0.0000442163449623505-0.0000723400324452267i</v>
      </c>
      <c r="G13" s="70" t="str">
        <f t="shared" si="4"/>
        <v>0.0179706867995364-0.0294008938832099i</v>
      </c>
      <c r="H13" s="72">
        <f t="shared" si="5"/>
        <v>3.4458063572679193E-2</v>
      </c>
      <c r="I13" s="51" t="str">
        <f t="shared" si="6"/>
        <v>14.670400689358-1.29870666291221i</v>
      </c>
      <c r="J13" s="73" t="str">
        <f t="shared" si="7"/>
        <v>0.486719255599031-0.499823590707918i</v>
      </c>
      <c r="K13" s="73" t="str">
        <f t="shared" si="8"/>
        <v>6.49124227533076-7.96471788989296i</v>
      </c>
      <c r="L13" s="73" t="str">
        <f t="shared" si="9"/>
        <v>-0.117517743620567-0.333979775953136i</v>
      </c>
      <c r="M13" s="70">
        <f t="shared" si="10"/>
        <v>-9.0186557686618674</v>
      </c>
      <c r="N13" s="70">
        <f t="shared" si="11"/>
        <v>70.614516339971345</v>
      </c>
      <c r="O13" s="70">
        <f t="shared" si="12"/>
        <v>70.614516339971345</v>
      </c>
    </row>
    <row r="14" spans="1:18" ht="15" x14ac:dyDescent="0.2">
      <c r="A14" s="71">
        <f t="shared" si="13"/>
        <v>13</v>
      </c>
      <c r="B14" s="70">
        <f t="shared" si="14"/>
        <v>13000</v>
      </c>
      <c r="C14" s="70">
        <f t="shared" si="0"/>
        <v>406.42632978456544</v>
      </c>
      <c r="D14" s="51" t="str">
        <f t="shared" si="1"/>
        <v>0.0000590306011164167-0.0000531335296741232i</v>
      </c>
      <c r="E14" s="51" t="str">
        <f t="shared" si="2"/>
        <v>0.99512283085849-0.277490278875169i</v>
      </c>
      <c r="F14" s="70" t="str">
        <f t="shared" si="3"/>
        <v>0.0000439986609233524-0.0000692548064287804i</v>
      </c>
      <c r="G14" s="70" t="str">
        <f t="shared" si="4"/>
        <v>0.0178822142745137-0.0281469767967897i</v>
      </c>
      <c r="H14" s="72">
        <f t="shared" si="5"/>
        <v>3.3347052195938393E-2</v>
      </c>
      <c r="I14" s="51" t="str">
        <f t="shared" si="6"/>
        <v>14.6704006893581-1.1988061503805i</v>
      </c>
      <c r="J14" s="73" t="str">
        <f t="shared" si="7"/>
        <v>0.446895815200458-0.497171947676834i</v>
      </c>
      <c r="K14" s="73" t="str">
        <f t="shared" si="8"/>
        <v>5.96012788671641-7.82945313576935i</v>
      </c>
      <c r="L14" s="73" t="str">
        <f t="shared" si="9"/>
        <v>-0.113795151770285-0.307767539959397i</v>
      </c>
      <c r="M14" s="70">
        <f t="shared" si="10"/>
        <v>-9.6790449951798205</v>
      </c>
      <c r="N14" s="70">
        <f t="shared" si="11"/>
        <v>69.708436979401455</v>
      </c>
      <c r="O14" s="70">
        <f t="shared" si="12"/>
        <v>69.708436979401455</v>
      </c>
    </row>
    <row r="15" spans="1:18" ht="15" x14ac:dyDescent="0.2">
      <c r="A15" s="71">
        <f t="shared" si="13"/>
        <v>14</v>
      </c>
      <c r="B15" s="70">
        <f t="shared" si="14"/>
        <v>14000.000000000002</v>
      </c>
      <c r="C15" s="70">
        <f t="shared" si="0"/>
        <v>406.42632978456544</v>
      </c>
      <c r="D15" s="51" t="str">
        <f t="shared" si="1"/>
        <v>0.0000590302121871152-0.0000493382775737332i</v>
      </c>
      <c r="E15" s="51" t="str">
        <f t="shared" si="2"/>
        <v>0.993374742343426-0.301806562343923i</v>
      </c>
      <c r="F15" s="70" t="str">
        <f t="shared" si="3"/>
        <v>0.0000437485058753546-0.0000668271041871012i</v>
      </c>
      <c r="G15" s="70" t="str">
        <f t="shared" si="4"/>
        <v>0.0177805446764789-0.0271602946848943i</v>
      </c>
      <c r="H15" s="72">
        <f t="shared" si="5"/>
        <v>3.2462738275791825E-2</v>
      </c>
      <c r="I15" s="51" t="str">
        <f t="shared" si="6"/>
        <v>14.670400689358-1.11317713963903i</v>
      </c>
      <c r="J15" s="73" t="str">
        <f t="shared" si="7"/>
        <v>0.410611793129919-0.4919448632444i</v>
      </c>
      <c r="K15" s="73" t="str">
        <f t="shared" si="8"/>
        <v>5.47621775726517-7.67411192224519i</v>
      </c>
      <c r="L15" s="73" t="str">
        <f t="shared" si="9"/>
        <v>-0.11106100676186-0.285185577931753i</v>
      </c>
      <c r="M15" s="70">
        <f t="shared" si="10"/>
        <v>-10.284209883195901</v>
      </c>
      <c r="N15" s="70">
        <f t="shared" si="11"/>
        <v>68.722361765745063</v>
      </c>
      <c r="O15" s="70">
        <f t="shared" si="12"/>
        <v>68.722361765745063</v>
      </c>
    </row>
    <row r="16" spans="1:18" ht="15" x14ac:dyDescent="0.2">
      <c r="A16" s="71">
        <f t="shared" si="13"/>
        <v>15</v>
      </c>
      <c r="B16" s="70">
        <f t="shared" si="14"/>
        <v>15000</v>
      </c>
      <c r="C16" s="70">
        <f t="shared" si="0"/>
        <v>406.42632978456544</v>
      </c>
      <c r="D16" s="51" t="str">
        <f t="shared" si="1"/>
        <v>0.0000590298984188018-0.0000460490590832674i</v>
      </c>
      <c r="E16" s="51" t="str">
        <f t="shared" si="2"/>
        <v>0.991177431652325-0.326761790654613i</v>
      </c>
      <c r="F16" s="70" t="str">
        <f t="shared" si="3"/>
        <v>0.0000434620301014371-0.0000649315034216467i</v>
      </c>
      <c r="G16" s="70" t="str">
        <f t="shared" si="4"/>
        <v>0.0176641133791134-0.0263898726230538i</v>
      </c>
      <c r="H16" s="72">
        <f t="shared" si="5"/>
        <v>3.1756043181277761E-2</v>
      </c>
      <c r="I16" s="51" t="str">
        <f t="shared" si="6"/>
        <v>14.6704006893581-1.03896533032976i</v>
      </c>
      <c r="J16" s="73" t="str">
        <f t="shared" si="7"/>
        <v>0.377676374585855-0.484806075318307i</v>
      </c>
      <c r="K16" s="73" t="str">
        <f t="shared" si="8"/>
        <v>5.03696704188964-7.50469204083402i</v>
      </c>
      <c r="L16" s="73" t="str">
        <f t="shared" si="9"/>
        <v>-0.109074310118059-0.26548864972661i</v>
      </c>
      <c r="M16" s="70">
        <f t="shared" si="10"/>
        <v>-10.841706828741025</v>
      </c>
      <c r="N16" s="70">
        <f t="shared" si="11"/>
        <v>67.66500463417627</v>
      </c>
      <c r="O16" s="70">
        <f t="shared" si="12"/>
        <v>67.66500463417627</v>
      </c>
    </row>
    <row r="17" spans="1:18" ht="15" x14ac:dyDescent="0.2">
      <c r="A17" s="71">
        <f t="shared" si="13"/>
        <v>16</v>
      </c>
      <c r="B17" s="70">
        <f t="shared" si="14"/>
        <v>16000</v>
      </c>
      <c r="C17" s="70">
        <f t="shared" si="0"/>
        <v>406.42632978456544</v>
      </c>
      <c r="D17" s="51" t="str">
        <f t="shared" si="1"/>
        <v>0.0000590296416224281-0.0000431709929016499i</v>
      </c>
      <c r="E17" s="51" t="str">
        <f t="shared" si="2"/>
        <v>0.98845289678367-0.352389624521807i</v>
      </c>
      <c r="F17" s="70" t="str">
        <f t="shared" si="3"/>
        <v>0.000043135010278945-0.0000634739262376474i</v>
      </c>
      <c r="G17" s="70" t="str">
        <f t="shared" si="4"/>
        <v>0.0175312039128911-0.0257974748777833i</v>
      </c>
      <c r="H17" s="72">
        <f t="shared" si="5"/>
        <v>3.1190588655958848E-2</v>
      </c>
      <c r="I17" s="51" t="str">
        <f t="shared" si="6"/>
        <v>14.670400689358-0.974029997184157i</v>
      </c>
      <c r="J17" s="73" t="str">
        <f t="shared" si="7"/>
        <v>0.347850822031343-0.476288387055009i</v>
      </c>
      <c r="K17" s="73" t="str">
        <f t="shared" si="8"/>
        <v>4.63919176302032-7.32615861698871i</v>
      </c>
      <c r="L17" s="73" t="str">
        <f t="shared" si="9"/>
        <v>-0.107665776083908-0.248115813572349i</v>
      </c>
      <c r="M17" s="70">
        <f t="shared" si="10"/>
        <v>-11.357656248653354</v>
      </c>
      <c r="N17" s="70">
        <f t="shared" si="11"/>
        <v>66.54236034832654</v>
      </c>
      <c r="O17" s="70">
        <f t="shared" si="12"/>
        <v>66.54236034832654</v>
      </c>
    </row>
    <row r="18" spans="1:18" ht="15" x14ac:dyDescent="0.2">
      <c r="A18" s="71">
        <f t="shared" si="13"/>
        <v>17</v>
      </c>
      <c r="B18" s="70">
        <f t="shared" si="14"/>
        <v>17000</v>
      </c>
      <c r="C18" s="70">
        <f t="shared" si="0"/>
        <v>406.42632978456544</v>
      </c>
      <c r="D18" s="51" t="str">
        <f t="shared" si="1"/>
        <v>0.0000590294287958766-0.0000406315227396126i</v>
      </c>
      <c r="E18" s="51" t="str">
        <f t="shared" si="2"/>
        <v>0.985114830259947-0.378718953288537i</v>
      </c>
      <c r="F18" s="70" t="str">
        <f t="shared" si="3"/>
        <v>0.0000427628379661261-0.0000623822791136313i</v>
      </c>
      <c r="G18" s="70" t="str">
        <f t="shared" si="4"/>
        <v>0.0173799432857447-0.0253538007437495i</v>
      </c>
      <c r="H18" s="72">
        <f t="shared" si="5"/>
        <v>3.0738862060418811E-2</v>
      </c>
      <c r="I18" s="51" t="str">
        <f t="shared" si="6"/>
        <v>14.6704006893581-0.916734114996854i</v>
      </c>
      <c r="J18" s="73" t="str">
        <f t="shared" si="7"/>
        <v>0.32087602447469-0.466813240377786i</v>
      </c>
      <c r="K18" s="73" t="str">
        <f t="shared" si="8"/>
        <v>4.27943622786544-7.14249528176027i</v>
      </c>
      <c r="L18" s="73" t="str">
        <f t="shared" si="9"/>
        <v>-0.106713043251658-0.232636136332576i</v>
      </c>
      <c r="M18" s="70">
        <f t="shared" si="10"/>
        <v>-11.837106615547182</v>
      </c>
      <c r="N18" s="70">
        <f t="shared" si="11"/>
        <v>65.358496863967673</v>
      </c>
      <c r="O18" s="70">
        <f t="shared" si="12"/>
        <v>65.358496863967673</v>
      </c>
    </row>
    <row r="19" spans="1:18" ht="15" x14ac:dyDescent="0.2">
      <c r="A19" s="71">
        <f t="shared" si="13"/>
        <v>18</v>
      </c>
      <c r="B19" s="70">
        <f t="shared" si="14"/>
        <v>18000</v>
      </c>
      <c r="C19" s="70">
        <f t="shared" si="0"/>
        <v>406.42632978456544</v>
      </c>
      <c r="D19" s="51" t="str">
        <f t="shared" si="1"/>
        <v>0.0000590292504451561-0.0000383742159275897i</v>
      </c>
      <c r="E19" s="51" t="str">
        <f t="shared" si="2"/>
        <v>0.981068267923973-0.405772721108261i</v>
      </c>
      <c r="F19" s="70" t="str">
        <f t="shared" si="3"/>
        <v>0.0000423405144737457-0.000061600185131133i</v>
      </c>
      <c r="G19" s="70" t="str">
        <f t="shared" si="4"/>
        <v>0.0172082998987547-0.0250359371568961i</v>
      </c>
      <c r="H19" s="72">
        <f t="shared" si="5"/>
        <v>3.037965988502063E-2</v>
      </c>
      <c r="I19" s="51" t="str">
        <f t="shared" si="6"/>
        <v>14.6704006893581-0.865804441941474i</v>
      </c>
      <c r="J19" s="73" t="str">
        <f t="shared" si="7"/>
        <v>0.296490606551023-0.456709893453196i</v>
      </c>
      <c r="K19" s="73" t="str">
        <f t="shared" si="8"/>
        <v>3.95421454430393-6.95682001989823i</v>
      </c>
      <c r="L19" s="73" t="str">
        <f t="shared" si="9"/>
        <v>-0.106125199087609-0.218712512080147i</v>
      </c>
      <c r="M19" s="70">
        <f t="shared" si="10"/>
        <v>-12.284292679107141</v>
      </c>
      <c r="N19" s="70">
        <f t="shared" si="11"/>
        <v>64.116089948688483</v>
      </c>
      <c r="O19" s="70">
        <f t="shared" si="12"/>
        <v>64.116089948688483</v>
      </c>
    </row>
    <row r="20" spans="1:18" ht="15" x14ac:dyDescent="0.2">
      <c r="A20" s="71">
        <f t="shared" si="13"/>
        <v>19</v>
      </c>
      <c r="B20" s="70">
        <f t="shared" si="14"/>
        <v>19000</v>
      </c>
      <c r="C20" s="70">
        <f t="shared" si="0"/>
        <v>406.42632978456544</v>
      </c>
      <c r="D20" s="51" t="str">
        <f t="shared" si="1"/>
        <v>0.0000590290995069484-0.000036354520357941i</v>
      </c>
      <c r="E20" s="51" t="str">
        <f t="shared" si="2"/>
        <v>0.976209335792462-0.433566558673604i</v>
      </c>
      <c r="F20" s="70" t="str">
        <f t="shared" si="3"/>
        <v>0.0000418626537382833-0.0000610826657065085i</v>
      </c>
      <c r="G20" s="70" t="str">
        <f t="shared" si="4"/>
        <v>0.0170140847138926-0.0248256036365538i</v>
      </c>
      <c r="H20" s="72">
        <f t="shared" si="5"/>
        <v>3.0096339886617231E-2</v>
      </c>
      <c r="I20" s="51" t="str">
        <f t="shared" si="6"/>
        <v>14.670400689358-0.820235787102443i</v>
      </c>
      <c r="J20" s="73" t="str">
        <f t="shared" si="7"/>
        <v>0.274442185981642-0.446232756008857i</v>
      </c>
      <c r="K20" s="73" t="str">
        <f t="shared" si="8"/>
        <v>3.66016075855818-6.77152063379922i</v>
      </c>
      <c r="L20" s="73" t="str">
        <f t="shared" si="9"/>
        <v>-0.105832802058871-0.206076925943365i</v>
      </c>
      <c r="M20" s="70">
        <f t="shared" si="10"/>
        <v>-12.702823117627005</v>
      </c>
      <c r="N20" s="70">
        <f t="shared" si="11"/>
        <v>62.81679535117452</v>
      </c>
      <c r="O20" s="70">
        <f t="shared" si="12"/>
        <v>62.81679535117452</v>
      </c>
    </row>
    <row r="21" spans="1:18" ht="15" x14ac:dyDescent="0.2">
      <c r="A21" s="71">
        <f t="shared" si="13"/>
        <v>20</v>
      </c>
      <c r="B21" s="70">
        <f t="shared" si="14"/>
        <v>20000</v>
      </c>
      <c r="C21" s="70">
        <f t="shared" si="0"/>
        <v>406.42632978456544</v>
      </c>
      <c r="D21" s="51" t="str">
        <f t="shared" si="1"/>
        <v>0.0000590289706383549-0.000034536794344495i</v>
      </c>
      <c r="E21" s="51" t="str">
        <f t="shared" si="2"/>
        <v>0.970425138632163-0.462107208872458i</v>
      </c>
      <c r="F21" s="70" t="str">
        <f t="shared" si="3"/>
        <v>0.0000413234953771028-0.0000607930863039715i</v>
      </c>
      <c r="G21" s="70" t="str">
        <f t="shared" si="4"/>
        <v>0.0167949565599853-0.0247079109427995i</v>
      </c>
      <c r="H21" s="72">
        <f t="shared" si="5"/>
        <v>2.9875599224268367E-2</v>
      </c>
      <c r="I21" s="51" t="str">
        <f t="shared" si="6"/>
        <v>14.670400689358-0.779223997747321i</v>
      </c>
      <c r="J21" s="73" t="str">
        <f t="shared" si="7"/>
        <v>0.254493848025606-0.4355763186202i</v>
      </c>
      <c r="K21" s="73" t="str">
        <f t="shared" si="8"/>
        <v>3.39411520319293-6.58838683861442i</v>
      </c>
      <c r="L21" s="73" t="str">
        <f t="shared" si="9"/>
        <v>-0.105781257867987-0.194513166925001i</v>
      </c>
      <c r="M21" s="70">
        <f t="shared" si="10"/>
        <v>-13.095819846414338</v>
      </c>
      <c r="N21" s="70">
        <f t="shared" si="11"/>
        <v>61.461516259373099</v>
      </c>
      <c r="O21" s="70">
        <f t="shared" si="12"/>
        <v>61.461516259373099</v>
      </c>
    </row>
    <row r="22" spans="1:18" ht="15" x14ac:dyDescent="0.2">
      <c r="A22" s="71">
        <f t="shared" si="13"/>
        <v>21</v>
      </c>
      <c r="B22" s="70">
        <f t="shared" si="14"/>
        <v>21000</v>
      </c>
      <c r="C22" s="70">
        <f t="shared" si="0"/>
        <v>406.42632978456544</v>
      </c>
      <c r="D22" s="51" t="str">
        <f t="shared" si="1"/>
        <v>0.0000590288597374849-0.0000328921850936432i</v>
      </c>
      <c r="E22" s="51" t="str">
        <f t="shared" si="2"/>
        <v>0.963593842808501-0.491390740625996i</v>
      </c>
      <c r="F22" s="70" t="str">
        <f t="shared" si="3"/>
        <v>0.0000407169305970744-0.0000607009421374629i</v>
      </c>
      <c r="G22" s="70" t="str">
        <f t="shared" si="4"/>
        <v>0.0165484326626618-0.0246704611273943i</v>
      </c>
      <c r="H22" s="72">
        <f t="shared" si="5"/>
        <v>2.9706603236131272E-2</v>
      </c>
      <c r="I22" s="51" t="str">
        <f t="shared" si="6"/>
        <v>14.670400689358-0.742118093092687i</v>
      </c>
      <c r="J22" s="73" t="str">
        <f t="shared" si="7"/>
        <v>0.236427395079113-0.424887610945786i</v>
      </c>
      <c r="K22" s="73" t="str">
        <f t="shared" si="8"/>
        <v>3.15316783613794-6.40872854810971i</v>
      </c>
      <c r="L22" s="73" t="str">
        <f t="shared" si="9"/>
        <v>-0.105926302911763-0.183844517361263i</v>
      </c>
      <c r="M22" s="70">
        <f t="shared" si="10"/>
        <v>-13.466023404788876</v>
      </c>
      <c r="N22" s="70">
        <f t="shared" si="11"/>
        <v>60.050602147644909</v>
      </c>
      <c r="O22" s="70">
        <f t="shared" si="12"/>
        <v>60.050602147644909</v>
      </c>
    </row>
    <row r="23" spans="1:18" ht="15" x14ac:dyDescent="0.2">
      <c r="A23" s="71">
        <f t="shared" si="13"/>
        <v>22</v>
      </c>
      <c r="B23" s="70">
        <f t="shared" si="14"/>
        <v>22000</v>
      </c>
      <c r="C23" s="70">
        <f t="shared" si="0"/>
        <v>406.42632978456544</v>
      </c>
      <c r="D23" s="51" t="str">
        <f t="shared" si="1"/>
        <v>0.0000590287636129654-0.000031397085774223i</v>
      </c>
      <c r="E23" s="51" t="str">
        <f t="shared" si="2"/>
        <v>0.95558501521352-0.521400553935948i</v>
      </c>
      <c r="F23" s="70" t="str">
        <f t="shared" si="3"/>
        <v>0.0000400365440604765-0.0000607802147331754i</v>
      </c>
      <c r="G23" s="70" t="str">
        <f t="shared" si="4"/>
        <v>0.0162719056597575-0.0247026795975222i</v>
      </c>
      <c r="H23" s="72">
        <f t="shared" si="5"/>
        <v>2.958035316046595E-2</v>
      </c>
      <c r="I23" s="51" t="str">
        <f t="shared" si="6"/>
        <v>14.670400689358-0.708385452497566i</v>
      </c>
      <c r="J23" s="73" t="str">
        <f t="shared" si="7"/>
        <v>0.220044497448805-0.414276377061628i</v>
      </c>
      <c r="K23" s="73" t="str">
        <f t="shared" si="8"/>
        <v>2.93467358823853-6.23347676852451i</v>
      </c>
      <c r="L23" s="73" t="str">
        <f t="shared" si="9"/>
        <v>-0.10623084762146-0.173924847283288i</v>
      </c>
      <c r="M23" s="70">
        <f t="shared" si="10"/>
        <v>-13.815874007867484</v>
      </c>
      <c r="N23" s="70">
        <f t="shared" si="11"/>
        <v>58.584002232719214</v>
      </c>
      <c r="O23" s="70">
        <f t="shared" si="12"/>
        <v>58.584002232719214</v>
      </c>
    </row>
    <row r="24" spans="1:18" ht="15" x14ac:dyDescent="0.2">
      <c r="A24" s="71">
        <f t="shared" si="13"/>
        <v>23</v>
      </c>
      <c r="B24" s="70">
        <f t="shared" si="14"/>
        <v>23000</v>
      </c>
      <c r="C24" s="70">
        <f t="shared" si="0"/>
        <v>406.42632978456544</v>
      </c>
      <c r="D24" s="51" t="str">
        <f t="shared" si="1"/>
        <v>0.000059028679751749-0.0000300319950909059i</v>
      </c>
      <c r="E24" s="51" t="str">
        <f t="shared" si="2"/>
        <v>0.946260289080358-0.552105191497926i</v>
      </c>
      <c r="F24" s="70" t="str">
        <f t="shared" si="3"/>
        <v>0.0000392756751651925-0.0000610081248945896i</v>
      </c>
      <c r="G24" s="70" t="str">
        <f t="shared" si="4"/>
        <v>0.0159626685072-0.0247953082879464i</v>
      </c>
      <c r="H24" s="72">
        <f t="shared" si="5"/>
        <v>2.9489220046740098E-2</v>
      </c>
      <c r="I24" s="51" t="str">
        <f t="shared" si="6"/>
        <v>14.6704006893581-0.677586084997672i</v>
      </c>
      <c r="J24" s="73" t="str">
        <f t="shared" si="7"/>
        <v>0.205166533592084-0.403823262190147i</v>
      </c>
      <c r="K24" s="73" t="str">
        <f t="shared" si="8"/>
        <v>2.73625023258411-6.06326705228237i</v>
      </c>
      <c r="L24" s="73" t="str">
        <f t="shared" si="9"/>
        <v>-0.106662720378-0.164632090096099i</v>
      </c>
      <c r="M24" s="70">
        <f t="shared" si="10"/>
        <v>-14.147574764056863</v>
      </c>
      <c r="N24" s="70">
        <f t="shared" si="11"/>
        <v>57.061388856595869</v>
      </c>
      <c r="O24" s="70">
        <f t="shared" si="12"/>
        <v>57.061388856595869</v>
      </c>
    </row>
    <row r="25" spans="1:18" ht="15" x14ac:dyDescent="0.2">
      <c r="A25" s="71">
        <f t="shared" si="13"/>
        <v>24</v>
      </c>
      <c r="B25" s="70">
        <f t="shared" si="14"/>
        <v>24000</v>
      </c>
      <c r="C25" s="70">
        <f t="shared" si="0"/>
        <v>406.42632978456544</v>
      </c>
      <c r="D25" s="51" t="str">
        <f t="shared" si="1"/>
        <v>0.0000590286061531789-0.0000287806619642366i</v>
      </c>
      <c r="E25" s="51" t="str">
        <f t="shared" si="2"/>
        <v>0.935474435292397-0.583455988747857i</v>
      </c>
      <c r="F25" s="70" t="str">
        <f t="shared" si="3"/>
        <v>0.0000384275024240808-0.0000613641672658464i</v>
      </c>
      <c r="G25" s="70" t="str">
        <f t="shared" si="4"/>
        <v>0.0156179487730066-0.0249400132821441i</v>
      </c>
      <c r="H25" s="72">
        <f t="shared" si="5"/>
        <v>2.9426596581830226E-2</v>
      </c>
      <c r="I25" s="51" t="str">
        <f t="shared" si="6"/>
        <v>14.670400689358-0.649353331456103i</v>
      </c>
      <c r="J25" s="73" t="str">
        <f t="shared" si="7"/>
        <v>0.191633657097372-0.393586329240307i</v>
      </c>
      <c r="K25" s="73" t="str">
        <f t="shared" si="8"/>
        <v>2.55576594107771-5.89850710946418i</v>
      </c>
      <c r="L25" s="73" t="str">
        <f t="shared" si="9"/>
        <v>-0.107193024111311-0.155863418389356i</v>
      </c>
      <c r="M25" s="70">
        <f t="shared" si="10"/>
        <v>-14.463141537162802</v>
      </c>
      <c r="N25" s="70">
        <f t="shared" si="11"/>
        <v>55.482261120006015</v>
      </c>
      <c r="O25" s="70">
        <f t="shared" si="12"/>
        <v>55.482261120006015</v>
      </c>
      <c r="P25" s="70">
        <v>-9.1029999999999998</v>
      </c>
      <c r="Q25" s="70">
        <v>72.905000000000001</v>
      </c>
      <c r="R25" s="70">
        <f>B25</f>
        <v>24000</v>
      </c>
    </row>
    <row r="26" spans="1:18" ht="15" x14ac:dyDescent="0.2">
      <c r="A26" s="71">
        <f t="shared" si="13"/>
        <v>25</v>
      </c>
      <c r="B26" s="70">
        <f t="shared" si="14"/>
        <v>25000</v>
      </c>
      <c r="C26" s="70">
        <f t="shared" si="0"/>
        <v>406.42632978456544</v>
      </c>
      <c r="D26" s="51" t="str">
        <f t="shared" si="1"/>
        <v>0.0000590285412085474-0.0000276294354874616i</v>
      </c>
      <c r="E26" s="51" t="str">
        <f t="shared" si="2"/>
        <v>0.923076923076923-0.615384615384615i</v>
      </c>
      <c r="F26" s="70" t="str">
        <f t="shared" si="3"/>
        <v>0.0000374851546617597-0.0000618293504244552i</v>
      </c>
      <c r="G26" s="70" t="str">
        <f t="shared" si="4"/>
        <v>0.0152349538305858-0.0251290759659751i</v>
      </c>
      <c r="H26" s="72">
        <f t="shared" si="5"/>
        <v>2.9386634327936031E-2</v>
      </c>
      <c r="I26" s="51" t="str">
        <f t="shared" si="6"/>
        <v>14.670400689358-0.623379198197859i</v>
      </c>
      <c r="J26" s="73" t="str">
        <f t="shared" si="7"/>
        <v>0.179303447490158-0.383606205904313i</v>
      </c>
      <c r="K26" s="73" t="str">
        <f t="shared" si="8"/>
        <v>2.39132129060353-5.73943078687117i</v>
      </c>
      <c r="L26" s="73" t="str">
        <f t="shared" si="9"/>
        <v>-0.1077949227883-0.147531657422455i</v>
      </c>
      <c r="M26" s="70">
        <f t="shared" si="10"/>
        <v>-14.764442573750546</v>
      </c>
      <c r="N26" s="70">
        <f t="shared" si="11"/>
        <v>53.846035829044354</v>
      </c>
      <c r="O26" s="70">
        <f t="shared" si="12"/>
        <v>53.846035829044354</v>
      </c>
    </row>
    <row r="27" spans="1:18" ht="15" x14ac:dyDescent="0.2">
      <c r="A27" s="71">
        <f t="shared" si="13"/>
        <v>26</v>
      </c>
      <c r="B27" s="70">
        <f t="shared" si="14"/>
        <v>26000</v>
      </c>
      <c r="C27" s="70">
        <f t="shared" si="0"/>
        <v>406.42632978456544</v>
      </c>
      <c r="D27" s="51" t="str">
        <f t="shared" si="1"/>
        <v>0.000059028483612439-0.0000265667648933202i</v>
      </c>
      <c r="E27" s="51" t="str">
        <f t="shared" si="2"/>
        <v>0.908914055000462-0.647800587445505i</v>
      </c>
      <c r="F27" s="70" t="str">
        <f t="shared" si="3"/>
        <v>0.0000364418524962908-0.0000623855923675869i</v>
      </c>
      <c r="G27" s="70" t="str">
        <f t="shared" si="4"/>
        <v>0.014810928360618-0.0253551473373943i</v>
      </c>
      <c r="H27" s="72">
        <f t="shared" si="5"/>
        <v>2.9364044261721373E-2</v>
      </c>
      <c r="I27" s="51" t="str">
        <f t="shared" si="6"/>
        <v>14.6704006893581-0.599403075190249i</v>
      </c>
      <c r="J27" s="73" t="str">
        <f t="shared" si="7"/>
        <v>0.16804937594164-0.373910127152589i</v>
      </c>
      <c r="K27" s="73" t="str">
        <f t="shared" si="8"/>
        <v>2.24122880060039-5.58614069986054i</v>
      </c>
      <c r="L27" s="73" t="str">
        <f t="shared" si="9"/>
        <v>-0.108442741286933-0.139562616174001i</v>
      </c>
      <c r="M27" s="70">
        <f t="shared" si="10"/>
        <v>-15.053230083119093</v>
      </c>
      <c r="N27" s="70">
        <f t="shared" si="11"/>
        <v>52.152130604178609</v>
      </c>
      <c r="O27" s="70">
        <f t="shared" si="12"/>
        <v>52.152130604178609</v>
      </c>
    </row>
    <row r="28" spans="1:18" ht="15" x14ac:dyDescent="0.2">
      <c r="A28" s="71">
        <f t="shared" si="13"/>
        <v>27</v>
      </c>
      <c r="B28" s="70">
        <f t="shared" si="14"/>
        <v>27000</v>
      </c>
      <c r="C28" s="70">
        <f t="shared" si="0"/>
        <v>406.42632978456544</v>
      </c>
      <c r="D28" s="51" t="str">
        <f t="shared" si="1"/>
        <v>0.0000590284322966131-0.0000255828106393249i</v>
      </c>
      <c r="E28" s="51" t="str">
        <f t="shared" si="2"/>
        <v>0.89283175581238-0.680588859597241i</v>
      </c>
      <c r="F28" s="70" t="str">
        <f t="shared" si="3"/>
        <v>0.000035291082931927-0.000063015239162289i</v>
      </c>
      <c r="G28" s="70" t="str">
        <f t="shared" si="4"/>
        <v>0.0143432253101458-0.0256110523732257i</v>
      </c>
      <c r="H28" s="72">
        <f t="shared" si="5"/>
        <v>2.9353945492245449E-2</v>
      </c>
      <c r="I28" s="51" t="str">
        <f t="shared" si="6"/>
        <v>14.670400689358-0.577202961294314i</v>
      </c>
      <c r="J28" s="73" t="str">
        <f t="shared" si="7"/>
        <v>0.157759230686754-0.364515096833969i</v>
      </c>
      <c r="K28" s="73" t="str">
        <f t="shared" si="8"/>
        <v>2.10399193329049-5.43864162299836i</v>
      </c>
      <c r="L28" s="73" t="str">
        <f t="shared" si="9"/>
        <v>-0.109111305095901-0.13189310977615i</v>
      </c>
      <c r="M28" s="70">
        <f t="shared" si="10"/>
        <v>-15.331165303186394</v>
      </c>
      <c r="N28" s="70">
        <f t="shared" si="11"/>
        <v>50.400042422650756</v>
      </c>
      <c r="O28" s="70">
        <f t="shared" si="12"/>
        <v>50.400042422650756</v>
      </c>
    </row>
    <row r="29" spans="1:18" ht="15" x14ac:dyDescent="0.2">
      <c r="A29" s="71">
        <f t="shared" si="13"/>
        <v>28</v>
      </c>
      <c r="B29" s="70">
        <f t="shared" si="14"/>
        <v>28000.000000000004</v>
      </c>
      <c r="C29" s="70">
        <f t="shared" si="0"/>
        <v>406.42632978456544</v>
      </c>
      <c r="D29" s="51" t="str">
        <f t="shared" si="1"/>
        <v>0.0000590283863801133-0.0000246691388319103i</v>
      </c>
      <c r="E29" s="51" t="str">
        <f t="shared" si="2"/>
        <v>0.874679080449271-0.713607641392179i</v>
      </c>
      <c r="F29" s="70" t="str">
        <f t="shared" si="3"/>
        <v>0.0000340268087423461-0.0000637006872488696i</v>
      </c>
      <c r="G29" s="70" t="str">
        <f t="shared" si="4"/>
        <v>0.0138293909914331-0.0258896365233125i</v>
      </c>
      <c r="H29" s="72">
        <f t="shared" si="5"/>
        <v>2.9351751813191107E-2</v>
      </c>
      <c r="I29" s="51" t="str">
        <f t="shared" si="6"/>
        <v>14.6704006893581-0.556588569819518i</v>
      </c>
      <c r="J29" s="73" t="str">
        <f t="shared" si="7"/>
        <v>0.148333589004326-0.355430352358126i</v>
      </c>
      <c r="K29" s="73" t="str">
        <f t="shared" si="8"/>
        <v>1.97828471489457-5.29686646641356i</v>
      </c>
      <c r="L29" s="73" t="str">
        <f t="shared" si="9"/>
        <v>-0.109775474713317-0.124469509601689i</v>
      </c>
      <c r="M29" s="70">
        <f t="shared" si="10"/>
        <v>-15.599838120239554</v>
      </c>
      <c r="N29" s="70">
        <f t="shared" si="11"/>
        <v>48.589423668387695</v>
      </c>
      <c r="O29" s="70">
        <f t="shared" si="12"/>
        <v>48.589423668387695</v>
      </c>
    </row>
    <row r="30" spans="1:18" ht="15" x14ac:dyDescent="0.2">
      <c r="A30" s="71">
        <f t="shared" si="13"/>
        <v>29</v>
      </c>
      <c r="B30" s="70">
        <f t="shared" si="14"/>
        <v>28999.999999999996</v>
      </c>
      <c r="C30" s="70">
        <f t="shared" si="0"/>
        <v>406.42632978456544</v>
      </c>
      <c r="D30" s="51" t="str">
        <f t="shared" si="1"/>
        <v>0.0000590283451312036-0.0000238184788731719i</v>
      </c>
      <c r="E30" s="51" t="str">
        <f t="shared" si="2"/>
        <v>0.854312480830752-0.74668661675985i</v>
      </c>
      <c r="F30" s="70" t="str">
        <f t="shared" si="3"/>
        <v>0.0000326437125621977-0.0000644240990947055i</v>
      </c>
      <c r="G30" s="70" t="str">
        <f t="shared" si="4"/>
        <v>0.0132672642871963-0.0261836501447383i</v>
      </c>
      <c r="H30" s="72">
        <f t="shared" si="5"/>
        <v>2.9353089046442255E-2</v>
      </c>
      <c r="I30" s="51" t="str">
        <f t="shared" si="6"/>
        <v>14.670400689358-0.537395860515397i</v>
      </c>
      <c r="J30" s="73" t="str">
        <f t="shared" si="7"/>
        <v>0.139684384405704-0.346659281080002i</v>
      </c>
      <c r="K30" s="73" t="str">
        <f t="shared" si="8"/>
        <v>1.86293262661635-5.16069636608668i</v>
      </c>
      <c r="L30" s="73" t="str">
        <f t="shared" si="9"/>
        <v>-0.110409848646276-0.117246698733386i</v>
      </c>
      <c r="M30" s="70">
        <f t="shared" si="10"/>
        <v>-15.860781977310731</v>
      </c>
      <c r="N30" s="70">
        <f t="shared" si="11"/>
        <v>46.720156789860908</v>
      </c>
      <c r="O30" s="70">
        <f t="shared" si="12"/>
        <v>46.720156789860908</v>
      </c>
    </row>
    <row r="31" spans="1:18" ht="15" x14ac:dyDescent="0.2">
      <c r="A31" s="71">
        <f t="shared" si="13"/>
        <v>30</v>
      </c>
      <c r="B31" s="70">
        <f t="shared" si="14"/>
        <v>30000</v>
      </c>
      <c r="C31" s="70">
        <f t="shared" si="0"/>
        <v>406.42632978456544</v>
      </c>
      <c r="D31" s="51" t="str">
        <f t="shared" si="1"/>
        <v>0.0000590283079380345-0.0000230245295782559i</v>
      </c>
      <c r="E31" s="51" t="str">
        <f t="shared" si="2"/>
        <v>0.831600831600832-0.77962577962578i</v>
      </c>
      <c r="F31" s="70" t="str">
        <f t="shared" si="3"/>
        <v>0.0000311374731462949-0.0000651672085406763i</v>
      </c>
      <c r="G31" s="70" t="str">
        <f t="shared" si="4"/>
        <v>0.0126550889296141-0.0264856693894925i</v>
      </c>
      <c r="H31" s="72">
        <f t="shared" si="5"/>
        <v>2.9353738413121101E-2</v>
      </c>
      <c r="I31" s="51" t="str">
        <f t="shared" si="6"/>
        <v>14.6704006893581-0.519482665164884i</v>
      </c>
      <c r="J31" s="73" t="str">
        <f t="shared" si="7"/>
        <v>0.13173359301119-0.338200906982155i</v>
      </c>
      <c r="K31" s="73" t="str">
        <f t="shared" si="8"/>
        <v>1.75689508520271-5.02997613692174i</v>
      </c>
      <c r="L31" s="73" t="str">
        <f t="shared" si="9"/>
        <v>-0.110988621456304-0.110187337705285i</v>
      </c>
      <c r="M31" s="70">
        <f t="shared" si="10"/>
        <v>-16.11548456961809</v>
      </c>
      <c r="N31" s="70">
        <f t="shared" si="11"/>
        <v>44.79242781880302</v>
      </c>
      <c r="O31" s="70">
        <f t="shared" si="12"/>
        <v>44.79242781880302</v>
      </c>
    </row>
    <row r="32" spans="1:18" ht="15" x14ac:dyDescent="0.2">
      <c r="A32" s="71">
        <f t="shared" si="13"/>
        <v>31</v>
      </c>
      <c r="B32" s="70">
        <f t="shared" si="14"/>
        <v>31000</v>
      </c>
      <c r="C32" s="70">
        <f t="shared" si="0"/>
        <v>406.42632978456544</v>
      </c>
      <c r="D32" s="51" t="str">
        <f t="shared" si="1"/>
        <v>0.0000590282742858225-0.0000222818028184169i</v>
      </c>
      <c r="E32" s="51" t="str">
        <f t="shared" si="2"/>
        <v>0.80643116012275-0.812195125529735i</v>
      </c>
      <c r="F32" s="70" t="str">
        <f t="shared" si="3"/>
        <v>0.0000295050680752268-0.0000659112167398595i</v>
      </c>
      <c r="G32" s="70" t="str">
        <f t="shared" si="4"/>
        <v>0.0119916365278582-0.0267880539112161i</v>
      </c>
      <c r="H32" s="72">
        <f t="shared" si="5"/>
        <v>2.9349602705428281E-2</v>
      </c>
      <c r="I32" s="51" t="str">
        <f t="shared" si="6"/>
        <v>14.6704006893581-0.502725159836984i</v>
      </c>
      <c r="J32" s="73" t="str">
        <f t="shared" si="7"/>
        <v>0.124412047573944-0.330051041495709i</v>
      </c>
      <c r="K32" s="73" t="str">
        <f t="shared" si="8"/>
        <v>1.65924962590295-4.90452609318427i</v>
      </c>
      <c r="L32" s="73" t="str">
        <f t="shared" si="9"/>
        <v>-0.111485590970373-0.103261362681716i</v>
      </c>
      <c r="M32" s="70">
        <f t="shared" si="10"/>
        <v>-16.365394664423583</v>
      </c>
      <c r="N32" s="70">
        <f t="shared" si="11"/>
        <v>42.806798226751539</v>
      </c>
      <c r="O32" s="70">
        <f t="shared" si="12"/>
        <v>42.806798226751539</v>
      </c>
    </row>
    <row r="33" spans="1:18" ht="15" x14ac:dyDescent="0.2">
      <c r="A33" s="71">
        <f t="shared" si="13"/>
        <v>32</v>
      </c>
      <c r="B33" s="70">
        <f t="shared" si="14"/>
        <v>32000</v>
      </c>
      <c r="C33" s="70">
        <f t="shared" si="0"/>
        <v>406.42632978456544</v>
      </c>
      <c r="D33" s="51" t="str">
        <f t="shared" si="1"/>
        <v>0.0000590282437389411-0.0000215854964810008i</v>
      </c>
      <c r="E33" s="51" t="str">
        <f t="shared" si="2"/>
        <v>0.778714955716654-0.844135453351387i</v>
      </c>
      <c r="F33" s="70" t="str">
        <f t="shared" si="3"/>
        <v>0.000027745093351397-0.0000666367822254317i</v>
      </c>
      <c r="G33" s="70" t="str">
        <f t="shared" si="4"/>
        <v>0.0112763364603384-0.0270829428285356i</v>
      </c>
      <c r="H33" s="72">
        <f t="shared" si="5"/>
        <v>2.9336693000753936E-2</v>
      </c>
      <c r="I33" s="51" t="str">
        <f t="shared" si="6"/>
        <v>14.670400689358-0.487014998592076i</v>
      </c>
      <c r="J33" s="73" t="str">
        <f t="shared" si="7"/>
        <v>0.11765837818599-0.322203172282075i</v>
      </c>
      <c r="K33" s="73" t="str">
        <f t="shared" si="8"/>
        <v>1.56917777495317-4.78415103564688i</v>
      </c>
      <c r="L33" s="73" t="str">
        <f t="shared" si="9"/>
        <v>-0.111874312425047-0.096445648721896i</v>
      </c>
      <c r="M33" s="70">
        <f t="shared" si="10"/>
        <v>-16.61192528380003</v>
      </c>
      <c r="N33" s="70">
        <f t="shared" si="11"/>
        <v>40.764273869709825</v>
      </c>
      <c r="O33" s="70">
        <f t="shared" si="12"/>
        <v>40.764273869709825</v>
      </c>
    </row>
    <row r="34" spans="1:18" ht="15" x14ac:dyDescent="0.2">
      <c r="A34" s="71">
        <f t="shared" si="13"/>
        <v>33</v>
      </c>
      <c r="B34" s="70">
        <f t="shared" si="14"/>
        <v>33000</v>
      </c>
      <c r="C34" s="70">
        <f t="shared" ref="C34:C65" si="15">_ta1*_ta2*(rload/RS)</f>
        <v>406.42632978456544</v>
      </c>
      <c r="D34" s="51" t="str">
        <f t="shared" ref="D34:D65" si="16">IMDIV((COMPLEX(1,2*PI()*(B34)*(esrcout*0.001)*(cout*0.000001))),(COMPLEX(1,2*PI()*(B34)*rload*(cout*0.000001))))</f>
        <v>0.0000590282159267504-0.0000209313905276132i</v>
      </c>
      <c r="E34" s="51" t="str">
        <f t="shared" ref="E34:E65" si="17">IMDIV(1,(COMPLEX((1-(B34/(fpp*1000))^2),(B34/(fpp*1000)))))</f>
        <v>0.748394849515882-0.875160525656418i</v>
      </c>
      <c r="F34" s="70" t="str">
        <f t="shared" ref="F34:F65" si="18">IMPRODUCT(D34,E34)</f>
        <v>0.0000258580860388256-0.0000673241093430867i</v>
      </c>
      <c r="G34" s="70" t="str">
        <f t="shared" ref="G34:G65" si="19">IMPRODUCT(C34,F34)</f>
        <v>0.0105094070040134-0.0273622906663255i</v>
      </c>
      <c r="H34" s="72">
        <f t="shared" ref="H34:H65" si="20">IMABS(G34)</f>
        <v>2.9311134165782283E-2</v>
      </c>
      <c r="I34" s="51" t="str">
        <f t="shared" ref="I34:I65" si="21">IMDIV((COMPLEX(1,(2*PI()*B34*(rf*1000)*(Cz*0.000000001)))),(COMPLEX(0,2*PI()*B34*((Cz*0.000000001)+(Cp*0.000000000001))*(RII*1000))))</f>
        <v>14.670400689358-0.47225696833171i</v>
      </c>
      <c r="J34" s="73" t="str">
        <f t="shared" ref="J34:J65" si="22">IMDIV(1,(COMPLEX(1,2*PI()*B34*(((Cz*0.000000001)*(Cp*0.000000000001))/((Cz*0.000000001)+(Cp*0.000000000001)))*(rf*1000))))</f>
        <v>0.111418073277883-0.314649147821708i</v>
      </c>
      <c r="K34" s="73" t="str">
        <f t="shared" ref="K34:K65" si="23">IMPRODUCT(I34,J34)</f>
        <v>1.48595252638436-4.66864703661307i</v>
      </c>
      <c r="L34" s="73" t="str">
        <f t="shared" ref="L34:L65" si="24">IMPRODUCT(G34,K34)</f>
        <v>-0.112128397345871-0.0897237768091374i</v>
      </c>
      <c r="M34" s="70">
        <f t="shared" ref="M34:M65" si="25">20*LOG(IMABS(L34))</f>
        <v>-16.856453444430329</v>
      </c>
      <c r="N34" s="70">
        <f t="shared" ref="N34:N65" si="26">(180/PI())*IMARGUMENT(L34)+180</f>
        <v>38.666369098413526</v>
      </c>
      <c r="O34" s="70">
        <f t="shared" si="12"/>
        <v>38.666369098413526</v>
      </c>
    </row>
    <row r="35" spans="1:18" ht="15" x14ac:dyDescent="0.2">
      <c r="A35" s="71">
        <f t="shared" si="13"/>
        <v>34</v>
      </c>
      <c r="B35" s="70">
        <f t="shared" si="14"/>
        <v>34000</v>
      </c>
      <c r="C35" s="70">
        <f t="shared" si="15"/>
        <v>406.42632978456544</v>
      </c>
      <c r="D35" s="51" t="str">
        <f t="shared" si="16"/>
        <v>0.000059028190532303-0.000020315761394964i</v>
      </c>
      <c r="E35" s="51" t="str">
        <f t="shared" si="17"/>
        <v>0.715451364638305-0.904960803485952i</v>
      </c>
      <c r="F35" s="70" t="str">
        <f t="shared" si="18"/>
        <v>0.0000238468317130506-0.000067953137946128i</v>
      </c>
      <c r="G35" s="70" t="str">
        <f t="shared" si="19"/>
        <v>0.00969198029012534-0.0276179444527891i</v>
      </c>
      <c r="H35" s="72">
        <f t="shared" si="20"/>
        <v>2.9269187514202072E-2</v>
      </c>
      <c r="I35" s="51" t="str">
        <f t="shared" si="21"/>
        <v>14.670400689358-0.458367057498425i</v>
      </c>
      <c r="J35" s="73" t="str">
        <f t="shared" si="22"/>
        <v>0.10564265168422-0.307379703021112i</v>
      </c>
      <c r="K35" s="73" t="str">
        <f t="shared" si="23"/>
        <v>1.40892730008526-4.55780651849441i</v>
      </c>
      <c r="L35" s="73" t="str">
        <f t="shared" si="24"/>
        <v>-0.112221951631693-0.0830858468552255i</v>
      </c>
      <c r="M35" s="70">
        <f t="shared" si="25"/>
        <v>-17.10031665346914</v>
      </c>
      <c r="N35" s="70">
        <f t="shared" si="26"/>
        <v>36.515163520695609</v>
      </c>
      <c r="O35" s="70">
        <f t="shared" si="12"/>
        <v>36.515163520695609</v>
      </c>
    </row>
    <row r="36" spans="1:18" ht="15" x14ac:dyDescent="0.2">
      <c r="A36" s="71">
        <f t="shared" si="13"/>
        <v>35</v>
      </c>
      <c r="B36" s="70">
        <f t="shared" ref="B36:B67" si="27">(fs*1000/2)*(A36/100)</f>
        <v>35000</v>
      </c>
      <c r="C36" s="70">
        <f t="shared" si="15"/>
        <v>406.42632978456544</v>
      </c>
      <c r="D36" s="51" t="str">
        <f t="shared" si="16"/>
        <v>0.0000590281672832725-0.0000197353110698525i</v>
      </c>
      <c r="E36" s="51" t="str">
        <f t="shared" si="17"/>
        <v>0.679909345420611-0.933208905479269i</v>
      </c>
      <c r="F36" s="70" t="str">
        <f t="shared" si="18"/>
        <v>0.0000217166345361582-0.0000685038338140455i</v>
      </c>
      <c r="G36" s="70" t="str">
        <f t="shared" si="19"/>
        <v>0.00882621206980352-0.0278417617532143i</v>
      </c>
      <c r="H36" s="72">
        <f t="shared" si="20"/>
        <v>2.9207288765373138E-2</v>
      </c>
      <c r="I36" s="51" t="str">
        <f t="shared" si="21"/>
        <v>14.670400689358-0.445270855855613i</v>
      </c>
      <c r="J36" s="73" t="str">
        <f t="shared" si="22"/>
        <v>0.100288935340713-0.300384861118098i</v>
      </c>
      <c r="K36" s="73" t="str">
        <f t="shared" si="23"/>
        <v>1.33752624196125-4.45142201369166i</v>
      </c>
      <c r="L36" s="73" t="str">
        <f t="shared" si="24"/>
        <v>-0.112130140907739-0.0765282816723916i</v>
      </c>
      <c r="M36" s="70">
        <f t="shared" si="25"/>
        <v>-17.344806408904169</v>
      </c>
      <c r="N36" s="70">
        <f t="shared" si="26"/>
        <v>34.313348440683228</v>
      </c>
      <c r="O36" s="70">
        <f t="shared" si="12"/>
        <v>34.313348440683228</v>
      </c>
    </row>
    <row r="37" spans="1:18" ht="15" x14ac:dyDescent="0.2">
      <c r="A37" s="71">
        <f t="shared" si="13"/>
        <v>36</v>
      </c>
      <c r="B37" s="70">
        <f t="shared" si="27"/>
        <v>36000</v>
      </c>
      <c r="C37" s="70">
        <f t="shared" si="15"/>
        <v>406.42632978456544</v>
      </c>
      <c r="D37" s="51" t="str">
        <f t="shared" si="16"/>
        <v>0.0000590281459446229-0.0000191871079849883i</v>
      </c>
      <c r="E37" s="51" t="str">
        <f t="shared" si="17"/>
        <v>0.641843596575924-0.959566838734771i</v>
      </c>
      <c r="F37" s="70" t="str">
        <f t="shared" si="18"/>
        <v>0.0000194755249386874-0.000068956573797432i</v>
      </c>
      <c r="G37" s="70" t="str">
        <f t="shared" si="19"/>
        <v>0.00791536612145849-0.0280257672030088i</v>
      </c>
      <c r="H37" s="72">
        <f t="shared" si="20"/>
        <v>2.9122098965458799E-2</v>
      </c>
      <c r="I37" s="51" t="str">
        <f t="shared" si="21"/>
        <v>14.670400689358-0.432902220970735i</v>
      </c>
      <c r="J37" s="73" t="str">
        <f t="shared" si="22"/>
        <v>0.0953184119739929-0.293654239391753i</v>
      </c>
      <c r="K37" s="73" t="str">
        <f t="shared" si="23"/>
        <v>1.27123572430161-4.34928890824862i</v>
      </c>
      <c r="L37" s="73" t="str">
        <f t="shared" si="24"/>
        <v>-0.111829862256679-0.0700535705462115i</v>
      </c>
      <c r="M37" s="70">
        <f t="shared" si="25"/>
        <v>-17.591159040463655</v>
      </c>
      <c r="N37" s="70">
        <f t="shared" si="26"/>
        <v>32.064259727894381</v>
      </c>
      <c r="O37" s="70">
        <f t="shared" si="12"/>
        <v>32.064259727894381</v>
      </c>
    </row>
    <row r="38" spans="1:18" ht="15" x14ac:dyDescent="0.2">
      <c r="A38" s="71">
        <f t="shared" si="13"/>
        <v>37</v>
      </c>
      <c r="B38" s="70">
        <f t="shared" si="27"/>
        <v>37000</v>
      </c>
      <c r="C38" s="70">
        <f t="shared" si="15"/>
        <v>406.42632978456544</v>
      </c>
      <c r="D38" s="51" t="str">
        <f t="shared" si="16"/>
        <v>0.0000590281263126436-0.000018668537499274i</v>
      </c>
      <c r="E38" s="51" t="str">
        <f t="shared" si="17"/>
        <v>0.601383213294196-0.983694911223927i</v>
      </c>
      <c r="F38" s="70" t="str">
        <f t="shared" si="18"/>
        <v>0.0000171343789386044-0.0000692926125416473i</v>
      </c>
      <c r="G38" s="70" t="str">
        <f t="shared" si="19"/>
        <v>0.00696386274515495-0.0281623421964857i</v>
      </c>
      <c r="H38" s="72">
        <f t="shared" si="20"/>
        <v>2.9010565356871555E-2</v>
      </c>
      <c r="I38" s="51" t="str">
        <f t="shared" si="21"/>
        <v>14.670400689358-0.421202160944499i</v>
      </c>
      <c r="J38" s="73" t="str">
        <f t="shared" si="22"/>
        <v>0.0906966775290375-0.287177280114969i</v>
      </c>
      <c r="K38" s="73" t="str">
        <f t="shared" si="23"/>
        <v>1.20959690958588-4.25120740473231i</v>
      </c>
      <c r="L38" s="73" t="str">
        <f t="shared" si="24"/>
        <v>-0.111300490824986-0.0636699069553113i</v>
      </c>
      <c r="M38" s="70">
        <f t="shared" si="25"/>
        <v>-17.840544343702941</v>
      </c>
      <c r="N38" s="70">
        <f t="shared" si="26"/>
        <v>29.771893853637437</v>
      </c>
      <c r="O38" s="70">
        <f t="shared" si="12"/>
        <v>29.771893853637437</v>
      </c>
    </row>
    <row r="39" spans="1:18" ht="15" x14ac:dyDescent="0.2">
      <c r="A39" s="71">
        <f t="shared" si="13"/>
        <v>38</v>
      </c>
      <c r="B39" s="70">
        <f t="shared" si="27"/>
        <v>38000</v>
      </c>
      <c r="C39" s="70">
        <f t="shared" si="15"/>
        <v>406.42632978456544</v>
      </c>
      <c r="D39" s="51" t="str">
        <f t="shared" si="16"/>
        <v>0.0000590281082100709-0.0000181772601969906i</v>
      </c>
      <c r="E39" s="51" t="str">
        <f t="shared" si="17"/>
        <v>0.558714077224444-1.00526207076368i</v>
      </c>
      <c r="F39" s="70" t="str">
        <f t="shared" si="18"/>
        <v>0.0000147069247824574-0.0000694946094499487i</v>
      </c>
      <c r="G39" s="70" t="str">
        <f t="shared" si="19"/>
        <v>0.00597728146175183-0.0282444390585544i</v>
      </c>
      <c r="H39" s="72">
        <f t="shared" si="20"/>
        <v>2.8869988420596834E-2</v>
      </c>
      <c r="I39" s="51" t="str">
        <f t="shared" si="21"/>
        <v>14.670400689358-0.410117893551223i</v>
      </c>
      <c r="J39" s="73" t="str">
        <f t="shared" si="22"/>
        <v>0.0863929487835856-0.280943423457575i</v>
      </c>
      <c r="K39" s="73" t="str">
        <f t="shared" si="23"/>
        <v>1.15219925035489-4.15698388733541i</v>
      </c>
      <c r="L39" s="73" t="str">
        <f t="shared" si="24"/>
        <v>-0.110524658853847-0.0573906842365317i</v>
      </c>
      <c r="M39" s="70">
        <f t="shared" si="25"/>
        <v>-18.094052592370179</v>
      </c>
      <c r="N39" s="70">
        <f t="shared" si="26"/>
        <v>27.440904130915044</v>
      </c>
      <c r="O39" s="70">
        <f t="shared" si="12"/>
        <v>27.440904130915044</v>
      </c>
    </row>
    <row r="40" spans="1:18" ht="15" x14ac:dyDescent="0.2">
      <c r="A40" s="71">
        <f t="shared" si="13"/>
        <v>39</v>
      </c>
      <c r="B40" s="70">
        <f t="shared" si="27"/>
        <v>39000</v>
      </c>
      <c r="C40" s="70">
        <f t="shared" si="15"/>
        <v>406.42632978456544</v>
      </c>
      <c r="D40" s="51" t="str">
        <f t="shared" si="16"/>
        <v>0.0000590280914820717-0.0000177111766024923i</v>
      </c>
      <c r="E40" s="51" t="str">
        <f t="shared" si="17"/>
        <v>0.514079044457808-1.02395723870554i</v>
      </c>
      <c r="F40" s="70" t="str">
        <f t="shared" si="18"/>
        <v>0.0000122096173771573-0.0000695471863040729i</v>
      </c>
      <c r="G40" s="70" t="str">
        <f t="shared" si="19"/>
        <v>0.00496230997867189-0.0282658076764077i</v>
      </c>
      <c r="H40" s="72">
        <f t="shared" si="20"/>
        <v>2.8698090597182511E-2</v>
      </c>
      <c r="I40" s="51" t="str">
        <f t="shared" si="21"/>
        <v>14.6704006893581-0.399602050126833i</v>
      </c>
      <c r="J40" s="73" t="str">
        <f t="shared" si="22"/>
        <v>0.0823796374543406-0.274942235364507i</v>
      </c>
      <c r="K40" s="73" t="str">
        <f t="shared" si="23"/>
        <v>1.09867480918112-4.06643183124058i</v>
      </c>
      <c r="L40" s="73" t="str">
        <f t="shared" si="24"/>
        <v>-0.109489015102154-0.0512338261089816i</v>
      </c>
      <c r="M40" s="70">
        <f t="shared" si="25"/>
        <v>-18.352680645542051</v>
      </c>
      <c r="N40" s="70">
        <f t="shared" si="26"/>
        <v>25.076574844330423</v>
      </c>
      <c r="O40" s="70">
        <f t="shared" si="12"/>
        <v>25.076574844330423</v>
      </c>
    </row>
    <row r="41" spans="1:18" ht="15" x14ac:dyDescent="0.2">
      <c r="A41" s="71">
        <f t="shared" si="13"/>
        <v>40</v>
      </c>
      <c r="B41" s="70">
        <f t="shared" si="27"/>
        <v>40000</v>
      </c>
      <c r="C41" s="70">
        <f t="shared" si="15"/>
        <v>406.42632978456544</v>
      </c>
      <c r="D41" s="51" t="str">
        <f t="shared" si="16"/>
        <v>0.0000590280759929223-0.0000172683971876975i</v>
      </c>
      <c r="E41" s="51" t="str">
        <f t="shared" si="17"/>
        <v>0.467775467775468-1.03950103950104i</v>
      </c>
      <c r="F41" s="70" t="str">
        <f t="shared" si="18"/>
        <v>9.66136903234671E-06-0.0000694374789265969i</v>
      </c>
      <c r="G41" s="70" t="str">
        <f t="shared" si="19"/>
        <v>0.00392663475651093-0.0282212197096299i</v>
      </c>
      <c r="H41" s="72">
        <f t="shared" si="20"/>
        <v>2.8493081658715728E-2</v>
      </c>
      <c r="I41" s="51" t="str">
        <f t="shared" si="21"/>
        <v>14.670400689358-0.389611998873662i</v>
      </c>
      <c r="J41" s="73" t="str">
        <f t="shared" si="22"/>
        <v>0.0786319780008839-0.269163500565274i</v>
      </c>
      <c r="K41" s="73" t="str">
        <f t="shared" si="23"/>
        <v>1.04869329479068-3.97937236636712i</v>
      </c>
      <c r="L41" s="73" t="str">
        <f t="shared" si="24"/>
        <v>-0.108184906317431-0.0452209457231797i</v>
      </c>
      <c r="M41" s="70">
        <f t="shared" si="25"/>
        <v>-18.617317976505948</v>
      </c>
      <c r="N41" s="70">
        <f t="shared" si="26"/>
        <v>22.684771959054558</v>
      </c>
      <c r="O41" s="70">
        <f t="shared" si="12"/>
        <v>22.684771959054558</v>
      </c>
    </row>
    <row r="42" spans="1:18" ht="15" x14ac:dyDescent="0.2">
      <c r="A42" s="71">
        <f t="shared" si="13"/>
        <v>41</v>
      </c>
      <c r="B42" s="70">
        <f t="shared" si="27"/>
        <v>41000</v>
      </c>
      <c r="C42" s="70">
        <f t="shared" si="15"/>
        <v>406.42632978456544</v>
      </c>
      <c r="D42" s="51" t="str">
        <f t="shared" si="16"/>
        <v>0.0000590280616232456-0.0000168472167687274i</v>
      </c>
      <c r="E42" s="51" t="str">
        <f t="shared" si="17"/>
        <v>0.420149875001565-1.05165719627986i</v>
      </c>
      <c r="F42" s="70" t="str">
        <f t="shared" si="18"/>
        <v>7.08313596047241E-06-0.0000691556418080424i</v>
      </c>
      <c r="G42" s="70" t="str">
        <f t="shared" si="19"/>
        <v>0.00287877295177987-0.0281066736839387i</v>
      </c>
      <c r="H42" s="72">
        <f t="shared" si="20"/>
        <v>2.8253715495193045E-2</v>
      </c>
      <c r="I42" s="51" t="str">
        <f t="shared" si="21"/>
        <v>14.6704006893581-0.380109267193817i</v>
      </c>
      <c r="J42" s="73" t="str">
        <f t="shared" si="22"/>
        <v>0.0751277022174202-0.263597288637328i</v>
      </c>
      <c r="K42" s="73" t="str">
        <f t="shared" si="23"/>
        <v>1.00195772218212-3.8956345807738i</v>
      </c>
      <c r="L42" s="73" t="str">
        <f t="shared" si="24"/>
        <v>-0.106608921164232-0.0393763462036253i</v>
      </c>
      <c r="M42" s="70">
        <f t="shared" si="25"/>
        <v>-18.888733519418409</v>
      </c>
      <c r="N42" s="70">
        <f t="shared" si="26"/>
        <v>20.271870405992701</v>
      </c>
      <c r="O42" s="70">
        <f t="shared" si="12"/>
        <v>20.271870405992701</v>
      </c>
    </row>
    <row r="43" spans="1:18" ht="15" x14ac:dyDescent="0.2">
      <c r="A43" s="71">
        <f t="shared" si="13"/>
        <v>42</v>
      </c>
      <c r="B43" s="70">
        <f t="shared" si="27"/>
        <v>42000</v>
      </c>
      <c r="C43" s="70">
        <f t="shared" si="15"/>
        <v>406.42632978456544</v>
      </c>
      <c r="D43" s="51" t="str">
        <f t="shared" si="16"/>
        <v>0.0000590280482677048-0.0000164460925601679i</v>
      </c>
      <c r="E43" s="51" t="str">
        <f t="shared" si="17"/>
        <v>0.371589855273829-1.06024279358022i</v>
      </c>
      <c r="F43" s="70" t="str">
        <f t="shared" si="18"/>
        <v>4.49737279342173E-06-0.0000686952639491922i</v>
      </c>
      <c r="G43" s="70" t="str">
        <f t="shared" si="19"/>
        <v>0.00182785071810335-0.0279195640004522i</v>
      </c>
      <c r="H43" s="72">
        <f t="shared" si="20"/>
        <v>2.7979333305549251E-2</v>
      </c>
      <c r="I43" s="51" t="str">
        <f t="shared" si="21"/>
        <v>14.670400689358-0.371059046546345i</v>
      </c>
      <c r="J43" s="73" t="str">
        <f t="shared" si="22"/>
        <v>0.0718467545343647-0.258233999305365i</v>
      </c>
      <c r="K43" s="73" t="str">
        <f t="shared" si="23"/>
        <v>0.958200615680981-3.81505562966007i</v>
      </c>
      <c r="L43" s="73" t="str">
        <f t="shared" si="24"/>
        <v>-0.10476324213412-0.0337258955870562i</v>
      </c>
      <c r="M43" s="70">
        <f t="shared" si="25"/>
        <v>-19.167564239275496</v>
      </c>
      <c r="N43" s="70">
        <f t="shared" si="26"/>
        <v>17.844659454893844</v>
      </c>
      <c r="O43" s="70">
        <f t="shared" si="12"/>
        <v>17.844659454893844</v>
      </c>
    </row>
    <row r="44" spans="1:18" ht="15" x14ac:dyDescent="0.2">
      <c r="A44" s="71">
        <f t="shared" si="13"/>
        <v>43</v>
      </c>
      <c r="B44" s="70">
        <f t="shared" si="27"/>
        <v>43000</v>
      </c>
      <c r="C44" s="70">
        <f t="shared" si="15"/>
        <v>406.42632978456544</v>
      </c>
      <c r="D44" s="51" t="str">
        <f t="shared" si="16"/>
        <v>0.0000590280358330678-0.0000160636252915265i</v>
      </c>
      <c r="E44" s="51" t="str">
        <f t="shared" si="17"/>
        <v>0.322513460849838-1.0651366218543i</v>
      </c>
      <c r="F44" s="70" t="str">
        <f t="shared" si="18"/>
        <v>1.92738054594112E-06-0.0000680536580684936i</v>
      </c>
      <c r="G44" s="70" t="str">
        <f t="shared" si="19"/>
        <v>0.000783338201385021-0.0276587984771916i</v>
      </c>
      <c r="H44" s="72">
        <f t="shared" si="20"/>
        <v>2.7669888903637575E-2</v>
      </c>
      <c r="I44" s="51" t="str">
        <f t="shared" si="21"/>
        <v>14.6704006893581-0.362429766394105i</v>
      </c>
      <c r="J44" s="73" t="str">
        <f t="shared" si="22"/>
        <v>0.0687710427137576-0.253064391801415i</v>
      </c>
      <c r="K44" s="73" t="str">
        <f t="shared" si="23"/>
        <v>0.917180684032532-3.73748070088089i</v>
      </c>
      <c r="L44" s="73" t="str">
        <f t="shared" si="24"/>
        <v>-0.102655762850682-0.0282958271167678i</v>
      </c>
      <c r="M44" s="70">
        <f t="shared" si="25"/>
        <v>-19.45430626838797</v>
      </c>
      <c r="N44" s="70">
        <f t="shared" si="26"/>
        <v>15.410229262569942</v>
      </c>
      <c r="O44" s="70">
        <f t="shared" si="12"/>
        <v>15.410229262569942</v>
      </c>
    </row>
    <row r="45" spans="1:18" ht="15" x14ac:dyDescent="0.2">
      <c r="A45" s="71">
        <f t="shared" si="13"/>
        <v>44</v>
      </c>
      <c r="B45" s="70">
        <f t="shared" si="27"/>
        <v>44000</v>
      </c>
      <c r="C45" s="70">
        <f t="shared" si="15"/>
        <v>406.42632978456544</v>
      </c>
      <c r="D45" s="51" t="str">
        <f t="shared" si="16"/>
        <v>0.0000590280242365748-0.0000156985428987193i</v>
      </c>
      <c r="E45" s="51" t="str">
        <f t="shared" si="17"/>
        <v>0.27335668044953-1.0662849237393i</v>
      </c>
      <c r="F45" s="70" t="str">
        <f t="shared" si="18"/>
        <v>-6.03414858774548E-07-0.0000672319938962662i</v>
      </c>
      <c r="G45" s="70" t="str">
        <f t="shared" si="19"/>
        <v>-0.000245243686389211-0.0273248525233578i</v>
      </c>
      <c r="H45" s="72">
        <f t="shared" si="20"/>
        <v>2.7325953046306858E-2</v>
      </c>
      <c r="I45" s="51" t="str">
        <f t="shared" si="21"/>
        <v>14.6704006893581-0.354192726248784i</v>
      </c>
      <c r="J45" s="73" t="str">
        <f t="shared" si="22"/>
        <v>0.0658842193077342-0.248079602051327i</v>
      </c>
      <c r="K45" s="73" t="str">
        <f t="shared" si="23"/>
        <v>0.878679905772731-3.66276287620285i</v>
      </c>
      <c r="L45" s="73" t="str">
        <f t="shared" si="24"/>
        <v>-0.100299946119521-0.0231115293703483i</v>
      </c>
      <c r="M45" s="70">
        <f t="shared" si="25"/>
        <v>-19.749309315048439</v>
      </c>
      <c r="N45" s="70">
        <f t="shared" si="26"/>
        <v>12.975843143635274</v>
      </c>
      <c r="O45" s="70">
        <f t="shared" si="12"/>
        <v>12.975843143635274</v>
      </c>
      <c r="P45" s="70">
        <v>-13.846</v>
      </c>
      <c r="Q45" s="70">
        <v>23.129000000000001</v>
      </c>
      <c r="R45" s="70">
        <f>B45</f>
        <v>44000</v>
      </c>
    </row>
    <row r="46" spans="1:18" ht="15" x14ac:dyDescent="0.2">
      <c r="A46" s="71">
        <f t="shared" si="13"/>
        <v>45</v>
      </c>
      <c r="B46" s="70">
        <f t="shared" si="27"/>
        <v>45000</v>
      </c>
      <c r="C46" s="70">
        <f t="shared" si="15"/>
        <v>406.42632978456544</v>
      </c>
      <c r="D46" s="51" t="str">
        <f t="shared" si="16"/>
        <v>0.0000590280134045587-0.0000153496863900252i</v>
      </c>
      <c r="E46" s="51" t="str">
        <f t="shared" si="17"/>
        <v>0.224559744711027-1.06370405389434i</v>
      </c>
      <c r="F46" s="70" t="str">
        <f t="shared" si="18"/>
        <v>-0.0000030722080181498-0.0000662352588088969i</v>
      </c>
      <c r="G46" s="70" t="str">
        <f t="shared" si="19"/>
        <v>-0.00124862622915134-0.0269197531400308i</v>
      </c>
      <c r="H46" s="72">
        <f t="shared" si="20"/>
        <v>2.6948695266753139E-2</v>
      </c>
      <c r="I46" s="51" t="str">
        <f t="shared" si="21"/>
        <v>14.670400689358-0.346321776776588i</v>
      </c>
      <c r="J46" s="73" t="str">
        <f t="shared" si="22"/>
        <v>0.0631714898576501-0.243271150625829i</v>
      </c>
      <c r="K46" s="73" t="str">
        <f t="shared" si="23"/>
        <v>0.84250097123222-3.5907629184512i</v>
      </c>
      <c r="L46" s="73" t="str">
        <f t="shared" si="24"/>
        <v>-0.0977144201598489-0.0181963974031654i</v>
      </c>
      <c r="M46" s="70">
        <f t="shared" si="25"/>
        <v>-20.052774844773662</v>
      </c>
      <c r="N46" s="70">
        <f t="shared" si="26"/>
        <v>10.548801276158741</v>
      </c>
      <c r="O46" s="70">
        <f t="shared" si="12"/>
        <v>10.548801276158741</v>
      </c>
    </row>
    <row r="47" spans="1:18" ht="15" x14ac:dyDescent="0.2">
      <c r="A47" s="71">
        <f t="shared" si="13"/>
        <v>46</v>
      </c>
      <c r="B47" s="70">
        <f t="shared" si="27"/>
        <v>46000</v>
      </c>
      <c r="C47" s="70">
        <f t="shared" si="15"/>
        <v>406.42632978456544</v>
      </c>
      <c r="D47" s="51" t="str">
        <f t="shared" si="16"/>
        <v>0.0000590280032712708-0.0000150159975556116i</v>
      </c>
      <c r="E47" s="51" t="str">
        <f t="shared" si="17"/>
        <v>0.176553152797926-1.05747982144591i</v>
      </c>
      <c r="F47" s="70" t="str">
        <f t="shared" si="18"/>
        <v>-5.45753433303123E-06-0.0000650720440704612i</v>
      </c>
      <c r="G47" s="70" t="str">
        <f t="shared" si="19"/>
        <v>-0.00221808564864714-0.026446992043137i</v>
      </c>
      <c r="H47" s="72">
        <f t="shared" si="20"/>
        <v>2.6539843482479057E-2</v>
      </c>
      <c r="I47" s="51" t="str">
        <f t="shared" si="21"/>
        <v>14.670400689358-0.338793042498836i</v>
      </c>
      <c r="J47" s="73" t="str">
        <f t="shared" si="22"/>
        <v>0.0606194443466871-0.238630943747424i</v>
      </c>
      <c r="K47" s="73" t="str">
        <f t="shared" si="23"/>
        <v>0.808465034665579-3.52134900763916i</v>
      </c>
      <c r="L47" s="73" t="str">
        <f t="shared" si="24"/>
        <v>-0.094922333876966-0.0135708146412328i</v>
      </c>
      <c r="M47" s="70">
        <f t="shared" si="25"/>
        <v>-20.364758279410907</v>
      </c>
      <c r="N47" s="70">
        <f t="shared" si="26"/>
        <v>8.1363022707369055</v>
      </c>
      <c r="O47" s="70">
        <f t="shared" si="12"/>
        <v>8.1363022707369055</v>
      </c>
    </row>
    <row r="48" spans="1:18" ht="15" x14ac:dyDescent="0.2">
      <c r="A48" s="71">
        <f t="shared" si="13"/>
        <v>47</v>
      </c>
      <c r="B48" s="70">
        <f t="shared" si="27"/>
        <v>47000</v>
      </c>
      <c r="C48" s="70">
        <f t="shared" si="15"/>
        <v>406.42632978456544</v>
      </c>
      <c r="D48" s="51" t="str">
        <f t="shared" si="16"/>
        <v>0.0000590279937778824-0.0000146965082460573i</v>
      </c>
      <c r="E48" s="51" t="str">
        <f t="shared" si="17"/>
        <v>0.129744340337863-1.04776357317518i</v>
      </c>
      <c r="F48" s="70" t="str">
        <f t="shared" si="18"/>
        <v>-7.73991787890866E-06-0.000063754170445731i</v>
      </c>
      <c r="G48" s="70" t="str">
        <f t="shared" si="19"/>
        <v>-0.00314570641635879-0.0259113735027181i</v>
      </c>
      <c r="H48" s="72">
        <f t="shared" si="20"/>
        <v>2.6101623429497307E-2</v>
      </c>
      <c r="I48" s="51" t="str">
        <f t="shared" si="21"/>
        <v>14.670400689358-0.331584679892478i</v>
      </c>
      <c r="J48" s="73" t="str">
        <f t="shared" si="22"/>
        <v>0.0582159088864336-0.234151269138051i</v>
      </c>
      <c r="K48" s="73" t="str">
        <f t="shared" si="23"/>
        <v>0.77640973623558-3.45439644368967i</v>
      </c>
      <c r="L48" s="73" t="str">
        <f t="shared" si="24"/>
        <v>-0.0919505135679039-0.00925132560918538i</v>
      </c>
      <c r="M48" s="70">
        <f t="shared" si="25"/>
        <v>-20.68517518075852</v>
      </c>
      <c r="N48" s="70">
        <f t="shared" si="26"/>
        <v>5.7453092002922688</v>
      </c>
      <c r="O48" s="70">
        <f t="shared" si="12"/>
        <v>5.7453092002922688</v>
      </c>
    </row>
    <row r="49" spans="1:15" ht="15" x14ac:dyDescent="0.2">
      <c r="A49" s="71">
        <f t="shared" si="13"/>
        <v>48</v>
      </c>
      <c r="B49" s="70">
        <f t="shared" si="27"/>
        <v>48000</v>
      </c>
      <c r="C49" s="70">
        <f t="shared" si="15"/>
        <v>406.42632978456544</v>
      </c>
      <c r="D49" s="51" t="str">
        <f t="shared" si="16"/>
        <v>0.0000590279848716281-0.0000143903309910592i</v>
      </c>
      <c r="E49" s="51" t="str">
        <f t="shared" si="17"/>
        <v>0.0845058374562984-1.03476535660774i</v>
      </c>
      <c r="F49" s="70" t="str">
        <f t="shared" si="18"/>
        <v>-9.90240668473214E-06-0.0000622961807871993i</v>
      </c>
      <c r="G49" s="70" t="str">
        <f t="shared" si="19"/>
        <v>-0.00402459880490983-0.0253188081169372i</v>
      </c>
      <c r="H49" s="72">
        <f t="shared" si="20"/>
        <v>2.5636681532576845E-2</v>
      </c>
      <c r="I49" s="51" t="str">
        <f t="shared" si="21"/>
        <v>14.670400689358-0.324676665728051i</v>
      </c>
      <c r="J49" s="73" t="str">
        <f t="shared" si="22"/>
        <v>0.0559498150246667-0.229824788096002i</v>
      </c>
      <c r="K49" s="73" t="str">
        <f t="shared" si="23"/>
        <v>0.746187459006657-3.38978732910545i</v>
      </c>
      <c r="L49" s="73" t="str">
        <f t="shared" si="24"/>
        <v>-0.0888284800986028-0.00525004306023821i</v>
      </c>
      <c r="M49" s="70">
        <f t="shared" si="25"/>
        <v>-21.01381111350495</v>
      </c>
      <c r="N49" s="70">
        <f t="shared" si="26"/>
        <v>3.3824262850844491</v>
      </c>
      <c r="O49" s="70">
        <f t="shared" si="12"/>
        <v>3.3824262850844491</v>
      </c>
    </row>
    <row r="50" spans="1:15" ht="15" x14ac:dyDescent="0.2">
      <c r="A50" s="71">
        <f t="shared" si="13"/>
        <v>49</v>
      </c>
      <c r="B50" s="70">
        <f t="shared" si="27"/>
        <v>49000</v>
      </c>
      <c r="C50" s="70">
        <f t="shared" si="15"/>
        <v>406.42632978456544</v>
      </c>
      <c r="D50" s="51" t="str">
        <f t="shared" si="16"/>
        <v>0.0000590279765050712-0.0000140966507668699i</v>
      </c>
      <c r="E50" s="51" t="str">
        <f t="shared" si="17"/>
        <v>0.0411656036515804-1.01874473683204i</v>
      </c>
      <c r="F50" s="70" t="str">
        <f t="shared" si="18"/>
        <v>-0.0000119309664905455-0.0000607147375286703i</v>
      </c>
      <c r="G50" s="70" t="str">
        <f t="shared" si="19"/>
        <v>-0.00484905892153504-0.0246760679376107i</v>
      </c>
      <c r="H50" s="72">
        <f t="shared" si="20"/>
        <v>2.5147995969581699E-2</v>
      </c>
      <c r="I50" s="51" t="str">
        <f t="shared" si="21"/>
        <v>14.670400689358-0.318050611325438i</v>
      </c>
      <c r="J50" s="73" t="str">
        <f t="shared" si="22"/>
        <v>0.0538110844140353-0.225644524879778i</v>
      </c>
      <c r="K50" s="73" t="str">
        <f t="shared" si="23"/>
        <v>0.717663790802514-3.32741024164012i</v>
      </c>
      <c r="L50" s="73" t="str">
        <f t="shared" si="24"/>
        <v>-0.0855873951864668-0.00157431214037398i</v>
      </c>
      <c r="M50" s="70">
        <f t="shared" si="25"/>
        <v>-21.350334646608925</v>
      </c>
      <c r="N50" s="70">
        <f t="shared" si="26"/>
        <v>1.053791507790578</v>
      </c>
      <c r="O50" s="70">
        <f t="shared" si="12"/>
        <v>1.053791507790578</v>
      </c>
    </row>
    <row r="51" spans="1:15" ht="15" x14ac:dyDescent="0.2">
      <c r="A51" s="71">
        <f t="shared" si="13"/>
        <v>50</v>
      </c>
      <c r="B51" s="70">
        <f t="shared" si="27"/>
        <v>50000</v>
      </c>
      <c r="C51" s="70">
        <f t="shared" si="15"/>
        <v>406.42632978456544</v>
      </c>
      <c r="D51" s="51" t="str">
        <f t="shared" si="16"/>
        <v>0.0000590279686354703-0.0000138147177516412i</v>
      </c>
      <c r="E51" s="51" t="str">
        <f t="shared" si="17"/>
        <v>-i</v>
      </c>
      <c r="F51" s="70" t="str">
        <f t="shared" si="18"/>
        <v>-0.0000138147177516412-0.0000590279686354703i</v>
      </c>
      <c r="G51" s="70" t="str">
        <f t="shared" si="19"/>
        <v>-0.00561466503280922-0.0239905206471526i</v>
      </c>
      <c r="H51" s="72">
        <f t="shared" si="20"/>
        <v>2.463878130817565E-2</v>
      </c>
      <c r="I51" s="51" t="str">
        <f t="shared" si="21"/>
        <v>14.670400689358-0.311689599098929i</v>
      </c>
      <c r="J51" s="73" t="str">
        <f t="shared" si="22"/>
        <v>0.0517905268860383-0.221603854232964i</v>
      </c>
      <c r="K51" s="73" t="str">
        <f t="shared" si="23"/>
        <v>0.6907161648465-3.2671599044659i</v>
      </c>
      <c r="L51" s="73" t="str">
        <f t="shared" si="24"/>
        <v>-0.082259007043998+0.00177336805812898i</v>
      </c>
      <c r="M51" s="70">
        <f t="shared" si="25"/>
        <v>-21.694312776204356</v>
      </c>
      <c r="N51" s="70">
        <f t="shared" si="26"/>
        <v>358.76498911988972</v>
      </c>
      <c r="O51" s="70">
        <f t="shared" si="12"/>
        <v>-1.2350108801102806</v>
      </c>
    </row>
    <row r="52" spans="1:15" ht="15" x14ac:dyDescent="0.2">
      <c r="A52" s="71">
        <f t="shared" si="13"/>
        <v>51</v>
      </c>
      <c r="B52" s="70">
        <f t="shared" si="27"/>
        <v>51000</v>
      </c>
      <c r="C52" s="70">
        <f t="shared" si="15"/>
        <v>406.42632978456544</v>
      </c>
      <c r="D52" s="51" t="str">
        <f t="shared" si="16"/>
        <v>0.0000590279612242335-0.0000135438409330819i</v>
      </c>
      <c r="E52" s="51" t="str">
        <f t="shared" si="17"/>
        <v>-0.0387703964914096-0.978856545080144i</v>
      </c>
      <c r="F52" s="70" t="str">
        <f t="shared" si="18"/>
        <v>-0.0000155460148036147-0.0000572548061040857i</v>
      </c>
      <c r="G52" s="70" t="str">
        <f t="shared" si="19"/>
        <v>-0.00631830973940964-0.0232698607074105i</v>
      </c>
      <c r="H52" s="72">
        <f t="shared" si="20"/>
        <v>2.4112392152281486E-2</v>
      </c>
      <c r="I52" s="51" t="str">
        <f t="shared" si="21"/>
        <v>14.670400689358-0.305578038332284i</v>
      </c>
      <c r="J52" s="73" t="str">
        <f t="shared" si="22"/>
        <v>0.0498797502376842-0.217696487693096i</v>
      </c>
      <c r="K52" s="73" t="str">
        <f t="shared" si="23"/>
        <v>0.665232656610843-3.20893685935375i</v>
      </c>
      <c r="L52" s="73" t="str">
        <f t="shared" si="24"/>
        <v>-0.0788746597092747+0.00479518575425042i</v>
      </c>
      <c r="M52" s="70">
        <f t="shared" si="25"/>
        <v>-22.045227950860532</v>
      </c>
      <c r="N52" s="70">
        <f t="shared" si="26"/>
        <v>356.52098446025803</v>
      </c>
      <c r="O52" s="70">
        <f t="shared" si="12"/>
        <v>-3.4790155397419653</v>
      </c>
    </row>
    <row r="53" spans="1:15" ht="15" x14ac:dyDescent="0.2">
      <c r="A53" s="71">
        <f t="shared" si="13"/>
        <v>52</v>
      </c>
      <c r="B53" s="70">
        <f t="shared" si="27"/>
        <v>52000</v>
      </c>
      <c r="C53" s="70">
        <f t="shared" si="15"/>
        <v>406.42632978456544</v>
      </c>
      <c r="D53" s="51" t="str">
        <f t="shared" si="16"/>
        <v>0.0000590279542364431-0.0000132833824536924i</v>
      </c>
      <c r="E53" s="51" t="str">
        <f t="shared" si="17"/>
        <v>-0.0749821807052913-0.955655244283123i</v>
      </c>
      <c r="F53" s="70" t="str">
        <f t="shared" si="18"/>
        <v>-0.0000171203788349102-0.0000554143570418408i</v>
      </c>
      <c r="G53" s="70" t="str">
        <f t="shared" si="19"/>
        <v>-0.00695817273439391-0.0225218537498868i</v>
      </c>
      <c r="H53" s="72">
        <f t="shared" si="20"/>
        <v>2.3572230783974454E-2</v>
      </c>
      <c r="I53" s="51" t="str">
        <f t="shared" si="21"/>
        <v>14.6704006893581-0.299701537595125i</v>
      </c>
      <c r="J53" s="73" t="str">
        <f t="shared" si="22"/>
        <v>0.0480710802649319-0.213916459177629i</v>
      </c>
      <c r="K53" s="73" t="str">
        <f t="shared" si="23"/>
        <v>0.641110917324405-3.15264714685379i</v>
      </c>
      <c r="L53" s="73" t="str">
        <f t="shared" si="24"/>
        <v>-0.0754644184710879+0.00749765710096678i</v>
      </c>
      <c r="M53" s="70">
        <f t="shared" si="25"/>
        <v>-22.402495854871454</v>
      </c>
      <c r="N53" s="70">
        <f t="shared" si="26"/>
        <v>354.32608192117652</v>
      </c>
      <c r="O53" s="70">
        <f t="shared" si="12"/>
        <v>-5.6739180788234762</v>
      </c>
    </row>
    <row r="54" spans="1:15" ht="15" x14ac:dyDescent="0.2">
      <c r="A54" s="71">
        <f t="shared" si="13"/>
        <v>53</v>
      </c>
      <c r="B54" s="70">
        <f t="shared" si="27"/>
        <v>53000</v>
      </c>
      <c r="C54" s="70">
        <f t="shared" si="15"/>
        <v>406.42632978456544</v>
      </c>
      <c r="D54" s="51" t="str">
        <f t="shared" si="16"/>
        <v>0.0000590279476404447-0.0000130327525961615i</v>
      </c>
      <c r="E54" s="51" t="str">
        <f t="shared" si="17"/>
        <v>-0.108527966006091-0.93074145603929i</v>
      </c>
      <c r="F54" s="70" t="str">
        <f t="shared" si="18"/>
        <v>-0.0000185363062224827-0.0000535253398031565i</v>
      </c>
      <c r="G54" s="70" t="str">
        <f t="shared" si="19"/>
        <v>-0.00753364290576645-0.0217541074066686i</v>
      </c>
      <c r="H54" s="72">
        <f t="shared" si="20"/>
        <v>2.3021662939337783E-2</v>
      </c>
      <c r="I54" s="51" t="str">
        <f t="shared" si="21"/>
        <v>14.670400689358-0.294046791602764i</v>
      </c>
      <c r="J54" s="73" t="str">
        <f t="shared" si="22"/>
        <v>0.046357489772377-0.210258110222605i</v>
      </c>
      <c r="K54" s="73" t="str">
        <f t="shared" si="23"/>
        <v>0.618257227194169-3.09820199628714i</v>
      </c>
      <c r="L54" s="73" t="str">
        <f t="shared" si="24"/>
        <v>-0.0720563481683757+0.009891113364629i</v>
      </c>
      <c r="M54" s="70">
        <f t="shared" si="25"/>
        <v>-22.765483150400989</v>
      </c>
      <c r="N54" s="70">
        <f t="shared" si="26"/>
        <v>352.18390543163946</v>
      </c>
      <c r="O54" s="70">
        <f t="shared" si="12"/>
        <v>-7.8160945683605405</v>
      </c>
    </row>
    <row r="55" spans="1:15" ht="15" x14ac:dyDescent="0.2">
      <c r="A55" s="71">
        <f t="shared" si="13"/>
        <v>54</v>
      </c>
      <c r="B55" s="70">
        <f t="shared" si="27"/>
        <v>54000</v>
      </c>
      <c r="C55" s="70">
        <f t="shared" si="15"/>
        <v>406.42632978456544</v>
      </c>
      <c r="D55" s="51" t="str">
        <f t="shared" si="16"/>
        <v>0.0000590279414074868-0.000012791405325942i</v>
      </c>
      <c r="E55" s="51" t="str">
        <f t="shared" si="17"/>
        <v>-0.139353101464065-0.9044552258485i</v>
      </c>
      <c r="F55" s="70" t="str">
        <f t="shared" si="18"/>
        <v>-0.000019794980101167-0.0000516056080728265i</v>
      </c>
      <c r="G55" s="70" t="str">
        <f t="shared" si="19"/>
        <v>-0.00804520111067581-0.0209738778853396i</v>
      </c>
      <c r="H55" s="72">
        <f t="shared" si="20"/>
        <v>2.2463944766232775E-2</v>
      </c>
      <c r="I55" s="51" t="str">
        <f t="shared" si="21"/>
        <v>14.6704006893581-0.288601480647157i</v>
      </c>
      <c r="J55" s="73" t="str">
        <f t="shared" si="22"/>
        <v>0.0447325354569567-0.206716075157567i</v>
      </c>
      <c r="K55" s="73" t="str">
        <f t="shared" si="23"/>
        <v>0.59658565364043-3.04551752745895i</v>
      </c>
      <c r="L55" s="73" t="str">
        <f t="shared" si="24"/>
        <v>-0.0686759642818666+0.0119890863468955i</v>
      </c>
      <c r="M55" s="70">
        <f t="shared" si="25"/>
        <v>-23.133524480318041</v>
      </c>
      <c r="N55" s="70">
        <f t="shared" si="26"/>
        <v>350.09739961032238</v>
      </c>
      <c r="O55" s="70">
        <f t="shared" si="12"/>
        <v>-9.902600389677616</v>
      </c>
    </row>
    <row r="56" spans="1:15" ht="15" x14ac:dyDescent="0.2">
      <c r="A56" s="71">
        <f t="shared" si="13"/>
        <v>55</v>
      </c>
      <c r="B56" s="70">
        <f t="shared" si="27"/>
        <v>55000.000000000007</v>
      </c>
      <c r="C56" s="70">
        <f t="shared" si="15"/>
        <v>406.42632978456544</v>
      </c>
      <c r="D56" s="51" t="str">
        <f t="shared" si="16"/>
        <v>0.000059027935511408-0.0000125588343200898i</v>
      </c>
      <c r="E56" s="51" t="str">
        <f t="shared" si="17"/>
        <v>-0.167450761502273-0.877123036440475i</v>
      </c>
      <c r="F56" s="70" t="str">
        <f t="shared" si="18"/>
        <v>-0.0000208999156442823-0.0000496717756600988i</v>
      </c>
      <c r="G56" s="70" t="str">
        <f t="shared" si="19"/>
        <v>-0.00849427600811268-0.0201879174754163i</v>
      </c>
      <c r="H56" s="72">
        <f t="shared" si="20"/>
        <v>2.1902162836035566E-2</v>
      </c>
      <c r="I56" s="51" t="str">
        <f t="shared" si="21"/>
        <v>14.670400689358-0.283354180999026i</v>
      </c>
      <c r="J56" s="73" t="str">
        <f t="shared" si="22"/>
        <v>0.0431903017084515-0.2032852664282i</v>
      </c>
      <c r="K56" s="73" t="str">
        <f t="shared" si="23"/>
        <v>0.576017301779316-2.99451446531229i</v>
      </c>
      <c r="L56" s="73" t="str">
        <f t="shared" si="24"/>
        <v>-0.0653458608514267+0.0138076426259158i</v>
      </c>
      <c r="M56" s="70">
        <f t="shared" si="25"/>
        <v>-23.505938171684463</v>
      </c>
      <c r="N56" s="70">
        <f t="shared" si="26"/>
        <v>348.06884884764014</v>
      </c>
      <c r="O56" s="70">
        <f>IF(N56&gt;180,-(360-N56),N56)</f>
        <v>-11.93115115235986</v>
      </c>
    </row>
    <row r="57" spans="1:15" ht="15" x14ac:dyDescent="0.2">
      <c r="A57" s="71">
        <f t="shared" si="13"/>
        <v>56</v>
      </c>
      <c r="B57" s="70">
        <f t="shared" si="27"/>
        <v>56000.000000000007</v>
      </c>
      <c r="C57" s="70">
        <f t="shared" si="15"/>
        <v>406.42632978456544</v>
      </c>
      <c r="D57" s="51" t="str">
        <f t="shared" si="16"/>
        <v>0.0000590279299283617-0.0000123345694215857i</v>
      </c>
      <c r="E57" s="51" t="str">
        <f t="shared" si="17"/>
        <v>-0.192855936857753-0.84905129434231i</v>
      </c>
      <c r="F57" s="70" t="str">
        <f t="shared" si="18"/>
        <v>-0.0000218565688596604-0.0000477389453664858i</v>
      </c>
      <c r="G57" s="70" t="str">
        <f t="shared" si="19"/>
        <v>-0.0088830850633154-0.0194023643530867i</v>
      </c>
      <c r="H57" s="72">
        <f t="shared" si="20"/>
        <v>2.1339187958589866E-2</v>
      </c>
      <c r="I57" s="51" t="str">
        <f t="shared" si="21"/>
        <v>14.670400689358-0.278294284909758i</v>
      </c>
      <c r="J57" s="73" t="str">
        <f t="shared" si="22"/>
        <v>0.0417253504945743-0.199960860221892i</v>
      </c>
      <c r="K57" s="73" t="str">
        <f t="shared" si="23"/>
        <v>0.556479646053916-2.94511786822236i</v>
      </c>
      <c r="L57" s="73" t="str">
        <f t="shared" si="24"/>
        <v>-0.0620855059739368+0.0153647116970945i</v>
      </c>
      <c r="M57" s="70">
        <f t="shared" si="25"/>
        <v>-23.882040235552815</v>
      </c>
      <c r="N57" s="70">
        <f t="shared" si="26"/>
        <v>346.09991103286654</v>
      </c>
      <c r="O57" s="70">
        <f t="shared" ref="O57:O101" si="28">IF(N57&gt;180,-(360-N57),N57)</f>
        <v>-13.900088967133456</v>
      </c>
    </row>
    <row r="58" spans="1:15" ht="15" x14ac:dyDescent="0.2">
      <c r="A58" s="71">
        <f t="shared" si="13"/>
        <v>57</v>
      </c>
      <c r="B58" s="70">
        <f t="shared" si="27"/>
        <v>56999.999999999993</v>
      </c>
      <c r="C58" s="70">
        <f t="shared" si="15"/>
        <v>406.42632978456544</v>
      </c>
      <c r="D58" s="51" t="str">
        <f t="shared" si="16"/>
        <v>0.0000590279246365746-0.0000121181734668851i</v>
      </c>
      <c r="E58" s="51" t="str">
        <f t="shared" si="17"/>
        <v>-0.215638830467112-0.820521584554433i</v>
      </c>
      <c r="F58" s="70" t="str">
        <f t="shared" si="18"/>
        <v>-0.0000226719355284858-0.0000458205375019651i</v>
      </c>
      <c r="G58" s="70" t="str">
        <f t="shared" si="19"/>
        <v>-0.00921447154595477-0.0186226728856797i</v>
      </c>
      <c r="H58" s="72">
        <f t="shared" si="20"/>
        <v>2.0777642582310438E-2</v>
      </c>
      <c r="I58" s="51" t="str">
        <f t="shared" si="21"/>
        <v>14.670400689358-0.273411929034148i</v>
      </c>
      <c r="J58" s="73" t="str">
        <f t="shared" si="22"/>
        <v>0.0403326766062309-0.196738282507518i</v>
      </c>
      <c r="K58" s="73" t="str">
        <f t="shared" si="23"/>
        <v>0.537905933352457-2.89725687023542i</v>
      </c>
      <c r="L58" s="73" t="str">
        <f t="shared" si="24"/>
        <v>-0.0589111858774588+0.0166794447520172i</v>
      </c>
      <c r="M58" s="70">
        <f t="shared" si="25"/>
        <v>-24.261156414491655</v>
      </c>
      <c r="N58" s="70">
        <f t="shared" si="26"/>
        <v>344.19166242884376</v>
      </c>
      <c r="O58" s="70">
        <f t="shared" si="28"/>
        <v>-15.808337571156244</v>
      </c>
    </row>
    <row r="59" spans="1:15" ht="15" x14ac:dyDescent="0.2">
      <c r="A59" s="71">
        <f t="shared" si="13"/>
        <v>58</v>
      </c>
      <c r="B59" s="70">
        <f t="shared" si="27"/>
        <v>57999.999999999993</v>
      </c>
      <c r="C59" s="70">
        <f t="shared" si="15"/>
        <v>406.42632978456544</v>
      </c>
      <c r="D59" s="51" t="str">
        <f t="shared" si="16"/>
        <v>0.0000590279196161343-0.0000119092394416538i</v>
      </c>
      <c r="E59" s="51" t="str">
        <f t="shared" si="17"/>
        <v>-0.235898099010801-0.791787600846437i</v>
      </c>
      <c r="F59" s="70" t="str">
        <f t="shared" si="18"/>
        <v>-0.0000233541621514213-0.0000439282079108647i</v>
      </c>
      <c r="G59" s="70" t="str">
        <f t="shared" si="19"/>
        <v>-0.00949174640839577-0.0178535803152261i</v>
      </c>
      <c r="H59" s="72">
        <f t="shared" si="20"/>
        <v>2.0219880809577557E-2</v>
      </c>
      <c r="I59" s="51" t="str">
        <f t="shared" si="21"/>
        <v>14.670400689358-0.268697930257698i</v>
      </c>
      <c r="J59" s="73" t="str">
        <f t="shared" si="22"/>
        <v>0.0390076676315919-0.193613195566664i</v>
      </c>
      <c r="K59" s="73" t="str">
        <f t="shared" si="23"/>
        <v>0.520234649193412-2.85086443726678i</v>
      </c>
      <c r="L59" s="73" t="str">
        <f t="shared" si="24"/>
        <v>-0.0558360725615689+0.0177716311911121i</v>
      </c>
      <c r="M59" s="70">
        <f t="shared" si="25"/>
        <v>-24.642632171449186</v>
      </c>
      <c r="N59" s="70">
        <f t="shared" si="26"/>
        <v>342.34465026233966</v>
      </c>
      <c r="O59" s="70">
        <f t="shared" si="28"/>
        <v>-17.655349737660345</v>
      </c>
    </row>
    <row r="60" spans="1:15" ht="15" x14ac:dyDescent="0.2">
      <c r="A60" s="71">
        <f t="shared" si="13"/>
        <v>59</v>
      </c>
      <c r="B60" s="70">
        <f t="shared" si="27"/>
        <v>59000</v>
      </c>
      <c r="C60" s="70">
        <f t="shared" si="15"/>
        <v>406.42632978456544</v>
      </c>
      <c r="D60" s="51" t="str">
        <f t="shared" si="16"/>
        <v>0.0000590279148488008-0.0000117073879257494i</v>
      </c>
      <c r="E60" s="51" t="str">
        <f t="shared" si="17"/>
        <v>-0.253754296104207-0.763073571363313i</v>
      </c>
      <c r="F60" s="70" t="str">
        <f t="shared" si="18"/>
        <v>-0.0000239121852987938-0.0000420718418114865i</v>
      </c>
      <c r="G60" s="70" t="str">
        <f t="shared" si="19"/>
        <v>-0.00971854170811721-0.0170991042547193i</v>
      </c>
      <c r="H60" s="72">
        <f t="shared" si="20"/>
        <v>1.9667979541533327E-2</v>
      </c>
      <c r="I60" s="51" t="str">
        <f t="shared" si="21"/>
        <v>14.670400689358-0.26414372804994i</v>
      </c>
      <c r="J60" s="73" t="str">
        <f t="shared" si="22"/>
        <v>0.0377460681079968-0.190581485067105i</v>
      </c>
      <c r="K60" s="73" t="str">
        <f t="shared" si="23"/>
        <v>0.503409039629191-2.8058771370566i</v>
      </c>
      <c r="L60" s="73" t="str">
        <f t="shared" si="24"/>
        <v>-0.0528703874403436+0.0186611903329494i</v>
      </c>
      <c r="M60" s="70">
        <f t="shared" si="25"/>
        <v>-25.025840633259484</v>
      </c>
      <c r="N60" s="70">
        <f t="shared" si="26"/>
        <v>340.55894987446635</v>
      </c>
      <c r="O60" s="70">
        <f t="shared" si="28"/>
        <v>-19.44105012553365</v>
      </c>
    </row>
    <row r="61" spans="1:15" ht="15" x14ac:dyDescent="0.2">
      <c r="A61" s="71">
        <f t="shared" si="13"/>
        <v>60</v>
      </c>
      <c r="B61" s="70">
        <f t="shared" si="27"/>
        <v>60000</v>
      </c>
      <c r="C61" s="70">
        <f t="shared" si="15"/>
        <v>406.42632978456544</v>
      </c>
      <c r="D61" s="51" t="str">
        <f t="shared" si="16"/>
        <v>0.000059027910317842-0.0000115122647937057i</v>
      </c>
      <c r="E61" s="51" t="str">
        <f t="shared" si="17"/>
        <v>-0.269343780607248-0.734573947110676i</v>
      </c>
      <c r="F61" s="70" t="str">
        <f t="shared" si="18"/>
        <v>-0.0000243554103160488-0.0000402596081489838i</v>
      </c>
      <c r="G61" s="70" t="str">
        <f t="shared" si="19"/>
        <v>-0.00989868002514886-0.0163625647785563i</v>
      </c>
      <c r="H61" s="72">
        <f t="shared" si="20"/>
        <v>1.9123738974707122E-2</v>
      </c>
      <c r="I61" s="51" t="str">
        <f t="shared" si="21"/>
        <v>14.670400689358-0.259741332582441i</v>
      </c>
      <c r="J61" s="73" t="str">
        <f t="shared" si="22"/>
        <v>0.0365439473702152-0.18763924770905i</v>
      </c>
      <c r="K61" s="73" t="str">
        <f t="shared" si="23"/>
        <v>0.487376682447152-2.76223492252923i</v>
      </c>
      <c r="L61" s="73" t="str">
        <f t="shared" si="24"/>
        <v>-0.0500216336847379+0.0193677471143093i</v>
      </c>
      <c r="M61" s="70">
        <f t="shared" si="25"/>
        <v>-25.410188594867048</v>
      </c>
      <c r="N61" s="70">
        <f t="shared" si="26"/>
        <v>338.83422369036919</v>
      </c>
      <c r="O61" s="70">
        <f t="shared" si="28"/>
        <v>-21.165776309630814</v>
      </c>
    </row>
    <row r="62" spans="1:15" ht="15" x14ac:dyDescent="0.2">
      <c r="A62" s="71">
        <f t="shared" si="13"/>
        <v>61</v>
      </c>
      <c r="B62" s="70">
        <f t="shared" si="27"/>
        <v>61000</v>
      </c>
      <c r="C62" s="70">
        <f t="shared" si="15"/>
        <v>406.42632978456544</v>
      </c>
      <c r="D62" s="51" t="str">
        <f t="shared" si="16"/>
        <v>0.0000590279060078855-0.0000113235391413987i</v>
      </c>
      <c r="E62" s="51" t="str">
        <f t="shared" si="17"/>
        <v>-0.282813264215408-0.706454099800979i</v>
      </c>
      <c r="F62" s="70" t="str">
        <f t="shared" si="18"/>
        <v>-0.0000246934354285884-0.0000384980591348876i</v>
      </c>
      <c r="G62" s="70" t="str">
        <f t="shared" si="19"/>
        <v>-0.0100360623310133-0.0156466248780215i</v>
      </c>
      <c r="H62" s="72">
        <f t="shared" si="20"/>
        <v>1.8588690572106079E-2</v>
      </c>
      <c r="I62" s="51" t="str">
        <f t="shared" si="21"/>
        <v>14.670400689358-0.255483277949942i</v>
      </c>
      <c r="J62" s="73" t="str">
        <f t="shared" si="22"/>
        <v>0.0353976706737664-0.184782779459121i</v>
      </c>
      <c r="K62" s="73" t="str">
        <f t="shared" si="23"/>
        <v>0.472089102049173-2.7198809280941i</v>
      </c>
      <c r="L62" s="73" t="str">
        <f t="shared" si="24"/>
        <v>-0.047294872248731+0.0199102934385213i</v>
      </c>
      <c r="M62" s="70">
        <f t="shared" si="25"/>
        <v>-25.795120755600969</v>
      </c>
      <c r="N62" s="70">
        <f t="shared" si="26"/>
        <v>337.16977975391774</v>
      </c>
      <c r="O62" s="70">
        <f t="shared" si="28"/>
        <v>-22.830220246082263</v>
      </c>
    </row>
    <row r="63" spans="1:15" ht="15" x14ac:dyDescent="0.2">
      <c r="A63" s="71">
        <f t="shared" si="13"/>
        <v>62</v>
      </c>
      <c r="B63" s="70">
        <f t="shared" si="27"/>
        <v>62000</v>
      </c>
      <c r="C63" s="70">
        <f t="shared" si="15"/>
        <v>406.42632978456544</v>
      </c>
      <c r="D63" s="51" t="str">
        <f t="shared" si="16"/>
        <v>0.000059027901904789-0.0000111409014133573i</v>
      </c>
      <c r="E63" s="51" t="str">
        <f t="shared" si="17"/>
        <v>-0.294315093739357-0.678851778714291i</v>
      </c>
      <c r="F63" s="70" t="str">
        <f t="shared" si="18"/>
        <v>-0.0000249358232232837-0.0000367922607580255i</v>
      </c>
      <c r="G63" s="70" t="str">
        <f t="shared" si="19"/>
        <v>-0.0101345751127959-0.014953343504361i</v>
      </c>
      <c r="H63" s="72">
        <f t="shared" si="20"/>
        <v>1.8064110680471302E-2</v>
      </c>
      <c r="I63" s="51" t="str">
        <f t="shared" si="21"/>
        <v>14.670400689358-0.251362579918491i</v>
      </c>
      <c r="J63" s="73" t="str">
        <f t="shared" si="22"/>
        <v>0.0343038732241345-0.182008564375298i</v>
      </c>
      <c r="K63" s="73" t="str">
        <f t="shared" si="23"/>
        <v>0.457501423086357-2.67876127835525i</v>
      </c>
      <c r="L63" s="73" t="str">
        <f t="shared" si="24"/>
        <v>-0.0446930200979069+0.0203069314515962i</v>
      </c>
      <c r="M63" s="70">
        <f t="shared" si="25"/>
        <v>-26.180122398704636</v>
      </c>
      <c r="N63" s="70">
        <f t="shared" si="26"/>
        <v>335.56462807626929</v>
      </c>
      <c r="O63" s="70">
        <f t="shared" si="28"/>
        <v>-24.435371923730713</v>
      </c>
    </row>
    <row r="64" spans="1:15" ht="15" x14ac:dyDescent="0.2">
      <c r="A64" s="71">
        <f t="shared" si="13"/>
        <v>63</v>
      </c>
      <c r="B64" s="70">
        <f t="shared" si="27"/>
        <v>63000</v>
      </c>
      <c r="C64" s="70">
        <f t="shared" si="15"/>
        <v>406.42632978456544</v>
      </c>
      <c r="D64" s="51" t="str">
        <f t="shared" si="16"/>
        <v>0.0000590278979955231-0.0000109640617084263i</v>
      </c>
      <c r="E64" s="51" t="str">
        <f t="shared" si="17"/>
        <v>-0.304003299211843-0.65187909633581i</v>
      </c>
      <c r="F64" s="70" t="str">
        <f t="shared" si="18"/>
        <v>-0.0000250919183748381-0.0000351459418718001i</v>
      </c>
      <c r="G64" s="70" t="str">
        <f t="shared" si="19"/>
        <v>-0.0101980162923393-0.0142842361617774i</v>
      </c>
      <c r="H64" s="72">
        <f t="shared" si="20"/>
        <v>1.7551038118135544E-2</v>
      </c>
      <c r="I64" s="51" t="str">
        <f t="shared" si="21"/>
        <v>14.670400689358-0.247372697697563i</v>
      </c>
      <c r="J64" s="73" t="str">
        <f t="shared" si="22"/>
        <v>0.0332594367879712-0.179313264017245i</v>
      </c>
      <c r="K64" s="73" t="str">
        <f t="shared" si="23"/>
        <v>0.44357205852901-2.63882490865177i</v>
      </c>
      <c r="L64" s="73" t="str">
        <f t="shared" si="24"/>
        <v>-0.0422171532644679+0.0205746913722674i</v>
      </c>
      <c r="M64" s="70">
        <f t="shared" si="25"/>
        <v>-26.564720743679096</v>
      </c>
      <c r="N64" s="70">
        <f t="shared" si="26"/>
        <v>334.01753352606937</v>
      </c>
      <c r="O64" s="70">
        <f t="shared" si="28"/>
        <v>-25.982466473930629</v>
      </c>
    </row>
    <row r="65" spans="1:15" ht="15" x14ac:dyDescent="0.2">
      <c r="A65" s="71">
        <f t="shared" si="13"/>
        <v>64</v>
      </c>
      <c r="B65" s="70">
        <f t="shared" si="27"/>
        <v>64000</v>
      </c>
      <c r="C65" s="70">
        <f t="shared" si="15"/>
        <v>406.42632978456544</v>
      </c>
      <c r="D65" s="51" t="str">
        <f t="shared" si="16"/>
        <v>0.0000590278942680686-0.0000107927482442723i</v>
      </c>
      <c r="E65" s="51" t="str">
        <f t="shared" si="17"/>
        <v>-0.312030390352364-0.625624842811758i</v>
      </c>
      <c r="F65" s="70" t="str">
        <f t="shared" si="18"/>
        <v>-0.0000251707083139733-0.0000335616516253344i</v>
      </c>
      <c r="G65" s="70" t="str">
        <f t="shared" si="19"/>
        <v>-0.010230038598126-0.0136403388915929i</v>
      </c>
      <c r="H65" s="72">
        <f t="shared" si="20"/>
        <v>1.7050294273022081E-2</v>
      </c>
      <c r="I65" s="51" t="str">
        <f t="shared" si="21"/>
        <v>14.670400689358-0.243507499296039i</v>
      </c>
      <c r="J65" s="73" t="str">
        <f t="shared" si="22"/>
        <v>0.032261468601676-0.176693707429945i</v>
      </c>
      <c r="K65" s="73" t="str">
        <f t="shared" si="23"/>
        <v>0.430262428376117-2.6000233968283i</v>
      </c>
      <c r="L65" s="73" t="str">
        <f t="shared" si="24"/>
        <v>-0.0398668015084196+0.0207294143702142i</v>
      </c>
      <c r="M65" s="70">
        <f t="shared" si="25"/>
        <v>-26.948485202396316</v>
      </c>
      <c r="N65" s="70">
        <f t="shared" si="26"/>
        <v>332.52706441694954</v>
      </c>
      <c r="O65" s="70">
        <f t="shared" si="28"/>
        <v>-27.472935583050457</v>
      </c>
    </row>
    <row r="66" spans="1:15" ht="15" x14ac:dyDescent="0.2">
      <c r="A66" s="71">
        <f t="shared" si="13"/>
        <v>65</v>
      </c>
      <c r="B66" s="70">
        <f t="shared" si="27"/>
        <v>65000</v>
      </c>
      <c r="C66" s="70">
        <f t="shared" ref="C66:C101" si="29">_ta1*_ta2*(rload/RS)</f>
        <v>406.42632978456544</v>
      </c>
      <c r="D66" s="51" t="str">
        <f t="shared" ref="D66:D101" si="30">IMDIV((COMPLEX(1,2*PI()*(B66)*(esrcout*0.001)*(cout*0.000001))),(COMPLEX(1,2*PI()*(B66)*rload*(cout*0.000001))))</f>
        <v>0.0000590278907113237-0.000010626705963629i</v>
      </c>
      <c r="E66" s="51" t="str">
        <f t="shared" ref="E66:E101" si="31">IMDIV(1,(COMPLEX((1-(B66/(fpp*1000))^2),(B66/(fpp*1000)))))</f>
        <v>-0.318544850191589-0.60015696412908i</v>
      </c>
      <c r="F66" s="70" t="str">
        <f t="shared" ref="F66:F97" si="32">IMPRODUCT(D66,E66)</f>
        <v>-0.0000251807221935881-0.0000320409172290369i</v>
      </c>
      <c r="G66" s="70" t="str">
        <f t="shared" ref="G66:G97" si="33">IMPRODUCT(C66,F66)</f>
        <v>-0.0102341085024648-0.0130222723923285i</v>
      </c>
      <c r="H66" s="72">
        <f t="shared" ref="H66:H97" si="34">IMABS(G66)</f>
        <v>1.6562504493591038E-2</v>
      </c>
      <c r="I66" s="51" t="str">
        <f t="shared" ref="I66:I101" si="35">IMDIV((COMPLEX(1,(2*PI()*B66*(rf*1000)*(Cz*0.000000001)))),(COMPLEX(0,2*PI()*B66*((Cz*0.000000001)+(Cp*0.000000000001))*(RII*1000))))</f>
        <v>14.6704006893581-0.2397612300761i</v>
      </c>
      <c r="J66" s="73" t="str">
        <f t="shared" ref="J66:J101" si="36">IMDIV(1,(COMPLEX(1,2*PI()*B66*(((Cz*0.000000001)*(Cp*0.000000000001))/((Cz*0.000000001)+(Cp*0.000000000001)))*(rf*1000))))</f>
        <v>0.0313072823269378-0.174146881683937i</v>
      </c>
      <c r="K66" s="73" t="str">
        <f t="shared" ref="K66:K97" si="37">IMPRODUCT(I66,J66)</f>
        <v>0.417536705664579-2.56231080562664i</v>
      </c>
      <c r="L66" s="73" t="str">
        <f t="shared" ref="L66:L97" si="38">IMPRODUCT(G66,K66)</f>
        <v>-0.0376402252142098+0.0207856900868614i</v>
      </c>
      <c r="M66" s="70">
        <f t="shared" ref="M66:M97" si="39">20*LOG(IMABS(L66))</f>
        <v>-27.331026759027075</v>
      </c>
      <c r="N66" s="70">
        <f t="shared" ref="N66:N101" si="40">(180/PI())*IMARGUMENT(L66)+180</f>
        <v>331.09163631044191</v>
      </c>
      <c r="O66" s="70">
        <f t="shared" si="28"/>
        <v>-28.908363689558087</v>
      </c>
    </row>
    <row r="67" spans="1:15" ht="15" x14ac:dyDescent="0.2">
      <c r="A67" s="71">
        <f t="shared" si="13"/>
        <v>66</v>
      </c>
      <c r="B67" s="70">
        <f t="shared" si="27"/>
        <v>66000</v>
      </c>
      <c r="C67" s="70">
        <f t="shared" si="29"/>
        <v>406.42632978456544</v>
      </c>
      <c r="D67" s="51" t="str">
        <f t="shared" si="30"/>
        <v>0.000059027887315021-0.0000104656952672459i</v>
      </c>
      <c r="E67" s="51" t="str">
        <f t="shared" si="31"/>
        <v>-0.323689253851623-0.57552507419739i</v>
      </c>
      <c r="F67" s="70" t="str">
        <f t="shared" si="32"/>
        <v>-0.0000251299628466458-0.0000305843961345993i</v>
      </c>
      <c r="G67" s="70" t="str">
        <f t="shared" si="33"/>
        <v>-0.0102134785673847-0.0124303038696624i</v>
      </c>
      <c r="H67" s="72">
        <f t="shared" si="34"/>
        <v>1.6088119801225084E-2</v>
      </c>
      <c r="I67" s="51" t="str">
        <f t="shared" si="35"/>
        <v>14.670400689358-0.236128484165856i</v>
      </c>
      <c r="J67" s="73" t="str">
        <f t="shared" si="36"/>
        <v>0.030394380832603-0.171669922952175i</v>
      </c>
      <c r="K67" s="73" t="str">
        <f t="shared" si="37"/>
        <v>0.405361586835662-2.52564353509279i</v>
      </c>
      <c r="L67" s="73" t="str">
        <f t="shared" si="38"/>
        <v>-0.0355346684868388+0.0207568384130681i</v>
      </c>
      <c r="M67" s="70">
        <f t="shared" si="39"/>
        <v>-27.711996674795376</v>
      </c>
      <c r="N67" s="70">
        <f t="shared" si="40"/>
        <v>329.70955084475548</v>
      </c>
      <c r="O67" s="70">
        <f t="shared" si="28"/>
        <v>-30.290449155244517</v>
      </c>
    </row>
    <row r="68" spans="1:15" ht="15" x14ac:dyDescent="0.2">
      <c r="A68" s="71">
        <f t="shared" ref="A68:A100" si="41">1+A67</f>
        <v>67</v>
      </c>
      <c r="B68" s="70">
        <f t="shared" ref="B68:B99" si="42">(fs*1000/2)*(A68/100)</f>
        <v>67000</v>
      </c>
      <c r="C68" s="70">
        <f t="shared" si="29"/>
        <v>406.42632978456544</v>
      </c>
      <c r="D68" s="51" t="str">
        <f t="shared" si="30"/>
        <v>0.0000590278840696538-0.0000103094908603056i</v>
      </c>
      <c r="E68" s="51" t="str">
        <f t="shared" si="31"/>
        <v>-0.327598930100435-0.551762903889622i</v>
      </c>
      <c r="F68" s="70" t="str">
        <f t="shared" si="32"/>
        <v>-0.0000250258662820168-0.0000291920185490158i</v>
      </c>
      <c r="G68" s="70" t="str">
        <f t="shared" si="33"/>
        <v>-0.0101711709826794-0.0118644049578794i</v>
      </c>
      <c r="H68" s="72">
        <f t="shared" si="34"/>
        <v>1.5627438182998925E-2</v>
      </c>
      <c r="I68" s="51" t="str">
        <f t="shared" si="35"/>
        <v>14.6704006893581-0.232604178432037i</v>
      </c>
      <c r="J68" s="73" t="str">
        <f t="shared" si="36"/>
        <v>0.0295204406081991-0.169260108101398i</v>
      </c>
      <c r="K68" s="73" t="str">
        <f t="shared" si="37"/>
        <v>0.393706083862435-2.4899801844062i</v>
      </c>
      <c r="L68" s="73" t="str">
        <f t="shared" si="38"/>
        <v>-0.0335465851407763+0.0206549257857543i</v>
      </c>
      <c r="M68" s="70">
        <f t="shared" si="39"/>
        <v>-28.091084694936363</v>
      </c>
      <c r="N68" s="70">
        <f t="shared" si="40"/>
        <v>328.37902962419548</v>
      </c>
      <c r="O68" s="70">
        <f t="shared" si="28"/>
        <v>-31.620970375804518</v>
      </c>
    </row>
    <row r="69" spans="1:15" ht="15" x14ac:dyDescent="0.2">
      <c r="A69" s="71">
        <f t="shared" si="41"/>
        <v>68</v>
      </c>
      <c r="B69" s="70">
        <f t="shared" si="42"/>
        <v>68000</v>
      </c>
      <c r="C69" s="70">
        <f t="shared" si="29"/>
        <v>406.42632978456544</v>
      </c>
      <c r="D69" s="51" t="str">
        <f t="shared" si="30"/>
        <v>0.0000590278809664091-0.0000101578807006267i</v>
      </c>
      <c r="E69" s="51" t="str">
        <f t="shared" si="31"/>
        <v>-0.330401080778646-0.528890618948869i</v>
      </c>
      <c r="F69" s="70" t="str">
        <f t="shared" si="32"/>
        <v>-0.0000248752834783381-0.0000278631177376567i</v>
      </c>
      <c r="G69" s="70" t="str">
        <f t="shared" si="33"/>
        <v>-0.0101099701664516-0.011324304678471i</v>
      </c>
      <c r="H69" s="72">
        <f t="shared" si="34"/>
        <v>1.518062492842049E-2</v>
      </c>
      <c r="I69" s="51" t="str">
        <f t="shared" si="35"/>
        <v>14.6704006893581-0.229183528749213i</v>
      </c>
      <c r="J69" s="73" t="str">
        <f t="shared" si="36"/>
        <v>0.0286832976371307-0.166914846774607i</v>
      </c>
      <c r="K69" s="73" t="str">
        <f t="shared" si="37"/>
        <v>0.382541335844387-2.45528142255494i</v>
      </c>
      <c r="L69" s="73" t="str">
        <f t="shared" si="38"/>
        <v>-0.0316718363932231+0.0204908072930622i</v>
      </c>
      <c r="M69" s="70">
        <f t="shared" si="39"/>
        <v>-28.468016909748947</v>
      </c>
      <c r="N69" s="70">
        <f t="shared" si="40"/>
        <v>327.0982433669439</v>
      </c>
      <c r="O69" s="70">
        <f t="shared" si="28"/>
        <v>-32.901756633056095</v>
      </c>
    </row>
    <row r="70" spans="1:15" ht="15" x14ac:dyDescent="0.2">
      <c r="A70" s="71">
        <f t="shared" si="41"/>
        <v>69</v>
      </c>
      <c r="B70" s="70">
        <f t="shared" si="42"/>
        <v>69000</v>
      </c>
      <c r="C70" s="70">
        <f t="shared" si="29"/>
        <v>406.42632978456544</v>
      </c>
      <c r="D70" s="51" t="str">
        <f t="shared" si="30"/>
        <v>0.000059027877997108-0.0000100106650383285i</v>
      </c>
      <c r="E70" s="51" t="str">
        <f t="shared" si="31"/>
        <v>-0.332214276180469-0.506916962769844i</v>
      </c>
      <c r="F70" s="70" t="str">
        <f t="shared" si="32"/>
        <v>-0.000024684479679814-0.0000265965467932495i</v>
      </c>
      <c r="G70" s="70" t="str">
        <f t="shared" si="33"/>
        <v>-0.0100324224789085-0.0108095368981238i</v>
      </c>
      <c r="H70" s="72">
        <f t="shared" si="34"/>
        <v>1.4747731647518154E-2</v>
      </c>
      <c r="I70" s="51" t="str">
        <f t="shared" si="35"/>
        <v>14.670400689358-0.225862028332557i</v>
      </c>
      <c r="J70" s="73" t="str">
        <f t="shared" si="36"/>
        <v>0.0278809345773875-0.164631673940584i</v>
      </c>
      <c r="K70" s="73" t="str">
        <f t="shared" si="37"/>
        <v>0.371840438040046-2.42150986730356i</v>
      </c>
      <c r="L70" s="73" t="str">
        <f t="shared" si="38"/>
        <v>-0.0299058606289488+0.0202741870904266i</v>
      </c>
      <c r="M70" s="70">
        <f t="shared" si="39"/>
        <v>-28.84255339628065</v>
      </c>
      <c r="N70" s="70">
        <f t="shared" si="40"/>
        <v>325.86533661922783</v>
      </c>
      <c r="O70" s="70">
        <f t="shared" si="28"/>
        <v>-34.134663380772167</v>
      </c>
    </row>
    <row r="71" spans="1:15" ht="15" x14ac:dyDescent="0.2">
      <c r="A71" s="71">
        <f t="shared" si="41"/>
        <v>70</v>
      </c>
      <c r="B71" s="70">
        <f t="shared" si="42"/>
        <v>70000</v>
      </c>
      <c r="C71" s="70">
        <f t="shared" si="29"/>
        <v>406.42632978456544</v>
      </c>
      <c r="D71" s="51" t="str">
        <f t="shared" si="30"/>
        <v>0.0000590278751541518-9.86765553780909E-06i</v>
      </c>
      <c r="E71" s="51" t="str">
        <f t="shared" si="31"/>
        <v>-0.333148250971682-0.485841199333704i</v>
      </c>
      <c r="F71" s="70" t="str">
        <f t="shared" si="32"/>
        <v>-0.0000244591469672815-0.0000253907814754011i</v>
      </c>
      <c r="G71" s="70" t="str">
        <f t="shared" si="33"/>
        <v>-0.0099408413315735-0.0103194821254092i</v>
      </c>
      <c r="H71" s="72">
        <f t="shared" si="34"/>
        <v>1.4328713749536625E-2</v>
      </c>
      <c r="I71" s="51" t="str">
        <f t="shared" si="35"/>
        <v>14.670400689358-0.222635427927807i</v>
      </c>
      <c r="J71" s="73" t="str">
        <f t="shared" si="36"/>
        <v>0.0271114691149759-0.162408242886263i</v>
      </c>
      <c r="K71" s="73" t="str">
        <f t="shared" si="37"/>
        <v>0.361578286539864-2.38862997192422i</v>
      </c>
      <c r="L71" s="73" t="str">
        <f t="shared" si="38"/>
        <v>-0.0282438166749237+0.0200136908858553i</v>
      </c>
      <c r="M71" s="70">
        <f t="shared" si="39"/>
        <v>-29.214485743328162</v>
      </c>
      <c r="N71" s="70">
        <f t="shared" si="40"/>
        <v>324.6784484112481</v>
      </c>
      <c r="O71" s="70">
        <f t="shared" si="28"/>
        <v>-35.321551588751902</v>
      </c>
    </row>
    <row r="72" spans="1:15" ht="15" x14ac:dyDescent="0.2">
      <c r="A72" s="71">
        <f t="shared" si="41"/>
        <v>71</v>
      </c>
      <c r="B72" s="70">
        <f t="shared" si="42"/>
        <v>71000</v>
      </c>
      <c r="C72" s="70">
        <f t="shared" si="29"/>
        <v>406.42632978456544</v>
      </c>
      <c r="D72" s="51" t="str">
        <f t="shared" si="30"/>
        <v>0.0000590278724304717-0.0000097286744739227i</v>
      </c>
      <c r="E72" s="51" t="str">
        <f t="shared" si="31"/>
        <v>-0.333303933678997-0.465654846344132i</v>
      </c>
      <c r="F72" s="70" t="str">
        <f t="shared" si="32"/>
        <v>-0.0000242044264950648-0.0000242440093949914i</v>
      </c>
      <c r="G72" s="70" t="str">
        <f t="shared" si="33"/>
        <v>-0.00983731622492948-0.00985340375766888i</v>
      </c>
      <c r="H72" s="72">
        <f t="shared" si="34"/>
        <v>1.3923446273135971E-2</v>
      </c>
      <c r="I72" s="51" t="str">
        <f t="shared" si="35"/>
        <v>14.670400689358-0.219499717675302i</v>
      </c>
      <c r="J72" s="73" t="str">
        <f t="shared" si="36"/>
        <v>0.0263731433705053-0.160242318627958i</v>
      </c>
      <c r="K72" s="73" t="str">
        <f t="shared" si="37"/>
        <v>0.351731436984726-2.35660791918796i</v>
      </c>
      <c r="L72" s="73" t="str">
        <f t="shared" si="38"/>
        <v>-0.0266807026981465+0.0197169454563494i</v>
      </c>
      <c r="M72" s="70">
        <f t="shared" si="39"/>
        <v>-29.583634540873966</v>
      </c>
      <c r="N72" s="70">
        <f t="shared" si="40"/>
        <v>323.53572926386676</v>
      </c>
      <c r="O72" s="70">
        <f t="shared" si="28"/>
        <v>-36.464270736133244</v>
      </c>
    </row>
    <row r="73" spans="1:15" ht="15" x14ac:dyDescent="0.2">
      <c r="A73" s="71">
        <f t="shared" si="41"/>
        <v>72</v>
      </c>
      <c r="B73" s="70">
        <f t="shared" si="42"/>
        <v>72000</v>
      </c>
      <c r="C73" s="70">
        <f t="shared" si="29"/>
        <v>406.42632978456544</v>
      </c>
      <c r="D73" s="51" t="str">
        <f t="shared" si="30"/>
        <v>0.0000590278698194889-9.59355399514329E-06i</v>
      </c>
      <c r="E73" s="51" t="str">
        <f t="shared" si="31"/>
        <v>-0.3327736520237-0.446343199435663i</v>
      </c>
      <c r="F73" s="70" t="str">
        <f t="shared" si="32"/>
        <v>-0.0000239249373951619-0.0000231542062722521i</v>
      </c>
      <c r="G73" s="70" t="str">
        <f t="shared" si="33"/>
        <v>-0.00972372449584115-0.00941047907430619i</v>
      </c>
      <c r="H73" s="72">
        <f t="shared" si="34"/>
        <v>1.3531738043539564E-2</v>
      </c>
      <c r="I73" s="51" t="str">
        <f t="shared" si="35"/>
        <v>14.670400689358-0.216451110485368i</v>
      </c>
      <c r="J73" s="73" t="str">
        <f t="shared" si="36"/>
        <v>0.0256643142527269-0.15813177171797i</v>
      </c>
      <c r="K73" s="73" t="str">
        <f t="shared" si="37"/>
        <v>0.342277975913732-2.32541152214056i</v>
      </c>
      <c r="L73" s="73" t="str">
        <f t="shared" si="38"/>
        <v>-0.0252114532070335+0.0193906612508174i</v>
      </c>
      <c r="M73" s="70">
        <f t="shared" si="39"/>
        <v>-29.949846896211216</v>
      </c>
      <c r="N73" s="70">
        <f t="shared" si="40"/>
        <v>322.43535496341138</v>
      </c>
      <c r="O73" s="70">
        <f t="shared" si="28"/>
        <v>-37.564645036588615</v>
      </c>
    </row>
    <row r="74" spans="1:15" ht="15" x14ac:dyDescent="0.2">
      <c r="A74" s="71">
        <f t="shared" si="41"/>
        <v>73</v>
      </c>
      <c r="B74" s="70">
        <f t="shared" si="42"/>
        <v>73000</v>
      </c>
      <c r="C74" s="70">
        <f t="shared" si="29"/>
        <v>406.42632978456544</v>
      </c>
      <c r="D74" s="51" t="str">
        <f t="shared" si="30"/>
        <v>0.0000590278673150701-9.46213544728833E-06i</v>
      </c>
      <c r="E74" s="51" t="str">
        <f t="shared" si="31"/>
        <v>-0.331641465588464-0.427886655849379i</v>
      </c>
      <c r="F74" s="70" t="str">
        <f t="shared" si="32"/>
        <v>-0.0000236248099206653-0.0000221192002800309i</v>
      </c>
      <c r="G74" s="70" t="str">
        <f t="shared" si="33"/>
        <v>-0.00960174478791399-0.00898982538758269i</v>
      </c>
      <c r="H74" s="72">
        <f t="shared" si="34"/>
        <v>1.3153344193453606E-2</v>
      </c>
      <c r="I74" s="51" t="str">
        <f t="shared" si="35"/>
        <v>14.670400689358-0.213486026780089i</v>
      </c>
      <c r="J74" s="73" t="str">
        <f t="shared" si="36"/>
        <v>0.0249834446645729-0.156074572423778i</v>
      </c>
      <c r="K74" s="73" t="str">
        <f t="shared" si="37"/>
        <v>0.333197403481534-2.29501013121377i</v>
      </c>
      <c r="L74" s="73" t="str">
        <f t="shared" si="38"/>
        <v>-0.0238310167745703+0.0190407150886967i</v>
      </c>
      <c r="M74" s="70">
        <f t="shared" si="39"/>
        <v>-30.312994022955362</v>
      </c>
      <c r="N74" s="70">
        <f t="shared" si="40"/>
        <v>321.37553751220901</v>
      </c>
      <c r="O74" s="70">
        <f t="shared" si="28"/>
        <v>-38.624462487790993</v>
      </c>
    </row>
    <row r="75" spans="1:15" ht="15" x14ac:dyDescent="0.2">
      <c r="A75" s="71">
        <f t="shared" si="41"/>
        <v>74</v>
      </c>
      <c r="B75" s="70">
        <f t="shared" si="42"/>
        <v>74000</v>
      </c>
      <c r="C75" s="70">
        <f t="shared" si="29"/>
        <v>406.42632978456544</v>
      </c>
      <c r="D75" s="51" t="str">
        <f t="shared" si="30"/>
        <v>0.0000590278649114942-9.33426875207715E-06i</v>
      </c>
      <c r="E75" s="51" t="str">
        <f t="shared" si="31"/>
        <v>-0.329983585977756-0.410261850846i</v>
      </c>
      <c r="F75" s="70" t="str">
        <f t="shared" si="32"/>
        <v>-0.0000233077209106266-0.0000211367256347867i</v>
      </c>
      <c r="G75" s="70" t="str">
        <f t="shared" si="33"/>
        <v>-0.00947287146534894-0.0085905218234097i</v>
      </c>
      <c r="H75" s="72">
        <f t="shared" si="34"/>
        <v>1.2787977126875872E-2</v>
      </c>
      <c r="I75" s="51" t="str">
        <f t="shared" si="35"/>
        <v>14.670400689358-0.21060108047225i</v>
      </c>
      <c r="J75" s="73" t="str">
        <f t="shared" si="36"/>
        <v>0.0243290954775873-0.154068785257851i</v>
      </c>
      <c r="K75" s="73" t="str">
        <f t="shared" si="37"/>
        <v>0.324470526423503-2.26537454724982i</v>
      </c>
      <c r="L75" s="73" t="str">
        <f t="shared" si="38"/>
        <v>-0.0225344170774504+0.0186722307686763i</v>
      </c>
      <c r="M75" s="70">
        <f t="shared" si="39"/>
        <v>-30.672968935783949</v>
      </c>
      <c r="N75" s="70">
        <f t="shared" si="40"/>
        <v>320.35453364053944</v>
      </c>
      <c r="O75" s="70">
        <f t="shared" si="28"/>
        <v>-39.645466359460556</v>
      </c>
    </row>
    <row r="76" spans="1:15" ht="15" x14ac:dyDescent="0.2">
      <c r="A76" s="71">
        <f t="shared" si="41"/>
        <v>75</v>
      </c>
      <c r="B76" s="70">
        <f t="shared" si="42"/>
        <v>75000</v>
      </c>
      <c r="C76" s="70">
        <f t="shared" si="29"/>
        <v>406.42632978456544</v>
      </c>
      <c r="D76" s="51" t="str">
        <f t="shared" si="30"/>
        <v>0.0000590278626034191-9.20981183540406E-06i</v>
      </c>
      <c r="E76" s="51" t="str">
        <f t="shared" si="31"/>
        <v>-0.327868852459016-0.39344262295082i</v>
      </c>
      <c r="F76" s="70" t="str">
        <f t="shared" si="32"/>
        <v>-0.0000229769301002964-0.0000202044666520324i</v>
      </c>
      <c r="G76" s="70" t="str">
        <f t="shared" si="33"/>
        <v>-0.00933842937037997-0.00821162722664017i</v>
      </c>
      <c r="H76" s="72">
        <f t="shared" si="34"/>
        <v>1.243531603196611E-2</v>
      </c>
      <c r="I76" s="51" t="str">
        <f t="shared" si="35"/>
        <v>14.670400689358-0.207793066065953i</v>
      </c>
      <c r="J76" s="73" t="str">
        <f t="shared" si="36"/>
        <v>0.023699918199751-0.152112563837035i</v>
      </c>
      <c r="K76" s="73" t="str">
        <f t="shared" si="37"/>
        <v>0.316079360268505-2.23647694004309i</v>
      </c>
      <c r="L76" s="73" t="str">
        <f t="shared" si="38"/>
        <v>-0.0213167997139131+0.0182896560625161i</v>
      </c>
      <c r="M76" s="70">
        <f t="shared" si="39"/>
        <v>-31.029684272897015</v>
      </c>
      <c r="N76" s="70">
        <f t="shared" si="40"/>
        <v>319.37065123622239</v>
      </c>
      <c r="O76" s="70">
        <f t="shared" si="28"/>
        <v>-40.629348763777614</v>
      </c>
    </row>
    <row r="77" spans="1:15" ht="15" x14ac:dyDescent="0.2">
      <c r="A77" s="71">
        <f t="shared" si="41"/>
        <v>76</v>
      </c>
      <c r="B77" s="70">
        <f t="shared" si="42"/>
        <v>76000</v>
      </c>
      <c r="C77" s="70">
        <f t="shared" si="29"/>
        <v>406.42632978456544</v>
      </c>
      <c r="D77" s="51" t="str">
        <f t="shared" si="30"/>
        <v>0.0000590278603858513-9.08863010074786E-06i</v>
      </c>
      <c r="E77" s="51" t="str">
        <f t="shared" si="31"/>
        <v>-0.325359237914116-0.377400825419304i</v>
      </c>
      <c r="F77" s="70" t="str">
        <f t="shared" si="32"/>
        <v>-0.0000226353161727944-0.0000193200934690931i</v>
      </c>
      <c r="G77" s="70" t="str">
        <f t="shared" si="33"/>
        <v>-0.00919958847562205-0.00785219467973826i</v>
      </c>
      <c r="H77" s="72">
        <f t="shared" si="34"/>
        <v>1.2095015064451466E-2</v>
      </c>
      <c r="I77" s="51" t="str">
        <f t="shared" si="35"/>
        <v>14.670400689358-0.205058946775612i</v>
      </c>
      <c r="J77" s="73" t="str">
        <f t="shared" si="36"/>
        <v>0.0230946482697543-0.150204146051468i</v>
      </c>
      <c r="K77" s="73" t="str">
        <f t="shared" si="37"/>
        <v>0.30800703990644-2.20829077202823i</v>
      </c>
      <c r="L77" s="73" t="str">
        <f t="shared" si="38"/>
        <v>-0.0201734670661689+0.0178968350970981i</v>
      </c>
      <c r="M77" s="70">
        <f t="shared" si="39"/>
        <v>-31.383070259547363</v>
      </c>
      <c r="N77" s="70">
        <f t="shared" si="40"/>
        <v>318.42225401457551</v>
      </c>
      <c r="O77" s="70">
        <f t="shared" si="28"/>
        <v>-41.577745985424485</v>
      </c>
    </row>
    <row r="78" spans="1:15" ht="15" x14ac:dyDescent="0.2">
      <c r="A78" s="71">
        <f t="shared" si="41"/>
        <v>77</v>
      </c>
      <c r="B78" s="70">
        <f t="shared" si="42"/>
        <v>77000</v>
      </c>
      <c r="C78" s="70">
        <f t="shared" si="29"/>
        <v>406.42632978456544</v>
      </c>
      <c r="D78" s="51" t="str">
        <f t="shared" si="30"/>
        <v>0.0000590278582541195-8.97059594361435E-06i</v>
      </c>
      <c r="E78" s="51" t="str">
        <f t="shared" si="31"/>
        <v>-0.322510365759674-0.362107001509111i</v>
      </c>
      <c r="F78" s="70" t="str">
        <f t="shared" si="32"/>
        <v>-0.0000222854117544383-0.0000184812905790467i</v>
      </c>
      <c r="G78" s="70" t="str">
        <f t="shared" si="33"/>
        <v>-0.00905737810709417-0.00751128309972402i</v>
      </c>
      <c r="H78" s="72">
        <f t="shared" si="34"/>
        <v>1.1766710329530019E-2</v>
      </c>
      <c r="I78" s="51" t="str">
        <f t="shared" si="35"/>
        <v>14.670400689358-0.202395843570733i</v>
      </c>
      <c r="J78" s="73" t="str">
        <f t="shared" si="36"/>
        <v>0.0225120989178729-0.148341849523945i</v>
      </c>
      <c r="K78" s="73" t="str">
        <f t="shared" si="37"/>
        <v>0.300237737712417-2.18079072676775i</v>
      </c>
      <c r="L78" s="73" t="str">
        <f t="shared" si="38"/>
        <v>-0.0190999032424854+0.0174970755396016i</v>
      </c>
      <c r="M78" s="70">
        <f t="shared" si="39"/>
        <v>-31.733072819267463</v>
      </c>
      <c r="N78" s="70">
        <f t="shared" si="40"/>
        <v>317.50776471660038</v>
      </c>
      <c r="O78" s="70">
        <f t="shared" si="28"/>
        <v>-42.492235283399623</v>
      </c>
    </row>
    <row r="79" spans="1:15" ht="15" x14ac:dyDescent="0.2">
      <c r="A79" s="71">
        <f t="shared" si="41"/>
        <v>78</v>
      </c>
      <c r="B79" s="70">
        <f t="shared" si="42"/>
        <v>78000</v>
      </c>
      <c r="C79" s="70">
        <f t="shared" si="29"/>
        <v>406.42632978456544</v>
      </c>
      <c r="D79" s="51" t="str">
        <f t="shared" si="30"/>
        <v>0.0000590278562038512-8.85558830332978E-06i</v>
      </c>
      <c r="E79" s="51" t="str">
        <f t="shared" si="31"/>
        <v>-0.319372023352939-0.34753094059053i</v>
      </c>
      <c r="F79" s="70" t="str">
        <f t="shared" si="32"/>
        <v>-0.000021929436802549-0.0000176857792331519i</v>
      </c>
      <c r="G79" s="70" t="str">
        <f t="shared" si="33"/>
        <v>-0.00891270051390257-0.00718796634311001i</v>
      </c>
      <c r="H79" s="72">
        <f t="shared" si="34"/>
        <v>1.1450025790372765E-2</v>
      </c>
      <c r="I79" s="51" t="str">
        <f t="shared" si="35"/>
        <v>14.6704006893581-0.199801025063416i</v>
      </c>
      <c r="J79" s="73" t="str">
        <f t="shared" si="36"/>
        <v>0.0219511555398954-0.146524067341713i</v>
      </c>
      <c r="K79" s="73" t="str">
        <f t="shared" si="37"/>
        <v>0.292756588513353-2.15395264191562i</v>
      </c>
      <c r="L79" s="73" t="str">
        <f t="shared" si="38"/>
        <v>-0.0180917908916337+0.0170932103135655i</v>
      </c>
      <c r="M79" s="70">
        <f t="shared" si="39"/>
        <v>-32.079651834302737</v>
      </c>
      <c r="N79" s="70">
        <f t="shared" si="40"/>
        <v>316.62566708876795</v>
      </c>
      <c r="O79" s="70">
        <f t="shared" si="28"/>
        <v>-43.374332911232045</v>
      </c>
    </row>
    <row r="80" spans="1:15" ht="15" x14ac:dyDescent="0.2">
      <c r="A80" s="71">
        <f t="shared" si="41"/>
        <v>79</v>
      </c>
      <c r="B80" s="70">
        <f t="shared" si="42"/>
        <v>79000</v>
      </c>
      <c r="C80" s="70">
        <f t="shared" si="29"/>
        <v>406.42632978456544</v>
      </c>
      <c r="D80" s="51" t="str">
        <f t="shared" si="30"/>
        <v>0.0000590278542309474-8.74349224887451E-06i</v>
      </c>
      <c r="E80" s="51" t="str">
        <f t="shared" si="31"/>
        <v>-0.315988661370671-0.333642131091727i</v>
      </c>
      <c r="F80" s="70" t="str">
        <f t="shared" si="32"/>
        <v>-0.0000215693300291187-0.0000169313346679584i</v>
      </c>
      <c r="G80" s="70" t="str">
        <f t="shared" si="33"/>
        <v>-0.00876634363964673-0.00688134020745251i</v>
      </c>
      <c r="H80" s="72">
        <f t="shared" si="34"/>
        <v>1.114457822706078E-2</v>
      </c>
      <c r="I80" s="51" t="str">
        <f t="shared" si="35"/>
        <v>14.670400689358-0.19727189816388i</v>
      </c>
      <c r="J80" s="73" t="str">
        <f t="shared" si="36"/>
        <v>0.021410770536123-0.14474926404363i</v>
      </c>
      <c r="K80" s="73" t="str">
        <f t="shared" si="37"/>
        <v>0.285549620757113-2.12775344635455i</v>
      </c>
      <c r="L80" s="73" t="str">
        <f t="shared" si="38"/>
        <v>-0.0171450214436729+0.0166876538046479i</v>
      </c>
      <c r="M80" s="70">
        <f t="shared" si="39"/>
        <v>-32.422779552979762</v>
      </c>
      <c r="N80" s="70">
        <f t="shared" si="40"/>
        <v>315.77450686492136</v>
      </c>
      <c r="O80" s="70">
        <f t="shared" si="28"/>
        <v>-44.225493135078636</v>
      </c>
    </row>
    <row r="81" spans="1:18" ht="15" x14ac:dyDescent="0.2">
      <c r="A81" s="71">
        <f t="shared" si="41"/>
        <v>80</v>
      </c>
      <c r="B81" s="70">
        <f t="shared" si="42"/>
        <v>80000</v>
      </c>
      <c r="C81" s="70">
        <f t="shared" si="29"/>
        <v>406.42632978456544</v>
      </c>
      <c r="D81" s="51" t="str">
        <f t="shared" si="30"/>
        <v>0.000059027852331564-8.63419859577999E-06i</v>
      </c>
      <c r="E81" s="51" t="str">
        <f t="shared" si="31"/>
        <v>-0.31239987183595-0.320410124959949i</v>
      </c>
      <c r="F81" s="70" t="str">
        <f t="shared" si="32"/>
        <v>-0.0000212067781541349-0.000016215799006946i</v>
      </c>
      <c r="G81" s="70" t="str">
        <f t="shared" si="33"/>
        <v>-0.00861899301174055-0.00659052767491726i</v>
      </c>
      <c r="H81" s="72">
        <f t="shared" si="34"/>
        <v>1.0849981362669833E-2</v>
      </c>
      <c r="I81" s="51" t="str">
        <f t="shared" si="35"/>
        <v>14.6704006893581-0.194805999436831i</v>
      </c>
      <c r="J81" s="73" t="str">
        <f t="shared" si="36"/>
        <v>0.0208899585723992-0.143015971846653i</v>
      </c>
      <c r="K81" s="73" t="str">
        <f t="shared" si="37"/>
        <v>0.27860369331017-2.10217110122625i</v>
      </c>
      <c r="L81" s="73" t="str">
        <f t="shared" si="38"/>
        <v>-0.0162557001057284+0.0162824526798571i</v>
      </c>
      <c r="M81" s="70">
        <f t="shared" si="39"/>
        <v>-32.762439139028743</v>
      </c>
      <c r="N81" s="70">
        <f t="shared" si="40"/>
        <v>314.95289194032023</v>
      </c>
      <c r="O81" s="70">
        <f t="shared" si="28"/>
        <v>-45.047108059679772</v>
      </c>
    </row>
    <row r="82" spans="1:18" ht="15" x14ac:dyDescent="0.2">
      <c r="A82" s="71">
        <f t="shared" si="41"/>
        <v>81</v>
      </c>
      <c r="B82" s="70">
        <f t="shared" si="42"/>
        <v>81000</v>
      </c>
      <c r="C82" s="70">
        <f t="shared" si="29"/>
        <v>406.42632978456544</v>
      </c>
      <c r="D82" s="51" t="str">
        <f t="shared" si="30"/>
        <v>0.000059027850502093-8.52760355140326E-06i</v>
      </c>
      <c r="E82" s="51" t="str">
        <f t="shared" si="31"/>
        <v>-0.308640839982196-0.307804826872173i</v>
      </c>
      <c r="F82" s="70" t="str">
        <f t="shared" si="32"/>
        <v>-0.0000208432428960837-0.000015537090581293i</v>
      </c>
      <c r="G82" s="70" t="str">
        <f t="shared" si="33"/>
        <v>-0.00847124271106351-0.00631468270048525i</v>
      </c>
      <c r="H82" s="72">
        <f t="shared" si="34"/>
        <v>1.0565849264377869E-2</v>
      </c>
      <c r="I82" s="51" t="str">
        <f t="shared" si="35"/>
        <v>14.6704006893581-0.192400987098105i</v>
      </c>
      <c r="J82" s="73" t="str">
        <f t="shared" si="36"/>
        <v>0.020387792224521-0.141322787096529i</v>
      </c>
      <c r="K82" s="73" t="str">
        <f t="shared" si="37"/>
        <v>0.271906437368275-2.07718454459168i</v>
      </c>
      <c r="L82" s="73" t="str">
        <f t="shared" si="38"/>
        <v>-0.0154201467350957+0.015879331556706i</v>
      </c>
      <c r="M82" s="70">
        <f t="shared" si="39"/>
        <v>-33.098623356040214</v>
      </c>
      <c r="N82" s="70">
        <f t="shared" si="40"/>
        <v>314.15949190011884</v>
      </c>
      <c r="O82" s="70">
        <f t="shared" si="28"/>
        <v>-45.840508099881163</v>
      </c>
    </row>
    <row r="83" spans="1:18" ht="15" x14ac:dyDescent="0.2">
      <c r="A83" s="71">
        <f t="shared" si="41"/>
        <v>82</v>
      </c>
      <c r="B83" s="70">
        <f t="shared" si="42"/>
        <v>82000</v>
      </c>
      <c r="C83" s="70">
        <f t="shared" si="29"/>
        <v>406.42632978456544</v>
      </c>
      <c r="D83" s="51" t="str">
        <f t="shared" si="30"/>
        <v>0.0000590278487391449-8.42360838615711E-06i</v>
      </c>
      <c r="E83" s="51" t="str">
        <f t="shared" si="31"/>
        <v>-0.304742767092029-0.295796719952017i</v>
      </c>
      <c r="F83" s="70" t="str">
        <f t="shared" si="32"/>
        <v>-0.0000204799856910423-0.0000148932103143657i</v>
      </c>
      <c r="G83" s="70" t="str">
        <f t="shared" si="33"/>
        <v>-0.00832360541845074-0.00605299280677729i</v>
      </c>
      <c r="H83" s="72">
        <f t="shared" si="34"/>
        <v>1.0291799117790832E-2</v>
      </c>
      <c r="I83" s="51" t="str">
        <f t="shared" si="35"/>
        <v>14.670400689358-0.190054633596908i</v>
      </c>
      <c r="J83" s="73" t="str">
        <f t="shared" si="36"/>
        <v>0.019903397971281-0.139668366928513i</v>
      </c>
      <c r="K83" s="73" t="str">
        <f t="shared" si="37"/>
        <v>0.26544620301677-2.05277363947833i</v>
      </c>
      <c r="L83" s="73" t="str">
        <f t="shared" si="38"/>
        <v>-0.0146348935274419+0.0154797338309678i</v>
      </c>
      <c r="M83" s="70">
        <f t="shared" si="39"/>
        <v>-33.431333379055424</v>
      </c>
      <c r="N83" s="70">
        <f t="shared" si="40"/>
        <v>313.39303703976145</v>
      </c>
      <c r="O83" s="70">
        <f t="shared" si="28"/>
        <v>-46.606962960238548</v>
      </c>
    </row>
    <row r="84" spans="1:18" ht="15" x14ac:dyDescent="0.2">
      <c r="A84" s="71">
        <f t="shared" si="41"/>
        <v>83</v>
      </c>
      <c r="B84" s="70">
        <f t="shared" si="42"/>
        <v>83000</v>
      </c>
      <c r="C84" s="70">
        <f t="shared" si="29"/>
        <v>406.42632978456544</v>
      </c>
      <c r="D84" s="51" t="str">
        <f t="shared" si="30"/>
        <v>0.0000590278470395328-8.32211912850666E-06i</v>
      </c>
      <c r="E84" s="51" t="str">
        <f t="shared" si="31"/>
        <v>-0.300733262929728-0.284357038313596i</v>
      </c>
      <c r="F84" s="70" t="str">
        <f t="shared" si="32"/>
        <v>-0.0000201180901917907-0.0000142822457221838i</v>
      </c>
      <c r="G84" s="70" t="str">
        <f t="shared" si="33"/>
        <v>-0.00817652155892436-0.00580468070994847i</v>
      </c>
      <c r="H84" s="72">
        <f t="shared" si="34"/>
        <v>1.0027453462769235E-2</v>
      </c>
      <c r="I84" s="51" t="str">
        <f t="shared" si="35"/>
        <v>14.670400689358-0.187764818734295i</v>
      </c>
      <c r="J84" s="73" t="str">
        <f t="shared" si="36"/>
        <v>0.0194359525048638-0.138051426124805i</v>
      </c>
      <c r="K84" s="73" t="str">
        <f t="shared" si="37"/>
        <v>0.259212010023348-2.0289191250872i</v>
      </c>
      <c r="L84" s="73" t="str">
        <f t="shared" si="38"/>
        <v>-0.0138966802957272+0.0150848580132199i</v>
      </c>
      <c r="M84" s="70">
        <f t="shared" si="39"/>
        <v>-33.760577724636612</v>
      </c>
      <c r="N84" s="70">
        <f t="shared" si="40"/>
        <v>312.65231699286755</v>
      </c>
      <c r="O84" s="70">
        <f t="shared" si="28"/>
        <v>-47.347683007132446</v>
      </c>
      <c r="P84" s="70">
        <v>-27.673999999999999</v>
      </c>
      <c r="Q84" s="70">
        <v>318.15300000000002</v>
      </c>
      <c r="R84" s="70">
        <f>B84</f>
        <v>83000</v>
      </c>
    </row>
    <row r="85" spans="1:18" ht="15" x14ac:dyDescent="0.2">
      <c r="A85" s="71">
        <f t="shared" si="41"/>
        <v>84</v>
      </c>
      <c r="B85" s="70">
        <f t="shared" si="42"/>
        <v>84000</v>
      </c>
      <c r="C85" s="70">
        <f t="shared" si="29"/>
        <v>406.42632978456544</v>
      </c>
      <c r="D85" s="51" t="str">
        <f t="shared" si="30"/>
        <v>0.0000590278454002595-8.22304628175221E-06i</v>
      </c>
      <c r="E85" s="51" t="str">
        <f t="shared" si="31"/>
        <v>-0.296636707487767-0.273457895401365i</v>
      </c>
      <c r="F85" s="70" t="str">
        <f t="shared" si="32"/>
        <v>-0.0000197584826396259-0.0000137023729986936i</v>
      </c>
      <c r="G85" s="70" t="str">
        <f t="shared" si="33"/>
        <v>-0.00803036758133521-0.00556900516719817i</v>
      </c>
      <c r="H85" s="72">
        <f t="shared" si="34"/>
        <v>9.77244196931552E-3</v>
      </c>
      <c r="I85" s="51" t="str">
        <f t="shared" si="35"/>
        <v>14.670400689358-0.185529523273172i</v>
      </c>
      <c r="J85" s="73" t="str">
        <f t="shared" si="36"/>
        <v>0.0189846793304157-0.136470734156217i</v>
      </c>
      <c r="K85" s="73" t="str">
        <f t="shared" si="37"/>
        <v>0.253193502487428-2.00560257094822i</v>
      </c>
      <c r="L85" s="73" t="str">
        <f t="shared" si="38"/>
        <v>-0.0132024479751363+0.0146956899431316i</v>
      </c>
      <c r="M85" s="70">
        <f t="shared" si="39"/>
        <v>-34.086371290496579</v>
      </c>
      <c r="N85" s="70">
        <f t="shared" si="40"/>
        <v>311.93617906304382</v>
      </c>
      <c r="O85" s="70">
        <f t="shared" si="28"/>
        <v>-48.063820936956176</v>
      </c>
    </row>
    <row r="86" spans="1:18" ht="15" x14ac:dyDescent="0.2">
      <c r="A86" s="71">
        <f t="shared" si="41"/>
        <v>85</v>
      </c>
      <c r="B86" s="70">
        <f t="shared" si="42"/>
        <v>85000</v>
      </c>
      <c r="C86" s="70">
        <f t="shared" si="29"/>
        <v>406.42632978456544</v>
      </c>
      <c r="D86" s="51" t="str">
        <f t="shared" si="30"/>
        <v>0.0000590278438185018-8.12630456080329E-06i</v>
      </c>
      <c r="E86" s="51" t="str">
        <f t="shared" si="31"/>
        <v>-0.292474582566039-0.263072375853051i</v>
      </c>
      <c r="F86" s="70" t="str">
        <f t="shared" si="32"/>
        <v>-0.0000194019502283057-0.0000131518575805907i</v>
      </c>
      <c r="G86" s="70" t="str">
        <f t="shared" si="33"/>
        <v>-0.0078854634219531-0.00534526120632879i</v>
      </c>
      <c r="H86" s="72">
        <f t="shared" si="34"/>
        <v>9.5264028228310704E-3</v>
      </c>
      <c r="I86" s="51" t="str">
        <f t="shared" si="35"/>
        <v>14.670400689358-0.18334682299937i</v>
      </c>
      <c r="J86" s="73" t="str">
        <f t="shared" si="36"/>
        <v>0.0185488456293681-0.134925112396418i</v>
      </c>
      <c r="K86" s="73" t="str">
        <f t="shared" si="37"/>
        <v>0.247380907007161-1.98280633382857i</v>
      </c>
      <c r="L86" s="73" t="str">
        <f t="shared" si="38"/>
        <v>-0.0125493308693714+0.0143130312528103i</v>
      </c>
      <c r="M86" s="70">
        <f t="shared" si="39"/>
        <v>-34.408734495781182</v>
      </c>
      <c r="N86" s="70">
        <f t="shared" si="40"/>
        <v>311.24352633950559</v>
      </c>
      <c r="O86" s="70">
        <f t="shared" si="28"/>
        <v>-48.756473660494407</v>
      </c>
    </row>
    <row r="87" spans="1:18" ht="15" x14ac:dyDescent="0.2">
      <c r="A87" s="71">
        <f t="shared" si="41"/>
        <v>86</v>
      </c>
      <c r="B87" s="70">
        <f t="shared" si="42"/>
        <v>86000</v>
      </c>
      <c r="C87" s="70">
        <f t="shared" si="29"/>
        <v>406.42632978456544</v>
      </c>
      <c r="D87" s="51" t="str">
        <f t="shared" si="30"/>
        <v>0.0000590278422916004-8.03181264731785E-06i</v>
      </c>
      <c r="E87" s="51" t="str">
        <f t="shared" si="31"/>
        <v>-0.288265774261145-0.253174597492427i</v>
      </c>
      <c r="F87" s="70" t="str">
        <f t="shared" si="32"/>
        <v>-0.0000190491575952722-0.0000126290535215229i</v>
      </c>
      <c r="G87" s="70" t="str">
        <f t="shared" si="33"/>
        <v>-0.00774207920693426-0.00513277987140539i</v>
      </c>
      <c r="H87" s="72">
        <f t="shared" si="34"/>
        <v>9.2889837794426222E-3</v>
      </c>
      <c r="I87" s="51" t="str">
        <f t="shared" si="35"/>
        <v>14.670400689358-0.181214883197052i</v>
      </c>
      <c r="J87" s="73" t="str">
        <f t="shared" si="36"/>
        <v>0.0181277593635616-0.133413431497801i</v>
      </c>
      <c r="K87" s="73" t="str">
        <f t="shared" si="37"/>
        <v>0.241764994057918-1.96051351721065i</v>
      </c>
      <c r="L87" s="73" t="str">
        <f t="shared" si="38"/>
        <v>-0.0119346480522174+0.0139375244413992i</v>
      </c>
      <c r="M87" s="70">
        <f t="shared" si="39"/>
        <v>-34.727692513328293</v>
      </c>
      <c r="N87" s="70">
        <f t="shared" si="40"/>
        <v>310.57331566217499</v>
      </c>
      <c r="O87" s="70">
        <f t="shared" si="28"/>
        <v>-49.426684337825009</v>
      </c>
    </row>
    <row r="88" spans="1:18" ht="15" x14ac:dyDescent="0.2">
      <c r="A88" s="71">
        <f t="shared" si="41"/>
        <v>87</v>
      </c>
      <c r="B88" s="70">
        <f t="shared" si="42"/>
        <v>87000</v>
      </c>
      <c r="C88" s="70">
        <f t="shared" si="29"/>
        <v>406.42632978456544</v>
      </c>
      <c r="D88" s="51" t="str">
        <f t="shared" si="30"/>
        <v>0.0000590278408170475-7.93949296172822E-06i</v>
      </c>
      <c r="E88" s="51" t="str">
        <f t="shared" si="31"/>
        <v>-0.284026847815692-0.243739749062588i</v>
      </c>
      <c r="F88" s="70" t="str">
        <f t="shared" si="32"/>
        <v>-0.0000187006615828083-0.000012132401949279i</v>
      </c>
      <c r="G88" s="70" t="str">
        <f t="shared" si="33"/>
        <v>-0.007600441251644-0.00493092759571657i</v>
      </c>
      <c r="H88" s="72">
        <f t="shared" si="34"/>
        <v>9.0598429442176887E-3</v>
      </c>
      <c r="I88" s="51" t="str">
        <f t="shared" si="35"/>
        <v>14.670400689358-0.179131953505132i</v>
      </c>
      <c r="J88" s="73" t="str">
        <f t="shared" si="36"/>
        <v>0.0177207665994227-0.13193460891878i</v>
      </c>
      <c r="K88" s="73" t="str">
        <f t="shared" si="37"/>
        <v>0.236337042305566-1.93870793317081i</v>
      </c>
      <c r="L88" s="73" t="str">
        <f t="shared" si="38"/>
        <v>-0.0113558942533373+0.0135696749063664i</v>
      </c>
      <c r="M88" s="70">
        <f t="shared" si="39"/>
        <v>-35.043274585585074</v>
      </c>
      <c r="N88" s="70">
        <f t="shared" si="40"/>
        <v>309.92455548981548</v>
      </c>
      <c r="O88" s="70">
        <f t="shared" si="28"/>
        <v>-50.075444510184525</v>
      </c>
    </row>
    <row r="89" spans="1:18" ht="15" x14ac:dyDescent="0.2">
      <c r="A89" s="71">
        <f t="shared" si="41"/>
        <v>88</v>
      </c>
      <c r="B89" s="70">
        <f t="shared" si="42"/>
        <v>88000</v>
      </c>
      <c r="C89" s="70">
        <f t="shared" si="29"/>
        <v>406.42632978456544</v>
      </c>
      <c r="D89" s="51" t="str">
        <f t="shared" si="30"/>
        <v>0.0000590278393924769-7.84927145081062E-06i</v>
      </c>
      <c r="E89" s="51" t="str">
        <f t="shared" si="31"/>
        <v>-0.279772296507588-0.234744108435047i</v>
      </c>
      <c r="F89" s="70" t="str">
        <f t="shared" si="32"/>
        <v>-0.0000183569244132995-0.0000116604288313294i</v>
      </c>
      <c r="G89" s="70" t="str">
        <f t="shared" si="33"/>
        <v>-0.00746073741543-0.00473910529363134i</v>
      </c>
      <c r="H89" s="72">
        <f t="shared" si="34"/>
        <v>8.8386493179739688E-3</v>
      </c>
      <c r="I89" s="51" t="str">
        <f t="shared" si="35"/>
        <v>14.670400689358-0.177096363124392i</v>
      </c>
      <c r="J89" s="73" t="str">
        <f t="shared" si="36"/>
        <v>0.0173272490334218-0.130487606592947i</v>
      </c>
      <c r="K89" s="73" t="str">
        <f t="shared" si="37"/>
        <v>0.231088805604172-1.91737406650062i</v>
      </c>
      <c r="L89" s="73" t="str">
        <f t="shared" si="38"/>
        <v>-0.0108107304866826+0.0132098702553787i</v>
      </c>
      <c r="M89" s="70">
        <f t="shared" si="39"/>
        <v>-35.355513416327383</v>
      </c>
      <c r="N89" s="70">
        <f t="shared" si="40"/>
        <v>309.29630371451458</v>
      </c>
      <c r="O89" s="70">
        <f t="shared" si="28"/>
        <v>-50.703696285485421</v>
      </c>
    </row>
    <row r="90" spans="1:18" ht="15" x14ac:dyDescent="0.2">
      <c r="A90" s="71">
        <f t="shared" si="41"/>
        <v>89</v>
      </c>
      <c r="B90" s="70">
        <f t="shared" si="42"/>
        <v>89000</v>
      </c>
      <c r="C90" s="70">
        <f t="shared" si="29"/>
        <v>406.42632978456544</v>
      </c>
      <c r="D90" s="51" t="str">
        <f t="shared" si="30"/>
        <v>0.0000590278380156556-7.76107738957625E-06i</v>
      </c>
      <c r="E90" s="51" t="str">
        <f t="shared" si="31"/>
        <v>-0.275514766381876-0.226165045268281i</v>
      </c>
      <c r="F90" s="70" t="str">
        <f t="shared" si="32"/>
        <v>-0.0000180183254200547-0.0000112117422330387i</v>
      </c>
      <c r="G90" s="70" t="str">
        <f t="shared" si="33"/>
        <v>-0.00732312186933677-0.00455674724626453i</v>
      </c>
      <c r="H90" s="72">
        <f t="shared" si="34"/>
        <v>8.6250831520338321E-3</v>
      </c>
      <c r="I90" s="51" t="str">
        <f t="shared" si="35"/>
        <v>14.670400689358-0.175106516347713i</v>
      </c>
      <c r="J90" s="73" t="str">
        <f t="shared" si="36"/>
        <v>0.0169466217018085-0.129071428731165i</v>
      </c>
      <c r="K90" s="73" t="str">
        <f t="shared" si="37"/>
        <v>0.226012482451364-1.89649704092417i</v>
      </c>
      <c r="L90" s="73" t="str">
        <f t="shared" si="38"/>
        <v>-0.0102969746217627+0.0128583971984926i</v>
      </c>
      <c r="M90" s="70">
        <f t="shared" si="39"/>
        <v>-35.664444630831021</v>
      </c>
      <c r="N90" s="70">
        <f t="shared" si="40"/>
        <v>308.6876654571833</v>
      </c>
      <c r="O90" s="70">
        <f t="shared" si="28"/>
        <v>-51.3123345428167</v>
      </c>
    </row>
    <row r="91" spans="1:18" ht="15" x14ac:dyDescent="0.2">
      <c r="A91" s="71">
        <f t="shared" si="41"/>
        <v>90</v>
      </c>
      <c r="B91" s="70">
        <f t="shared" si="42"/>
        <v>90000</v>
      </c>
      <c r="C91" s="70">
        <f t="shared" si="29"/>
        <v>406.42632978456544</v>
      </c>
      <c r="D91" s="51" t="str">
        <f t="shared" si="30"/>
        <v>0.0000590278366844729-7.67484319636897E-06i</v>
      </c>
      <c r="E91" s="51" t="str">
        <f t="shared" si="31"/>
        <v>-0.2712652586708-0.217981011431893i</v>
      </c>
      <c r="F91" s="70" t="str">
        <f t="shared" si="32"/>
        <v>-0.000017685171469517-0.0000107850292181971i</v>
      </c>
      <c r="G91" s="70" t="str">
        <f t="shared" si="33"/>
        <v>-0.0071877193319665-0.00438331984177115i</v>
      </c>
      <c r="H91" s="72">
        <f t="shared" si="34"/>
        <v>8.4188361446455064E-3</v>
      </c>
      <c r="I91" s="51" t="str">
        <f t="shared" si="35"/>
        <v>14.670400689358-0.173160888388294i</v>
      </c>
      <c r="J91" s="73" t="str">
        <f t="shared" si="36"/>
        <v>0.0165783308592095-0.127685119748278i</v>
      </c>
      <c r="K91" s="73" t="str">
        <f t="shared" si="37"/>
        <v>0.221100687695775-1.87606258727547i</v>
      </c>
      <c r="L91" s="73" t="str">
        <f t="shared" si="38"/>
        <v>-0.0098125920504711+0.0125154562951328i</v>
      </c>
      <c r="M91" s="70">
        <f t="shared" si="39"/>
        <v>-35.970106297681326</v>
      </c>
      <c r="N91" s="70">
        <f t="shared" si="40"/>
        <v>308.09779087154413</v>
      </c>
      <c r="O91" s="70">
        <f t="shared" si="28"/>
        <v>-51.902209128455866</v>
      </c>
    </row>
    <row r="92" spans="1:18" ht="15" x14ac:dyDescent="0.2">
      <c r="A92" s="71">
        <f t="shared" si="41"/>
        <v>91</v>
      </c>
      <c r="B92" s="70">
        <f t="shared" si="42"/>
        <v>91000</v>
      </c>
      <c r="C92" s="70">
        <f t="shared" si="29"/>
        <v>406.42632978456544</v>
      </c>
      <c r="D92" s="51" t="str">
        <f t="shared" si="30"/>
        <v>0.0000590278353969339-7.59050426015491E-06i</v>
      </c>
      <c r="E92" s="51" t="str">
        <f t="shared" si="31"/>
        <v>-0.267033311733552-0.210171521949085i</v>
      </c>
      <c r="F92" s="70" t="str">
        <f t="shared" si="32"/>
        <v>-0.000017357706203224-0.0000103790525124169i</v>
      </c>
      <c r="G92" s="70" t="str">
        <f t="shared" si="33"/>
        <v>-0.00705462882565512-0.00421832021926287i</v>
      </c>
      <c r="H92" s="72">
        <f t="shared" si="34"/>
        <v>8.2196115078515767E-3</v>
      </c>
      <c r="I92" s="51" t="str">
        <f t="shared" si="35"/>
        <v>14.6704006893581-0.171258021482928i</v>
      </c>
      <c r="J92" s="73" t="str">
        <f t="shared" si="36"/>
        <v>0.016221852012099-0.126327762306615i</v>
      </c>
      <c r="K92" s="73" t="str">
        <f t="shared" si="37"/>
        <v>0.216346426309966-1.85605701350841i</v>
      </c>
      <c r="L92" s="73" t="str">
        <f t="shared" si="38"/>
        <v>-0.00935568656356094+0.0121811748050872i</v>
      </c>
      <c r="M92" s="70">
        <f t="shared" si="39"/>
        <v>-36.272538505950187</v>
      </c>
      <c r="N92" s="70">
        <f t="shared" si="40"/>
        <v>307.52587297804234</v>
      </c>
      <c r="O92" s="70">
        <f t="shared" si="28"/>
        <v>-52.474127021957656</v>
      </c>
    </row>
    <row r="93" spans="1:18" ht="15" x14ac:dyDescent="0.2">
      <c r="A93" s="71">
        <f t="shared" si="41"/>
        <v>92</v>
      </c>
      <c r="B93" s="70">
        <f t="shared" si="42"/>
        <v>92000</v>
      </c>
      <c r="C93" s="70">
        <f t="shared" si="29"/>
        <v>406.42632978456544</v>
      </c>
      <c r="D93" s="51" t="str">
        <f t="shared" si="30"/>
        <v>0.0000590278341511512-7.50799877907564E-06i</v>
      </c>
      <c r="E93" s="51" t="str">
        <f t="shared" si="31"/>
        <v>-0.262827164292679-0.202717128730101i</v>
      </c>
      <c r="F93" s="70" t="str">
        <f t="shared" si="32"/>
        <v>-0.0000170361182192889-9.99264702566062E-06i</v>
      </c>
      <c r="G93" s="70" t="str">
        <f t="shared" si="33"/>
        <v>-0.00692392700164155-0.0040612748554719i</v>
      </c>
      <c r="H93" s="72">
        <f t="shared" si="34"/>
        <v>8.0271239292631601E-3</v>
      </c>
      <c r="I93" s="51" t="str">
        <f t="shared" si="35"/>
        <v>14.670400689358-0.169396521249418i</v>
      </c>
      <c r="J93" s="73" t="str">
        <f t="shared" si="36"/>
        <v>0.0158766880944345-0.12499847546905i</v>
      </c>
      <c r="K93" s="73" t="str">
        <f t="shared" si="37"/>
        <v>0.211743069059376-1.83646717642201i</v>
      </c>
      <c r="L93" s="73" t="str">
        <f t="shared" si="38"/>
        <v>-0.00892449151977285+0.0118556178682655i</v>
      </c>
      <c r="M93" s="70">
        <f t="shared" si="39"/>
        <v>-36.571782991998425</v>
      </c>
      <c r="N93" s="70">
        <f t="shared" si="40"/>
        <v>306.97114554415856</v>
      </c>
      <c r="O93" s="70">
        <f t="shared" si="28"/>
        <v>-53.02885445584144</v>
      </c>
    </row>
    <row r="94" spans="1:18" ht="15" x14ac:dyDescent="0.2">
      <c r="A94" s="71">
        <f t="shared" si="41"/>
        <v>93</v>
      </c>
      <c r="B94" s="70">
        <f t="shared" si="42"/>
        <v>93000</v>
      </c>
      <c r="C94" s="70">
        <f t="shared" si="29"/>
        <v>406.42632978456544</v>
      </c>
      <c r="D94" s="51" t="str">
        <f t="shared" si="30"/>
        <v>0.0000590278329453385-7.42726760941712E-06i</v>
      </c>
      <c r="E94" s="51" t="str">
        <f t="shared" si="31"/>
        <v>-0.258653901662655-0.195599388962652i</v>
      </c>
      <c r="F94" s="70" t="str">
        <f t="shared" si="32"/>
        <v>-0.0000167205483040673-9.62471631002931E-06i</v>
      </c>
      <c r="G94" s="70" t="str">
        <f t="shared" si="33"/>
        <v>-0.00679567107920761-0.00391173812510286i</v>
      </c>
      <c r="H94" s="72">
        <f t="shared" si="34"/>
        <v>7.8410994494497992E-3</v>
      </c>
      <c r="I94" s="51" t="str">
        <f t="shared" si="35"/>
        <v>14.6704006893581-0.167575053278994i</v>
      </c>
      <c r="J94" s="73" t="str">
        <f t="shared" si="36"/>
        <v>0.0155423677739036-0.123696412954799i</v>
      </c>
      <c r="K94" s="73" t="str">
        <f t="shared" si="37"/>
        <v>0.207284329913212-1.817280454991i</v>
      </c>
      <c r="L94" s="73" t="str">
        <f t="shared" si="38"/>
        <v>-0.00851736136575671+0.0115387982147337i</v>
      </c>
      <c r="M94" s="70">
        <f t="shared" si="39"/>
        <v>-36.867882810673549</v>
      </c>
      <c r="N94" s="70">
        <f t="shared" si="40"/>
        <v>306.43288102349288</v>
      </c>
      <c r="O94" s="70">
        <f t="shared" si="28"/>
        <v>-53.567118976507118</v>
      </c>
    </row>
    <row r="95" spans="1:18" ht="15" x14ac:dyDescent="0.2">
      <c r="A95" s="71">
        <f t="shared" si="41"/>
        <v>94</v>
      </c>
      <c r="B95" s="70">
        <f t="shared" si="42"/>
        <v>94000</v>
      </c>
      <c r="C95" s="70">
        <f t="shared" si="29"/>
        <v>406.42632978456544</v>
      </c>
      <c r="D95" s="51" t="str">
        <f t="shared" si="30"/>
        <v>0.0000590278317778038-7.34825412421909E-06i</v>
      </c>
      <c r="E95" s="51" t="str">
        <f t="shared" si="31"/>
        <v>-0.254519586567639-0.188800829682434i</v>
      </c>
      <c r="F95" s="70" t="str">
        <f t="shared" si="32"/>
        <v>-0.0000164110958154407-9.27422901231431E-06i</v>
      </c>
      <c r="G95" s="70" t="str">
        <f t="shared" si="33"/>
        <v>-0.0066699014400124-0.00376929085905644i</v>
      </c>
      <c r="H95" s="72">
        <f t="shared" si="34"/>
        <v>7.6612752724103273E-3</v>
      </c>
      <c r="I95" s="51" t="str">
        <f t="shared" si="35"/>
        <v>14.670400689358-0.165792339946239i</v>
      </c>
      <c r="J95" s="73" t="str">
        <f t="shared" si="36"/>
        <v>0.0152184438782662-0.122420761491629i</v>
      </c>
      <c r="K95" s="73" t="str">
        <f t="shared" si="37"/>
        <v>0.202964245056975-1.79848472519944i</v>
      </c>
      <c r="L95" s="73" t="str">
        <f t="shared" si="38"/>
        <v>-0.00813276354522343+0.0112306845848395i</v>
      </c>
      <c r="M95" s="70">
        <f t="shared" si="39"/>
        <v>-37.160882046161333</v>
      </c>
      <c r="N95" s="70">
        <f t="shared" si="40"/>
        <v>305.91038856263867</v>
      </c>
      <c r="O95" s="70">
        <f t="shared" si="28"/>
        <v>-54.089611437361327</v>
      </c>
    </row>
    <row r="96" spans="1:18" ht="15" x14ac:dyDescent="0.2">
      <c r="A96" s="71">
        <f t="shared" si="41"/>
        <v>95</v>
      </c>
      <c r="B96" s="70">
        <f t="shared" si="42"/>
        <v>95000</v>
      </c>
      <c r="C96" s="70">
        <f t="shared" si="29"/>
        <v>406.42632978456544</v>
      </c>
      <c r="D96" s="51" t="str">
        <f t="shared" si="30"/>
        <v>0.0000590278306469446-7.27090408081449E-06i</v>
      </c>
      <c r="E96" s="51" t="str">
        <f t="shared" si="31"/>
        <v>-0.250429376037459-0.18230490975907i</v>
      </c>
      <c r="F96" s="70" t="str">
        <f t="shared" si="32"/>
        <v>-0.0000161078243100789-8.94021536717832E-06i</v>
      </c>
      <c r="G96" s="70" t="str">
        <f t="shared" si="33"/>
        <v>-0.00654664391515997-0.00363353891916586i</v>
      </c>
      <c r="H96" s="72">
        <f t="shared" si="34"/>
        <v>7.4873995237995736E-3</v>
      </c>
      <c r="I96" s="51" t="str">
        <f t="shared" si="35"/>
        <v>14.670400689358-0.164047157420489i</v>
      </c>
      <c r="J96" s="73" t="str">
        <f t="shared" si="36"/>
        <v>0.0149044919322158-0.121170739258528i</v>
      </c>
      <c r="K96" s="73" t="str">
        <f t="shared" si="37"/>
        <v>0.198777153379009-1.7800683362826i</v>
      </c>
      <c r="L96" s="73" t="str">
        <f t="shared" si="38"/>
        <v>-0.00776927082029916+0.0109312090192498i</v>
      </c>
      <c r="M96" s="70">
        <f t="shared" si="39"/>
        <v>-37.450825558199654</v>
      </c>
      <c r="N96" s="70">
        <f t="shared" si="40"/>
        <v>305.40301208213731</v>
      </c>
      <c r="O96" s="70">
        <f t="shared" si="28"/>
        <v>-54.596987917862691</v>
      </c>
    </row>
    <row r="97" spans="1:18" ht="15" x14ac:dyDescent="0.2">
      <c r="A97" s="71">
        <f t="shared" si="41"/>
        <v>96</v>
      </c>
      <c r="B97" s="70">
        <f t="shared" si="42"/>
        <v>96000</v>
      </c>
      <c r="C97" s="70">
        <f t="shared" si="29"/>
        <v>406.42632978456544</v>
      </c>
      <c r="D97" s="51" t="str">
        <f t="shared" si="30"/>
        <v>0.0000590278295512404-7.19516549664724E-06i</v>
      </c>
      <c r="E97" s="51" t="str">
        <f t="shared" si="31"/>
        <v>-0.246387625758944-0.176095980292277i</v>
      </c>
      <c r="F97" s="70" t="str">
        <f t="shared" si="32"/>
        <v>-0.000015810766498331-8.62176376568953E-06i</v>
      </c>
      <c r="G97" s="70" t="str">
        <f t="shared" si="33"/>
        <v>-0.00642591179899743-0.00350411180355875i</v>
      </c>
      <c r="H97" s="72">
        <f t="shared" si="34"/>
        <v>7.3192309691889178E-3</v>
      </c>
      <c r="I97" s="51" t="str">
        <f t="shared" si="35"/>
        <v>14.670400689358-0.162338332864026i</v>
      </c>
      <c r="J97" s="73" t="str">
        <f t="shared" si="36"/>
        <v>0.0146001087960249-0.119945594413339i</v>
      </c>
      <c r="K97" s="73" t="str">
        <f t="shared" si="37"/>
        <v>0.194717678314459-1.76202008828848i</v>
      </c>
      <c r="L97" s="73" t="str">
        <f t="shared" si="38"/>
        <v>-0.00742555401603356+0.0106402731604602i</v>
      </c>
      <c r="M97" s="70">
        <f t="shared" si="39"/>
        <v>-37.737758759790111</v>
      </c>
      <c r="N97" s="70">
        <f t="shared" si="40"/>
        <v>304.91012843559054</v>
      </c>
      <c r="O97" s="70">
        <f t="shared" si="28"/>
        <v>-55.089871564409464</v>
      </c>
    </row>
    <row r="98" spans="1:18" ht="15" x14ac:dyDescent="0.2">
      <c r="A98" s="71">
        <f t="shared" si="41"/>
        <v>97</v>
      </c>
      <c r="B98" s="70">
        <f t="shared" si="42"/>
        <v>97000</v>
      </c>
      <c r="C98" s="70">
        <f t="shared" si="29"/>
        <v>406.42632978456544</v>
      </c>
      <c r="D98" s="51" t="str">
        <f t="shared" si="30"/>
        <v>0.0000590278284892489-7.12098853277185E-06i</v>
      </c>
      <c r="E98" s="51" t="str">
        <f t="shared" si="31"/>
        <v>-0.242397983147737-0.170159244212842i</v>
      </c>
      <c r="F98" s="70" t="str">
        <f>IMPRODUCT(D98,E98)</f>
        <v>-0.0000155199286021692-0.0000083180174248938i</v>
      </c>
      <c r="G98" s="70" t="str">
        <f>IMPRODUCT(C98,F98)</f>
        <v>-0.00630770762029813-0.00338066129308365i</v>
      </c>
      <c r="H98" s="72">
        <f>IMABS(G98)</f>
        <v>7.1565387025936712E-3</v>
      </c>
      <c r="I98" s="51" t="str">
        <f t="shared" si="35"/>
        <v>14.670400689358-0.160664741803572i</v>
      </c>
      <c r="J98" s="73" t="str">
        <f t="shared" si="36"/>
        <v>0.0143049113980096-0.118744603700146i</v>
      </c>
      <c r="K98" s="73" t="str">
        <f>IMPRODUCT(I98,J98)</f>
        <v>0.190780710940514-1.74432921087645i</v>
      </c>
      <c r="L98" s="73" t="str">
        <f>IMPRODUCT(G98,K98)</f>
        <v>-0.00710037518981054+0.0103577536908104i</v>
      </c>
      <c r="M98" s="70">
        <f>20*LOG(IMABS(L98))</f>
        <v>-38.021727422929033</v>
      </c>
      <c r="N98" s="70">
        <f t="shared" si="40"/>
        <v>304.43114564924673</v>
      </c>
      <c r="O98" s="70">
        <f t="shared" si="28"/>
        <v>-55.56885435075327</v>
      </c>
    </row>
    <row r="99" spans="1:18" ht="15" x14ac:dyDescent="0.2">
      <c r="A99" s="71">
        <f t="shared" si="41"/>
        <v>98</v>
      </c>
      <c r="B99" s="70">
        <f t="shared" si="42"/>
        <v>98000</v>
      </c>
      <c r="C99" s="70">
        <f t="shared" si="29"/>
        <v>406.42632978456544</v>
      </c>
      <c r="D99" s="51" t="str">
        <f t="shared" si="30"/>
        <v>0.0000590278274596012-7.04832538448552E-06i</v>
      </c>
      <c r="E99" s="51" t="str">
        <f t="shared" si="31"/>
        <v>-0.238463470296582-0.164480715716955i</v>
      </c>
      <c r="F99" s="70" t="str">
        <f>IMPRODUCT(D99,E99)</f>
        <v>-0.0000152352941839305-8.02817117680823E-06i</v>
      </c>
      <c r="G99" s="70" t="str">
        <f>IMPRODUCT(C99,F99)</f>
        <v>-0.00619202469836301-0.0032628601462724i</v>
      </c>
      <c r="H99" s="72">
        <f>IMABS(G99)</f>
        <v>6.9991018137522667E-3</v>
      </c>
      <c r="I99" s="51" t="str">
        <f t="shared" si="35"/>
        <v>14.670400689358-0.159025305662719i</v>
      </c>
      <c r="J99" s="73" t="str">
        <f t="shared" si="36"/>
        <v>0.0140185355535331-0.11756707113162i</v>
      </c>
      <c r="K99" s="73" t="str">
        <f>IMPRODUCT(I99,J99)</f>
        <v>0.186961394225765-1.72698534327646i</v>
      </c>
      <c r="L99" s="73" t="str">
        <f>IMPRODUCT(G99,K99)</f>
        <v>-0.00679258122045964+0.010083507017168i</v>
      </c>
      <c r="M99" s="70">
        <f>20*LOG(IMABS(L99))</f>
        <v>-38.302777509238609</v>
      </c>
      <c r="N99" s="70">
        <f t="shared" si="40"/>
        <v>303.96550124296084</v>
      </c>
      <c r="O99" s="70">
        <f t="shared" si="28"/>
        <v>-56.034498757039159</v>
      </c>
    </row>
    <row r="100" spans="1:18" ht="15" x14ac:dyDescent="0.2">
      <c r="A100" s="71">
        <f t="shared" si="41"/>
        <v>99</v>
      </c>
      <c r="B100" s="70">
        <f>(fs*1000/2)*(A100/100)</f>
        <v>99000</v>
      </c>
      <c r="C100" s="70">
        <f t="shared" si="29"/>
        <v>406.42632978456544</v>
      </c>
      <c r="D100" s="51" t="str">
        <f t="shared" si="30"/>
        <v>0.0000590278264609972-0.0000069771301785886i</v>
      </c>
      <c r="E100" s="51" t="str">
        <f t="shared" si="31"/>
        <v>-0.234586557851577-0.159047180025381i</v>
      </c>
      <c r="F100" s="70" t="str">
        <f>IMPRODUCT(D100,E100)</f>
        <v>-0.0000149568275065201-7.75146838937171E-06i</v>
      </c>
      <c r="G100" s="70" t="str">
        <f>IMPRODUCT(C100,F100)</f>
        <v>-0.0060788485086958-0.00315040084793342i</v>
      </c>
      <c r="H100" s="72">
        <f>IMABS(G100)</f>
        <v>6.8467090411622397E-3</v>
      </c>
      <c r="I100" s="51" t="str">
        <f t="shared" si="35"/>
        <v>14.670400689358-0.157418989443904i</v>
      </c>
      <c r="J100" s="73" t="str">
        <f t="shared" si="36"/>
        <v>0.0137406348638986-0.116412326741783i</v>
      </c>
      <c r="K100" s="73" t="str">
        <f>IMPRODUCT(I100,J100)</f>
        <v>0.18325510834505-1.70997851533701i</v>
      </c>
      <c r="L100" s="73" t="str">
        <f>IMPRODUCT(G100,K100)</f>
        <v>-0.00650109780673984+0.00981737329913987i</v>
      </c>
      <c r="M100" s="70">
        <f>20*LOG(IMABS(L100))</f>
        <v>-38.580955022703066</v>
      </c>
      <c r="N100" s="70">
        <f t="shared" si="40"/>
        <v>303.51266063232907</v>
      </c>
      <c r="O100" s="70">
        <f t="shared" si="28"/>
        <v>-56.487339367670927</v>
      </c>
    </row>
    <row r="101" spans="1:18" ht="15" x14ac:dyDescent="0.2">
      <c r="A101" s="71">
        <f>1+A100</f>
        <v>100</v>
      </c>
      <c r="B101" s="70">
        <f>(fs*1000/2)*(A101/100)</f>
        <v>100000</v>
      </c>
      <c r="C101" s="70">
        <f t="shared" si="29"/>
        <v>406.42632978456544</v>
      </c>
      <c r="D101" s="51" t="str">
        <f t="shared" si="30"/>
        <v>0.0000590278254922008-6.90735887680937E-06i</v>
      </c>
      <c r="E101" s="51" t="str">
        <f t="shared" si="31"/>
        <v>-0.230769230769231-0.153846153846154i</v>
      </c>
      <c r="F101" s="70" t="str">
        <f>IMPRODUCT(D101,E101)</f>
        <v>-0.0000146844764792478-7.48719802722874E-06i</v>
      </c>
      <c r="G101" s="70" t="str">
        <f>IMPRODUCT(C101,F101)</f>
        <v>-0.00596815788026846-0.00304299441457682i</v>
      </c>
      <c r="H101" s="72">
        <f>IMABS(G101)</f>
        <v>6.6991584166189279E-3</v>
      </c>
      <c r="I101" s="51" t="str">
        <f t="shared" si="35"/>
        <v>14.670400689358-0.155844799549465i</v>
      </c>
      <c r="J101" s="73" t="str">
        <f t="shared" si="36"/>
        <v>0.0134708796890451-0.115279725404983i</v>
      </c>
      <c r="K101" s="73" t="str">
        <f>IMPRODUCT(I101,J101)</f>
        <v>0.179657456978569-1.69329912959516i</v>
      </c>
      <c r="L101" s="73" t="str">
        <f>IMPRODUCT(G101,K101)</f>
        <v>-0.0062249238611815+0.00955917990582222i</v>
      </c>
      <c r="M101" s="70">
        <f>20*LOG(IMABS(L101))</f>
        <v>-38.856305882010716</v>
      </c>
      <c r="N101" s="70">
        <f t="shared" si="40"/>
        <v>303.07211561092981</v>
      </c>
      <c r="O101" s="70">
        <f t="shared" si="28"/>
        <v>-56.927884389070186</v>
      </c>
      <c r="P101" s="70">
        <v>-32.747</v>
      </c>
      <c r="Q101" s="70">
        <v>307.64999999999998</v>
      </c>
      <c r="R101" s="70">
        <f>B101</f>
        <v>100000</v>
      </c>
    </row>
  </sheetData>
  <phoneticPr fontId="21" type="noConversion"/>
  <pageMargins left="0.75" right="0.75" top="1" bottom="1" header="0.5" footer="0.5"/>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45"/>
  <sheetViews>
    <sheetView workbookViewId="0">
      <selection activeCell="C34" sqref="C34"/>
    </sheetView>
  </sheetViews>
  <sheetFormatPr defaultRowHeight="12.75" x14ac:dyDescent="0.2"/>
  <cols>
    <col min="1" max="1" width="9.140625" style="2"/>
    <col min="2" max="2" width="19.28515625" style="2" bestFit="1" customWidth="1"/>
    <col min="3" max="3" width="12.42578125" style="2" bestFit="1" customWidth="1"/>
    <col min="4" max="4" width="7.7109375" style="2" customWidth="1"/>
    <col min="5" max="8" width="8.7109375" style="3" customWidth="1"/>
    <col min="9" max="9" width="8.7109375" style="5" customWidth="1"/>
    <col min="10" max="11" width="9.140625" style="35"/>
    <col min="12" max="12" width="4.7109375" style="35" bestFit="1" customWidth="1"/>
    <col min="13" max="13" width="10.28515625" style="3" customWidth="1"/>
    <col min="14" max="14" width="9.140625" style="3"/>
    <col min="15" max="16384" width="9.140625" style="47"/>
  </cols>
  <sheetData>
    <row r="1" spans="1:14" ht="18.75" thickBot="1" x14ac:dyDescent="0.3">
      <c r="A1" s="45"/>
      <c r="B1" s="3"/>
      <c r="C1" s="3"/>
      <c r="D1" s="3"/>
      <c r="E1" s="4" t="s">
        <v>138</v>
      </c>
      <c r="J1" s="4" t="s">
        <v>139</v>
      </c>
      <c r="K1" s="6"/>
      <c r="L1" s="6"/>
      <c r="N1" s="6"/>
    </row>
    <row r="2" spans="1:14" ht="13.5" thickBot="1" x14ac:dyDescent="0.25">
      <c r="A2" s="3"/>
      <c r="B2" s="7" t="s">
        <v>140</v>
      </c>
      <c r="C2" s="8">
        <v>127</v>
      </c>
      <c r="D2" s="3"/>
      <c r="E2" s="111" t="s">
        <v>141</v>
      </c>
      <c r="F2" s="112"/>
      <c r="G2" s="113" t="s">
        <v>142</v>
      </c>
      <c r="H2" s="114"/>
      <c r="J2" s="9" t="s">
        <v>143</v>
      </c>
      <c r="K2" s="10">
        <v>1000</v>
      </c>
      <c r="L2" s="11" t="s">
        <v>62</v>
      </c>
      <c r="N2" s="20"/>
    </row>
    <row r="3" spans="1:14" ht="13.5" thickBot="1" x14ac:dyDescent="0.25">
      <c r="B3" s="3"/>
      <c r="C3" s="2" t="s">
        <v>19</v>
      </c>
      <c r="E3" s="12">
        <v>100</v>
      </c>
      <c r="F3" s="13">
        <v>150</v>
      </c>
      <c r="G3" s="14">
        <v>100</v>
      </c>
      <c r="H3" s="15">
        <v>102</v>
      </c>
      <c r="J3" s="9"/>
      <c r="K3" s="16">
        <f>IF(K2&lt;10000,sta*10^INT(LOG(K2)),stb*10^INT(LOG(K2)))</f>
        <v>1000</v>
      </c>
      <c r="L3" s="17" t="s">
        <v>62</v>
      </c>
      <c r="N3" s="24"/>
    </row>
    <row r="4" spans="1:14" ht="13.5" thickBot="1" x14ac:dyDescent="0.25">
      <c r="B4" s="18" t="s">
        <v>144</v>
      </c>
      <c r="C4" s="67">
        <f>(IF((10^(LOG(C2)-INT(LOG(C2)))*100)-VLOOKUP((10^(LOG(C2)-INT(LOG(C2)))*100),E6_s:E6_f,1)&lt;VLOOKUP((10^(LOG(C2)-INT(LOG(C2)))*100),E6_s:E6_f,2)-(10^(LOG(C2)-INT(LOG(C2)))*100),VLOOKUP((10^(LOG(C2)-INT(LOG(C2)))*100),E6_s:E6_f,1),VLOOKUP((10^(LOG(C2)-INT(LOG(C2)))*100),E6_s:E6_f,2)))*10^INT(LOG(C2))/100</f>
        <v>150</v>
      </c>
      <c r="E4" s="13">
        <v>150</v>
      </c>
      <c r="F4" s="12">
        <v>220</v>
      </c>
      <c r="G4" s="15">
        <v>102</v>
      </c>
      <c r="H4" s="14">
        <v>105</v>
      </c>
      <c r="J4" s="19"/>
      <c r="K4" s="20"/>
      <c r="L4" s="21"/>
      <c r="N4" s="24"/>
    </row>
    <row r="5" spans="1:14" ht="13.5" thickBot="1" x14ac:dyDescent="0.25">
      <c r="B5" s="22" t="s">
        <v>145</v>
      </c>
      <c r="C5" s="66">
        <f>(IF((10^(LOG(C2)-INT(LOG(C2)))*100)-VLOOKUP((10^(LOG(C2)-INT(LOG(C2)))*100),E12_s:E12_f,1)&lt;VLOOKUP((10^(LOG(C2)-INT(LOG(C2)))*100),E12_s:E12_f,2)-(10^(LOG(C2)-INT(LOG(C2)))*100),VLOOKUP((10^(LOG(C2)-INT(LOG(C2)))*100),E12_s:E12_f,1),VLOOKUP((10^(LOG(C2)-INT(LOG(C2)))*100),E12_s:E12_f,2)))*10^INT(LOG(C2))/100</f>
        <v>120</v>
      </c>
      <c r="E5" s="12">
        <v>220</v>
      </c>
      <c r="F5" s="13">
        <v>330</v>
      </c>
      <c r="G5" s="14">
        <v>105</v>
      </c>
      <c r="H5" s="15">
        <v>107</v>
      </c>
      <c r="J5" s="23" t="s">
        <v>146</v>
      </c>
      <c r="K5" s="24"/>
      <c r="L5" s="3"/>
      <c r="N5" s="24"/>
    </row>
    <row r="6" spans="1:14" ht="13.5" thickBot="1" x14ac:dyDescent="0.25">
      <c r="B6" s="22" t="s">
        <v>147</v>
      </c>
      <c r="C6" s="66">
        <f>(IF((10^(LOG(C2)-INT(LOG(C2)))*100)-VLOOKUP((10^(LOG(C2)-INT(LOG(C2)))*100),E24_s:E24_f,1)&lt;VLOOKUP((10^(LOG(C2)-INT(LOG(C2)))*100),E24_s:E24_f,2)-(10^(LOG(C2)-INT(LOG(C2)))*100),VLOOKUP((10^(LOG(C2)-INT(LOG(C2)))*100),E24_s:E24_f,1),VLOOKUP((10^(LOG(C2)-INT(LOG(C2)))*100),E24_s:E24_f,2)))*10^INT(LOG(C2))/100</f>
        <v>130</v>
      </c>
      <c r="E6" s="13">
        <v>330</v>
      </c>
      <c r="F6" s="12">
        <v>470</v>
      </c>
      <c r="G6" s="15">
        <v>107</v>
      </c>
      <c r="H6" s="14">
        <v>110</v>
      </c>
      <c r="J6" s="24">
        <v>1</v>
      </c>
      <c r="K6" s="24">
        <v>1.2</v>
      </c>
      <c r="L6" s="25">
        <f>IF((10^(LOG(K2)-INT(LOG(K2))))-VLOOKUP((10^(LOG(K2)-INT(LOG(K2)))),c_s1:C_f1,1)&lt;VLOOKUP((10^(LOG(K2)-INT(LOG(K2)))),c_s1:C_f1,2)-(10^(LOG(K2)-INT(LOG(K2)))),VLOOKUP((10^(LOG(K2)-INT(LOG(K2)))),c_s1:C_f1,1),VLOOKUP((10^(LOG(K2)-INT(LOG(K2)))),c_s1:C_f1,2))</f>
        <v>1</v>
      </c>
      <c r="N6" s="24"/>
    </row>
    <row r="7" spans="1:14" ht="13.5" thickBot="1" x14ac:dyDescent="0.25">
      <c r="B7" s="22" t="s">
        <v>148</v>
      </c>
      <c r="C7" s="66">
        <f>(IF((10^(LOG(C2)-INT(LOG(C2)))*100)-VLOOKUP((10^(LOG(C2)-INT(LOG(C2)))*100),E48_s:E48_f,1)&lt;VLOOKUP((10^(LOG(C2)-INT(LOG(C2)))*100),E48_s:E48_f,2)-(10^(LOG(C2)-INT(LOG(C2)))*100),VLOOKUP((10^(LOG(C2)-INT(LOG(C2)))*100),E48_s:E48_f,1),VLOOKUP((10^(LOG(C2)-INT(LOG(C2)))*100),E48_s:E48_f,2)))*10^INT(LOG(C2))/100</f>
        <v>127</v>
      </c>
      <c r="E7" s="12">
        <v>470</v>
      </c>
      <c r="F7" s="13">
        <v>680</v>
      </c>
      <c r="G7" s="14">
        <v>110</v>
      </c>
      <c r="H7" s="15">
        <v>113</v>
      </c>
      <c r="J7" s="24">
        <v>1.2</v>
      </c>
      <c r="K7" s="24">
        <v>1.5</v>
      </c>
      <c r="L7" s="26"/>
      <c r="N7" s="24"/>
    </row>
    <row r="8" spans="1:14" ht="13.5" thickBot="1" x14ac:dyDescent="0.25">
      <c r="B8" s="27" t="s">
        <v>149</v>
      </c>
      <c r="C8" s="68">
        <f>(IF((10^(LOG(C2)-INT(LOG(C2)))*100)-VLOOKUP((10^(LOG(C2)-INT(LOG(C2)))*100),E96_s:E96_f,1)&lt;VLOOKUP((10^(LOG(C2)-INT(LOG(C2)))*100),E96_s:E96_f,2)-(10^(LOG(C2)-INT(LOG(C2)))*100),VLOOKUP((10^(LOG(C2)-INT(LOG(C2)))*100),E96_s:E96_f,1),VLOOKUP((10^(LOG(C2)-INT(LOG(C2)))*100),E96_s:E96_f,2)))*10^INT(LOG(C2))/100</f>
        <v>127</v>
      </c>
      <c r="D8" s="3"/>
      <c r="E8" s="13">
        <v>680</v>
      </c>
      <c r="F8" s="13">
        <v>1000</v>
      </c>
      <c r="G8" s="15">
        <v>113</v>
      </c>
      <c r="H8" s="14">
        <v>115</v>
      </c>
      <c r="J8" s="24">
        <v>1.5</v>
      </c>
      <c r="K8" s="24">
        <v>1.8</v>
      </c>
      <c r="L8" s="26"/>
      <c r="N8" s="24"/>
    </row>
    <row r="9" spans="1:14" ht="13.5" thickBot="1" x14ac:dyDescent="0.25">
      <c r="E9" s="115" t="s">
        <v>150</v>
      </c>
      <c r="F9" s="116"/>
      <c r="G9" s="14">
        <v>115</v>
      </c>
      <c r="H9" s="15">
        <v>118</v>
      </c>
      <c r="J9" s="24">
        <v>1.8</v>
      </c>
      <c r="K9" s="24">
        <v>2.2000000000000002</v>
      </c>
      <c r="L9" s="29"/>
      <c r="N9" s="24"/>
    </row>
    <row r="10" spans="1:14" ht="13.5" thickBot="1" x14ac:dyDescent="0.25">
      <c r="E10" s="30">
        <v>100</v>
      </c>
      <c r="F10" s="31">
        <v>120</v>
      </c>
      <c r="G10" s="15">
        <v>118</v>
      </c>
      <c r="H10" s="14">
        <v>121</v>
      </c>
      <c r="J10" s="24">
        <v>2.2000000000000002</v>
      </c>
      <c r="K10" s="24">
        <v>2.7</v>
      </c>
      <c r="L10" s="3"/>
      <c r="N10" s="24"/>
    </row>
    <row r="11" spans="1:14" ht="13.5" thickBot="1" x14ac:dyDescent="0.25">
      <c r="E11" s="31">
        <v>120</v>
      </c>
      <c r="F11" s="31">
        <v>150</v>
      </c>
      <c r="G11" s="14">
        <v>121</v>
      </c>
      <c r="H11" s="15">
        <v>124</v>
      </c>
      <c r="J11" s="24">
        <v>2.7</v>
      </c>
      <c r="K11" s="24">
        <v>3.3</v>
      </c>
      <c r="L11" s="3"/>
      <c r="N11" s="24"/>
    </row>
    <row r="12" spans="1:14" ht="13.5" thickBot="1" x14ac:dyDescent="0.25">
      <c r="C12" s="34"/>
      <c r="E12" s="31">
        <v>150</v>
      </c>
      <c r="F12" s="31">
        <v>180</v>
      </c>
      <c r="G12" s="15">
        <v>124</v>
      </c>
      <c r="H12" s="14">
        <v>127</v>
      </c>
      <c r="J12" s="24">
        <v>3.3</v>
      </c>
      <c r="K12" s="24">
        <v>3.9</v>
      </c>
      <c r="L12" s="3"/>
      <c r="N12" s="24"/>
    </row>
    <row r="13" spans="1:14" ht="13.5" thickBot="1" x14ac:dyDescent="0.25">
      <c r="E13" s="31">
        <v>180</v>
      </c>
      <c r="F13" s="30">
        <v>220</v>
      </c>
      <c r="G13" s="14">
        <v>127</v>
      </c>
      <c r="H13" s="15">
        <v>130</v>
      </c>
      <c r="J13" s="24">
        <v>3.9</v>
      </c>
      <c r="K13" s="24">
        <v>4.7</v>
      </c>
      <c r="L13" s="3"/>
      <c r="N13" s="24"/>
    </row>
    <row r="14" spans="1:14" ht="13.5" thickBot="1" x14ac:dyDescent="0.25">
      <c r="D14" s="32"/>
      <c r="E14" s="30">
        <v>220</v>
      </c>
      <c r="F14" s="31">
        <v>270</v>
      </c>
      <c r="G14" s="15">
        <v>130</v>
      </c>
      <c r="H14" s="14">
        <v>133</v>
      </c>
      <c r="J14" s="24">
        <v>4.7</v>
      </c>
      <c r="K14" s="24">
        <v>5.6</v>
      </c>
      <c r="L14" s="3"/>
      <c r="N14" s="24"/>
    </row>
    <row r="15" spans="1:14" ht="13.5" thickBot="1" x14ac:dyDescent="0.25">
      <c r="A15" s="46"/>
      <c r="B15" s="33"/>
      <c r="D15" s="34"/>
      <c r="E15" s="31">
        <v>270</v>
      </c>
      <c r="F15" s="31">
        <v>330</v>
      </c>
      <c r="G15" s="14">
        <v>133</v>
      </c>
      <c r="H15" s="15">
        <v>137</v>
      </c>
      <c r="J15" s="24">
        <v>5.6</v>
      </c>
      <c r="K15" s="24">
        <v>6.8</v>
      </c>
      <c r="L15" s="3"/>
      <c r="N15" s="24"/>
    </row>
    <row r="16" spans="1:14" ht="13.5" thickBot="1" x14ac:dyDescent="0.25">
      <c r="A16" s="46"/>
      <c r="B16" s="33"/>
      <c r="D16" s="34"/>
      <c r="E16" s="31">
        <v>330</v>
      </c>
      <c r="F16" s="31">
        <v>390</v>
      </c>
      <c r="G16" s="15">
        <v>137</v>
      </c>
      <c r="H16" s="14">
        <v>140</v>
      </c>
      <c r="J16" s="24">
        <v>6.8</v>
      </c>
      <c r="K16" s="24">
        <v>8.1999999999999993</v>
      </c>
      <c r="L16" s="3"/>
      <c r="N16" s="24"/>
    </row>
    <row r="17" spans="1:14" ht="13.5" thickBot="1" x14ac:dyDescent="0.25">
      <c r="A17" s="46"/>
      <c r="B17" s="33"/>
      <c r="D17" s="34"/>
      <c r="E17" s="31">
        <v>390</v>
      </c>
      <c r="F17" s="30">
        <v>470</v>
      </c>
      <c r="G17" s="14">
        <v>140</v>
      </c>
      <c r="H17" s="15">
        <v>143</v>
      </c>
      <c r="J17" s="24">
        <v>8.1999999999999993</v>
      </c>
      <c r="K17" s="24">
        <v>10</v>
      </c>
      <c r="L17" s="3"/>
      <c r="N17" s="24"/>
    </row>
    <row r="18" spans="1:14" ht="13.5" thickBot="1" x14ac:dyDescent="0.25">
      <c r="A18" s="46"/>
      <c r="B18" s="33"/>
      <c r="D18" s="34"/>
      <c r="E18" s="30">
        <v>470</v>
      </c>
      <c r="F18" s="31">
        <v>560</v>
      </c>
      <c r="G18" s="15">
        <v>143</v>
      </c>
      <c r="H18" s="14">
        <v>147</v>
      </c>
      <c r="J18" s="23" t="s">
        <v>151</v>
      </c>
      <c r="K18" s="24"/>
      <c r="L18" s="24"/>
      <c r="N18" s="24"/>
    </row>
    <row r="19" spans="1:14" ht="13.5" thickBot="1" x14ac:dyDescent="0.25">
      <c r="A19" s="46"/>
      <c r="B19" s="33"/>
      <c r="D19" s="34"/>
      <c r="E19" s="31">
        <v>560</v>
      </c>
      <c r="F19" s="31">
        <v>680</v>
      </c>
      <c r="G19" s="14">
        <v>147</v>
      </c>
      <c r="H19" s="15">
        <v>150</v>
      </c>
      <c r="J19" s="24">
        <v>1</v>
      </c>
      <c r="K19" s="24">
        <v>1.5</v>
      </c>
      <c r="L19" s="25">
        <f>IF((10^(LOG(K2)-INT(LOG(K2))))-VLOOKUP((10^(LOG(K2)-INT(LOG(K2)))),C_s2:C_f2,1)&lt;VLOOKUP((10^(LOG(K2)-INT(LOG(K2)))),C_s2:C_f2,2)-(10^(LOG(K2)-INT(LOG(K2)))),VLOOKUP((10^(LOG(K2)-INT(LOG(K2)))),C_s2:C_f2,1),VLOOKUP((10^(LOG(K2)-INT(LOG(K2)))),C_s2:C_f2,2))</f>
        <v>1</v>
      </c>
      <c r="N19" s="24"/>
    </row>
    <row r="20" spans="1:14" ht="13.5" thickBot="1" x14ac:dyDescent="0.25">
      <c r="A20" s="46"/>
      <c r="B20" s="33"/>
      <c r="D20" s="34"/>
      <c r="E20" s="28">
        <v>680</v>
      </c>
      <c r="F20" s="31">
        <v>820</v>
      </c>
      <c r="G20" s="15">
        <v>150</v>
      </c>
      <c r="H20" s="14">
        <v>154</v>
      </c>
      <c r="J20" s="24">
        <v>1.5</v>
      </c>
      <c r="K20" s="24">
        <v>2.2000000000000002</v>
      </c>
      <c r="N20" s="24"/>
    </row>
    <row r="21" spans="1:14" ht="13.5" thickBot="1" x14ac:dyDescent="0.25">
      <c r="A21" s="46"/>
      <c r="B21" s="33"/>
      <c r="D21" s="34"/>
      <c r="E21" s="28">
        <v>820</v>
      </c>
      <c r="F21" s="31">
        <v>1000</v>
      </c>
      <c r="G21" s="14">
        <v>154</v>
      </c>
      <c r="H21" s="15">
        <v>158</v>
      </c>
      <c r="J21" s="24">
        <v>2.2000000000000002</v>
      </c>
      <c r="K21" s="24">
        <v>3.3</v>
      </c>
      <c r="L21" s="25"/>
      <c r="N21" s="24"/>
    </row>
    <row r="22" spans="1:14" ht="13.5" thickBot="1" x14ac:dyDescent="0.25">
      <c r="A22" s="46"/>
      <c r="B22" s="33"/>
      <c r="D22" s="34"/>
      <c r="E22" s="117" t="s">
        <v>152</v>
      </c>
      <c r="F22" s="118"/>
      <c r="G22" s="15">
        <v>158</v>
      </c>
      <c r="H22" s="14">
        <v>162</v>
      </c>
      <c r="J22" s="24">
        <v>3.3</v>
      </c>
      <c r="K22" s="24">
        <v>4.7</v>
      </c>
      <c r="L22" s="25"/>
      <c r="N22" s="24"/>
    </row>
    <row r="23" spans="1:14" ht="13.5" thickBot="1" x14ac:dyDescent="0.25">
      <c r="A23" s="46"/>
      <c r="B23" s="33"/>
      <c r="D23" s="34"/>
      <c r="E23" s="36">
        <v>100</v>
      </c>
      <c r="F23" s="37">
        <v>110</v>
      </c>
      <c r="G23" s="14">
        <v>162</v>
      </c>
      <c r="H23" s="15">
        <v>165</v>
      </c>
      <c r="J23" s="24">
        <v>4.7</v>
      </c>
      <c r="K23" s="24">
        <v>6.8</v>
      </c>
      <c r="L23" s="3"/>
    </row>
    <row r="24" spans="1:14" ht="13.5" thickBot="1" x14ac:dyDescent="0.25">
      <c r="A24" s="46"/>
      <c r="B24" s="33"/>
      <c r="D24" s="34"/>
      <c r="E24" s="37">
        <v>110</v>
      </c>
      <c r="F24" s="37">
        <v>120</v>
      </c>
      <c r="G24" s="15">
        <v>165</v>
      </c>
      <c r="H24" s="14">
        <v>169</v>
      </c>
      <c r="J24" s="24">
        <v>6.8</v>
      </c>
      <c r="K24" s="24">
        <v>10</v>
      </c>
      <c r="L24" s="3"/>
    </row>
    <row r="25" spans="1:14" ht="13.5" thickBot="1" x14ac:dyDescent="0.25">
      <c r="A25" s="46"/>
      <c r="B25" s="33"/>
      <c r="D25" s="34"/>
      <c r="E25" s="37">
        <v>120</v>
      </c>
      <c r="F25" s="37">
        <v>130</v>
      </c>
      <c r="G25" s="14">
        <v>169</v>
      </c>
      <c r="H25" s="15">
        <v>174</v>
      </c>
      <c r="J25" s="38"/>
      <c r="K25" s="38"/>
      <c r="L25" s="38"/>
    </row>
    <row r="26" spans="1:14" ht="13.5" thickBot="1" x14ac:dyDescent="0.25">
      <c r="A26" s="46"/>
      <c r="B26" s="33"/>
      <c r="D26" s="34"/>
      <c r="E26" s="37">
        <v>130</v>
      </c>
      <c r="F26" s="37">
        <v>150</v>
      </c>
      <c r="G26" s="15">
        <v>174</v>
      </c>
      <c r="H26" s="14">
        <v>178</v>
      </c>
      <c r="J26" s="38"/>
      <c r="K26" s="38"/>
      <c r="L26" s="38"/>
    </row>
    <row r="27" spans="1:14" ht="13.5" thickBot="1" x14ac:dyDescent="0.25">
      <c r="A27" s="46"/>
      <c r="B27" s="33"/>
      <c r="D27" s="34"/>
      <c r="E27" s="37">
        <v>150</v>
      </c>
      <c r="F27" s="37">
        <v>160</v>
      </c>
      <c r="G27" s="14">
        <v>178</v>
      </c>
      <c r="H27" s="15">
        <v>182</v>
      </c>
      <c r="I27" s="39"/>
      <c r="J27" s="38"/>
      <c r="K27" s="38"/>
      <c r="L27" s="38"/>
    </row>
    <row r="28" spans="1:14" ht="13.5" thickBot="1" x14ac:dyDescent="0.25">
      <c r="A28" s="46"/>
      <c r="B28" s="33"/>
      <c r="D28" s="34"/>
      <c r="E28" s="37">
        <v>160</v>
      </c>
      <c r="F28" s="37">
        <v>180</v>
      </c>
      <c r="G28" s="15">
        <v>182</v>
      </c>
      <c r="H28" s="14">
        <v>187</v>
      </c>
      <c r="I28" s="39"/>
      <c r="J28" s="38"/>
      <c r="K28" s="38"/>
      <c r="L28" s="38"/>
    </row>
    <row r="29" spans="1:14" ht="13.5" thickBot="1" x14ac:dyDescent="0.25">
      <c r="A29" s="46"/>
      <c r="B29" s="33"/>
      <c r="D29" s="34"/>
      <c r="E29" s="37">
        <v>180</v>
      </c>
      <c r="F29" s="40">
        <v>200</v>
      </c>
      <c r="G29" s="14">
        <v>187</v>
      </c>
      <c r="H29" s="15">
        <v>191</v>
      </c>
      <c r="I29" s="39"/>
      <c r="J29" s="38"/>
      <c r="K29" s="38"/>
      <c r="L29" s="38"/>
    </row>
    <row r="30" spans="1:14" ht="13.5" thickBot="1" x14ac:dyDescent="0.25">
      <c r="A30" s="46"/>
      <c r="B30" s="33"/>
      <c r="D30" s="34"/>
      <c r="E30" s="40">
        <v>200</v>
      </c>
      <c r="F30" s="36">
        <v>220</v>
      </c>
      <c r="G30" s="15">
        <v>191</v>
      </c>
      <c r="H30" s="14">
        <v>196</v>
      </c>
      <c r="I30" s="39"/>
      <c r="J30" s="38"/>
      <c r="K30" s="38"/>
      <c r="L30" s="38"/>
    </row>
    <row r="31" spans="1:14" ht="13.5" thickBot="1" x14ac:dyDescent="0.25">
      <c r="A31" s="46"/>
      <c r="B31" s="33"/>
      <c r="D31" s="34"/>
      <c r="E31" s="36">
        <v>220</v>
      </c>
      <c r="F31" s="37">
        <v>240</v>
      </c>
      <c r="G31" s="14">
        <v>196</v>
      </c>
      <c r="H31" s="15">
        <v>200</v>
      </c>
      <c r="I31" s="39"/>
      <c r="J31" s="38"/>
      <c r="K31" s="38"/>
      <c r="L31" s="38"/>
      <c r="N31" s="42"/>
    </row>
    <row r="32" spans="1:14" ht="13.5" thickBot="1" x14ac:dyDescent="0.25">
      <c r="A32" s="46"/>
      <c r="B32" s="33"/>
      <c r="D32" s="34"/>
      <c r="E32" s="37">
        <v>240</v>
      </c>
      <c r="F32" s="37">
        <v>270</v>
      </c>
      <c r="G32" s="15">
        <v>200</v>
      </c>
      <c r="H32" s="14">
        <v>205</v>
      </c>
      <c r="I32" s="39"/>
      <c r="J32" s="38"/>
      <c r="K32" s="38"/>
      <c r="L32" s="38"/>
      <c r="N32" s="42"/>
    </row>
    <row r="33" spans="1:14" s="42" customFormat="1" ht="13.5" thickBot="1" x14ac:dyDescent="0.25">
      <c r="A33" s="46"/>
      <c r="B33" s="33"/>
      <c r="C33" s="2"/>
      <c r="D33" s="34"/>
      <c r="E33" s="37">
        <v>270</v>
      </c>
      <c r="F33" s="37">
        <v>300</v>
      </c>
      <c r="G33" s="14">
        <v>205</v>
      </c>
      <c r="H33" s="15">
        <v>210</v>
      </c>
      <c r="I33" s="41"/>
      <c r="J33" s="38"/>
      <c r="K33" s="38"/>
      <c r="L33" s="38"/>
    </row>
    <row r="34" spans="1:14" s="42" customFormat="1" ht="13.5" thickBot="1" x14ac:dyDescent="0.25">
      <c r="E34" s="37">
        <v>300</v>
      </c>
      <c r="F34" s="37">
        <v>330</v>
      </c>
      <c r="G34" s="15">
        <v>210</v>
      </c>
      <c r="H34" s="14">
        <v>215</v>
      </c>
      <c r="I34" s="5"/>
      <c r="J34" s="38"/>
      <c r="K34" s="38"/>
      <c r="L34" s="38"/>
    </row>
    <row r="35" spans="1:14" s="42" customFormat="1" ht="13.5" thickBot="1" x14ac:dyDescent="0.25">
      <c r="E35" s="37">
        <v>330</v>
      </c>
      <c r="F35" s="37">
        <v>360</v>
      </c>
      <c r="G35" s="14">
        <v>215</v>
      </c>
      <c r="H35" s="15">
        <v>221</v>
      </c>
      <c r="I35" s="5"/>
      <c r="J35" s="38"/>
      <c r="K35" s="38"/>
      <c r="L35" s="38"/>
    </row>
    <row r="36" spans="1:14" s="42" customFormat="1" ht="13.5" thickBot="1" x14ac:dyDescent="0.25">
      <c r="E36" s="37">
        <v>360</v>
      </c>
      <c r="F36" s="37">
        <v>390</v>
      </c>
      <c r="G36" s="15">
        <v>221</v>
      </c>
      <c r="H36" s="14">
        <v>226</v>
      </c>
      <c r="I36" s="5"/>
      <c r="J36" s="38"/>
      <c r="K36" s="38"/>
      <c r="L36" s="38"/>
      <c r="N36" s="3"/>
    </row>
    <row r="37" spans="1:14" s="42" customFormat="1" ht="13.5" thickBot="1" x14ac:dyDescent="0.25">
      <c r="E37" s="37">
        <v>390</v>
      </c>
      <c r="F37" s="40">
        <v>430</v>
      </c>
      <c r="G37" s="14">
        <v>226</v>
      </c>
      <c r="H37" s="15">
        <v>232</v>
      </c>
      <c r="I37" s="39"/>
      <c r="J37" s="38"/>
      <c r="K37" s="38"/>
      <c r="L37" s="38"/>
      <c r="N37" s="3"/>
    </row>
    <row r="38" spans="1:14" ht="13.5" thickBot="1" x14ac:dyDescent="0.25">
      <c r="E38" s="40">
        <v>430</v>
      </c>
      <c r="F38" s="36">
        <v>470</v>
      </c>
      <c r="G38" s="15">
        <v>232</v>
      </c>
      <c r="H38" s="14">
        <v>237</v>
      </c>
      <c r="I38" s="39"/>
      <c r="J38" s="38"/>
      <c r="K38" s="38"/>
      <c r="L38" s="38"/>
    </row>
    <row r="39" spans="1:14" ht="13.5" thickBot="1" x14ac:dyDescent="0.25">
      <c r="E39" s="36">
        <v>470</v>
      </c>
      <c r="F39" s="37">
        <v>510</v>
      </c>
      <c r="G39" s="14">
        <v>237</v>
      </c>
      <c r="H39" s="15">
        <v>243</v>
      </c>
      <c r="I39" s="39"/>
      <c r="J39" s="38"/>
      <c r="K39" s="38"/>
      <c r="L39" s="38"/>
    </row>
    <row r="40" spans="1:14" ht="13.5" thickBot="1" x14ac:dyDescent="0.25">
      <c r="E40" s="37">
        <v>510</v>
      </c>
      <c r="F40" s="37">
        <v>560</v>
      </c>
      <c r="G40" s="15">
        <v>243</v>
      </c>
      <c r="H40" s="14">
        <v>249</v>
      </c>
      <c r="I40" s="39"/>
      <c r="J40" s="38"/>
      <c r="K40" s="38"/>
      <c r="L40" s="38"/>
    </row>
    <row r="41" spans="1:14" ht="13.5" thickBot="1" x14ac:dyDescent="0.25">
      <c r="E41" s="37">
        <v>560</v>
      </c>
      <c r="F41" s="37">
        <v>620</v>
      </c>
      <c r="G41" s="14">
        <v>249</v>
      </c>
      <c r="H41" s="15">
        <v>255</v>
      </c>
      <c r="I41" s="39"/>
      <c r="J41" s="38"/>
      <c r="K41" s="38"/>
      <c r="L41" s="38"/>
    </row>
    <row r="42" spans="1:14" ht="13.5" thickBot="1" x14ac:dyDescent="0.25">
      <c r="E42" s="37">
        <v>620</v>
      </c>
      <c r="F42" s="37">
        <v>680</v>
      </c>
      <c r="G42" s="15">
        <v>255</v>
      </c>
      <c r="H42" s="14">
        <v>261</v>
      </c>
      <c r="I42" s="39"/>
      <c r="J42" s="38"/>
      <c r="K42" s="38"/>
      <c r="L42" s="38"/>
    </row>
    <row r="43" spans="1:14" ht="13.5" thickBot="1" x14ac:dyDescent="0.25">
      <c r="E43" s="37">
        <v>680</v>
      </c>
      <c r="F43" s="37">
        <v>750</v>
      </c>
      <c r="G43" s="14">
        <v>261</v>
      </c>
      <c r="H43" s="15">
        <v>267</v>
      </c>
      <c r="I43" s="39"/>
      <c r="J43" s="38"/>
      <c r="K43" s="38"/>
      <c r="L43" s="38"/>
    </row>
    <row r="44" spans="1:14" ht="13.5" thickBot="1" x14ac:dyDescent="0.25">
      <c r="E44" s="37">
        <v>750</v>
      </c>
      <c r="F44" s="37">
        <v>820</v>
      </c>
      <c r="G44" s="15">
        <v>267</v>
      </c>
      <c r="H44" s="14">
        <v>274</v>
      </c>
      <c r="J44" s="38"/>
      <c r="K44" s="38"/>
      <c r="L44" s="38"/>
    </row>
    <row r="45" spans="1:14" ht="13.5" thickBot="1" x14ac:dyDescent="0.25">
      <c r="E45" s="37">
        <v>820</v>
      </c>
      <c r="F45" s="40">
        <v>910</v>
      </c>
      <c r="G45" s="14">
        <v>274</v>
      </c>
      <c r="H45" s="15">
        <v>280</v>
      </c>
      <c r="J45" s="38"/>
      <c r="K45" s="38"/>
      <c r="L45" s="38"/>
    </row>
    <row r="46" spans="1:14" ht="13.5" thickBot="1" x14ac:dyDescent="0.25">
      <c r="E46" s="40">
        <v>910</v>
      </c>
      <c r="F46" s="40">
        <v>1000</v>
      </c>
      <c r="G46" s="15">
        <v>280</v>
      </c>
      <c r="H46" s="14">
        <v>287</v>
      </c>
      <c r="J46" s="38"/>
      <c r="K46" s="38"/>
      <c r="L46" s="38"/>
    </row>
    <row r="47" spans="1:14" ht="13.5" thickBot="1" x14ac:dyDescent="0.25">
      <c r="E47" s="110" t="s">
        <v>153</v>
      </c>
      <c r="F47" s="110"/>
      <c r="G47" s="14">
        <v>287</v>
      </c>
      <c r="H47" s="15">
        <v>294</v>
      </c>
      <c r="J47" s="38"/>
      <c r="K47" s="38"/>
      <c r="L47" s="38"/>
    </row>
    <row r="48" spans="1:14" ht="13.5" thickBot="1" x14ac:dyDescent="0.25">
      <c r="E48" s="43">
        <v>100</v>
      </c>
      <c r="F48" s="43">
        <v>105</v>
      </c>
      <c r="G48" s="15">
        <v>294</v>
      </c>
      <c r="H48" s="14">
        <v>301</v>
      </c>
      <c r="J48" s="38"/>
      <c r="K48" s="38"/>
      <c r="L48" s="38"/>
    </row>
    <row r="49" spans="5:12" ht="13.5" thickBot="1" x14ac:dyDescent="0.25">
      <c r="E49" s="43">
        <v>105</v>
      </c>
      <c r="F49" s="43">
        <v>110</v>
      </c>
      <c r="G49" s="14">
        <v>301</v>
      </c>
      <c r="H49" s="15">
        <v>309</v>
      </c>
      <c r="J49" s="38"/>
      <c r="K49" s="38"/>
      <c r="L49" s="38"/>
    </row>
    <row r="50" spans="5:12" ht="13.5" thickBot="1" x14ac:dyDescent="0.25">
      <c r="E50" s="43">
        <v>110</v>
      </c>
      <c r="F50" s="43">
        <v>115</v>
      </c>
      <c r="G50" s="15">
        <v>309</v>
      </c>
      <c r="H50" s="14">
        <v>316</v>
      </c>
      <c r="J50" s="38"/>
      <c r="K50" s="38"/>
      <c r="L50" s="38"/>
    </row>
    <row r="51" spans="5:12" ht="13.5" thickBot="1" x14ac:dyDescent="0.25">
      <c r="E51" s="43">
        <v>115</v>
      </c>
      <c r="F51" s="43">
        <v>121</v>
      </c>
      <c r="G51" s="14">
        <v>316</v>
      </c>
      <c r="H51" s="15">
        <v>324</v>
      </c>
      <c r="J51" s="38"/>
      <c r="K51" s="38"/>
      <c r="L51" s="38"/>
    </row>
    <row r="52" spans="5:12" ht="13.5" thickBot="1" x14ac:dyDescent="0.25">
      <c r="E52" s="43">
        <v>121</v>
      </c>
      <c r="F52" s="43">
        <v>127</v>
      </c>
      <c r="G52" s="15">
        <v>324</v>
      </c>
      <c r="H52" s="14">
        <v>332</v>
      </c>
      <c r="J52" s="38"/>
      <c r="K52" s="38"/>
      <c r="L52" s="38"/>
    </row>
    <row r="53" spans="5:12" ht="13.5" thickBot="1" x14ac:dyDescent="0.25">
      <c r="E53" s="43">
        <v>127</v>
      </c>
      <c r="F53" s="43">
        <v>133</v>
      </c>
      <c r="G53" s="14">
        <v>332</v>
      </c>
      <c r="H53" s="15">
        <v>340</v>
      </c>
      <c r="J53" s="38"/>
      <c r="K53" s="38"/>
      <c r="L53" s="38"/>
    </row>
    <row r="54" spans="5:12" ht="13.5" thickBot="1" x14ac:dyDescent="0.25">
      <c r="E54" s="43">
        <v>133</v>
      </c>
      <c r="F54" s="43">
        <v>140</v>
      </c>
      <c r="G54" s="15">
        <v>340</v>
      </c>
      <c r="H54" s="14">
        <v>348</v>
      </c>
      <c r="J54" s="38"/>
      <c r="K54" s="38"/>
      <c r="L54" s="38"/>
    </row>
    <row r="55" spans="5:12" ht="13.5" thickBot="1" x14ac:dyDescent="0.25">
      <c r="E55" s="43">
        <v>140</v>
      </c>
      <c r="F55" s="43">
        <v>147</v>
      </c>
      <c r="G55" s="14">
        <v>348</v>
      </c>
      <c r="H55" s="15">
        <v>357</v>
      </c>
      <c r="J55" s="38"/>
      <c r="K55" s="38"/>
      <c r="L55" s="38"/>
    </row>
    <row r="56" spans="5:12" ht="13.5" thickBot="1" x14ac:dyDescent="0.25">
      <c r="E56" s="43">
        <v>147</v>
      </c>
      <c r="F56" s="43">
        <v>154</v>
      </c>
      <c r="G56" s="15">
        <v>357</v>
      </c>
      <c r="H56" s="14">
        <v>365</v>
      </c>
      <c r="J56" s="38"/>
      <c r="K56" s="38"/>
      <c r="L56" s="38"/>
    </row>
    <row r="57" spans="5:12" ht="13.5" thickBot="1" x14ac:dyDescent="0.25">
      <c r="E57" s="43">
        <v>154</v>
      </c>
      <c r="F57" s="43">
        <v>162</v>
      </c>
      <c r="G57" s="14">
        <v>365</v>
      </c>
      <c r="H57" s="15">
        <v>374</v>
      </c>
      <c r="J57" s="38"/>
      <c r="K57" s="38"/>
      <c r="L57" s="38"/>
    </row>
    <row r="58" spans="5:12" ht="13.5" thickBot="1" x14ac:dyDescent="0.25">
      <c r="E58" s="43">
        <v>162</v>
      </c>
      <c r="F58" s="43">
        <v>169</v>
      </c>
      <c r="G58" s="15">
        <v>374</v>
      </c>
      <c r="H58" s="14">
        <v>383</v>
      </c>
      <c r="J58" s="38"/>
      <c r="K58" s="38"/>
      <c r="L58" s="38"/>
    </row>
    <row r="59" spans="5:12" ht="13.5" thickBot="1" x14ac:dyDescent="0.25">
      <c r="E59" s="43">
        <v>169</v>
      </c>
      <c r="F59" s="43">
        <v>178</v>
      </c>
      <c r="G59" s="14">
        <v>383</v>
      </c>
      <c r="H59" s="15">
        <v>392</v>
      </c>
      <c r="J59" s="38"/>
      <c r="K59" s="38"/>
      <c r="L59" s="38"/>
    </row>
    <row r="60" spans="5:12" ht="13.5" thickBot="1" x14ac:dyDescent="0.25">
      <c r="E60" s="43">
        <v>178</v>
      </c>
      <c r="F60" s="43">
        <v>187</v>
      </c>
      <c r="G60" s="15">
        <v>392</v>
      </c>
      <c r="H60" s="14">
        <v>402</v>
      </c>
      <c r="J60" s="38"/>
      <c r="K60" s="38"/>
      <c r="L60" s="38"/>
    </row>
    <row r="61" spans="5:12" ht="13.5" thickBot="1" x14ac:dyDescent="0.25">
      <c r="E61" s="43">
        <v>187</v>
      </c>
      <c r="F61" s="43">
        <v>196</v>
      </c>
      <c r="G61" s="14">
        <v>402</v>
      </c>
      <c r="H61" s="15">
        <v>412</v>
      </c>
      <c r="J61" s="38"/>
      <c r="K61" s="38"/>
      <c r="L61" s="38"/>
    </row>
    <row r="62" spans="5:12" ht="13.5" thickBot="1" x14ac:dyDescent="0.25">
      <c r="E62" s="43">
        <v>196</v>
      </c>
      <c r="F62" s="43">
        <v>205</v>
      </c>
      <c r="G62" s="15">
        <v>412</v>
      </c>
      <c r="H62" s="14">
        <v>422</v>
      </c>
      <c r="J62" s="38"/>
      <c r="K62" s="38"/>
      <c r="L62" s="38"/>
    </row>
    <row r="63" spans="5:12" ht="13.5" thickBot="1" x14ac:dyDescent="0.25">
      <c r="E63" s="43">
        <v>205</v>
      </c>
      <c r="F63" s="43">
        <v>215</v>
      </c>
      <c r="G63" s="14">
        <v>422</v>
      </c>
      <c r="H63" s="15">
        <v>432</v>
      </c>
      <c r="J63" s="38"/>
      <c r="K63" s="38"/>
      <c r="L63" s="38"/>
    </row>
    <row r="64" spans="5:12" ht="13.5" thickBot="1" x14ac:dyDescent="0.25">
      <c r="E64" s="43">
        <v>215</v>
      </c>
      <c r="F64" s="43">
        <v>226</v>
      </c>
      <c r="G64" s="15">
        <v>432</v>
      </c>
      <c r="H64" s="14">
        <v>442</v>
      </c>
      <c r="J64" s="38"/>
      <c r="K64" s="38"/>
      <c r="L64" s="38"/>
    </row>
    <row r="65" spans="5:12" ht="13.5" thickBot="1" x14ac:dyDescent="0.25">
      <c r="E65" s="43">
        <v>226</v>
      </c>
      <c r="F65" s="43">
        <v>237</v>
      </c>
      <c r="G65" s="14">
        <v>442</v>
      </c>
      <c r="H65" s="15">
        <v>453</v>
      </c>
      <c r="J65" s="38"/>
      <c r="K65" s="38"/>
      <c r="L65" s="38"/>
    </row>
    <row r="66" spans="5:12" ht="13.5" thickBot="1" x14ac:dyDescent="0.25">
      <c r="E66" s="43">
        <v>237</v>
      </c>
      <c r="F66" s="43">
        <v>249</v>
      </c>
      <c r="G66" s="15">
        <v>453</v>
      </c>
      <c r="H66" s="14">
        <v>464</v>
      </c>
      <c r="J66" s="38"/>
      <c r="K66" s="38"/>
      <c r="L66" s="38"/>
    </row>
    <row r="67" spans="5:12" ht="13.5" thickBot="1" x14ac:dyDescent="0.25">
      <c r="E67" s="43">
        <v>249</v>
      </c>
      <c r="F67" s="43">
        <v>261</v>
      </c>
      <c r="G67" s="14">
        <v>464</v>
      </c>
      <c r="H67" s="15">
        <v>475</v>
      </c>
      <c r="J67" s="38"/>
      <c r="K67" s="38"/>
      <c r="L67" s="38"/>
    </row>
    <row r="68" spans="5:12" ht="13.5" thickBot="1" x14ac:dyDescent="0.25">
      <c r="E68" s="43">
        <v>261</v>
      </c>
      <c r="F68" s="43">
        <v>274</v>
      </c>
      <c r="G68" s="15">
        <v>475</v>
      </c>
      <c r="H68" s="14">
        <v>487</v>
      </c>
      <c r="J68" s="38"/>
      <c r="K68" s="38"/>
      <c r="L68" s="38"/>
    </row>
    <row r="69" spans="5:12" ht="13.5" thickBot="1" x14ac:dyDescent="0.25">
      <c r="E69" s="43">
        <v>274</v>
      </c>
      <c r="F69" s="43">
        <v>287</v>
      </c>
      <c r="G69" s="14">
        <v>487</v>
      </c>
      <c r="H69" s="15">
        <v>499</v>
      </c>
      <c r="J69" s="38"/>
      <c r="K69" s="38"/>
      <c r="L69" s="38"/>
    </row>
    <row r="70" spans="5:12" ht="13.5" thickBot="1" x14ac:dyDescent="0.25">
      <c r="E70" s="43">
        <v>287</v>
      </c>
      <c r="F70" s="43">
        <v>301</v>
      </c>
      <c r="G70" s="15">
        <v>499</v>
      </c>
      <c r="H70" s="14">
        <v>511</v>
      </c>
      <c r="J70" s="38"/>
      <c r="K70" s="38"/>
      <c r="L70" s="38"/>
    </row>
    <row r="71" spans="5:12" ht="13.5" thickBot="1" x14ac:dyDescent="0.25">
      <c r="E71" s="43">
        <v>301</v>
      </c>
      <c r="F71" s="43">
        <v>316</v>
      </c>
      <c r="G71" s="14">
        <v>511</v>
      </c>
      <c r="H71" s="15">
        <v>523</v>
      </c>
      <c r="J71" s="38"/>
      <c r="K71" s="38"/>
      <c r="L71" s="38"/>
    </row>
    <row r="72" spans="5:12" ht="13.5" thickBot="1" x14ac:dyDescent="0.25">
      <c r="E72" s="43">
        <v>316</v>
      </c>
      <c r="F72" s="43">
        <v>332</v>
      </c>
      <c r="G72" s="15">
        <v>523</v>
      </c>
      <c r="H72" s="14">
        <v>536</v>
      </c>
      <c r="J72" s="38"/>
      <c r="K72" s="38"/>
      <c r="L72" s="38"/>
    </row>
    <row r="73" spans="5:12" ht="13.5" thickBot="1" x14ac:dyDescent="0.25">
      <c r="E73" s="43">
        <v>332</v>
      </c>
      <c r="F73" s="43">
        <v>348</v>
      </c>
      <c r="G73" s="14">
        <v>536</v>
      </c>
      <c r="H73" s="15">
        <v>549</v>
      </c>
      <c r="J73" s="38"/>
      <c r="K73" s="38"/>
      <c r="L73" s="38"/>
    </row>
    <row r="74" spans="5:12" ht="13.5" thickBot="1" x14ac:dyDescent="0.25">
      <c r="E74" s="43">
        <v>348</v>
      </c>
      <c r="F74" s="43">
        <v>365</v>
      </c>
      <c r="G74" s="15">
        <v>549</v>
      </c>
      <c r="H74" s="14">
        <v>562</v>
      </c>
      <c r="J74" s="38"/>
      <c r="K74" s="38"/>
      <c r="L74" s="38"/>
    </row>
    <row r="75" spans="5:12" ht="13.5" thickBot="1" x14ac:dyDescent="0.25">
      <c r="E75" s="43">
        <v>365</v>
      </c>
      <c r="F75" s="43">
        <v>383</v>
      </c>
      <c r="G75" s="14">
        <v>562</v>
      </c>
      <c r="H75" s="15">
        <v>576</v>
      </c>
      <c r="J75" s="44"/>
      <c r="K75" s="44"/>
      <c r="L75" s="44"/>
    </row>
    <row r="76" spans="5:12" ht="13.5" thickBot="1" x14ac:dyDescent="0.25">
      <c r="E76" s="43">
        <v>383</v>
      </c>
      <c r="F76" s="43">
        <v>402</v>
      </c>
      <c r="G76" s="15">
        <v>576</v>
      </c>
      <c r="H76" s="14">
        <v>590</v>
      </c>
      <c r="J76" s="44"/>
      <c r="K76" s="44"/>
      <c r="L76" s="44"/>
    </row>
    <row r="77" spans="5:12" ht="13.5" thickBot="1" x14ac:dyDescent="0.25">
      <c r="E77" s="43">
        <v>402</v>
      </c>
      <c r="F77" s="43">
        <v>422</v>
      </c>
      <c r="G77" s="14">
        <v>590</v>
      </c>
      <c r="H77" s="15">
        <v>604</v>
      </c>
      <c r="J77" s="44"/>
      <c r="K77" s="44"/>
      <c r="L77" s="44"/>
    </row>
    <row r="78" spans="5:12" ht="13.5" thickBot="1" x14ac:dyDescent="0.25">
      <c r="E78" s="43">
        <v>422</v>
      </c>
      <c r="F78" s="43">
        <v>442</v>
      </c>
      <c r="G78" s="15">
        <v>604</v>
      </c>
      <c r="H78" s="14">
        <v>619</v>
      </c>
      <c r="J78" s="44"/>
      <c r="K78" s="44"/>
      <c r="L78" s="44"/>
    </row>
    <row r="79" spans="5:12" ht="13.5" thickBot="1" x14ac:dyDescent="0.25">
      <c r="E79" s="43">
        <v>442</v>
      </c>
      <c r="F79" s="43">
        <v>464</v>
      </c>
      <c r="G79" s="14">
        <v>619</v>
      </c>
      <c r="H79" s="15">
        <v>634</v>
      </c>
      <c r="J79" s="44"/>
      <c r="K79" s="44"/>
      <c r="L79" s="44"/>
    </row>
    <row r="80" spans="5:12" ht="13.5" thickBot="1" x14ac:dyDescent="0.25">
      <c r="E80" s="43">
        <v>464</v>
      </c>
      <c r="F80" s="43">
        <v>487</v>
      </c>
      <c r="G80" s="15">
        <v>634</v>
      </c>
      <c r="H80" s="14">
        <v>649</v>
      </c>
      <c r="J80" s="44"/>
      <c r="K80" s="44"/>
      <c r="L80" s="44"/>
    </row>
    <row r="81" spans="5:12" ht="13.5" thickBot="1" x14ac:dyDescent="0.25">
      <c r="E81" s="43">
        <v>487</v>
      </c>
      <c r="F81" s="43">
        <v>511</v>
      </c>
      <c r="G81" s="14">
        <v>649</v>
      </c>
      <c r="H81" s="15">
        <v>665</v>
      </c>
      <c r="J81" s="44"/>
      <c r="K81" s="44"/>
      <c r="L81" s="44"/>
    </row>
    <row r="82" spans="5:12" ht="13.5" thickBot="1" x14ac:dyDescent="0.25">
      <c r="E82" s="43">
        <v>511</v>
      </c>
      <c r="F82" s="43">
        <v>536</v>
      </c>
      <c r="G82" s="15">
        <v>665</v>
      </c>
      <c r="H82" s="14">
        <v>681</v>
      </c>
      <c r="J82" s="44"/>
      <c r="K82" s="44"/>
      <c r="L82" s="44"/>
    </row>
    <row r="83" spans="5:12" ht="13.5" thickBot="1" x14ac:dyDescent="0.25">
      <c r="E83" s="43">
        <v>536</v>
      </c>
      <c r="F83" s="43">
        <v>562</v>
      </c>
      <c r="G83" s="14">
        <v>681</v>
      </c>
      <c r="H83" s="15">
        <v>698</v>
      </c>
      <c r="J83" s="44"/>
      <c r="K83" s="44"/>
      <c r="L83" s="44"/>
    </row>
    <row r="84" spans="5:12" ht="13.5" thickBot="1" x14ac:dyDescent="0.25">
      <c r="E84" s="43">
        <v>562</v>
      </c>
      <c r="F84" s="43">
        <v>590</v>
      </c>
      <c r="G84" s="15">
        <v>698</v>
      </c>
      <c r="H84" s="14">
        <v>715</v>
      </c>
      <c r="J84" s="44"/>
      <c r="K84" s="44"/>
      <c r="L84" s="44"/>
    </row>
    <row r="85" spans="5:12" ht="13.5" thickBot="1" x14ac:dyDescent="0.25">
      <c r="E85" s="43">
        <v>590</v>
      </c>
      <c r="F85" s="43">
        <v>619</v>
      </c>
      <c r="G85" s="14">
        <v>715</v>
      </c>
      <c r="H85" s="15">
        <v>732</v>
      </c>
      <c r="J85" s="44"/>
      <c r="K85" s="44"/>
      <c r="L85" s="44"/>
    </row>
    <row r="86" spans="5:12" ht="13.5" thickBot="1" x14ac:dyDescent="0.25">
      <c r="E86" s="43">
        <v>619</v>
      </c>
      <c r="F86" s="43">
        <v>649</v>
      </c>
      <c r="G86" s="15">
        <v>732</v>
      </c>
      <c r="H86" s="14">
        <v>750</v>
      </c>
      <c r="J86" s="44"/>
      <c r="K86" s="44"/>
      <c r="L86" s="44"/>
    </row>
    <row r="87" spans="5:12" ht="13.5" thickBot="1" x14ac:dyDescent="0.25">
      <c r="E87" s="43">
        <v>649</v>
      </c>
      <c r="F87" s="43">
        <v>681</v>
      </c>
      <c r="G87" s="14">
        <v>750</v>
      </c>
      <c r="H87" s="15">
        <v>768</v>
      </c>
      <c r="J87" s="44"/>
      <c r="K87" s="44"/>
      <c r="L87" s="44"/>
    </row>
    <row r="88" spans="5:12" ht="13.5" thickBot="1" x14ac:dyDescent="0.25">
      <c r="E88" s="43">
        <v>681</v>
      </c>
      <c r="F88" s="43">
        <v>715</v>
      </c>
      <c r="G88" s="15">
        <v>768</v>
      </c>
      <c r="H88" s="14">
        <v>787</v>
      </c>
      <c r="J88" s="44"/>
      <c r="K88" s="44"/>
      <c r="L88" s="44"/>
    </row>
    <row r="89" spans="5:12" ht="13.5" thickBot="1" x14ac:dyDescent="0.25">
      <c r="E89" s="43">
        <v>715</v>
      </c>
      <c r="F89" s="43">
        <v>750</v>
      </c>
      <c r="G89" s="14">
        <v>787</v>
      </c>
      <c r="H89" s="15">
        <v>806</v>
      </c>
      <c r="J89" s="44"/>
      <c r="K89" s="44"/>
      <c r="L89" s="44"/>
    </row>
    <row r="90" spans="5:12" ht="13.5" thickBot="1" x14ac:dyDescent="0.25">
      <c r="E90" s="43">
        <v>750</v>
      </c>
      <c r="F90" s="43">
        <v>787</v>
      </c>
      <c r="G90" s="15">
        <v>806</v>
      </c>
      <c r="H90" s="14">
        <v>825</v>
      </c>
      <c r="J90" s="44"/>
      <c r="K90" s="44"/>
      <c r="L90" s="44"/>
    </row>
    <row r="91" spans="5:12" ht="13.5" thickBot="1" x14ac:dyDescent="0.25">
      <c r="E91" s="43">
        <v>787</v>
      </c>
      <c r="F91" s="43">
        <v>825</v>
      </c>
      <c r="G91" s="14">
        <v>825</v>
      </c>
      <c r="H91" s="15">
        <v>845</v>
      </c>
      <c r="J91" s="44"/>
      <c r="K91" s="44"/>
      <c r="L91" s="44"/>
    </row>
    <row r="92" spans="5:12" ht="13.5" thickBot="1" x14ac:dyDescent="0.25">
      <c r="E92" s="43">
        <v>825</v>
      </c>
      <c r="F92" s="43">
        <v>866</v>
      </c>
      <c r="G92" s="15">
        <v>845</v>
      </c>
      <c r="H92" s="14">
        <v>866</v>
      </c>
      <c r="J92" s="44"/>
      <c r="K92" s="44"/>
      <c r="L92" s="44"/>
    </row>
    <row r="93" spans="5:12" ht="13.5" thickBot="1" x14ac:dyDescent="0.25">
      <c r="E93" s="43">
        <v>866</v>
      </c>
      <c r="F93" s="43">
        <v>909</v>
      </c>
      <c r="G93" s="14">
        <v>866</v>
      </c>
      <c r="H93" s="15">
        <v>887</v>
      </c>
      <c r="J93" s="44"/>
      <c r="K93" s="44"/>
      <c r="L93" s="44"/>
    </row>
    <row r="94" spans="5:12" ht="13.5" thickBot="1" x14ac:dyDescent="0.25">
      <c r="E94" s="43">
        <v>909</v>
      </c>
      <c r="F94" s="43">
        <v>953</v>
      </c>
      <c r="G94" s="15">
        <v>887</v>
      </c>
      <c r="H94" s="14">
        <v>909</v>
      </c>
      <c r="J94" s="44"/>
      <c r="K94" s="44"/>
      <c r="L94" s="44"/>
    </row>
    <row r="95" spans="5:12" ht="13.5" thickBot="1" x14ac:dyDescent="0.25">
      <c r="E95" s="43">
        <v>953</v>
      </c>
      <c r="F95" s="43">
        <v>1000</v>
      </c>
      <c r="G95" s="14">
        <v>909</v>
      </c>
      <c r="H95" s="15">
        <v>931</v>
      </c>
      <c r="J95" s="44"/>
      <c r="K95" s="44"/>
      <c r="L95" s="44"/>
    </row>
    <row r="96" spans="5:12" ht="13.5" thickBot="1" x14ac:dyDescent="0.25">
      <c r="G96" s="15">
        <v>931</v>
      </c>
      <c r="H96" s="14">
        <v>953</v>
      </c>
      <c r="J96" s="44"/>
      <c r="K96" s="44"/>
      <c r="L96" s="44"/>
    </row>
    <row r="97" spans="7:12" ht="13.5" thickBot="1" x14ac:dyDescent="0.25">
      <c r="G97" s="14">
        <v>953</v>
      </c>
      <c r="H97" s="15">
        <v>976</v>
      </c>
      <c r="J97" s="44"/>
      <c r="K97" s="44"/>
      <c r="L97" s="44"/>
    </row>
    <row r="98" spans="7:12" ht="13.5" thickBot="1" x14ac:dyDescent="0.25">
      <c r="G98" s="15">
        <v>976</v>
      </c>
      <c r="H98" s="15">
        <v>1000</v>
      </c>
      <c r="J98" s="44"/>
      <c r="K98" s="44"/>
      <c r="L98" s="44"/>
    </row>
    <row r="99" spans="7:12" x14ac:dyDescent="0.2">
      <c r="J99" s="44"/>
      <c r="K99" s="44"/>
      <c r="L99" s="44"/>
    </row>
    <row r="100" spans="7:12" x14ac:dyDescent="0.2">
      <c r="J100" s="44"/>
      <c r="K100" s="44"/>
      <c r="L100" s="44"/>
    </row>
    <row r="101" spans="7:12" x14ac:dyDescent="0.2">
      <c r="J101" s="44"/>
      <c r="K101" s="44"/>
      <c r="L101" s="44"/>
    </row>
    <row r="102" spans="7:12" x14ac:dyDescent="0.2">
      <c r="J102" s="44"/>
      <c r="K102" s="44"/>
      <c r="L102" s="44"/>
    </row>
    <row r="103" spans="7:12" x14ac:dyDescent="0.2">
      <c r="J103" s="44"/>
      <c r="K103" s="44"/>
      <c r="L103" s="44"/>
    </row>
    <row r="104" spans="7:12" x14ac:dyDescent="0.2">
      <c r="J104" s="44"/>
      <c r="K104" s="44"/>
      <c r="L104" s="44"/>
    </row>
    <row r="105" spans="7:12" x14ac:dyDescent="0.2">
      <c r="J105" s="44"/>
      <c r="K105" s="44"/>
      <c r="L105" s="44"/>
    </row>
    <row r="106" spans="7:12" x14ac:dyDescent="0.2">
      <c r="J106" s="44"/>
      <c r="K106" s="44"/>
      <c r="L106" s="44"/>
    </row>
    <row r="107" spans="7:12" x14ac:dyDescent="0.2">
      <c r="J107" s="44"/>
      <c r="K107" s="44"/>
      <c r="L107" s="44"/>
    </row>
    <row r="108" spans="7:12" x14ac:dyDescent="0.2">
      <c r="J108" s="44"/>
      <c r="K108" s="44"/>
      <c r="L108" s="44"/>
    </row>
    <row r="109" spans="7:12" x14ac:dyDescent="0.2">
      <c r="J109" s="44"/>
      <c r="K109" s="44"/>
      <c r="L109" s="44"/>
    </row>
    <row r="110" spans="7:12" x14ac:dyDescent="0.2">
      <c r="J110" s="44"/>
      <c r="K110" s="44"/>
      <c r="L110" s="44"/>
    </row>
    <row r="111" spans="7:12" x14ac:dyDescent="0.2">
      <c r="J111" s="44"/>
      <c r="K111" s="44"/>
      <c r="L111" s="44"/>
    </row>
    <row r="112" spans="7:12" x14ac:dyDescent="0.2">
      <c r="J112" s="44"/>
      <c r="K112" s="44"/>
      <c r="L112" s="44"/>
    </row>
    <row r="113" spans="10:12" x14ac:dyDescent="0.2">
      <c r="J113" s="44"/>
      <c r="K113" s="44"/>
      <c r="L113" s="44"/>
    </row>
    <row r="114" spans="10:12" x14ac:dyDescent="0.2">
      <c r="J114" s="44"/>
      <c r="K114" s="44"/>
      <c r="L114" s="44"/>
    </row>
    <row r="115" spans="10:12" x14ac:dyDescent="0.2">
      <c r="J115" s="44"/>
      <c r="K115" s="44"/>
      <c r="L115" s="44"/>
    </row>
    <row r="116" spans="10:12" x14ac:dyDescent="0.2">
      <c r="J116" s="44"/>
      <c r="K116" s="44"/>
      <c r="L116" s="44"/>
    </row>
    <row r="117" spans="10:12" x14ac:dyDescent="0.2">
      <c r="J117" s="44"/>
      <c r="K117" s="44"/>
      <c r="L117" s="44"/>
    </row>
    <row r="118" spans="10:12" x14ac:dyDescent="0.2">
      <c r="J118" s="44"/>
      <c r="K118" s="44"/>
      <c r="L118" s="44"/>
    </row>
    <row r="119" spans="10:12" x14ac:dyDescent="0.2">
      <c r="J119" s="44"/>
      <c r="K119" s="44"/>
      <c r="L119" s="44"/>
    </row>
    <row r="120" spans="10:12" x14ac:dyDescent="0.2">
      <c r="J120" s="44"/>
      <c r="K120" s="44"/>
      <c r="L120" s="44"/>
    </row>
    <row r="121" spans="10:12" x14ac:dyDescent="0.2">
      <c r="J121" s="44"/>
      <c r="K121" s="44"/>
      <c r="L121" s="44"/>
    </row>
    <row r="122" spans="10:12" x14ac:dyDescent="0.2">
      <c r="J122" s="44"/>
      <c r="K122" s="44"/>
      <c r="L122" s="44"/>
    </row>
    <row r="123" spans="10:12" x14ac:dyDescent="0.2">
      <c r="J123" s="44"/>
      <c r="K123" s="44"/>
      <c r="L123" s="44"/>
    </row>
    <row r="124" spans="10:12" x14ac:dyDescent="0.2">
      <c r="J124" s="44"/>
      <c r="K124" s="44"/>
      <c r="L124" s="44"/>
    </row>
    <row r="125" spans="10:12" x14ac:dyDescent="0.2">
      <c r="J125" s="44"/>
      <c r="K125" s="44"/>
      <c r="L125" s="44"/>
    </row>
    <row r="126" spans="10:12" x14ac:dyDescent="0.2">
      <c r="J126" s="44"/>
      <c r="K126" s="44"/>
      <c r="L126" s="44"/>
    </row>
    <row r="127" spans="10:12" x14ac:dyDescent="0.2">
      <c r="J127" s="44"/>
      <c r="K127" s="44"/>
      <c r="L127" s="44"/>
    </row>
    <row r="128" spans="10:12" x14ac:dyDescent="0.2">
      <c r="J128" s="44"/>
      <c r="K128" s="44"/>
      <c r="L128" s="44"/>
    </row>
    <row r="129" spans="10:12" x14ac:dyDescent="0.2">
      <c r="J129" s="44"/>
      <c r="K129" s="44"/>
      <c r="L129" s="44"/>
    </row>
    <row r="130" spans="10:12" x14ac:dyDescent="0.2">
      <c r="J130" s="44"/>
      <c r="K130" s="44"/>
      <c r="L130" s="44"/>
    </row>
    <row r="131" spans="10:12" x14ac:dyDescent="0.2">
      <c r="J131" s="44"/>
      <c r="K131" s="44"/>
      <c r="L131" s="44"/>
    </row>
    <row r="132" spans="10:12" x14ac:dyDescent="0.2">
      <c r="J132" s="44"/>
      <c r="K132" s="44"/>
      <c r="L132" s="44"/>
    </row>
    <row r="133" spans="10:12" x14ac:dyDescent="0.2">
      <c r="J133" s="44"/>
      <c r="K133" s="44"/>
      <c r="L133" s="44"/>
    </row>
    <row r="134" spans="10:12" x14ac:dyDescent="0.2">
      <c r="J134" s="44"/>
      <c r="K134" s="44"/>
      <c r="L134" s="44"/>
    </row>
    <row r="135" spans="10:12" x14ac:dyDescent="0.2">
      <c r="J135" s="44"/>
      <c r="K135" s="44"/>
      <c r="L135" s="44"/>
    </row>
    <row r="136" spans="10:12" x14ac:dyDescent="0.2">
      <c r="J136" s="44"/>
      <c r="K136" s="44"/>
      <c r="L136" s="44"/>
    </row>
    <row r="137" spans="10:12" x14ac:dyDescent="0.2">
      <c r="J137" s="44"/>
      <c r="K137" s="44"/>
      <c r="L137" s="44"/>
    </row>
    <row r="138" spans="10:12" x14ac:dyDescent="0.2">
      <c r="J138" s="44"/>
      <c r="K138" s="44"/>
      <c r="L138" s="44"/>
    </row>
    <row r="139" spans="10:12" x14ac:dyDescent="0.2">
      <c r="J139" s="44"/>
      <c r="K139" s="44"/>
      <c r="L139" s="44"/>
    </row>
    <row r="140" spans="10:12" x14ac:dyDescent="0.2">
      <c r="J140" s="44"/>
      <c r="K140" s="44"/>
      <c r="L140" s="44"/>
    </row>
    <row r="141" spans="10:12" x14ac:dyDescent="0.2">
      <c r="J141" s="44"/>
      <c r="K141" s="44"/>
      <c r="L141" s="44"/>
    </row>
    <row r="142" spans="10:12" x14ac:dyDescent="0.2">
      <c r="J142" s="44"/>
      <c r="K142" s="44"/>
      <c r="L142" s="44"/>
    </row>
    <row r="143" spans="10:12" x14ac:dyDescent="0.2">
      <c r="J143" s="44"/>
      <c r="K143" s="44"/>
      <c r="L143" s="44"/>
    </row>
    <row r="144" spans="10:12" x14ac:dyDescent="0.2">
      <c r="J144" s="44"/>
      <c r="K144" s="44"/>
      <c r="L144" s="44"/>
    </row>
    <row r="145" spans="10:12" x14ac:dyDescent="0.2">
      <c r="J145" s="44"/>
      <c r="K145" s="44"/>
      <c r="L145" s="44"/>
    </row>
  </sheetData>
  <mergeCells count="5">
    <mergeCell ref="E47:F47"/>
    <mergeCell ref="E2:F2"/>
    <mergeCell ref="G2:H2"/>
    <mergeCell ref="E9:F9"/>
    <mergeCell ref="E22:F22"/>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96</vt:i4>
      </vt:variant>
    </vt:vector>
  </HeadingPairs>
  <TitlesOfParts>
    <vt:vector size="105" baseType="lpstr">
      <vt:lpstr>Instructions</vt:lpstr>
      <vt:lpstr>Functional Schematic</vt:lpstr>
      <vt:lpstr>Design Information</vt:lpstr>
      <vt:lpstr>Figure of T1 Current</vt:lpstr>
      <vt:lpstr>TABSET Valley Switching</vt:lpstr>
      <vt:lpstr>TCDSET Valley Switching</vt:lpstr>
      <vt:lpstr>Notice and Disclaimer</vt:lpstr>
      <vt:lpstr>Voltage Loop</vt:lpstr>
      <vt:lpstr>Standard R and C Look Up Table</vt:lpstr>
      <vt:lpstr>_imp2</vt:lpstr>
      <vt:lpstr>_ims2</vt:lpstr>
      <vt:lpstr>_ipp1</vt:lpstr>
      <vt:lpstr>_ta1</vt:lpstr>
      <vt:lpstr>_ta11</vt:lpstr>
      <vt:lpstr>_ta2</vt:lpstr>
      <vt:lpstr>_taa1</vt:lpstr>
      <vt:lpstr>_va1</vt:lpstr>
      <vt:lpstr>C_enter</vt:lpstr>
      <vt:lpstr>C_f1</vt:lpstr>
      <vt:lpstr>C_f2</vt:lpstr>
      <vt:lpstr>c_s1</vt:lpstr>
      <vt:lpstr>C_s2</vt:lpstr>
      <vt:lpstr>Center</vt:lpstr>
      <vt:lpstr>constant</vt:lpstr>
      <vt:lpstr>cossqaavg</vt:lpstr>
      <vt:lpstr>cossqaspec</vt:lpstr>
      <vt:lpstr>cossqeavg</vt:lpstr>
      <vt:lpstr>cout</vt:lpstr>
      <vt:lpstr>Cp</vt:lpstr>
      <vt:lpstr>Cstandard</vt:lpstr>
      <vt:lpstr>Cz</vt:lpstr>
      <vt:lpstr>d2a</vt:lpstr>
      <vt:lpstr>dclamp</vt:lpstr>
      <vt:lpstr>dcrlout</vt:lpstr>
      <vt:lpstr>dcrp</vt:lpstr>
      <vt:lpstr>dcrs</vt:lpstr>
      <vt:lpstr>dilmag</vt:lpstr>
      <vt:lpstr>dilout</vt:lpstr>
      <vt:lpstr>dmax</vt:lpstr>
      <vt:lpstr>dtyp</vt:lpstr>
      <vt:lpstr>E12_f</vt:lpstr>
      <vt:lpstr>E12_s</vt:lpstr>
      <vt:lpstr>E24_f</vt:lpstr>
      <vt:lpstr>E24_s</vt:lpstr>
      <vt:lpstr>E48_f</vt:lpstr>
      <vt:lpstr>E48_s</vt:lpstr>
      <vt:lpstr>E6_f</vt:lpstr>
      <vt:lpstr>E6_s</vt:lpstr>
      <vt:lpstr>E96_f</vt:lpstr>
      <vt:lpstr>E96_s</vt:lpstr>
      <vt:lpstr>Eff</vt:lpstr>
      <vt:lpstr>esrcout</vt:lpstr>
      <vt:lpstr>fc</vt:lpstr>
      <vt:lpstr>fpp</vt:lpstr>
      <vt:lpstr>fs</vt:lpstr>
      <vt:lpstr>iloutrms</vt:lpstr>
      <vt:lpstr>imp</vt:lpstr>
      <vt:lpstr>ims</vt:lpstr>
      <vt:lpstr>ipp</vt:lpstr>
      <vt:lpstr>iprms</vt:lpstr>
      <vt:lpstr>iprms1</vt:lpstr>
      <vt:lpstr>iprms2</vt:lpstr>
      <vt:lpstr>ips</vt:lpstr>
      <vt:lpstr>isrms</vt:lpstr>
      <vt:lpstr>isrms1</vt:lpstr>
      <vt:lpstr>isrms2</vt:lpstr>
      <vt:lpstr>isrms3</vt:lpstr>
      <vt:lpstr>llk</vt:lpstr>
      <vt:lpstr>lmag</vt:lpstr>
      <vt:lpstr>lmag1</vt:lpstr>
      <vt:lpstr>lmag2</vt:lpstr>
      <vt:lpstr>lout</vt:lpstr>
      <vt:lpstr>ls</vt:lpstr>
      <vt:lpstr>n1divd1</vt:lpstr>
      <vt:lpstr>pbudget</vt:lpstr>
      <vt:lpstr>pout</vt:lpstr>
      <vt:lpstr>QAg</vt:lpstr>
      <vt:lpstr>qeg</vt:lpstr>
      <vt:lpstr>rdsonqa</vt:lpstr>
      <vt:lpstr>rdsonqe</vt:lpstr>
      <vt:lpstr>rf</vt:lpstr>
      <vt:lpstr>RII</vt:lpstr>
      <vt:lpstr>rload</vt:lpstr>
      <vt:lpstr>RS</vt:lpstr>
      <vt:lpstr>sta</vt:lpstr>
      <vt:lpstr>stb</vt:lpstr>
      <vt:lpstr>tabset</vt:lpstr>
      <vt:lpstr>tafset</vt:lpstr>
      <vt:lpstr>tcdset</vt:lpstr>
      <vt:lpstr>tdelay</vt:lpstr>
      <vt:lpstr>thu</vt:lpstr>
      <vt:lpstr>tr</vt:lpstr>
      <vt:lpstr>vadel</vt:lpstr>
      <vt:lpstr>vdsqe</vt:lpstr>
      <vt:lpstr>vg</vt:lpstr>
      <vt:lpstr>vin</vt:lpstr>
      <vt:lpstr>VINMAX</vt:lpstr>
      <vt:lpstr>VINMIAX</vt:lpstr>
      <vt:lpstr>VINMIN</vt:lpstr>
      <vt:lpstr>VOUT</vt:lpstr>
      <vt:lpstr>voutmin</vt:lpstr>
      <vt:lpstr>vrdson</vt:lpstr>
      <vt:lpstr>Vslope1</vt:lpstr>
      <vt:lpstr>Vslope2</vt:lpstr>
      <vt:lpstr>VTRAN</vt:lpstr>
    </vt:vector>
  </TitlesOfParts>
  <Company>Texas Instruments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O'Loughlin</dc:creator>
  <cp:lastModifiedBy>Lok, Weihern</cp:lastModifiedBy>
  <cp:lastPrinted>2010-06-11T18:34:05Z</cp:lastPrinted>
  <dcterms:created xsi:type="dcterms:W3CDTF">2010-04-19T17:22:29Z</dcterms:created>
  <dcterms:modified xsi:type="dcterms:W3CDTF">2025-10-21T06:41:51Z</dcterms:modified>
</cp:coreProperties>
</file>